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ustomProperty1.bin" ContentType="application/vnd.openxmlformats-officedocument.spreadsheetml.customProperty"/>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showInkAnnotation="0" autoCompressPictures="0"/>
  <mc:AlternateContent xmlns:mc="http://schemas.openxmlformats.org/markup-compatibility/2006">
    <mc:Choice Requires="x15">
      <x15ac:absPath xmlns:x15ac="http://schemas.microsoft.com/office/spreadsheetml/2010/11/ac" url="C:\Users\Theresa Neef\Dropbox\EUTO\studies\2_tax_deficit\3_data\TWZ2020\"/>
    </mc:Choice>
  </mc:AlternateContent>
  <xr:revisionPtr revIDLastSave="0" documentId="13_ncr:1_{EAC98C00-EA31-4D2F-B7FC-E69D164EE59E}" xr6:coauthVersionLast="46" xr6:coauthVersionMax="46" xr10:uidLastSave="{00000000-0000-0000-0000-000000000000}"/>
  <bookViews>
    <workbookView xWindow="-90" yWindow="-16320" windowWidth="29040" windowHeight="15840" tabRatio="959" firstSheet="5" activeTab="7" xr2:uid="{00000000-000D-0000-FFFF-FFFF00000000}"/>
  </bookViews>
  <sheets>
    <sheet name="AppendixTables" sheetId="51" r:id="rId1"/>
    <sheet name="TableA1" sheetId="8" r:id="rId2"/>
    <sheet name="TableA2" sheetId="9" r:id="rId3"/>
    <sheet name="TableA2b" sheetId="36" r:id="rId4"/>
    <sheet name="TableA3" sheetId="10" r:id="rId5"/>
    <sheet name="TableA4" sheetId="12" r:id="rId6"/>
    <sheet name="TableA5" sheetId="13" r:id="rId7"/>
    <sheet name="TableA6" sheetId="19" r:id="rId8"/>
    <sheet name="TableA7" sheetId="17" r:id="rId9"/>
    <sheet name="TableA8" sheetId="20" r:id="rId10"/>
    <sheet name="TableA9" sheetId="25" r:id="rId11"/>
    <sheet name="TableA10" sheetId="30" r:id="rId12"/>
    <sheet name="TableA10b" sheetId="53" r:id="rId13"/>
    <sheet name="TableA11" sheetId="26" r:id="rId14"/>
    <sheet name="TableA11b" sheetId="54" r:id="rId15"/>
    <sheet name="TableB1" sheetId="60" r:id="rId16"/>
    <sheet name="TableB1b" sheetId="140" r:id="rId17"/>
    <sheet name="TableB2" sheetId="21" r:id="rId18"/>
    <sheet name="TableB3" sheetId="15" r:id="rId19"/>
    <sheet name="TableB4" sheetId="14" r:id="rId20"/>
    <sheet name="TableB5" sheetId="23" r:id="rId21"/>
    <sheet name="TableB6" sheetId="24" r:id="rId22"/>
    <sheet name="TableB7" sheetId="27" r:id="rId23"/>
    <sheet name="TableB8" sheetId="28" r:id="rId24"/>
    <sheet name="TableB9" sheetId="29" r:id="rId25"/>
    <sheet name="TableB10" sheetId="59" r:id="rId26"/>
    <sheet name="TableB11" sheetId="102" r:id="rId27"/>
    <sheet name="TableB12a" sheetId="188" r:id="rId28"/>
    <sheet name="TableB12b" sheetId="187" r:id="rId29"/>
    <sheet name="TableC1" sheetId="98" r:id="rId30"/>
    <sheet name="TableC2" sheetId="99" r:id="rId31"/>
    <sheet name="TableC3" sheetId="100" r:id="rId32"/>
    <sheet name="TableC4" sheetId="101" r:id="rId33"/>
    <sheet name="TableC4b" sheetId="126" r:id="rId34"/>
    <sheet name="TableC4c" sheetId="127" r:id="rId35"/>
    <sheet name="TableC4d" sheetId="128" r:id="rId36"/>
    <sheet name="TableC4e" sheetId="154" r:id="rId37"/>
    <sheet name="TableC5" sheetId="116" r:id="rId38"/>
    <sheet name="TableC5b" sheetId="257" r:id="rId39"/>
    <sheet name="TableC6" sheetId="162" r:id="rId40"/>
    <sheet name="TableD1a" sheetId="160" r:id="rId41"/>
    <sheet name="TableD1b" sheetId="155" r:id="rId42"/>
    <sheet name="TableD2" sheetId="163" r:id="rId43"/>
    <sheet name="TableD2(aux)" sheetId="256" r:id="rId44"/>
    <sheet name="Table E1" sheetId="260" r:id="rId45"/>
    <sheet name="Table E2 " sheetId="259" r:id="rId46"/>
    <sheet name="Table E3" sheetId="261" r:id="rId47"/>
    <sheet name="TableF1a" sheetId="166" r:id="rId48"/>
    <sheet name="TableF1b" sheetId="167" r:id="rId49"/>
    <sheet name="TableF1c" sheetId="174" r:id="rId50"/>
    <sheet name="TableF2" sheetId="168" r:id="rId51"/>
    <sheet name="TableF3" sheetId="179" r:id="rId52"/>
    <sheet name="Disc. 1" sheetId="184" r:id="rId53"/>
    <sheet name="Disc. 2" sheetId="185" r:id="rId54"/>
  </sheets>
  <externalReferences>
    <externalReference r:id="rId55"/>
    <externalReference r:id="rId56"/>
    <externalReference r:id="rId57"/>
    <externalReference r:id="rId58"/>
    <externalReference r:id="rId59"/>
  </externalReferences>
  <definedNames>
    <definedName name="_1_" localSheetId="15">#REF!</definedName>
    <definedName name="_1_" localSheetId="37">#REF!</definedName>
    <definedName name="_1_" localSheetId="38">#REF!</definedName>
    <definedName name="A2298668K">[1]AustralianNA2!$DF$1:$DF$10,[1]AustralianNA2!$DF$12:$DF$244</definedName>
    <definedName name="A2298668K_Data">[1]AustralianNA2!$DF$12:$DF$244</definedName>
    <definedName name="A2298668K_Latest">[1]AustralianNA2!$DF$244</definedName>
    <definedName name="A2298677L">[1]AustralianNA!$Z$1:$Z$10,[1]AustralianNA!$Z$12:$Z$244</definedName>
    <definedName name="A2298677L_Data">[1]AustralianNA!$Z$12:$Z$244</definedName>
    <definedName name="A2298677L_Latest">[1]AustralianNA!$Z$244</definedName>
    <definedName name="A2298678R">[1]AustralianNA!$BE$1:$BE$10,[1]AustralianNA!$BE$12:$BE$244</definedName>
    <definedName name="A2298678R_Data">[1]AustralianNA!$BE$12:$BE$244</definedName>
    <definedName name="A2298678R_Latest">[1]AustralianNA!$BE$244</definedName>
    <definedName name="A2298709V">[1]AustralianNA!$J$1:$J$10,[1]AustralianNA!$J$11:$J$244</definedName>
    <definedName name="A2298709V_Data">[1]AustralianNA!$J$11:$J$244</definedName>
    <definedName name="A2298709V_Latest">[1]AustralianNA!$J$244</definedName>
    <definedName name="A2298711F">[1]AustralianNA!$BT$1:$BT$10,[1]AustralianNA!$BT$11:$BT$244</definedName>
    <definedName name="A2298711F_Data">[1]AustralianNA!$BT$11:$BT$244</definedName>
    <definedName name="A2298711F_Latest">[1]AustralianNA!$BT$244</definedName>
    <definedName name="A2298712J">[1]AustralianNA!$AO$1:$AO$10,[1]AustralianNA!$AO$11:$AO$244</definedName>
    <definedName name="A2298712J_Data">[1]AustralianNA!$AO$11:$AO$244</definedName>
    <definedName name="A2298712J_Latest">[1]AustralianNA!$AO$244</definedName>
    <definedName name="A2298714L">[1]AustralianNA!$CF$1:$CF$10,[1]AustralianNA!$CF$11:$CF$243</definedName>
    <definedName name="A2298714L_Data">[1]AustralianNA!$CF$11:$CF$243</definedName>
    <definedName name="A2298714L_Latest">[1]AustralianNA!$CF$243</definedName>
    <definedName name="A2302356K">[1]AustralianNA3!$U$1:$U$10,[1]AustralianNA3!$U$71:$U$244</definedName>
    <definedName name="A2302356K_Data">[1]AustralianNA3!$U$71:$U$244</definedName>
    <definedName name="A2302356K_Latest">[1]AustralianNA3!$U$244</definedName>
    <definedName name="A2302358R">[1]AustralianNA3!$W$1:$W$10,[1]AustralianNA3!$W$11:$W$244</definedName>
    <definedName name="A2302358R_Data">[1]AustralianNA3!$W$11:$W$244</definedName>
    <definedName name="A2302358R_Latest">[1]AustralianNA3!$W$244</definedName>
    <definedName name="A2302397F">[1]AustralianNA3!$BX$1:$BX$10,[1]AustralianNA3!$BX$72:$BX$244</definedName>
    <definedName name="A2302397F_Data">[1]AustralianNA3!$BX$72:$BX$244</definedName>
    <definedName name="A2302397F_Latest">[1]AustralianNA3!$BX$244</definedName>
    <definedName name="A2302399K">[1]AustralianNA!$BL$1:$BL$10,[1]AustralianNA!$BL$107:$BL$244</definedName>
    <definedName name="A2302399K_Data">[1]AustralianNA!$BL$107:$BL$244</definedName>
    <definedName name="A2302399K_Latest">[1]AustralianNA!$BL$244</definedName>
    <definedName name="A2302400J">[1]AustralianNA!$BM$1:$BM$10,[1]AustralianNA!$BM$107:$BM$244</definedName>
    <definedName name="A2302400J_Data">[1]AustralianNA!$BM$107:$BM$244</definedName>
    <definedName name="A2302400J_Latest">[1]AustralianNA!$BM$244</definedName>
    <definedName name="A2302401K">[1]AustralianNA!$BN$1:$BN$10,[1]AustralianNA!$BN$11:$BN$244</definedName>
    <definedName name="A2302401K_Data">[1]AustralianNA!$BN$11:$BN$244</definedName>
    <definedName name="A2302401K_Latest">[1]AustralianNA!$BN$244</definedName>
    <definedName name="A2302403R">[1]AustralianNA!$BP$1:$BP$10,[1]AustralianNA!$BP$11:$BP$244</definedName>
    <definedName name="A2302403R_Data">[1]AustralianNA!$BP$11:$BP$244</definedName>
    <definedName name="A2302403R_Latest">[1]AustralianNA!$BP$244</definedName>
    <definedName name="A2302404T">[1]AustralianNA!$BQ$1:$BQ$10,[1]AustralianNA!$BQ$11:$BQ$244</definedName>
    <definedName name="A2302404T_Data">[1]AustralianNA!$BQ$11:$BQ$244</definedName>
    <definedName name="A2302404T_Latest">[1]AustralianNA!$BQ$244</definedName>
    <definedName name="A2302405V">[1]AustralianNA!$BR$1:$BR$10,[1]AustralianNA!$BR$11:$BR$244</definedName>
    <definedName name="A2302405V_Data">[1]AustralianNA!$BR$11:$BR$244</definedName>
    <definedName name="A2302405V_Latest">[1]AustralianNA!$BR$244</definedName>
    <definedName name="A2302406W">[1]AustralianNA!$BS$1:$BS$10,[1]AustralianNA!$BS$11:$BS$244</definedName>
    <definedName name="A2302406W_Data">[1]AustralianNA!$BS$11:$BS$244</definedName>
    <definedName name="A2302406W_Latest">[1]AustralianNA!$BS$244</definedName>
    <definedName name="A2302408A">[1]AustralianNA!$BU$1:$BU$10,[1]AustralianNA!$BU$11:$BU$244</definedName>
    <definedName name="A2302408A_Data">[1]AustralianNA!$BU$11:$BU$244</definedName>
    <definedName name="A2302408A_Latest">[1]AustralianNA!$BU$244</definedName>
    <definedName name="A2302409C">[1]AustralianNA!$BV$1:$BV$10,[1]AustralianNA!$BV$11:$BV$244</definedName>
    <definedName name="A2302409C_Data">[1]AustralianNA!$BV$11:$BV$244</definedName>
    <definedName name="A2302409C_Latest">[1]AustralianNA!$BV$244</definedName>
    <definedName name="A2302410L">[1]AustralianNA!$BW$1:$BW$10,[1]AustralianNA!$BW$11:$BW$244</definedName>
    <definedName name="A2302410L_Data">[1]AustralianNA!$BW$11:$BW$244</definedName>
    <definedName name="A2302410L_Latest">[1]AustralianNA!$BW$244</definedName>
    <definedName name="A2302411R">[1]AustralianNA!$BX$1:$BX$10,[1]AustralianNA!$BX$11:$BX$244</definedName>
    <definedName name="A2302411R_Data">[1]AustralianNA!$BX$11:$BX$244</definedName>
    <definedName name="A2302411R_Latest">[1]AustralianNA!$BX$244</definedName>
    <definedName name="A2302412T">[1]AustralianNA!$BY$1:$BY$10,[1]AustralianNA!$BY$11:$BY$244</definedName>
    <definedName name="A2302412T_Data">[1]AustralianNA!$BY$11:$BY$244</definedName>
    <definedName name="A2302412T_Latest">[1]AustralianNA!$BY$244</definedName>
    <definedName name="A2302413V">[1]AustralianNA!$BZ$1:$BZ$10,[1]AustralianNA!$BZ$11:$BZ$244</definedName>
    <definedName name="A2302413V_Data">[1]AustralianNA!$BZ$11:$BZ$244</definedName>
    <definedName name="A2302413V_Latest">[1]AustralianNA!$BZ$244</definedName>
    <definedName name="A2302459A">[1]AustralianNA3!$X$1:$X$10,[1]AustralianNA3!$X$11:$X$244</definedName>
    <definedName name="A2302459A_Data">[1]AustralianNA3!$X$11:$X$244</definedName>
    <definedName name="A2302459A_Latest">[1]AustralianNA3!$X$244</definedName>
    <definedName name="A2302467A">[1]AustralianNA!$CA$1:$CA$10,[1]AustralianNA!$CA$11:$CA$244</definedName>
    <definedName name="A2302467A_Data">[1]AustralianNA!$CA$11:$CA$244</definedName>
    <definedName name="A2302467A_Latest">[1]AustralianNA!$CA$244</definedName>
    <definedName name="A2302642X">[1]AustralianNA3!$CW$1:$CW$10,[1]AustralianNA3!$CW$12:$CW$243</definedName>
    <definedName name="A2302642X_Data">[1]AustralianNA3!$CW$12:$CW$243</definedName>
    <definedName name="A2302642X_Latest">[1]AustralianNA3!$CW$243</definedName>
    <definedName name="A2302664L">[1]AustralianNA!$CM$1:$CM$10,[1]AustralianNA!$CM$11:$CM$243</definedName>
    <definedName name="A2302664L_Data">[1]AustralianNA!$CM$11:$CM$243</definedName>
    <definedName name="A2302664L_Latest">[1]AustralianNA!$CM$243</definedName>
    <definedName name="A2302665R">[1]AustralianNA!$CB$1:$CB$10,[1]AustralianNA!$CB$11:$CB$243</definedName>
    <definedName name="A2302665R_Data">[1]AustralianNA!$CB$11:$CB$243</definedName>
    <definedName name="A2302665R_Latest">[1]AustralianNA!$CB$243</definedName>
    <definedName name="A2302667V">[1]AustralianNA!$CD$1:$CD$10,[1]AustralianNA!$CD$11:$CD$243</definedName>
    <definedName name="A2302667V_Data">[1]AustralianNA!$CD$11:$CD$243</definedName>
    <definedName name="A2302667V_Latest">[1]AustralianNA!$CD$243</definedName>
    <definedName name="A2302668W">[1]AustralianNA!$CE$1:$CE$10,[1]AustralianNA!$CE$11:$CE$243</definedName>
    <definedName name="A2302668W_Data">[1]AustralianNA!$CE$11:$CE$243</definedName>
    <definedName name="A2302668W_Latest">[1]AustralianNA!$CE$243</definedName>
    <definedName name="A2302670J">[1]AustralianNA!$CG$1:$CG$10,[1]AustralianNA!$CG$11:$CG$243</definedName>
    <definedName name="A2302670J_Data">[1]AustralianNA!$CG$11:$CG$243</definedName>
    <definedName name="A2302670J_Latest">[1]AustralianNA!$CG$243</definedName>
    <definedName name="A2302671K">[1]AustralianNA!$CH$1:$CH$10,[1]AustralianNA!$CH$11:$CH$243</definedName>
    <definedName name="A2302671K_Data">[1]AustralianNA!$CH$11:$CH$243</definedName>
    <definedName name="A2302671K_Latest">[1]AustralianNA!$CH$243</definedName>
    <definedName name="A2302672L">[1]AustralianNA!$CI$1:$CI$10,[1]AustralianNA!$CI$11:$CI$243</definedName>
    <definedName name="A2302672L_Data">[1]AustralianNA!$CI$11:$CI$243</definedName>
    <definedName name="A2302672L_Latest">[1]AustralianNA!$CI$243</definedName>
    <definedName name="A2302673R">[1]AustralianNA!$CJ$1:$CJ$10,[1]AustralianNA!$CJ$11:$CJ$243</definedName>
    <definedName name="A2302673R_Data">[1]AustralianNA!$CJ$11:$CJ$243</definedName>
    <definedName name="A2302673R_Latest">[1]AustralianNA!$CJ$243</definedName>
    <definedName name="A2302674T">[1]AustralianNA!$CK$1:$CK$10,[1]AustralianNA!$CK$11:$CK$243</definedName>
    <definedName name="A2302674T_Data">[1]AustralianNA!$CK$11:$CK$243</definedName>
    <definedName name="A2302674T_Latest">[1]AustralianNA!$CK$243</definedName>
    <definedName name="A2302675V">[1]AustralianNA!$CL$1:$CL$10,[1]AustralianNA!$CL$11:$CL$243</definedName>
    <definedName name="A2302675V_Data">[1]AustralianNA!$CL$11:$CL$243</definedName>
    <definedName name="A2302675V_Latest">[1]AustralianNA!$CL$243</definedName>
    <definedName name="A2302694A">[1]AustralianNA3!$CU$1:$CU$10,[1]AustralianNA3!$CU$72:$CU$243</definedName>
    <definedName name="A2302694A_Data">[1]AustralianNA3!$CU$72:$CU$243</definedName>
    <definedName name="A2302694A_Latest">[1]AustralianNA3!$CU$243</definedName>
    <definedName name="A2303325L">[1]AustralianNA!$P$1:$P$10,[1]AustralianNA!$P$11:$P$244</definedName>
    <definedName name="A2303325L_Data">[1]AustralianNA!$P$11:$P$244</definedName>
    <definedName name="A2303325L_Latest">[1]AustralianNA!$P$244</definedName>
    <definedName name="A2303327T">[1]AustralianNA!$R$1:$R$10,[1]AustralianNA!$R$108:$R$244</definedName>
    <definedName name="A2303327T_Data">[1]AustralianNA!$R$108:$R$244</definedName>
    <definedName name="A2303327T_Latest">[1]AustralianNA!$R$244</definedName>
    <definedName name="A2303329W">[1]AustralianNA!$S$1:$S$10,[1]AustralianNA!$S$108:$S$244</definedName>
    <definedName name="A2303329W_Data">[1]AustralianNA!$S$108:$S$244</definedName>
    <definedName name="A2303329W_Latest">[1]AustralianNA!$S$244</definedName>
    <definedName name="A2303331J">[1]AustralianNA!$T$1:$T$10,[1]AustralianNA!$T$12:$T$244</definedName>
    <definedName name="A2303331J_Data">[1]AustralianNA!$T$12:$T$244</definedName>
    <definedName name="A2303331J_Latest">[1]AustralianNA!$T$244</definedName>
    <definedName name="A2303335T">[1]AustralianNA!$V$1:$V$10,[1]AustralianNA!$V$12:$V$244</definedName>
    <definedName name="A2303335T_Data">[1]AustralianNA!$V$12:$V$244</definedName>
    <definedName name="A2303335T_Latest">[1]AustralianNA!$V$244</definedName>
    <definedName name="A2303337W">[1]AustralianNA!$W$1:$W$10,[1]AustralianNA!$W$12:$W$244</definedName>
    <definedName name="A2303337W_Data">[1]AustralianNA!$W$12:$W$244</definedName>
    <definedName name="A2303337W_Latest">[1]AustralianNA!$W$244</definedName>
    <definedName name="A2303339A">[1]AustralianNA!$X$1:$X$10,[1]AustralianNA!$X$12:$X$244</definedName>
    <definedName name="A2303339A_Data">[1]AustralianNA!$X$12:$X$244</definedName>
    <definedName name="A2303339A_Latest">[1]AustralianNA!$X$244</definedName>
    <definedName name="A2303341L">[1]AustralianNA!$Y$1:$Y$10,[1]AustralianNA!$Y$12:$Y$244</definedName>
    <definedName name="A2303341L_Data">[1]AustralianNA!$Y$12:$Y$244</definedName>
    <definedName name="A2303341L_Latest">[1]AustralianNA!$Y$244</definedName>
    <definedName name="A2303345W">[1]AustralianNA!$AA$1:$AA$10,[1]AustralianNA!$AA$12:$AA$244</definedName>
    <definedName name="A2303345W_Data">[1]AustralianNA!$AA$12:$AA$244</definedName>
    <definedName name="A2303345W_Latest">[1]AustralianNA!$AA$244</definedName>
    <definedName name="A2303347A">[1]AustralianNA!$AB$1:$AB$10,[1]AustralianNA!$AB$12:$AB$244</definedName>
    <definedName name="A2303347A_Data">[1]AustralianNA!$AB$12:$AB$244</definedName>
    <definedName name="A2303347A_Latest">[1]AustralianNA!$AB$244</definedName>
    <definedName name="A2303349F">[1]AustralianNA!$AC$1:$AC$10,[1]AustralianNA!$AC$12:$AC$244</definedName>
    <definedName name="A2303349F_Data">[1]AustralianNA!$AC$12:$AC$244</definedName>
    <definedName name="A2303349F_Latest">[1]AustralianNA!$AC$244</definedName>
    <definedName name="A2303351T">[1]AustralianNA!$AD$1:$AD$10,[1]AustralianNA!$AD$12:$AD$244</definedName>
    <definedName name="A2303351T_Data">[1]AustralianNA!$AD$12:$AD$244</definedName>
    <definedName name="A2303351T_Latest">[1]AustralianNA!$AD$244</definedName>
    <definedName name="A2303353W">[1]AustralianNA!$AE$1:$AE$10,[1]AustralianNA!$AE$12:$AE$244</definedName>
    <definedName name="A2303353W_Data">[1]AustralianNA!$AE$12:$AE$244</definedName>
    <definedName name="A2303353W_Latest">[1]AustralianNA!$AE$244</definedName>
    <definedName name="A2303355A">[1]AustralianNA!$AG$1:$AG$10,[1]AustralianNA!$AG$107:$AG$244</definedName>
    <definedName name="A2303355A_Data">[1]AustralianNA!$AG$107:$AG$244</definedName>
    <definedName name="A2303355A_Latest">[1]AustralianNA!$AG$244</definedName>
    <definedName name="A2303357F">[1]AustralianNA!$AH$1:$AH$10,[1]AustralianNA!$AH$107:$AH$244</definedName>
    <definedName name="A2303357F_Data">[1]AustralianNA!$AH$107:$AH$244</definedName>
    <definedName name="A2303357F_Latest">[1]AustralianNA!$AH$244</definedName>
    <definedName name="A2303359K">[1]AustralianNA!$AI$1:$AI$10,[1]AustralianNA!$AI$11:$AI$244</definedName>
    <definedName name="A2303359K_Data">[1]AustralianNA!$AI$11:$AI$244</definedName>
    <definedName name="A2303359K_Latest">[1]AustralianNA!$AI$244</definedName>
    <definedName name="A2303363A">[1]AustralianNA!$AK$1:$AK$10,[1]AustralianNA!$AK$11:$AK$244</definedName>
    <definedName name="A2303363A_Data">[1]AustralianNA!$AK$11:$AK$244</definedName>
    <definedName name="A2303363A_Latest">[1]AustralianNA!$AK$244</definedName>
    <definedName name="A2303365F">[1]AustralianNA!$AL$1:$AL$10,[1]AustralianNA!$AL$11:$AL$244</definedName>
    <definedName name="A2303365F_Data">[1]AustralianNA!$AL$11:$AL$244</definedName>
    <definedName name="A2303365F_Latest">[1]AustralianNA!$AL$244</definedName>
    <definedName name="A2303367K">[1]AustralianNA!$AM$1:$AM$10,[1]AustralianNA!$AM$11:$AM$244</definedName>
    <definedName name="A2303367K_Data">[1]AustralianNA!$AM$11:$AM$244</definedName>
    <definedName name="A2303367K_Latest">[1]AustralianNA!$AM$244</definedName>
    <definedName name="A2303369R">[1]AustralianNA!$AN$1:$AN$10,[1]AustralianNA!$AN$11:$AN$244</definedName>
    <definedName name="A2303369R_Data">[1]AustralianNA!$AN$11:$AN$244</definedName>
    <definedName name="A2303369R_Latest">[1]AustralianNA!$AN$244</definedName>
    <definedName name="A2303373F">[1]AustralianNA!$AP$1:$AP$10,[1]AustralianNA!$AP$11:$AP$244</definedName>
    <definedName name="A2303373F_Data">[1]AustralianNA!$AP$11:$AP$244</definedName>
    <definedName name="A2303373F_Latest">[1]AustralianNA!$AP$244</definedName>
    <definedName name="A2303375K">[1]AustralianNA!$AQ$1:$AQ$10,[1]AustralianNA!$AQ$11:$AQ$244</definedName>
    <definedName name="A2303375K_Data">[1]AustralianNA!$AQ$11:$AQ$244</definedName>
    <definedName name="A2303375K_Latest">[1]AustralianNA!$AQ$244</definedName>
    <definedName name="A2303377R">[1]AustralianNA!$AR$1:$AR$10,[1]AustralianNA!$AR$11:$AR$244</definedName>
    <definedName name="A2303377R_Data">[1]AustralianNA!$AR$11:$AR$244</definedName>
    <definedName name="A2303377R_Latest">[1]AustralianNA!$AR$244</definedName>
    <definedName name="A2303379V">[1]AustralianNA!$AS$1:$AS$10,[1]AustralianNA!$AS$11:$AS$244</definedName>
    <definedName name="A2303379V_Data">[1]AustralianNA!$AS$11:$AS$244</definedName>
    <definedName name="A2303379V_Latest">[1]AustralianNA!$AS$244</definedName>
    <definedName name="A2303381F">[1]AustralianNA!$AT$1:$AT$10,[1]AustralianNA!$AT$11:$AT$244</definedName>
    <definedName name="A2303381F_Data">[1]AustralianNA!$AT$11:$AT$244</definedName>
    <definedName name="A2303381F_Latest">[1]AustralianNA!$AT$244</definedName>
    <definedName name="A2303383K">[1]AustralianNA!$AU$1:$AU$10,[1]AustralianNA!$AU$11:$AU$244</definedName>
    <definedName name="A2303383K_Data">[1]AustralianNA!$AU$11:$AU$244</definedName>
    <definedName name="A2303383K_Latest">[1]AustralianNA!$AU$244</definedName>
    <definedName name="A2303385R">[1]AustralianNA!$AW$1:$AW$10,[1]AustralianNA!$AW$108:$AW$244</definedName>
    <definedName name="A2303385R_Data">[1]AustralianNA!$AW$108:$AW$244</definedName>
    <definedName name="A2303385R_Latest">[1]AustralianNA!$AW$244</definedName>
    <definedName name="A2303387V">[1]AustralianNA!$AX$1:$AX$10,[1]AustralianNA!$AX$108:$AX$244</definedName>
    <definedName name="A2303387V_Data">[1]AustralianNA!$AX$108:$AX$244</definedName>
    <definedName name="A2303387V_Latest">[1]AustralianNA!$AX$244</definedName>
    <definedName name="A2303389X">[1]AustralianNA!$AY$1:$AY$10,[1]AustralianNA!$AY$12:$AY$244</definedName>
    <definedName name="A2303389X_Data">[1]AustralianNA!$AY$12:$AY$244</definedName>
    <definedName name="A2303389X_Latest">[1]AustralianNA!$AY$244</definedName>
    <definedName name="A2303393R">[1]AustralianNA!$BA$1:$BA$10,[1]AustralianNA!$BA$12:$BA$244</definedName>
    <definedName name="A2303393R_Data">[1]AustralianNA!$BA$12:$BA$244</definedName>
    <definedName name="A2303393R_Latest">[1]AustralianNA!$BA$244</definedName>
    <definedName name="A2303395V">[1]AustralianNA!$BB$1:$BB$10,[1]AustralianNA!$BB$12:$BB$244</definedName>
    <definedName name="A2303395V_Data">[1]AustralianNA!$BB$12:$BB$244</definedName>
    <definedName name="A2303395V_Latest">[1]AustralianNA!$BB$244</definedName>
    <definedName name="A2303397X">[1]AustralianNA!$BC$1:$BC$10,[1]AustralianNA!$BC$12:$BC$244</definedName>
    <definedName name="A2303397X_Data">[1]AustralianNA!$BC$12:$BC$244</definedName>
    <definedName name="A2303397X_Latest">[1]AustralianNA!$BC$244</definedName>
    <definedName name="A2303399C">[1]AustralianNA!$BD$1:$BD$10,[1]AustralianNA!$BD$12:$BD$244</definedName>
    <definedName name="A2303399C_Data">[1]AustralianNA!$BD$12:$BD$244</definedName>
    <definedName name="A2303399C_Latest">[1]AustralianNA!$BD$244</definedName>
    <definedName name="A2303403J">[1]AustralianNA!$BF$1:$BF$10,[1]AustralianNA!$BF$12:$BF$244</definedName>
    <definedName name="A2303403J_Data">[1]AustralianNA!$BF$12:$BF$244</definedName>
    <definedName name="A2303403J_Latest">[1]AustralianNA!$BF$244</definedName>
    <definedName name="A2303405L">[1]AustralianNA!$BG$1:$BG$10,[1]AustralianNA!$BG$12:$BG$244</definedName>
    <definedName name="A2303405L_Data">[1]AustralianNA!$BG$12:$BG$244</definedName>
    <definedName name="A2303405L_Latest">[1]AustralianNA!$BG$244</definedName>
    <definedName name="A2303407T">[1]AustralianNA!$BH$1:$BH$10,[1]AustralianNA!$BH$12:$BH$244</definedName>
    <definedName name="A2303407T_Data">[1]AustralianNA!$BH$12:$BH$244</definedName>
    <definedName name="A2303407T_Latest">[1]AustralianNA!$BH$244</definedName>
    <definedName name="A2303409W">[1]AustralianNA!$BI$1:$BI$10,[1]AustralianNA!$BI$12:$BI$244</definedName>
    <definedName name="A2303409W_Data">[1]AustralianNA!$BI$12:$BI$244</definedName>
    <definedName name="A2303409W_Latest">[1]AustralianNA!$BI$244</definedName>
    <definedName name="A2303411J">[1]AustralianNA!$BJ$1:$BJ$10,[1]AustralianNA!$BJ$12:$BJ$244</definedName>
    <definedName name="A2303411J_Data">[1]AustralianNA!$BJ$12:$BJ$244</definedName>
    <definedName name="A2303411J_Latest">[1]AustralianNA!$BJ$244</definedName>
    <definedName name="A2303469X">[1]AustralianNA2!$FF$1:$FF$10,[1]AustralianNA2!$FF$71:$FF$244</definedName>
    <definedName name="A2303469X_Data">[1]AustralianNA2!$FF$71:$FF$244</definedName>
    <definedName name="A2303469X_Latest">[1]AustralianNA2!$FF$244</definedName>
    <definedName name="A2303471K">[1]AustralianNA2!$FH$1:$FH$10,[1]AustralianNA2!$FH$11:$FH$244</definedName>
    <definedName name="A2303471K_Data">[1]AustralianNA2!$FH$11:$FH$244</definedName>
    <definedName name="A2303471K_Latest">[1]AustralianNA2!$FH$244</definedName>
    <definedName name="A2303548W">[1]AustralianNA2!$HI$1:$HI$10,[1]AustralianNA2!$HI$72:$HI$244</definedName>
    <definedName name="A2303548W_Data">[1]AustralianNA2!$HI$72:$HI$244</definedName>
    <definedName name="A2303548W_Latest">[1]AustralianNA2!$HI$244</definedName>
    <definedName name="A2303552L">[1]AustralianNA!$B$1:$B$10,[1]AustralianNA!$B$107:$B$244</definedName>
    <definedName name="A2303552L_Data">[1]AustralianNA!$B$107:$B$244</definedName>
    <definedName name="A2303552L_Latest">[1]AustralianNA!$B$244</definedName>
    <definedName name="A2303554T">[1]AustralianNA!$C$1:$C$10,[1]AustralianNA!$C$107:$C$244</definedName>
    <definedName name="A2303554T_Data">[1]AustralianNA!$C$107:$C$244</definedName>
    <definedName name="A2303554T_Latest">[1]AustralianNA!$C$244</definedName>
    <definedName name="A2303556W">[1]AustralianNA!$D$1:$D$10,[1]AustralianNA!$D$11:$D$244</definedName>
    <definedName name="A2303556W_Data">[1]AustralianNA!$D$11:$D$244</definedName>
    <definedName name="A2303556W_Latest">[1]AustralianNA!$D$244</definedName>
    <definedName name="A2303560L">[1]AustralianNA!$F$1:$F$10,[1]AustralianNA!$F$11:$F$244</definedName>
    <definedName name="A2303560L_Data">[1]AustralianNA!$F$11:$F$244</definedName>
    <definedName name="A2303560L_Latest">[1]AustralianNA!$F$244</definedName>
    <definedName name="A2303562T">[1]AustralianNA!$G$1:$G$10,[1]AustralianNA!$G$11:$G$244</definedName>
    <definedName name="A2303562T_Data">[1]AustralianNA!$G$11:$G$244</definedName>
    <definedName name="A2303562T_Latest">[1]AustralianNA!$G$244</definedName>
    <definedName name="A2303564W">[1]AustralianNA!$H$1:$H$10,[1]AustralianNA!$H$11:$H$244</definedName>
    <definedName name="A2303564W_Data">[1]AustralianNA!$H$11:$H$244</definedName>
    <definedName name="A2303564W_Latest">[1]AustralianNA!$H$244</definedName>
    <definedName name="A2303566A">[1]AustralianNA!$I$1:$I$10,[1]AustralianNA!$I$11:$I$244</definedName>
    <definedName name="A2303566A_Data">[1]AustralianNA!$I$11:$I$244</definedName>
    <definedName name="A2303566A_Latest">[1]AustralianNA!$I$244</definedName>
    <definedName name="A2303570T">[1]AustralianNA!$K$1:$K$10,[1]AustralianNA!$K$11:$K$244</definedName>
    <definedName name="A2303570T_Data">[1]AustralianNA!$K$11:$K$244</definedName>
    <definedName name="A2303570T_Latest">[1]AustralianNA!$K$244</definedName>
    <definedName name="A2303572W">[1]AustralianNA!$L$1:$L$10,[1]AustralianNA!$L$11:$L$244</definedName>
    <definedName name="A2303572W_Data">[1]AustralianNA!$L$11:$L$244</definedName>
    <definedName name="A2303572W_Latest">[1]AustralianNA!$L$244</definedName>
    <definedName name="A2303574A">[1]AustralianNA!$M$1:$M$10,[1]AustralianNA!$M$11:$M$244</definedName>
    <definedName name="A2303574A_Data">[1]AustralianNA!$M$11:$M$244</definedName>
    <definedName name="A2303574A_Latest">[1]AustralianNA!$M$244</definedName>
    <definedName name="A2303576F">[1]AustralianNA!$N$1:$N$10,[1]AustralianNA!$N$11:$N$244</definedName>
    <definedName name="A2303576F_Data">[1]AustralianNA!$N$11:$N$244</definedName>
    <definedName name="A2303576F_Latest">[1]AustralianNA!$N$244</definedName>
    <definedName name="A2303578K">[1]AustralianNA!$O$1:$O$10,[1]AustralianNA!$O$11:$O$244</definedName>
    <definedName name="A2303578K_Data">[1]AustralianNA!$O$11:$O$244</definedName>
    <definedName name="A2303578K_Latest">[1]AustralianNA!$O$244</definedName>
    <definedName name="A2303599W">[1]AustralianNA2!$BA$1:$BA$10,[1]AustralianNA2!$BA$71:$BA$244</definedName>
    <definedName name="A2303599W_Data">[1]AustralianNA2!$BA$71:$BA$244</definedName>
    <definedName name="A2303599W_Latest">[1]AustralianNA2!$BA$244</definedName>
    <definedName name="A2303601W">[1]AustralianNA2!$BC$1:$BC$10,[1]AustralianNA2!$BC$11:$BC$244</definedName>
    <definedName name="A2303601W_Data">[1]AustralianNA2!$BC$11:$BC$244</definedName>
    <definedName name="A2303601W_Latest">[1]AustralianNA2!$BC$244</definedName>
    <definedName name="A2303678V">[1]AustralianNA2!$DD$1:$DD$10,[1]AustralianNA2!$DD$72:$DD$244</definedName>
    <definedName name="A2303678V_Data">[1]AustralianNA2!$DD$72:$DD$244</definedName>
    <definedName name="A2303678V_Latest">[1]AustralianNA2!$DD$244</definedName>
    <definedName name="A2304030W">[1]AustralianNA3!$BZ$1:$BZ$10,[1]AustralianNA3!$BZ$15:$BZ$244</definedName>
    <definedName name="A2304030W_Data">[1]AustralianNA3!$BZ$15:$BZ$244</definedName>
    <definedName name="A2304030W_Latest">[1]AustralianNA3!$BZ$244</definedName>
    <definedName name="A2304322X">[1]AustralianNA!$AF$1:$AF$10,[1]AustralianNA!$AF$12:$AF$244</definedName>
    <definedName name="A2304322X_Data">[1]AustralianNA!$AF$12:$AF$244</definedName>
    <definedName name="A2304322X_Latest">[1]AustralianNA!$AF$244</definedName>
    <definedName name="A2304334J">[1]AustralianNA2!$BD$1:$BD$10,[1]AustralianNA2!$BD$11:$BD$244</definedName>
    <definedName name="A2304334J_Data">[1]AustralianNA2!$BD$11:$BD$244</definedName>
    <definedName name="A2304334J_Latest">[1]AustralianNA2!$BD$244</definedName>
    <definedName name="A2304350J">[1]AustralianNA!$Q$1:$Q$10,[1]AustralianNA!$Q$11:$Q$244</definedName>
    <definedName name="A2304350J_Data">[1]AustralianNA!$Q$11:$Q$244</definedName>
    <definedName name="A2304350J_Latest">[1]AustralianNA!$Q$244</definedName>
    <definedName name="A2304370T">[1]AustralianNA2!$HK$1:$HK$10,[1]AustralianNA2!$HK$12:$HK$244</definedName>
    <definedName name="A2304370T_Data">[1]AustralianNA2!$HK$12:$HK$244</definedName>
    <definedName name="A2304370T_Latest">[1]AustralianNA2!$HK$244</definedName>
    <definedName name="A2304386K">[1]AustralianNA!$BK$1:$BK$10,[1]AustralianNA!$BK$12:$BK$244</definedName>
    <definedName name="A2304386K_Data">[1]AustralianNA!$BK$12:$BK$244</definedName>
    <definedName name="A2304386K_Latest">[1]AustralianNA!$BK$244</definedName>
    <definedName name="A2304402X">[1]AustralianNA2!$FI$1:$FI$10,[1]AustralianNA2!$FI$11:$FI$244</definedName>
    <definedName name="A2304402X_Data">[1]AustralianNA2!$FI$11:$FI$244</definedName>
    <definedName name="A2304402X_Latest">[1]AustralianNA2!$FI$244</definedName>
    <definedName name="A2304418T">[1]AustralianNA!$AV$1:$AV$10,[1]AustralianNA!$AV$11:$AV$244</definedName>
    <definedName name="A2304418T_Data">[1]AustralianNA!$AV$11:$AV$244</definedName>
    <definedName name="A2304418T_Latest">[1]AustralianNA!$AV$244</definedName>
    <definedName name="A2323348A">[1]AustralianNA3!$V$1:$V$10,[1]AustralianNA3!$V$71:$V$244</definedName>
    <definedName name="A2323348A_Data">[1]AustralianNA3!$V$71:$V$244</definedName>
    <definedName name="A2323348A_Latest">[1]AustralianNA3!$V$244</definedName>
    <definedName name="A2323349C">[1]AustralianNA3!$CV$1:$CV$10,[1]AustralianNA3!$CV$72:$CV$243</definedName>
    <definedName name="A2323349C_Data">[1]AustralianNA3!$CV$72:$CV$243</definedName>
    <definedName name="A2323349C_Latest">[1]AustralianNA3!$CV$243</definedName>
    <definedName name="A2323350L">[1]AustralianNA2!$HJ$1:$HJ$10,[1]AustralianNA2!$HJ$72:$HJ$244</definedName>
    <definedName name="A2323350L_Data">[1]AustralianNA2!$HJ$72:$HJ$244</definedName>
    <definedName name="A2323350L_Latest">[1]AustralianNA2!$HJ$244</definedName>
    <definedName name="A2323352T">[1]AustralianNA3!$BY$1:$BY$10,[1]AustralianNA3!$BY$72:$BY$244</definedName>
    <definedName name="A2323352T_Data">[1]AustralianNA3!$BY$72:$BY$244</definedName>
    <definedName name="A2323352T_Latest">[1]AustralianNA3!$BY$244</definedName>
    <definedName name="A2323353V">[1]AustralianNA2!$FG$1:$FG$10,[1]AustralianNA2!$FG$71:$FG$244</definedName>
    <definedName name="A2323353V_Data">[1]AustralianNA2!$FG$71:$FG$244</definedName>
    <definedName name="A2323353V_Latest">[1]AustralianNA2!$FG$244</definedName>
    <definedName name="A2323355X">[1]AustralianNA2!$DE$1:$DE$10,[1]AustralianNA2!$DE$72:$DE$244</definedName>
    <definedName name="A2323355X_Data">[1]AustralianNA2!$DE$72:$DE$244</definedName>
    <definedName name="A2323355X_Latest">[1]AustralianNA2!$DE$244</definedName>
    <definedName name="A2323358F">[1]AustralianNA2!$BB$1:$BB$10,[1]AustralianNA2!$BB$71:$BB$244</definedName>
    <definedName name="A2323358F_Data">[1]AustralianNA2!$BB$71:$BB$244</definedName>
    <definedName name="A2323358F_Latest">[1]AustralianNA2!$BB$244</definedName>
    <definedName name="A2323369L">[1]AustralianNA!$BO$1:$BO$10,[1]AustralianNA!$BO$11:$BO$244</definedName>
    <definedName name="A2323369L_Data">[1]AustralianNA!$BO$11:$BO$244</definedName>
    <definedName name="A2323369L_Latest">[1]AustralianNA!$BO$244</definedName>
    <definedName name="A2323370W">[1]AustralianNA!$AZ$1:$AZ$10,[1]AustralianNA!$AZ$12:$AZ$244</definedName>
    <definedName name="A2323370W_Data">[1]AustralianNA!$AZ$12:$AZ$244</definedName>
    <definedName name="A2323370W_Latest">[1]AustralianNA!$AZ$244</definedName>
    <definedName name="A2323372A">[1]AustralianNA!$AJ$1:$AJ$10,[1]AustralianNA!$AJ$11:$AJ$244</definedName>
    <definedName name="A2323372A_Data">[1]AustralianNA!$AJ$11:$AJ$244</definedName>
    <definedName name="A2323372A_Latest">[1]AustralianNA!$AJ$244</definedName>
    <definedName name="A2323374F">[1]AustralianNA!$CC$1:$CC$10,[1]AustralianNA!$CC$11:$CC$243</definedName>
    <definedName name="A2323374F_Data">[1]AustralianNA!$CC$11:$CC$243</definedName>
    <definedName name="A2323374F_Latest">[1]AustralianNA!$CC$243</definedName>
    <definedName name="A2323376K">[1]AustralianNA!$U$1:$U$10,[1]AustralianNA!$U$12:$U$244</definedName>
    <definedName name="A2323376K_Data">[1]AustralianNA!$U$12:$U$244</definedName>
    <definedName name="A2323376K_Latest">[1]AustralianNA!$U$244</definedName>
    <definedName name="A2323378R">[1]AustralianNA!$E$1:$E$10,[1]AustralianNA!$E$11:$E$244</definedName>
    <definedName name="A2323378R_Data">[1]AustralianNA!$E$11:$E$244</definedName>
    <definedName name="A2323378R_Latest">[1]AustralianNA!$E$244</definedName>
    <definedName name="A2529206X">[1]AustralianNA2!$AZ$1:$AZ$10,[1]AustralianNA2!$AZ$71:$AZ$244</definedName>
    <definedName name="A2529206X_Data">[1]AustralianNA2!$AZ$71:$AZ$244</definedName>
    <definedName name="A2529206X_Latest">[1]AustralianNA2!$AZ$244</definedName>
    <definedName name="A2529207A">[1]AustralianNA2!$DC$1:$DC$10,[1]AustralianNA2!$DC$72:$DC$244</definedName>
    <definedName name="A2529207A_Data">[1]AustralianNA2!$DC$72:$DC$244</definedName>
    <definedName name="A2529207A_Latest">[1]AustralianNA2!$DC$244</definedName>
    <definedName name="A2529209F">[1]AustralianNA2!$FE$1:$FE$10,[1]AustralianNA2!$FE$71:$FE$244</definedName>
    <definedName name="A2529209F_Data">[1]AustralianNA2!$FE$71:$FE$244</definedName>
    <definedName name="A2529209F_Latest">[1]AustralianNA2!$FE$244</definedName>
    <definedName name="A2529210R">[1]AustralianNA2!$HH$1:$HH$10,[1]AustralianNA2!$HH$72:$HH$244</definedName>
    <definedName name="A2529210R_Data">[1]AustralianNA2!$HH$72:$HH$244</definedName>
    <definedName name="A2529210R_Latest">[1]AustralianNA2!$HH$244</definedName>
    <definedName name="A2529212V">[1]AustralianNA3!$CT$1:$CT$10,[1]AustralianNA3!$CT$72:$CT$243</definedName>
    <definedName name="A2529212V_Data">[1]AustralianNA3!$CT$72:$CT$243</definedName>
    <definedName name="A2529212V_Latest">[1]AustralianNA3!$CT$243</definedName>
    <definedName name="A2529213W">[1]AustralianNA3!$T$1:$T$10,[1]AustralianNA3!$T$71:$T$244</definedName>
    <definedName name="A2529213W_Data">[1]AustralianNA3!$T$71:$T$244</definedName>
    <definedName name="A2529213W_Latest">[1]AustralianNA3!$T$244</definedName>
    <definedName name="A2529214X">[1]AustralianNA3!$BW$1:$BW$10,[1]AustralianNA3!$BW$72:$BW$244</definedName>
    <definedName name="A2529214X_Data">[1]AustralianNA3!$BW$72:$BW$244</definedName>
    <definedName name="A2529214X_Latest">[1]AustralianNA3!$BW$244</definedName>
    <definedName name="A2716003C">[1]AustralianNA3!$CA$1:$CA$10,[1]AustralianNA3!$CA$72:$CA$243</definedName>
    <definedName name="A2716003C_Data">[1]AustralianNA3!$CA$72:$CA$243</definedName>
    <definedName name="A2716003C_Latest">[1]AustralianNA3!$CA$243</definedName>
    <definedName name="A2716004F">[1]AustralianNA3!$CB$1:$CB$10,[1]AustralianNA3!$CB$72:$CB$243</definedName>
    <definedName name="A2716004F_Data">[1]AustralianNA3!$CB$72:$CB$243</definedName>
    <definedName name="A2716004F_Latest">[1]AustralianNA3!$CB$243</definedName>
    <definedName name="A2716005J">[1]AustralianNA3!$CC$1:$CC$10,[1]AustralianNA3!$CC$72:$CC$243</definedName>
    <definedName name="A2716005J_Data">[1]AustralianNA3!$CC$72:$CC$243</definedName>
    <definedName name="A2716005J_Latest">[1]AustralianNA3!$CC$243</definedName>
    <definedName name="A2716006K">[1]AustralianNA3!$CD$1:$CD$10,[1]AustralianNA3!$CD$72:$CD$243</definedName>
    <definedName name="A2716006K_Data">[1]AustralianNA3!$CD$72:$CD$243</definedName>
    <definedName name="A2716006K_Latest">[1]AustralianNA3!$CD$243</definedName>
    <definedName name="A2716007L">[1]AustralianNA3!$CE$1:$CE$10,[1]AustralianNA3!$CE$72:$CE$243</definedName>
    <definedName name="A2716007L_Data">[1]AustralianNA3!$CE$72:$CE$243</definedName>
    <definedName name="A2716007L_Latest">[1]AustralianNA3!$CE$243</definedName>
    <definedName name="A2716008R">[1]AustralianNA3!$CF$1:$CF$10,[1]AustralianNA3!$CF$72:$CF$243</definedName>
    <definedName name="A2716008R_Data">[1]AustralianNA3!$CF$72:$CF$243</definedName>
    <definedName name="A2716008R_Latest">[1]AustralianNA3!$CF$243</definedName>
    <definedName name="A2716009T">[1]AustralianNA3!$CG$1:$CG$10,[1]AustralianNA3!$CG$72:$CG$243</definedName>
    <definedName name="A2716009T_Data">[1]AustralianNA3!$CG$72:$CG$243</definedName>
    <definedName name="A2716009T_Latest">[1]AustralianNA3!$CG$243</definedName>
    <definedName name="A2716010A">[1]AustralianNA3!$CH$1:$CH$10,[1]AustralianNA3!$CH$72:$CH$243</definedName>
    <definedName name="A2716010A_Data">[1]AustralianNA3!$CH$72:$CH$243</definedName>
    <definedName name="A2716010A_Latest">[1]AustralianNA3!$CH$243</definedName>
    <definedName name="A2716011C">[1]AustralianNA3!$CI$1:$CI$10,[1]AustralianNA3!$CI$72:$CI$243</definedName>
    <definedName name="A2716011C_Data">[1]AustralianNA3!$CI$72:$CI$243</definedName>
    <definedName name="A2716011C_Latest">[1]AustralianNA3!$CI$243</definedName>
    <definedName name="A2716012F">[1]AustralianNA3!$CJ$1:$CJ$10,[1]AustralianNA3!$CJ$72:$CJ$243</definedName>
    <definedName name="A2716012F_Data">[1]AustralianNA3!$CJ$72:$CJ$243</definedName>
    <definedName name="A2716012F_Latest">[1]AustralianNA3!$CJ$243</definedName>
    <definedName name="A2716013J">[1]AustralianNA3!$CK$1:$CK$10,[1]AustralianNA3!$CK$72:$CK$243</definedName>
    <definedName name="A2716013J_Data">[1]AustralianNA3!$CK$72:$CK$243</definedName>
    <definedName name="A2716013J_Latest">[1]AustralianNA3!$CK$243</definedName>
    <definedName name="A2716014K">[1]AustralianNA3!$CL$1:$CL$10,[1]AustralianNA3!$CL$72:$CL$243</definedName>
    <definedName name="A2716014K_Data">[1]AustralianNA3!$CL$72:$CL$243</definedName>
    <definedName name="A2716014K_Latest">[1]AustralianNA3!$CL$243</definedName>
    <definedName name="A2716015L">[1]AustralianNA3!$CM$1:$CM$10,[1]AustralianNA3!$CM$72:$CM$243</definedName>
    <definedName name="A2716015L_Data">[1]AustralianNA3!$CM$72:$CM$243</definedName>
    <definedName name="A2716015L_Latest">[1]AustralianNA3!$CM$243</definedName>
    <definedName name="A2716016R">[1]AustralianNA3!$CN$1:$CN$10,[1]AustralianNA3!$CN$72:$CN$243</definedName>
    <definedName name="A2716016R_Data">[1]AustralianNA3!$CN$72:$CN$243</definedName>
    <definedName name="A2716016R_Latest">[1]AustralianNA3!$CN$243</definedName>
    <definedName name="A2716017T">[1]AustralianNA3!$CO$1:$CO$10,[1]AustralianNA3!$CO$72:$CO$243</definedName>
    <definedName name="A2716017T_Data">[1]AustralianNA3!$CO$72:$CO$243</definedName>
    <definedName name="A2716017T_Latest">[1]AustralianNA3!$CO$243</definedName>
    <definedName name="A2716018V">[1]AustralianNA3!$CP$1:$CP$10,[1]AustralianNA3!$CP$72:$CP$243</definedName>
    <definedName name="A2716018V_Data">[1]AustralianNA3!$CP$72:$CP$243</definedName>
    <definedName name="A2716018V_Latest">[1]AustralianNA3!$CP$243</definedName>
    <definedName name="A2716019W">[1]AustralianNA3!$CQ$1:$CQ$10,[1]AustralianNA3!$CQ$72:$CQ$243</definedName>
    <definedName name="A2716019W_Data">[1]AustralianNA3!$CQ$72:$CQ$243</definedName>
    <definedName name="A2716019W_Latest">[1]AustralianNA3!$CQ$243</definedName>
    <definedName name="A2716020F">[1]AustralianNA3!$CR$1:$CR$10,[1]AustralianNA3!$CR$72:$CR$243</definedName>
    <definedName name="A2716020F_Data">[1]AustralianNA3!$CR$72:$CR$243</definedName>
    <definedName name="A2716020F_Latest">[1]AustralianNA3!$CR$243</definedName>
    <definedName name="A2716021J">[1]AustralianNA3!$CS$1:$CS$10,[1]AustralianNA3!$CS$72:$CS$243</definedName>
    <definedName name="A2716021J_Data">[1]AustralianNA3!$CS$72:$CS$243</definedName>
    <definedName name="A2716021J_Latest">[1]AustralianNA3!$CS$243</definedName>
    <definedName name="A2716040R">[1]AustralianNA2!$FL$1:$FL$10,[1]AustralianNA2!$FL$72:$FL$244</definedName>
    <definedName name="A2716040R_Data">[1]AustralianNA2!$FL$72:$FL$244</definedName>
    <definedName name="A2716040R_Latest">[1]AustralianNA2!$FL$244</definedName>
    <definedName name="A2716041T">[1]AustralianNA2!$FJ$1:$FJ$10,[1]AustralianNA2!$FJ$72:$FJ$244</definedName>
    <definedName name="A2716041T_Data">[1]AustralianNA2!$FJ$72:$FJ$244</definedName>
    <definedName name="A2716041T_Latest">[1]AustralianNA2!$FJ$244</definedName>
    <definedName name="A2716042V">[1]AustralianNA2!$FK$1:$FK$10,[1]AustralianNA2!$FK$72:$FK$244</definedName>
    <definedName name="A2716042V_Data">[1]AustralianNA2!$FK$72:$FK$244</definedName>
    <definedName name="A2716042V_Latest">[1]AustralianNA2!$FK$244</definedName>
    <definedName name="A2716043W">[1]AustralianNA2!$FS$1:$FS$10,[1]AustralianNA2!$FS$72:$FS$244</definedName>
    <definedName name="A2716043W_Data">[1]AustralianNA2!$FS$72:$FS$244</definedName>
    <definedName name="A2716043W_Latest">[1]AustralianNA2!$FS$244</definedName>
    <definedName name="A2716044X">[1]AustralianNA2!$FR$1:$FR$10,[1]AustralianNA2!$FR$116:$FR$244</definedName>
    <definedName name="A2716044X_Data">[1]AustralianNA2!$FR$116:$FR$244</definedName>
    <definedName name="A2716044X_Latest">[1]AustralianNA2!$FR$244</definedName>
    <definedName name="A2716045A">[1]AustralianNA2!$FQ$1:$FQ$10,[1]AustralianNA2!$FQ$72:$FQ$244</definedName>
    <definedName name="A2716045A_Data">[1]AustralianNA2!$FQ$72:$FQ$244</definedName>
    <definedName name="A2716045A_Latest">[1]AustralianNA2!$FQ$244</definedName>
    <definedName name="A2716046C">[1]AustralianNA2!$FY$1:$FY$10,[1]AustralianNA2!$FY$72:$FY$244</definedName>
    <definedName name="A2716046C_Data">[1]AustralianNA2!$FY$72:$FY$244</definedName>
    <definedName name="A2716046C_Latest">[1]AustralianNA2!$FY$244</definedName>
    <definedName name="A2716047F">[1]AustralianNA2!$FT$1:$FT$10,[1]AustralianNA2!$FT$84:$FT$244</definedName>
    <definedName name="A2716047F_Data">[1]AustralianNA2!$FT$84:$FT$244</definedName>
    <definedName name="A2716047F_Latest">[1]AustralianNA2!$FT$244</definedName>
    <definedName name="A2716048J">[1]AustralianNA2!$FV$1:$FV$10,[1]AustralianNA2!$FV$84:$FV$244</definedName>
    <definedName name="A2716048J_Data">[1]AustralianNA2!$FV$84:$FV$244</definedName>
    <definedName name="A2716048J_Latest">[1]AustralianNA2!$FV$244</definedName>
    <definedName name="A2716049K">[1]AustralianNA2!$FW$1:$FW$10,[1]AustralianNA2!$FW$84:$FW$244</definedName>
    <definedName name="A2716049K_Data">[1]AustralianNA2!$FW$84:$FW$244</definedName>
    <definedName name="A2716049K_Latest">[1]AustralianNA2!$FW$244</definedName>
    <definedName name="A2716051W">[1]AustralianNA2!$FU$1:$FU$10,[1]AustralianNA2!$FU$84:$FU$244</definedName>
    <definedName name="A2716051W_Data">[1]AustralianNA2!$FU$84:$FU$244</definedName>
    <definedName name="A2716051W_Latest">[1]AustralianNA2!$FU$244</definedName>
    <definedName name="A2716055F">[1]AustralianNA2!$GC$1:$GC$10,[1]AustralianNA2!$GC$72:$GC$244</definedName>
    <definedName name="A2716055F_Data">[1]AustralianNA2!$GC$72:$GC$244</definedName>
    <definedName name="A2716055F_Latest">[1]AustralianNA2!$GC$244</definedName>
    <definedName name="A2716056J">[1]AustralianNA2!$FZ$1:$FZ$10,[1]AustralianNA2!$FZ$72:$FZ$244</definedName>
    <definedName name="A2716056J_Data">[1]AustralianNA2!$FZ$72:$FZ$244</definedName>
    <definedName name="A2716056J_Latest">[1]AustralianNA2!$FZ$244</definedName>
    <definedName name="A2716057K">[1]AustralianNA2!$GA$1:$GA$10,[1]AustralianNA2!$GA$72:$GA$244</definedName>
    <definedName name="A2716057K_Data">[1]AustralianNA2!$GA$72:$GA$244</definedName>
    <definedName name="A2716057K_Latest">[1]AustralianNA2!$GA$244</definedName>
    <definedName name="A2716058L">[1]AustralianNA2!$GB$1:$GB$10,[1]AustralianNA2!$GB$72:$GB$244</definedName>
    <definedName name="A2716058L_Data">[1]AustralianNA2!$GB$72:$GB$244</definedName>
    <definedName name="A2716058L_Latest">[1]AustralianNA2!$GB$244</definedName>
    <definedName name="A2716059R">[1]AustralianNA2!$GG$1:$GG$10,[1]AustralianNA2!$GG$72:$GG$244</definedName>
    <definedName name="A2716059R_Data">[1]AustralianNA2!$GG$72:$GG$244</definedName>
    <definedName name="A2716059R_Latest">[1]AustralianNA2!$GG$244</definedName>
    <definedName name="A2716060X">[1]AustralianNA2!$GH$1:$GH$10,[1]AustralianNA2!$GH$72:$GH$244</definedName>
    <definedName name="A2716060X_Data">[1]AustralianNA2!$GH$72:$GH$244</definedName>
    <definedName name="A2716060X_Latest">[1]AustralianNA2!$GH$244</definedName>
    <definedName name="A2716061A">[1]AustralianNA2!$GI$1:$GI$10,[1]AustralianNA2!$GI$72:$GI$244</definedName>
    <definedName name="A2716061A_Data">[1]AustralianNA2!$GI$72:$GI$244</definedName>
    <definedName name="A2716061A_Latest">[1]AustralianNA2!$GI$244</definedName>
    <definedName name="A2716062C">[1]AustralianNA2!$GJ$1:$GJ$10,[1]AustralianNA2!$GJ$72:$GJ$244</definedName>
    <definedName name="A2716062C_Data">[1]AustralianNA2!$GJ$72:$GJ$244</definedName>
    <definedName name="A2716062C_Latest">[1]AustralianNA2!$GJ$244</definedName>
    <definedName name="A2716063F">[1]AustralianNA2!$GO$1:$GO$10,[1]AustralianNA2!$GO$72:$GO$244</definedName>
    <definedName name="A2716063F_Data">[1]AustralianNA2!$GO$72:$GO$244</definedName>
    <definedName name="A2716063F_Latest">[1]AustralianNA2!$GO$244</definedName>
    <definedName name="A2716064J">[1]AustralianNA2!$GL$1:$GL$10,[1]AustralianNA2!$GL$72:$GL$244</definedName>
    <definedName name="A2716064J_Data">[1]AustralianNA2!$GL$72:$GL$244</definedName>
    <definedName name="A2716064J_Latest">[1]AustralianNA2!$GL$244</definedName>
    <definedName name="A2716067R">[1]AustralianNA2!$GN$1:$GN$10,[1]AustralianNA2!$GN$72:$GN$244</definedName>
    <definedName name="A2716067R_Data">[1]AustralianNA2!$GN$72:$GN$244</definedName>
    <definedName name="A2716067R_Latest">[1]AustralianNA2!$GN$244</definedName>
    <definedName name="A2716068T">[1]AustralianNA2!$GR$1:$GR$10,[1]AustralianNA2!$GR$72:$GR$244</definedName>
    <definedName name="A2716068T_Data">[1]AustralianNA2!$GR$72:$GR$244</definedName>
    <definedName name="A2716068T_Latest">[1]AustralianNA2!$GR$244</definedName>
    <definedName name="A2716069V">[1]AustralianNA2!$GU$1:$GU$10,[1]AustralianNA2!$GU$72:$GU$244</definedName>
    <definedName name="A2716069V_Data">[1]AustralianNA2!$GU$72:$GU$244</definedName>
    <definedName name="A2716069V_Latest">[1]AustralianNA2!$GU$244</definedName>
    <definedName name="A2716070C">[1]AustralianNA2!$GX$1:$GX$10,[1]AustralianNA2!$GX$72:$GX$244</definedName>
    <definedName name="A2716070C_Data">[1]AustralianNA2!$GX$72:$GX$244</definedName>
    <definedName name="A2716070C_Latest">[1]AustralianNA2!$GX$244</definedName>
    <definedName name="A2716071F">[1]AustralianNA2!$HA$1:$HA$10,[1]AustralianNA2!$HA$72:$HA$244</definedName>
    <definedName name="A2716071F_Data">[1]AustralianNA2!$HA$72:$HA$244</definedName>
    <definedName name="A2716071F_Latest">[1]AustralianNA2!$HA$244</definedName>
    <definedName name="A2716072J">[1]AustralianNA2!$HB$1:$HB$10,[1]AustralianNA2!$HB$72:$HB$244</definedName>
    <definedName name="A2716072J_Data">[1]AustralianNA2!$HB$72:$HB$244</definedName>
    <definedName name="A2716072J_Latest">[1]AustralianNA2!$HB$244</definedName>
    <definedName name="A2716073K">[1]AustralianNA2!$HC$1:$HC$10,[1]AustralianNA2!$HC$72:$HC$244</definedName>
    <definedName name="A2716073K_Data">[1]AustralianNA2!$HC$72:$HC$244</definedName>
    <definedName name="A2716073K_Latest">[1]AustralianNA2!$HC$244</definedName>
    <definedName name="A2716074L">[1]AustralianNA2!$HD$1:$HD$10,[1]AustralianNA2!$HD$72:$HD$244</definedName>
    <definedName name="A2716074L_Data">[1]AustralianNA2!$HD$72:$HD$244</definedName>
    <definedName name="A2716074L_Latest">[1]AustralianNA2!$HD$244</definedName>
    <definedName name="A2716075R">[1]AustralianNA2!$HE$1:$HE$10,[1]AustralianNA2!$HE$72:$HE$244</definedName>
    <definedName name="A2716075R_Data">[1]AustralianNA2!$HE$72:$HE$244</definedName>
    <definedName name="A2716075R_Latest">[1]AustralianNA2!$HE$244</definedName>
    <definedName name="A2716076T">[1]AustralianNA2!$HF$1:$HF$10,[1]AustralianNA2!$HF$72:$HF$244</definedName>
    <definedName name="A2716076T_Data">[1]AustralianNA2!$HF$72:$HF$244</definedName>
    <definedName name="A2716076T_Latest">[1]AustralianNA2!$HF$244</definedName>
    <definedName name="A2716077V">[1]AustralianNA2!$HG$1:$HG$10,[1]AustralianNA2!$HG$72:$HG$244</definedName>
    <definedName name="A2716077V_Data">[1]AustralianNA2!$HG$72:$HG$244</definedName>
    <definedName name="A2716077V_Latest">[1]AustralianNA2!$HG$244</definedName>
    <definedName name="A2716120R">[1]AustralianNA3!$AA$1:$AA$10,[1]AustralianNA3!$AA$72:$AA$244</definedName>
    <definedName name="A2716120R_Data">[1]AustralianNA3!$AA$72:$AA$244</definedName>
    <definedName name="A2716120R_Latest">[1]AustralianNA3!$AA$244</definedName>
    <definedName name="A2716121T">[1]AustralianNA3!$Y$1:$Y$10,[1]AustralianNA3!$Y$72:$Y$244</definedName>
    <definedName name="A2716121T_Data">[1]AustralianNA3!$Y$72:$Y$244</definedName>
    <definedName name="A2716121T_Latest">[1]AustralianNA3!$Y$244</definedName>
    <definedName name="A2716122V">[1]AustralianNA3!$Z$1:$Z$10,[1]AustralianNA3!$Z$72:$Z$244</definedName>
    <definedName name="A2716122V_Data">[1]AustralianNA3!$Z$72:$Z$244</definedName>
    <definedName name="A2716122V_Latest">[1]AustralianNA3!$Z$244</definedName>
    <definedName name="A2716123W">[1]AustralianNA3!$AH$1:$AH$10,[1]AustralianNA3!$AH$72:$AH$244</definedName>
    <definedName name="A2716123W_Data">[1]AustralianNA3!$AH$72:$AH$244</definedName>
    <definedName name="A2716123W_Latest">[1]AustralianNA3!$AH$244</definedName>
    <definedName name="A2716124X">[1]AustralianNA3!$AG$1:$AG$10,[1]AustralianNA3!$AG$116:$AG$244</definedName>
    <definedName name="A2716124X_Data">[1]AustralianNA3!$AG$116:$AG$244</definedName>
    <definedName name="A2716124X_Latest">[1]AustralianNA3!$AG$244</definedName>
    <definedName name="A2716125A">[1]AustralianNA3!$AF$1:$AF$10,[1]AustralianNA3!$AF$72:$AF$244</definedName>
    <definedName name="A2716125A_Data">[1]AustralianNA3!$AF$72:$AF$244</definedName>
    <definedName name="A2716125A_Latest">[1]AustralianNA3!$AF$244</definedName>
    <definedName name="A2716126C">[1]AustralianNA3!$AN$1:$AN$10,[1]AustralianNA3!$AN$72:$AN$244</definedName>
    <definedName name="A2716126C_Data">[1]AustralianNA3!$AN$72:$AN$244</definedName>
    <definedName name="A2716126C_Latest">[1]AustralianNA3!$AN$244</definedName>
    <definedName name="A2716127F">[1]AustralianNA3!$AI$1:$AI$10,[1]AustralianNA3!$AI$84:$AI$244</definedName>
    <definedName name="A2716127F_Data">[1]AustralianNA3!$AI$84:$AI$244</definedName>
    <definedName name="A2716127F_Latest">[1]AustralianNA3!$AI$244</definedName>
    <definedName name="A2716128J">[1]AustralianNA3!$AK$1:$AK$10,[1]AustralianNA3!$AK$84:$AK$244</definedName>
    <definedName name="A2716128J_Data">[1]AustralianNA3!$AK$84:$AK$244</definedName>
    <definedName name="A2716128J_Latest">[1]AustralianNA3!$AK$244</definedName>
    <definedName name="A2716129K">[1]AustralianNA3!$AL$1:$AL$10,[1]AustralianNA3!$AL$84:$AL$244</definedName>
    <definedName name="A2716129K_Data">[1]AustralianNA3!$AL$84:$AL$244</definedName>
    <definedName name="A2716129K_Latest">[1]AustralianNA3!$AL$244</definedName>
    <definedName name="A2716131W">[1]AustralianNA3!$AJ$1:$AJ$10,[1]AustralianNA3!$AJ$84:$AJ$244</definedName>
    <definedName name="A2716131W_Data">[1]AustralianNA3!$AJ$84:$AJ$244</definedName>
    <definedName name="A2716131W_Latest">[1]AustralianNA3!$AJ$244</definedName>
    <definedName name="A2716135F">[1]AustralianNA3!$AR$1:$AR$10,[1]AustralianNA3!$AR$72:$AR$244</definedName>
    <definedName name="A2716135F_Data">[1]AustralianNA3!$AR$72:$AR$244</definedName>
    <definedName name="A2716135F_Latest">[1]AustralianNA3!$AR$244</definedName>
    <definedName name="A2716136J">[1]AustralianNA3!$AO$1:$AO$10,[1]AustralianNA3!$AO$72:$AO$244</definedName>
    <definedName name="A2716136J_Data">[1]AustralianNA3!$AO$72:$AO$244</definedName>
    <definedName name="A2716136J_Latest">[1]AustralianNA3!$AO$244</definedName>
    <definedName name="A2716137K">[1]AustralianNA3!$AP$1:$AP$10,[1]AustralianNA3!$AP$72:$AP$244</definedName>
    <definedName name="A2716137K_Data">[1]AustralianNA3!$AP$72:$AP$244</definedName>
    <definedName name="A2716137K_Latest">[1]AustralianNA3!$AP$244</definedName>
    <definedName name="A2716138L">[1]AustralianNA3!$AQ$1:$AQ$10,[1]AustralianNA3!$AQ$72:$AQ$244</definedName>
    <definedName name="A2716138L_Data">[1]AustralianNA3!$AQ$72:$AQ$244</definedName>
    <definedName name="A2716138L_Latest">[1]AustralianNA3!$AQ$244</definedName>
    <definedName name="A2716139R">[1]AustralianNA3!$AV$1:$AV$10,[1]AustralianNA3!$AV$72:$AV$244</definedName>
    <definedName name="A2716139R_Data">[1]AustralianNA3!$AV$72:$AV$244</definedName>
    <definedName name="A2716139R_Latest">[1]AustralianNA3!$AV$244</definedName>
    <definedName name="A2716140X">[1]AustralianNA3!$AW$1:$AW$10,[1]AustralianNA3!$AW$72:$AW$244</definedName>
    <definedName name="A2716140X_Data">[1]AustralianNA3!$AW$72:$AW$244</definedName>
    <definedName name="A2716140X_Latest">[1]AustralianNA3!$AW$244</definedName>
    <definedName name="A2716141A">[1]AustralianNA3!$AX$1:$AX$10,[1]AustralianNA3!$AX$72:$AX$244</definedName>
    <definedName name="A2716141A_Data">[1]AustralianNA3!$AX$72:$AX$244</definedName>
    <definedName name="A2716141A_Latest">[1]AustralianNA3!$AX$244</definedName>
    <definedName name="A2716142C">[1]AustralianNA3!$AY$1:$AY$10,[1]AustralianNA3!$AY$72:$AY$244</definedName>
    <definedName name="A2716142C_Data">[1]AustralianNA3!$AY$72:$AY$244</definedName>
    <definedName name="A2716142C_Latest">[1]AustralianNA3!$AY$244</definedName>
    <definedName name="A2716143F">[1]AustralianNA3!$BD$1:$BD$10,[1]AustralianNA3!$BD$72:$BD$244</definedName>
    <definedName name="A2716143F_Data">[1]AustralianNA3!$BD$72:$BD$244</definedName>
    <definedName name="A2716143F_Latest">[1]AustralianNA3!$BD$244</definedName>
    <definedName name="A2716144J">[1]AustralianNA3!$BA$1:$BA$10,[1]AustralianNA3!$BA$72:$BA$244</definedName>
    <definedName name="A2716144J_Data">[1]AustralianNA3!$BA$72:$BA$244</definedName>
    <definedName name="A2716144J_Latest">[1]AustralianNA3!$BA$244</definedName>
    <definedName name="A2716147R">[1]AustralianNA3!$BC$1:$BC$10,[1]AustralianNA3!$BC$72:$BC$244</definedName>
    <definedName name="A2716147R_Data">[1]AustralianNA3!$BC$72:$BC$244</definedName>
    <definedName name="A2716147R_Latest">[1]AustralianNA3!$BC$244</definedName>
    <definedName name="A2716148T">[1]AustralianNA3!$BG$1:$BG$10,[1]AustralianNA3!$BG$72:$BG$244</definedName>
    <definedName name="A2716148T_Data">[1]AustralianNA3!$BG$72:$BG$244</definedName>
    <definedName name="A2716148T_Latest">[1]AustralianNA3!$BG$244</definedName>
    <definedName name="A2716149V">[1]AustralianNA3!$BJ$1:$BJ$10,[1]AustralianNA3!$BJ$72:$BJ$244</definedName>
    <definedName name="A2716149V_Data">[1]AustralianNA3!$BJ$72:$BJ$244</definedName>
    <definedName name="A2716149V_Latest">[1]AustralianNA3!$BJ$244</definedName>
    <definedName name="A2716150C">[1]AustralianNA3!$BM$1:$BM$10,[1]AustralianNA3!$BM$72:$BM$244</definedName>
    <definedName name="A2716150C_Data">[1]AustralianNA3!$BM$72:$BM$244</definedName>
    <definedName name="A2716150C_Latest">[1]AustralianNA3!$BM$244</definedName>
    <definedName name="A2716151F">[1]AustralianNA3!$BP$1:$BP$10,[1]AustralianNA3!$BP$72:$BP$244</definedName>
    <definedName name="A2716151F_Data">[1]AustralianNA3!$BP$72:$BP$244</definedName>
    <definedName name="A2716151F_Latest">[1]AustralianNA3!$BP$244</definedName>
    <definedName name="A2716152J">[1]AustralianNA3!$BQ$1:$BQ$10,[1]AustralianNA3!$BQ$72:$BQ$244</definedName>
    <definedName name="A2716152J_Data">[1]AustralianNA3!$BQ$72:$BQ$244</definedName>
    <definedName name="A2716152J_Latest">[1]AustralianNA3!$BQ$244</definedName>
    <definedName name="A2716153K">[1]AustralianNA3!$BS$1:$BS$10,[1]AustralianNA3!$BS$72:$BS$244</definedName>
    <definedName name="A2716153K_Data">[1]AustralianNA3!$BS$72:$BS$244</definedName>
    <definedName name="A2716153K_Latest">[1]AustralianNA3!$BS$244</definedName>
    <definedName name="A2716154L">[1]AustralianNA3!$BT$1:$BT$10,[1]AustralianNA3!$BT$72:$BT$244</definedName>
    <definedName name="A2716154L_Data">[1]AustralianNA3!$BT$72:$BT$244</definedName>
    <definedName name="A2716154L_Latest">[1]AustralianNA3!$BT$244</definedName>
    <definedName name="A2716155R">[1]AustralianNA3!$BU$1:$BU$10,[1]AustralianNA3!$BU$72:$BU$244</definedName>
    <definedName name="A2716155R_Data">[1]AustralianNA3!$BU$72:$BU$244</definedName>
    <definedName name="A2716155R_Latest">[1]AustralianNA3!$BU$244</definedName>
    <definedName name="A2716156T">[1]AustralianNA3!$BV$1:$BV$10,[1]AustralianNA3!$BV$72:$BV$244</definedName>
    <definedName name="A2716156T_Data">[1]AustralianNA3!$BV$72:$BV$244</definedName>
    <definedName name="A2716156T_Latest">[1]AustralianNA3!$BV$244</definedName>
    <definedName name="A2716160J">[1]AustralianNA2!$DI$1:$DI$10,[1]AustralianNA2!$DI$71:$DI$244</definedName>
    <definedName name="A2716160J_Data">[1]AustralianNA2!$DI$71:$DI$244</definedName>
    <definedName name="A2716160J_Latest">[1]AustralianNA2!$DI$244</definedName>
    <definedName name="A2716161K">[1]AustralianNA2!$DG$1:$DG$10,[1]AustralianNA2!$DG$71:$DG$244</definedName>
    <definedName name="A2716161K_Data">[1]AustralianNA2!$DG$71:$DG$244</definedName>
    <definedName name="A2716161K_Latest">[1]AustralianNA2!$DG$244</definedName>
    <definedName name="A2716162L">[1]AustralianNA2!$DH$1:$DH$10,[1]AustralianNA2!$DH$71:$DH$244</definedName>
    <definedName name="A2716162L_Data">[1]AustralianNA2!$DH$71:$DH$244</definedName>
    <definedName name="A2716162L_Latest">[1]AustralianNA2!$DH$244</definedName>
    <definedName name="A2716163R">[1]AustralianNA2!$DP$1:$DP$10,[1]AustralianNA2!$DP$71:$DP$244</definedName>
    <definedName name="A2716163R_Data">[1]AustralianNA2!$DP$71:$DP$244</definedName>
    <definedName name="A2716163R_Latest">[1]AustralianNA2!$DP$244</definedName>
    <definedName name="A2716164T">[1]AustralianNA2!$DO$1:$DO$10,[1]AustralianNA2!$DO$115:$DO$244</definedName>
    <definedName name="A2716164T_Data">[1]AustralianNA2!$DO$115:$DO$244</definedName>
    <definedName name="A2716164T_Latest">[1]AustralianNA2!$DO$244</definedName>
    <definedName name="A2716165V">[1]AustralianNA2!$DN$1:$DN$10,[1]AustralianNA2!$DN$71:$DN$244</definedName>
    <definedName name="A2716165V_Data">[1]AustralianNA2!$DN$71:$DN$244</definedName>
    <definedName name="A2716165V_Latest">[1]AustralianNA2!$DN$244</definedName>
    <definedName name="A2716166W">[1]AustralianNA2!$DV$1:$DV$10,[1]AustralianNA2!$DV$71:$DV$244</definedName>
    <definedName name="A2716166W_Data">[1]AustralianNA2!$DV$71:$DV$244</definedName>
    <definedName name="A2716166W_Latest">[1]AustralianNA2!$DV$244</definedName>
    <definedName name="A2716167X">[1]AustralianNA2!$DQ$1:$DQ$10,[1]AustralianNA2!$DQ$83:$DQ$244</definedName>
    <definedName name="A2716167X_Data">[1]AustralianNA2!$DQ$83:$DQ$244</definedName>
    <definedName name="A2716167X_Latest">[1]AustralianNA2!$DQ$244</definedName>
    <definedName name="A2716168A">[1]AustralianNA2!$DS$1:$DS$10,[1]AustralianNA2!$DS$83:$DS$244</definedName>
    <definedName name="A2716168A_Data">[1]AustralianNA2!$DS$83:$DS$244</definedName>
    <definedName name="A2716168A_Latest">[1]AustralianNA2!$DS$244</definedName>
    <definedName name="A2716169C">[1]AustralianNA2!$DT$1:$DT$10,[1]AustralianNA2!$DT$83:$DT$244</definedName>
    <definedName name="A2716169C_Data">[1]AustralianNA2!$DT$83:$DT$244</definedName>
    <definedName name="A2716169C_Latest">[1]AustralianNA2!$DT$244</definedName>
    <definedName name="A2716171R">[1]AustralianNA2!$DR$1:$DR$10,[1]AustralianNA2!$DR$83:$DR$244</definedName>
    <definedName name="A2716171R_Data">[1]AustralianNA2!$DR$83:$DR$244</definedName>
    <definedName name="A2716171R_Latest">[1]AustralianNA2!$DR$244</definedName>
    <definedName name="A2716175X">[1]AustralianNA2!$DZ$1:$DZ$10,[1]AustralianNA2!$DZ$71:$DZ$244</definedName>
    <definedName name="A2716175X_Data">[1]AustralianNA2!$DZ$71:$DZ$244</definedName>
    <definedName name="A2716175X_Latest">[1]AustralianNA2!$DZ$244</definedName>
    <definedName name="A2716176A">[1]AustralianNA2!$DW$1:$DW$10,[1]AustralianNA2!$DW$71:$DW$244</definedName>
    <definedName name="A2716176A_Data">[1]AustralianNA2!$DW$71:$DW$244</definedName>
    <definedName name="A2716176A_Latest">[1]AustralianNA2!$DW$244</definedName>
    <definedName name="A2716177C">[1]AustralianNA2!$DX$1:$DX$10,[1]AustralianNA2!$DX$71:$DX$244</definedName>
    <definedName name="A2716177C_Data">[1]AustralianNA2!$DX$71:$DX$244</definedName>
    <definedName name="A2716177C_Latest">[1]AustralianNA2!$DX$244</definedName>
    <definedName name="A2716178F">[1]AustralianNA2!$DY$1:$DY$10,[1]AustralianNA2!$DY$71:$DY$244</definedName>
    <definedName name="A2716178F_Data">[1]AustralianNA2!$DY$71:$DY$244</definedName>
    <definedName name="A2716178F_Latest">[1]AustralianNA2!$DY$244</definedName>
    <definedName name="A2716179J">[1]AustralianNA2!$ED$1:$ED$10,[1]AustralianNA2!$ED$71:$ED$244</definedName>
    <definedName name="A2716179J_Data">[1]AustralianNA2!$ED$71:$ED$244</definedName>
    <definedName name="A2716179J_Latest">[1]AustralianNA2!$ED$244</definedName>
    <definedName name="A2716180T">[1]AustralianNA2!$EE$1:$EE$10,[1]AustralianNA2!$EE$71:$EE$244</definedName>
    <definedName name="A2716180T_Data">[1]AustralianNA2!$EE$71:$EE$244</definedName>
    <definedName name="A2716180T_Latest">[1]AustralianNA2!$EE$244</definedName>
    <definedName name="A2716181V">[1]AustralianNA2!$EF$1:$EF$10,[1]AustralianNA2!$EF$71:$EF$244</definedName>
    <definedName name="A2716181V_Data">[1]AustralianNA2!$EF$71:$EF$244</definedName>
    <definedName name="A2716181V_Latest">[1]AustralianNA2!$EF$244</definedName>
    <definedName name="A2716182W">[1]AustralianNA2!$EG$1:$EG$10,[1]AustralianNA2!$EG$71:$EG$244</definedName>
    <definedName name="A2716182W_Data">[1]AustralianNA2!$EG$71:$EG$244</definedName>
    <definedName name="A2716182W_Latest">[1]AustralianNA2!$EG$244</definedName>
    <definedName name="A2716183X">[1]AustralianNA2!$EL$1:$EL$10,[1]AustralianNA2!$EL$71:$EL$244</definedName>
    <definedName name="A2716183X_Data">[1]AustralianNA2!$EL$71:$EL$244</definedName>
    <definedName name="A2716183X_Latest">[1]AustralianNA2!$EL$244</definedName>
    <definedName name="A2716184A">[1]AustralianNA2!$EI$1:$EI$10,[1]AustralianNA2!$EI$71:$EI$244</definedName>
    <definedName name="A2716184A_Data">[1]AustralianNA2!$EI$71:$EI$244</definedName>
    <definedName name="A2716184A_Latest">[1]AustralianNA2!$EI$244</definedName>
    <definedName name="A2716187J">[1]AustralianNA2!$EK$1:$EK$10,[1]AustralianNA2!$EK$71:$EK$244</definedName>
    <definedName name="A2716187J_Data">[1]AustralianNA2!$EK$71:$EK$244</definedName>
    <definedName name="A2716187J_Latest">[1]AustralianNA2!$EK$244</definedName>
    <definedName name="A2716188K">[1]AustralianNA2!$EO$1:$EO$10,[1]AustralianNA2!$EO$71:$EO$244</definedName>
    <definedName name="A2716188K_Data">[1]AustralianNA2!$EO$71:$EO$244</definedName>
    <definedName name="A2716188K_Latest">[1]AustralianNA2!$EO$244</definedName>
    <definedName name="A2716189L">[1]AustralianNA2!$ER$1:$ER$10,[1]AustralianNA2!$ER$71:$ER$244</definedName>
    <definedName name="A2716189L_Data">[1]AustralianNA2!$ER$71:$ER$244</definedName>
    <definedName name="A2716189L_Latest">[1]AustralianNA2!$ER$244</definedName>
    <definedName name="A2716190W">[1]AustralianNA2!$EU$1:$EU$10,[1]AustralianNA2!$EU$71:$EU$244</definedName>
    <definedName name="A2716190W_Data">[1]AustralianNA2!$EU$71:$EU$244</definedName>
    <definedName name="A2716190W_Latest">[1]AustralianNA2!$EU$244</definedName>
    <definedName name="A2716191X">[1]AustralianNA2!$EX$1:$EX$10,[1]AustralianNA2!$EX$71:$EX$244</definedName>
    <definedName name="A2716191X_Data">[1]AustralianNA2!$EX$71:$EX$244</definedName>
    <definedName name="A2716191X_Latest">[1]AustralianNA2!$EX$244</definedName>
    <definedName name="A2716192A">[1]AustralianNA2!$EZ$1:$EZ$10,[1]AustralianNA2!$EZ$71:$EZ$244</definedName>
    <definedName name="A2716192A_Data">[1]AustralianNA2!$EZ$71:$EZ$244</definedName>
    <definedName name="A2716192A_Latest">[1]AustralianNA2!$EZ$244</definedName>
    <definedName name="A2716193C">[1]AustralianNA2!$FA$1:$FA$10,[1]AustralianNA2!$FA$71:$FA$244</definedName>
    <definedName name="A2716193C_Data">[1]AustralianNA2!$FA$71:$FA$244</definedName>
    <definedName name="A2716193C_Latest">[1]AustralianNA2!$FA$244</definedName>
    <definedName name="A2716194F">[1]AustralianNA2!$FB$1:$FB$10,[1]AustralianNA2!$FB$71:$FB$244</definedName>
    <definedName name="A2716194F_Data">[1]AustralianNA2!$FB$71:$FB$244</definedName>
    <definedName name="A2716194F_Latest">[1]AustralianNA2!$FB$244</definedName>
    <definedName name="A2716195J">[1]AustralianNA2!$FC$1:$FC$10,[1]AustralianNA2!$FC$71:$FC$244</definedName>
    <definedName name="A2716195J_Data">[1]AustralianNA2!$FC$71:$FC$244</definedName>
    <definedName name="A2716195J_Latest">[1]AustralianNA2!$FC$244</definedName>
    <definedName name="A2716196K">[1]AustralianNA2!$FD$1:$FD$10,[1]AustralianNA2!$FD$71:$FD$244</definedName>
    <definedName name="A2716196K_Data">[1]AustralianNA2!$FD$71:$FD$244</definedName>
    <definedName name="A2716196K_Latest">[1]AustralianNA2!$FD$244</definedName>
    <definedName name="A2716241K">[1]AustralianNA2!$HN$1:$HN$10,[1]AustralianNA2!$HN$71:$HN$244</definedName>
    <definedName name="A2716241K_Data">[1]AustralianNA2!$HN$71:$HN$244</definedName>
    <definedName name="A2716241K_Latest">[1]AustralianNA2!$HN$244</definedName>
    <definedName name="A2716242L">[1]AustralianNA2!$HL$1:$HL$10,[1]AustralianNA2!$HL$71:$HL$244</definedName>
    <definedName name="A2716242L_Data">[1]AustralianNA2!$HL$71:$HL$244</definedName>
    <definedName name="A2716242L_Latest">[1]AustralianNA2!$HL$244</definedName>
    <definedName name="A2716243R">[1]AustralianNA2!$HM$1:$HM$10,[1]AustralianNA2!$HM$71:$HM$244</definedName>
    <definedName name="A2716243R_Data">[1]AustralianNA2!$HM$71:$HM$244</definedName>
    <definedName name="A2716243R_Latest">[1]AustralianNA2!$HM$244</definedName>
    <definedName name="A2716244T">[1]AustralianNA2!$HU$1:$HU$10,[1]AustralianNA2!$HU$71:$HU$244</definedName>
    <definedName name="A2716244T_Data">[1]AustralianNA2!$HU$71:$HU$244</definedName>
    <definedName name="A2716244T_Latest">[1]AustralianNA2!$HU$244</definedName>
    <definedName name="A2716245V">[1]AustralianNA2!$HT$1:$HT$10,[1]AustralianNA2!$HT$115:$HT$244</definedName>
    <definedName name="A2716245V_Data">[1]AustralianNA2!$HT$115:$HT$244</definedName>
    <definedName name="A2716245V_Latest">[1]AustralianNA2!$HT$244</definedName>
    <definedName name="A2716246W">[1]AustralianNA2!$HS$1:$HS$10,[1]AustralianNA2!$HS$71:$HS$244</definedName>
    <definedName name="A2716246W_Data">[1]AustralianNA2!$HS$71:$HS$244</definedName>
    <definedName name="A2716246W_Latest">[1]AustralianNA2!$HS$244</definedName>
    <definedName name="A2716247X">[1]AustralianNA2!$IA$1:$IA$10,[1]AustralianNA2!$IA$71:$IA$244</definedName>
    <definedName name="A2716247X_Data">[1]AustralianNA2!$IA$71:$IA$244</definedName>
    <definedName name="A2716247X_Latest">[1]AustralianNA2!$IA$244</definedName>
    <definedName name="A2716248A">[1]AustralianNA2!$HV$1:$HV$10,[1]AustralianNA2!$HV$83:$HV$244</definedName>
    <definedName name="A2716248A_Data">[1]AustralianNA2!$HV$83:$HV$244</definedName>
    <definedName name="A2716248A_Latest">[1]AustralianNA2!$HV$244</definedName>
    <definedName name="A2716249C">[1]AustralianNA2!$HX$1:$HX$10,[1]AustralianNA2!$HX$83:$HX$244</definedName>
    <definedName name="A2716249C_Data">[1]AustralianNA2!$HX$83:$HX$244</definedName>
    <definedName name="A2716249C_Latest">[1]AustralianNA2!$HX$244</definedName>
    <definedName name="A2716250L">[1]AustralianNA2!$HY$1:$HY$10,[1]AustralianNA2!$HY$83:$HY$244</definedName>
    <definedName name="A2716250L_Data">[1]AustralianNA2!$HY$83:$HY$244</definedName>
    <definedName name="A2716250L_Latest">[1]AustralianNA2!$HY$244</definedName>
    <definedName name="A2716252T">[1]AustralianNA2!$HW$1:$HW$10,[1]AustralianNA2!$HW$83:$HW$244</definedName>
    <definedName name="A2716252T_Data">[1]AustralianNA2!$HW$83:$HW$244</definedName>
    <definedName name="A2716252T_Latest">[1]AustralianNA2!$HW$244</definedName>
    <definedName name="A2716256A">[1]AustralianNA2!$IE$1:$IE$10,[1]AustralianNA2!$IE$71:$IE$244</definedName>
    <definedName name="A2716256A_Data">[1]AustralianNA2!$IE$71:$IE$244</definedName>
    <definedName name="A2716256A_Latest">[1]AustralianNA2!$IE$244</definedName>
    <definedName name="A2716257C">[1]AustralianNA2!$IB$1:$IB$10,[1]AustralianNA2!$IB$71:$IB$244</definedName>
    <definedName name="A2716257C_Data">[1]AustralianNA2!$IB$71:$IB$244</definedName>
    <definedName name="A2716257C_Latest">[1]AustralianNA2!$IB$244</definedName>
    <definedName name="A2716258F">[1]AustralianNA2!$IC$1:$IC$10,[1]AustralianNA2!$IC$71:$IC$244</definedName>
    <definedName name="A2716258F_Data">[1]AustralianNA2!$IC$71:$IC$244</definedName>
    <definedName name="A2716258F_Latest">[1]AustralianNA2!$IC$244</definedName>
    <definedName name="A2716259J">[1]AustralianNA2!$ID$1:$ID$10,[1]AustralianNA2!$ID$71:$ID$244</definedName>
    <definedName name="A2716259J_Data">[1]AustralianNA2!$ID$71:$ID$244</definedName>
    <definedName name="A2716259J_Latest">[1]AustralianNA2!$ID$244</definedName>
    <definedName name="A2716260T">[1]AustralianNA2!$II$1:$II$10,[1]AustralianNA2!$II$71:$II$244</definedName>
    <definedName name="A2716260T_Data">[1]AustralianNA2!$II$71:$II$244</definedName>
    <definedName name="A2716260T_Latest">[1]AustralianNA2!$II$244</definedName>
    <definedName name="A2716261V">[1]AustralianNA2!$IJ$1:$IJ$10,[1]AustralianNA2!$IJ$71:$IJ$244</definedName>
    <definedName name="A2716261V_Data">[1]AustralianNA2!$IJ$71:$IJ$244</definedName>
    <definedName name="A2716261V_Latest">[1]AustralianNA2!$IJ$244</definedName>
    <definedName name="A2716262W">[1]AustralianNA2!$IK$1:$IK$10,[1]AustralianNA2!$IK$71:$IK$244</definedName>
    <definedName name="A2716262W_Data">[1]AustralianNA2!$IK$71:$IK$244</definedName>
    <definedName name="A2716262W_Latest">[1]AustralianNA2!$IK$244</definedName>
    <definedName name="A2716263X">[1]AustralianNA2!$IL$1:$IL$10,[1]AustralianNA2!$IL$71:$IL$244</definedName>
    <definedName name="A2716263X_Data">[1]AustralianNA2!$IL$71:$IL$244</definedName>
    <definedName name="A2716263X_Latest">[1]AustralianNA2!$IL$244</definedName>
    <definedName name="A2716264A">[1]AustralianNA2!$IQ$1:$IQ$10,[1]AustralianNA2!$IQ$71:$IQ$244</definedName>
    <definedName name="A2716264A_Data">[1]AustralianNA2!$IQ$71:$IQ$244</definedName>
    <definedName name="A2716264A_Latest">[1]AustralianNA2!$IQ$244</definedName>
    <definedName name="A2716265C">[1]AustralianNA2!$IN$1:$IN$10,[1]AustralianNA2!$IN$71:$IN$244</definedName>
    <definedName name="A2716265C_Data">[1]AustralianNA2!$IN$71:$IN$244</definedName>
    <definedName name="A2716265C_Latest">[1]AustralianNA2!$IN$244</definedName>
    <definedName name="A2716268K">[1]AustralianNA2!$IP$1:$IP$10,[1]AustralianNA2!$IP$71:$IP$244</definedName>
    <definedName name="A2716268K_Data">[1]AustralianNA2!$IP$71:$IP$244</definedName>
    <definedName name="A2716268K_Latest">[1]AustralianNA2!$IP$244</definedName>
    <definedName name="A2716269L">[1]AustralianNA3!$D$1:$D$10,[1]AustralianNA3!$D$71:$D$244</definedName>
    <definedName name="A2716269L_Data">[1]AustralianNA3!$D$71:$D$244</definedName>
    <definedName name="A2716269L_Latest">[1]AustralianNA3!$D$244</definedName>
    <definedName name="A2716270W">[1]AustralianNA3!$G$1:$G$10,[1]AustralianNA3!$G$71:$G$244</definedName>
    <definedName name="A2716270W_Data">[1]AustralianNA3!$G$71:$G$244</definedName>
    <definedName name="A2716270W_Latest">[1]AustralianNA3!$G$244</definedName>
    <definedName name="A2716271X">[1]AustralianNA3!$J$1:$J$10,[1]AustralianNA3!$J$71:$J$244</definedName>
    <definedName name="A2716271X_Data">[1]AustralianNA3!$J$71:$J$244</definedName>
    <definedName name="A2716271X_Latest">[1]AustralianNA3!$J$244</definedName>
    <definedName name="A2716272A">[1]AustralianNA3!$M$1:$M$10,[1]AustralianNA3!$M$71:$M$244</definedName>
    <definedName name="A2716272A_Data">[1]AustralianNA3!$M$71:$M$244</definedName>
    <definedName name="A2716272A_Latest">[1]AustralianNA3!$M$244</definedName>
    <definedName name="A2716273C">[1]AustralianNA3!$N$1:$N$10,[1]AustralianNA3!$N$71:$N$244</definedName>
    <definedName name="A2716273C_Data">[1]AustralianNA3!$N$71:$N$244</definedName>
    <definedName name="A2716273C_Latest">[1]AustralianNA3!$N$244</definedName>
    <definedName name="A2716274F">[1]AustralianNA3!$O$1:$O$10,[1]AustralianNA3!$O$71:$O$244</definedName>
    <definedName name="A2716274F_Data">[1]AustralianNA3!$O$71:$O$244</definedName>
    <definedName name="A2716274F_Latest">[1]AustralianNA3!$O$244</definedName>
    <definedName name="A2716275J">[1]AustralianNA3!$P$1:$P$10,[1]AustralianNA3!$P$71:$P$244</definedName>
    <definedName name="A2716275J_Data">[1]AustralianNA3!$P$71:$P$244</definedName>
    <definedName name="A2716275J_Latest">[1]AustralianNA3!$P$244</definedName>
    <definedName name="A2716276K">[1]AustralianNA3!$Q$1:$Q$10,[1]AustralianNA3!$Q$71:$Q$244</definedName>
    <definedName name="A2716276K_Data">[1]AustralianNA3!$Q$71:$Q$244</definedName>
    <definedName name="A2716276K_Latest">[1]AustralianNA3!$Q$244</definedName>
    <definedName name="A2716277L">[1]AustralianNA3!$R$1:$R$10,[1]AustralianNA3!$R$71:$R$244</definedName>
    <definedName name="A2716277L_Data">[1]AustralianNA3!$R$71:$R$244</definedName>
    <definedName name="A2716277L_Latest">[1]AustralianNA3!$R$244</definedName>
    <definedName name="A2716278R">[1]AustralianNA3!$S$1:$S$10,[1]AustralianNA3!$S$71:$S$244</definedName>
    <definedName name="A2716278R_Data">[1]AustralianNA3!$S$71:$S$244</definedName>
    <definedName name="A2716278R_Latest">[1]AustralianNA3!$S$244</definedName>
    <definedName name="A2716298X">[1]AustralianNA2!$BG$1:$BG$10,[1]AustralianNA2!$BG$72:$BG$244</definedName>
    <definedName name="A2716298X_Data">[1]AustralianNA2!$BG$72:$BG$244</definedName>
    <definedName name="A2716298X_Latest">[1]AustralianNA2!$BG$244</definedName>
    <definedName name="A2716299A">[1]AustralianNA2!$BE$1:$BE$10,[1]AustralianNA2!$BE$72:$BE$244</definedName>
    <definedName name="A2716299A_Data">[1]AustralianNA2!$BE$72:$BE$244</definedName>
    <definedName name="A2716299A_Latest">[1]AustralianNA2!$BE$244</definedName>
    <definedName name="A2716300X">[1]AustralianNA2!$BF$1:$BF$10,[1]AustralianNA2!$BF$72:$BF$244</definedName>
    <definedName name="A2716300X_Data">[1]AustralianNA2!$BF$72:$BF$244</definedName>
    <definedName name="A2716300X_Latest">[1]AustralianNA2!$BF$244</definedName>
    <definedName name="A2716301A">[1]AustralianNA2!$BN$1:$BN$10,[1]AustralianNA2!$BN$72:$BN$244</definedName>
    <definedName name="A2716301A_Data">[1]AustralianNA2!$BN$72:$BN$244</definedName>
    <definedName name="A2716301A_Latest">[1]AustralianNA2!$BN$244</definedName>
    <definedName name="A2716302C">[1]AustralianNA2!$BM$1:$BM$10,[1]AustralianNA2!$BM$116:$BM$244</definedName>
    <definedName name="A2716302C_Data">[1]AustralianNA2!$BM$116:$BM$244</definedName>
    <definedName name="A2716302C_Latest">[1]AustralianNA2!$BM$244</definedName>
    <definedName name="A2716303F">[1]AustralianNA2!$BL$1:$BL$10,[1]AustralianNA2!$BL$72:$BL$244</definedName>
    <definedName name="A2716303F_Data">[1]AustralianNA2!$BL$72:$BL$244</definedName>
    <definedName name="A2716303F_Latest">[1]AustralianNA2!$BL$244</definedName>
    <definedName name="A2716304J">[1]AustralianNA2!$BT$1:$BT$10,[1]AustralianNA2!$BT$72:$BT$244</definedName>
    <definedName name="A2716304J_Data">[1]AustralianNA2!$BT$72:$BT$244</definedName>
    <definedName name="A2716304J_Latest">[1]AustralianNA2!$BT$244</definedName>
    <definedName name="A2716305K">[1]AustralianNA2!$BO$1:$BO$10,[1]AustralianNA2!$BO$84:$BO$244</definedName>
    <definedName name="A2716305K_Data">[1]AustralianNA2!$BO$84:$BO$244</definedName>
    <definedName name="A2716305K_Latest">[1]AustralianNA2!$BO$244</definedName>
    <definedName name="A2716306L">[1]AustralianNA2!$BQ$1:$BQ$10,[1]AustralianNA2!$BQ$84:$BQ$244</definedName>
    <definedName name="A2716306L_Data">[1]AustralianNA2!$BQ$84:$BQ$244</definedName>
    <definedName name="A2716306L_Latest">[1]AustralianNA2!$BQ$244</definedName>
    <definedName name="A2716307R">[1]AustralianNA2!$BR$1:$BR$10,[1]AustralianNA2!$BR$84:$BR$244</definedName>
    <definedName name="A2716307R_Data">[1]AustralianNA2!$BR$84:$BR$244</definedName>
    <definedName name="A2716307R_Latest">[1]AustralianNA2!$BR$244</definedName>
    <definedName name="A2716309V">[1]AustralianNA2!$BP$1:$BP$10,[1]AustralianNA2!$BP$84:$BP$244</definedName>
    <definedName name="A2716309V_Data">[1]AustralianNA2!$BP$84:$BP$244</definedName>
    <definedName name="A2716309V_Latest">[1]AustralianNA2!$BP$244</definedName>
    <definedName name="A2716313K">[1]AustralianNA2!$BX$1:$BX$10,[1]AustralianNA2!$BX$72:$BX$244</definedName>
    <definedName name="A2716313K_Data">[1]AustralianNA2!$BX$72:$BX$244</definedName>
    <definedName name="A2716313K_Latest">[1]AustralianNA2!$BX$244</definedName>
    <definedName name="A2716314L">[1]AustralianNA2!$BU$1:$BU$10,[1]AustralianNA2!$BU$72:$BU$244</definedName>
    <definedName name="A2716314L_Data">[1]AustralianNA2!$BU$72:$BU$244</definedName>
    <definedName name="A2716314L_Latest">[1]AustralianNA2!$BU$244</definedName>
    <definedName name="A2716315R">[1]AustralianNA2!$BV$1:$BV$10,[1]AustralianNA2!$BV$72:$BV$244</definedName>
    <definedName name="A2716315R_Data">[1]AustralianNA2!$BV$72:$BV$244</definedName>
    <definedName name="A2716315R_Latest">[1]AustralianNA2!$BV$244</definedName>
    <definedName name="A2716316T">[1]AustralianNA2!$BW$1:$BW$10,[1]AustralianNA2!$BW$72:$BW$244</definedName>
    <definedName name="A2716316T_Data">[1]AustralianNA2!$BW$72:$BW$244</definedName>
    <definedName name="A2716316T_Latest">[1]AustralianNA2!$BW$244</definedName>
    <definedName name="A2716317V">[1]AustralianNA2!$CB$1:$CB$10,[1]AustralianNA2!$CB$72:$CB$244</definedName>
    <definedName name="A2716317V_Data">[1]AustralianNA2!$CB$72:$CB$244</definedName>
    <definedName name="A2716317V_Latest">[1]AustralianNA2!$CB$244</definedName>
    <definedName name="A2716318W">[1]AustralianNA2!$CC$1:$CC$10,[1]AustralianNA2!$CC$72:$CC$244</definedName>
    <definedName name="A2716318W_Data">[1]AustralianNA2!$CC$72:$CC$244</definedName>
    <definedName name="A2716318W_Latest">[1]AustralianNA2!$CC$244</definedName>
    <definedName name="A2716319X">[1]AustralianNA2!$CD$1:$CD$10,[1]AustralianNA2!$CD$72:$CD$244</definedName>
    <definedName name="A2716319X_Data">[1]AustralianNA2!$CD$72:$CD$244</definedName>
    <definedName name="A2716319X_Latest">[1]AustralianNA2!$CD$244</definedName>
    <definedName name="A2716320J">[1]AustralianNA2!$CE$1:$CE$10,[1]AustralianNA2!$CE$72:$CE$244</definedName>
    <definedName name="A2716320J_Data">[1]AustralianNA2!$CE$72:$CE$244</definedName>
    <definedName name="A2716320J_Latest">[1]AustralianNA2!$CE$244</definedName>
    <definedName name="A2716321K">[1]AustralianNA2!$CJ$1:$CJ$10,[1]AustralianNA2!$CJ$72:$CJ$244</definedName>
    <definedName name="A2716321K_Data">[1]AustralianNA2!$CJ$72:$CJ$244</definedName>
    <definedName name="A2716321K_Latest">[1]AustralianNA2!$CJ$244</definedName>
    <definedName name="A2716322L">[1]AustralianNA2!$CG$1:$CG$10,[1]AustralianNA2!$CG$72:$CG$244</definedName>
    <definedName name="A2716322L_Data">[1]AustralianNA2!$CG$72:$CG$244</definedName>
    <definedName name="A2716322L_Latest">[1]AustralianNA2!$CG$244</definedName>
    <definedName name="A2716325V">[1]AustralianNA2!$CI$1:$CI$10,[1]AustralianNA2!$CI$72:$CI$244</definedName>
    <definedName name="A2716325V_Data">[1]AustralianNA2!$CI$72:$CI$244</definedName>
    <definedName name="A2716325V_Latest">[1]AustralianNA2!$CI$244</definedName>
    <definedName name="A2716326W">[1]AustralianNA2!$CM$1:$CM$10,[1]AustralianNA2!$CM$72:$CM$244</definedName>
    <definedName name="A2716326W_Data">[1]AustralianNA2!$CM$72:$CM$244</definedName>
    <definedName name="A2716326W_Latest">[1]AustralianNA2!$CM$244</definedName>
    <definedName name="A2716327X">[1]AustralianNA2!$CP$1:$CP$10,[1]AustralianNA2!$CP$72:$CP$244</definedName>
    <definedName name="A2716327X_Data">[1]AustralianNA2!$CP$72:$CP$244</definedName>
    <definedName name="A2716327X_Latest">[1]AustralianNA2!$CP$244</definedName>
    <definedName name="A2716328A">[1]AustralianNA2!$CS$1:$CS$10,[1]AustralianNA2!$CS$72:$CS$244</definedName>
    <definedName name="A2716328A_Data">[1]AustralianNA2!$CS$72:$CS$244</definedName>
    <definedName name="A2716328A_Latest">[1]AustralianNA2!$CS$244</definedName>
    <definedName name="A2716329C">[1]AustralianNA2!$CV$1:$CV$10,[1]AustralianNA2!$CV$72:$CV$244</definedName>
    <definedName name="A2716329C_Data">[1]AustralianNA2!$CV$72:$CV$244</definedName>
    <definedName name="A2716329C_Latest">[1]AustralianNA2!$CV$244</definedName>
    <definedName name="A2716330L">[1]AustralianNA2!$CW$1:$CW$10,[1]AustralianNA2!$CW$72:$CW$244</definedName>
    <definedName name="A2716330L_Data">[1]AustralianNA2!$CW$72:$CW$244</definedName>
    <definedName name="A2716330L_Latest">[1]AustralianNA2!$CW$244</definedName>
    <definedName name="A2716331R">[1]AustralianNA2!$CX$1:$CX$10,[1]AustralianNA2!$CX$72:$CX$244</definedName>
    <definedName name="A2716331R_Data">[1]AustralianNA2!$CX$72:$CX$244</definedName>
    <definedName name="A2716331R_Latest">[1]AustralianNA2!$CX$244</definedName>
    <definedName name="A2716332T">[1]AustralianNA2!$CY$1:$CY$10,[1]AustralianNA2!$CY$72:$CY$244</definedName>
    <definedName name="A2716332T_Data">[1]AustralianNA2!$CY$72:$CY$244</definedName>
    <definedName name="A2716332T_Latest">[1]AustralianNA2!$CY$244</definedName>
    <definedName name="A2716333V">[1]AustralianNA2!$CZ$1:$CZ$10,[1]AustralianNA2!$CZ$72:$CZ$244</definedName>
    <definedName name="A2716333V_Data">[1]AustralianNA2!$CZ$72:$CZ$244</definedName>
    <definedName name="A2716333V_Latest">[1]AustralianNA2!$CZ$244</definedName>
    <definedName name="A2716334W">[1]AustralianNA2!$DA$1:$DA$10,[1]AustralianNA2!$DA$72:$DA$244</definedName>
    <definedName name="A2716334W_Data">[1]AustralianNA2!$DA$72:$DA$244</definedName>
    <definedName name="A2716334W_Latest">[1]AustralianNA2!$DA$244</definedName>
    <definedName name="A2716335X">[1]AustralianNA2!$DB$1:$DB$10,[1]AustralianNA2!$DB$72:$DB$244</definedName>
    <definedName name="A2716335X_Data">[1]AustralianNA2!$DB$72:$DB$244</definedName>
    <definedName name="A2716335X_Latest">[1]AustralianNA2!$DB$244</definedName>
    <definedName name="A2716378X">[1]AustralianNA2!$D$1:$D$10,[1]AustralianNA2!$D$71:$D$244</definedName>
    <definedName name="A2716378X_Data">[1]AustralianNA2!$D$71:$D$244</definedName>
    <definedName name="A2716378X_Latest">[1]AustralianNA2!$D$244</definedName>
    <definedName name="A2716379A">[1]AustralianNA2!$B$1:$B$10,[1]AustralianNA2!$B$71:$B$244</definedName>
    <definedName name="A2716379A_Data">[1]AustralianNA2!$B$71:$B$244</definedName>
    <definedName name="A2716379A_Latest">[1]AustralianNA2!$B$244</definedName>
    <definedName name="A2716380K">[1]AustralianNA2!$C$1:$C$10,[1]AustralianNA2!$C$71:$C$244</definedName>
    <definedName name="A2716380K_Data">[1]AustralianNA2!$C$71:$C$244</definedName>
    <definedName name="A2716380K_Latest">[1]AustralianNA2!$C$244</definedName>
    <definedName name="A2716381L">[1]AustralianNA2!$K$1:$K$10,[1]AustralianNA2!$K$71:$K$244</definedName>
    <definedName name="A2716381L_Data">[1]AustralianNA2!$K$71:$K$244</definedName>
    <definedName name="A2716381L_Latest">[1]AustralianNA2!$K$244</definedName>
    <definedName name="A2716382R">[1]AustralianNA2!$J$1:$J$10,[1]AustralianNA2!$J$115:$J$244</definedName>
    <definedName name="A2716382R_Data">[1]AustralianNA2!$J$115:$J$244</definedName>
    <definedName name="A2716382R_Latest">[1]AustralianNA2!$J$244</definedName>
    <definedName name="A2716383T">[1]AustralianNA2!$I$1:$I$10,[1]AustralianNA2!$I$71:$I$244</definedName>
    <definedName name="A2716383T_Data">[1]AustralianNA2!$I$71:$I$244</definedName>
    <definedName name="A2716383T_Latest">[1]AustralianNA2!$I$244</definedName>
    <definedName name="A2716384V">[1]AustralianNA2!$Q$1:$Q$10,[1]AustralianNA2!$Q$71:$Q$244</definedName>
    <definedName name="A2716384V_Data">[1]AustralianNA2!$Q$71:$Q$244</definedName>
    <definedName name="A2716384V_Latest">[1]AustralianNA2!$Q$244</definedName>
    <definedName name="A2716385W">[1]AustralianNA2!$L$1:$L$10,[1]AustralianNA2!$L$83:$L$244</definedName>
    <definedName name="A2716385W_Data">[1]AustralianNA2!$L$83:$L$244</definedName>
    <definedName name="A2716385W_Latest">[1]AustralianNA2!$L$244</definedName>
    <definedName name="A2716386X">[1]AustralianNA2!$N$1:$N$10,[1]AustralianNA2!$N$83:$N$244</definedName>
    <definedName name="A2716386X_Data">[1]AustralianNA2!$N$83:$N$244</definedName>
    <definedName name="A2716386X_Latest">[1]AustralianNA2!$N$244</definedName>
    <definedName name="A2716387A">[1]AustralianNA2!$O$1:$O$10,[1]AustralianNA2!$O$83:$O$244</definedName>
    <definedName name="A2716387A_Data">[1]AustralianNA2!$O$83:$O$244</definedName>
    <definedName name="A2716387A_Latest">[1]AustralianNA2!$O$244</definedName>
    <definedName name="A2716389F">[1]AustralianNA2!$M$1:$M$10,[1]AustralianNA2!$M$83:$M$244</definedName>
    <definedName name="A2716389F_Data">[1]AustralianNA2!$M$83:$M$244</definedName>
    <definedName name="A2716389F_Latest">[1]AustralianNA2!$M$244</definedName>
    <definedName name="A2716393W">[1]AustralianNA2!$R$1:$R$10,[1]AustralianNA2!$R$71:$R$244</definedName>
    <definedName name="A2716393W_Data">[1]AustralianNA2!$R$71:$R$244</definedName>
    <definedName name="A2716393W_Latest">[1]AustralianNA2!$R$244</definedName>
    <definedName name="A2716394X">[1]AustralianNA2!$S$1:$S$10,[1]AustralianNA2!$S$71:$S$244</definedName>
    <definedName name="A2716394X_Data">[1]AustralianNA2!$S$71:$S$244</definedName>
    <definedName name="A2716394X_Latest">[1]AustralianNA2!$S$244</definedName>
    <definedName name="A2716395A">[1]AustralianNA2!$T$1:$T$10,[1]AustralianNA2!$T$71:$T$244</definedName>
    <definedName name="A2716395A_Data">[1]AustralianNA2!$T$71:$T$244</definedName>
    <definedName name="A2716395A_Latest">[1]AustralianNA2!$T$244</definedName>
    <definedName name="A2716396C">[1]AustralianNA2!$Y$1:$Y$10,[1]AustralianNA2!$Y$71:$Y$244</definedName>
    <definedName name="A2716396C_Data">[1]AustralianNA2!$Y$71:$Y$244</definedName>
    <definedName name="A2716396C_Latest">[1]AustralianNA2!$Y$244</definedName>
    <definedName name="A2716397F">[1]AustralianNA2!$Z$1:$Z$10,[1]AustralianNA2!$Z$71:$Z$244</definedName>
    <definedName name="A2716397F_Data">[1]AustralianNA2!$Z$71:$Z$244</definedName>
    <definedName name="A2716397F_Latest">[1]AustralianNA2!$Z$244</definedName>
    <definedName name="A2716398J">[1]AustralianNA2!$AA$1:$AA$10,[1]AustralianNA2!$AA$71:$AA$244</definedName>
    <definedName name="A2716398J_Data">[1]AustralianNA2!$AA$71:$AA$244</definedName>
    <definedName name="A2716398J_Latest">[1]AustralianNA2!$AA$244</definedName>
    <definedName name="A2716399K">[1]AustralianNA2!$AB$1:$AB$10,[1]AustralianNA2!$AB$71:$AB$244</definedName>
    <definedName name="A2716399K_Data">[1]AustralianNA2!$AB$71:$AB$244</definedName>
    <definedName name="A2716399K_Latest">[1]AustralianNA2!$AB$244</definedName>
    <definedName name="A2716400J">[1]AustralianNA2!$AG$1:$AG$10,[1]AustralianNA2!$AG$71:$AG$244</definedName>
    <definedName name="A2716400J_Data">[1]AustralianNA2!$AG$71:$AG$244</definedName>
    <definedName name="A2716400J_Latest">[1]AustralianNA2!$AG$244</definedName>
    <definedName name="A2716401K">[1]AustralianNA2!$AD$1:$AD$10,[1]AustralianNA2!$AD$71:$AD$244</definedName>
    <definedName name="A2716401K_Data">[1]AustralianNA2!$AD$71:$AD$244</definedName>
    <definedName name="A2716401K_Latest">[1]AustralianNA2!$AD$244</definedName>
    <definedName name="A2716404T">[1]AustralianNA2!$AF$1:$AF$10,[1]AustralianNA2!$AF$71:$AF$244</definedName>
    <definedName name="A2716404T_Data">[1]AustralianNA2!$AF$71:$AF$244</definedName>
    <definedName name="A2716404T_Latest">[1]AustralianNA2!$AF$244</definedName>
    <definedName name="A2716405V">[1]AustralianNA2!$AJ$1:$AJ$10,[1]AustralianNA2!$AJ$71:$AJ$244</definedName>
    <definedName name="A2716405V_Data">[1]AustralianNA2!$AJ$71:$AJ$244</definedName>
    <definedName name="A2716405V_Latest">[1]AustralianNA2!$AJ$244</definedName>
    <definedName name="A2716406W">[1]AustralianNA2!$AM$1:$AM$10,[1]AustralianNA2!$AM$71:$AM$244</definedName>
    <definedName name="A2716406W_Data">[1]AustralianNA2!$AM$71:$AM$244</definedName>
    <definedName name="A2716406W_Latest">[1]AustralianNA2!$AM$244</definedName>
    <definedName name="A2716407X">[1]AustralianNA2!$AP$1:$AP$10,[1]AustralianNA2!$AP$71:$AP$244</definedName>
    <definedName name="A2716407X_Data">[1]AustralianNA2!$AP$71:$AP$244</definedName>
    <definedName name="A2716407X_Latest">[1]AustralianNA2!$AP$244</definedName>
    <definedName name="A2716408A">[1]AustralianNA2!$AS$1:$AS$10,[1]AustralianNA2!$AS$71:$AS$244</definedName>
    <definedName name="A2716408A_Data">[1]AustralianNA2!$AS$71:$AS$244</definedName>
    <definedName name="A2716408A_Latest">[1]AustralianNA2!$AS$244</definedName>
    <definedName name="A2716409C">[1]AustralianNA2!$AT$1:$AT$10,[1]AustralianNA2!$AT$71:$AT$244</definedName>
    <definedName name="A2716409C_Data">[1]AustralianNA2!$AT$71:$AT$244</definedName>
    <definedName name="A2716409C_Latest">[1]AustralianNA2!$AT$244</definedName>
    <definedName name="A2716410L">[1]AustralianNA2!$AU$1:$AU$10,[1]AustralianNA2!$AU$71:$AU$244</definedName>
    <definedName name="A2716410L_Data">[1]AustralianNA2!$AU$71:$AU$244</definedName>
    <definedName name="A2716410L_Latest">[1]AustralianNA2!$AU$244</definedName>
    <definedName name="A2716411R">[1]AustralianNA2!$AV$1:$AV$10,[1]AustralianNA2!$AV$71:$AV$244</definedName>
    <definedName name="A2716411R_Data">[1]AustralianNA2!$AV$71:$AV$244</definedName>
    <definedName name="A2716411R_Latest">[1]AustralianNA2!$AV$244</definedName>
    <definedName name="A2716412T">[1]AustralianNA2!$AW$1:$AW$10,[1]AustralianNA2!$AW$71:$AW$244</definedName>
    <definedName name="A2716412T_Data">[1]AustralianNA2!$AW$71:$AW$244</definedName>
    <definedName name="A2716412T_Latest">[1]AustralianNA2!$AW$244</definedName>
    <definedName name="A2716413V">[1]AustralianNA2!$AX$1:$AX$10,[1]AustralianNA2!$AX$71:$AX$244</definedName>
    <definedName name="A2716413V_Data">[1]AustralianNA2!$AX$71:$AX$244</definedName>
    <definedName name="A2716413V_Latest">[1]AustralianNA2!$AX$244</definedName>
    <definedName name="A2716414W">[1]AustralianNA2!$AY$1:$AY$10,[1]AustralianNA2!$AY$71:$AY$244</definedName>
    <definedName name="A2716414W_Data">[1]AustralianNA2!$AY$71:$AY$244</definedName>
    <definedName name="A2716414W_Latest">[1]AustralianNA2!$AY$244</definedName>
    <definedName name="A2716584L">[1]AustralianNA3!$BR$1:$BR$10,[1]AustralianNA3!$BR$72:$BR$244</definedName>
    <definedName name="A2716584L_Data">[1]AustralianNA3!$BR$72:$BR$244</definedName>
    <definedName name="A2716584L_Latest">[1]AustralianNA3!$BR$244</definedName>
    <definedName name="A2716585R">[1]AustralianNA2!$EY$1:$EY$10,[1]AustralianNA2!$EY$71:$EY$244</definedName>
    <definedName name="A2716585R_Data">[1]AustralianNA2!$EY$71:$EY$244</definedName>
    <definedName name="A2716585R_Latest">[1]AustralianNA2!$EY$244</definedName>
    <definedName name="A2716587V">[1]AustralianNA2!$U$1:$U$10,[1]AustralianNA2!$U$71:$U$244</definedName>
    <definedName name="A2716587V_Data">[1]AustralianNA2!$U$71:$U$244</definedName>
    <definedName name="A2716587V_Latest">[1]AustralianNA2!$U$244</definedName>
    <definedName name="A3348484C">[1]AustralianNA2!$AC$1:$AC$10,[1]AustralianNA2!$AC$71:$AC$244</definedName>
    <definedName name="A3348484C_Data">[1]AustralianNA2!$AC$71:$AC$244</definedName>
    <definedName name="A3348484C_Latest">[1]AustralianNA2!$AC$244</definedName>
    <definedName name="A3348485F">[1]AustralianNA2!$AE$1:$AE$10,[1]AustralianNA2!$AE$71:$AE$244</definedName>
    <definedName name="A3348485F_Data">[1]AustralianNA2!$AE$71:$AE$244</definedName>
    <definedName name="A3348485F_Latest">[1]AustralianNA2!$AE$244</definedName>
    <definedName name="A3348486J">[1]AustralianNA2!$CF$1:$CF$10,[1]AustralianNA2!$CF$72:$CF$244</definedName>
    <definedName name="A3348486J_Data">[1]AustralianNA2!$CF$72:$CF$244</definedName>
    <definedName name="A3348486J_Latest">[1]AustralianNA2!$CF$244</definedName>
    <definedName name="A3348487K">[1]AustralianNA2!$CH$1:$CH$10,[1]AustralianNA2!$CH$72:$CH$244</definedName>
    <definedName name="A3348487K_Data">[1]AustralianNA2!$CH$72:$CH$244</definedName>
    <definedName name="A3348487K_Latest">[1]AustralianNA2!$CH$244</definedName>
    <definedName name="A3348488L">[1]AustralianNA2!$EH$1:$EH$10,[1]AustralianNA2!$EH$71:$EH$244</definedName>
    <definedName name="A3348488L_Data">[1]AustralianNA2!$EH$71:$EH$244</definedName>
    <definedName name="A3348488L_Latest">[1]AustralianNA2!$EH$244</definedName>
    <definedName name="A3348489R">[1]AustralianNA2!$EJ$1:$EJ$10,[1]AustralianNA2!$EJ$71:$EJ$244</definedName>
    <definedName name="A3348489R_Data">[1]AustralianNA2!$EJ$71:$EJ$244</definedName>
    <definedName name="A3348489R_Latest">[1]AustralianNA2!$EJ$244</definedName>
    <definedName name="A3348490X">[1]AustralianNA2!$GK$1:$GK$10,[1]AustralianNA2!$GK$72:$GK$244</definedName>
    <definedName name="A3348490X_Data">[1]AustralianNA2!$GK$72:$GK$244</definedName>
    <definedName name="A3348490X_Latest">[1]AustralianNA2!$GK$244</definedName>
    <definedName name="A3348491A">[1]AustralianNA2!$GM$1:$GM$10,[1]AustralianNA2!$GM$72:$GM$244</definedName>
    <definedName name="A3348491A_Data">[1]AustralianNA2!$GM$72:$GM$244</definedName>
    <definedName name="A3348491A_Latest">[1]AustralianNA2!$GM$244</definedName>
    <definedName name="A3348492C">[1]AustralianNA2!$IM$1:$IM$10,[1]AustralianNA2!$IM$71:$IM$244</definedName>
    <definedName name="A3348492C_Data">[1]AustralianNA2!$IM$71:$IM$244</definedName>
    <definedName name="A3348492C_Latest">[1]AustralianNA2!$IM$244</definedName>
    <definedName name="A3348493F">[1]AustralianNA2!$IO$1:$IO$10,[1]AustralianNA2!$IO$71:$IO$244</definedName>
    <definedName name="A3348493F_Data">[1]AustralianNA2!$IO$71:$IO$244</definedName>
    <definedName name="A3348493F_Latest">[1]AustralianNA2!$IO$244</definedName>
    <definedName name="A3348494J">[1]AustralianNA3!$AZ$1:$AZ$10,[1]AustralianNA3!$AZ$72:$AZ$244</definedName>
    <definedName name="A3348494J_Data">[1]AustralianNA3!$AZ$72:$AZ$244</definedName>
    <definedName name="A3348494J_Latest">[1]AustralianNA3!$AZ$244</definedName>
    <definedName name="A3348495K">[1]AustralianNA3!$BB$1:$BB$10,[1]AustralianNA3!$BB$72:$BB$244</definedName>
    <definedName name="A3348495K_Data">[1]AustralianNA3!$BB$72:$BB$244</definedName>
    <definedName name="A3348495K_Latest">[1]AustralianNA3!$BB$244</definedName>
    <definedName name="A3605670A">[1]AustralianNA2!$FM$1:$FM$10,[1]AustralianNA2!$FM$116:$FM$244</definedName>
    <definedName name="A3605670A_Data">[1]AustralianNA2!$FM$116:$FM$244</definedName>
    <definedName name="A3605670A_Latest">[1]AustralianNA2!$FM$244</definedName>
    <definedName name="A3605672F">[1]AustralianNA2!$FN$1:$FN$10,[1]AustralianNA2!$FN$116:$FN$244</definedName>
    <definedName name="A3605672F_Data">[1]AustralianNA2!$FN$116:$FN$244</definedName>
    <definedName name="A3605672F_Latest">[1]AustralianNA2!$FN$244</definedName>
    <definedName name="A3605673J">[1]AustralianNA2!$HP$1:$HP$10,[1]AustralianNA2!$HP$115:$HP$244</definedName>
    <definedName name="A3605673J_Data">[1]AustralianNA2!$HP$115:$HP$244</definedName>
    <definedName name="A3605673J_Latest">[1]AustralianNA2!$HP$244</definedName>
    <definedName name="A3605674K">[1]AustralianNA2!$BH$1:$BH$10,[1]AustralianNA2!$BH$116:$BH$244</definedName>
    <definedName name="A3605674K_Data">[1]AustralianNA2!$BH$116:$BH$244</definedName>
    <definedName name="A3605674K_Latest">[1]AustralianNA2!$BH$244</definedName>
    <definedName name="A3605676R">[1]AustralianNA2!$BI$1:$BI$10,[1]AustralianNA2!$BI$116:$BI$244</definedName>
    <definedName name="A3605676R_Data">[1]AustralianNA2!$BI$116:$BI$244</definedName>
    <definedName name="A3605676R_Latest">[1]AustralianNA2!$BI$244</definedName>
    <definedName name="A3605677T">[1]AustralianNA2!$HO$1:$HO$10,[1]AustralianNA2!$HO$115:$HO$244</definedName>
    <definedName name="A3605677T_Data">[1]AustralianNA2!$HO$115:$HO$244</definedName>
    <definedName name="A3605677T_Latest">[1]AustralianNA2!$HO$244</definedName>
    <definedName name="A3606066X">[1]AustralianNA2!$DJ$1:$DJ$10,[1]AustralianNA2!$DJ$115:$DJ$244</definedName>
    <definedName name="A3606066X_Data">[1]AustralianNA2!$DJ$115:$DJ$244</definedName>
    <definedName name="A3606066X_Latest">[1]AustralianNA2!$DJ$244</definedName>
    <definedName name="A3606067A">[1]AustralianNA2!$DK$1:$DK$10,[1]AustralianNA2!$DK$115:$DK$244</definedName>
    <definedName name="A3606067A_Data">[1]AustralianNA2!$DK$115:$DK$244</definedName>
    <definedName name="A3606067A_Latest">[1]AustralianNA2!$DK$244</definedName>
    <definedName name="A3606069F">[1]AustralianNA2!$E$1:$E$10,[1]AustralianNA2!$E$115:$E$244</definedName>
    <definedName name="A3606069F_Data">[1]AustralianNA2!$E$115:$E$244</definedName>
    <definedName name="A3606069F_Latest">[1]AustralianNA2!$E$244</definedName>
    <definedName name="A3606070R">[1]AustralianNA2!$F$1:$F$10,[1]AustralianNA2!$F$115:$F$244</definedName>
    <definedName name="A3606070R_Data">[1]AustralianNA2!$F$115:$F$244</definedName>
    <definedName name="A3606070R_Latest">[1]AustralianNA2!$F$244</definedName>
    <definedName name="A3606072V">[1]AustralianNA3!$AB$1:$AB$10,[1]AustralianNA3!$AB$116:$AB$244</definedName>
    <definedName name="A3606072V_Data">[1]AustralianNA3!$AB$116:$AB$244</definedName>
    <definedName name="A3606072V_Latest">[1]AustralianNA3!$AB$244</definedName>
    <definedName name="A3606073W">[1]AustralianNA3!$AC$1:$AC$10,[1]AustralianNA3!$AC$116:$AC$244</definedName>
    <definedName name="A3606073W_Data">[1]AustralianNA3!$AC$116:$AC$244</definedName>
    <definedName name="A3606073W_Latest">[1]AustralianNA3!$AC$244</definedName>
    <definedName name="A83722605X">[1]AustralianNA2!$G$1:$G$10,[1]AustralianNA2!$G$115:$G$244</definedName>
    <definedName name="A83722605X_Data">[1]AustralianNA2!$G$115:$G$244</definedName>
    <definedName name="A83722605X_Latest">[1]AustralianNA2!$G$244</definedName>
    <definedName name="A83722606A">[1]AustralianNA2!$FO$1:$FO$10,[1]AustralianNA2!$FO$116:$FO$244</definedName>
    <definedName name="A83722606A_Data">[1]AustralianNA2!$FO$116:$FO$244</definedName>
    <definedName name="A83722606A_Latest">[1]AustralianNA2!$FO$244</definedName>
    <definedName name="A83722607C">[1]AustralianNA2!$BJ$1:$BJ$10,[1]AustralianNA2!$BJ$116:$BJ$244</definedName>
    <definedName name="A83722607C_Data">[1]AustralianNA2!$BJ$116:$BJ$244</definedName>
    <definedName name="A83722607C_Latest">[1]AustralianNA2!$BJ$244</definedName>
    <definedName name="A83722608F">[1]AustralianNA2!$HR$1:$HR$10,[1]AustralianNA2!$HR$115:$HR$244</definedName>
    <definedName name="A83722608F_Data">[1]AustralianNA2!$HR$115:$HR$244</definedName>
    <definedName name="A83722608F_Latest">[1]AustralianNA2!$HR$244</definedName>
    <definedName name="A83722609J">[1]AustralianNA2!$DM$1:$DM$10,[1]AustralianNA2!$DM$115:$DM$244</definedName>
    <definedName name="A83722609J_Data">[1]AustralianNA2!$DM$115:$DM$244</definedName>
    <definedName name="A83722609J_Latest">[1]AustralianNA2!$DM$244</definedName>
    <definedName name="A83722610T">[1]AustralianNA2!$H$1:$H$10,[1]AustralianNA2!$H$115:$H$244</definedName>
    <definedName name="A83722610T_Data">[1]AustralianNA2!$H$115:$H$244</definedName>
    <definedName name="A83722610T_Latest">[1]AustralianNA2!$H$244</definedName>
    <definedName name="A83722611V">[1]AustralianNA2!$FP$1:$FP$10,[1]AustralianNA2!$FP$116:$FP$244</definedName>
    <definedName name="A83722611V_Data">[1]AustralianNA2!$FP$116:$FP$244</definedName>
    <definedName name="A83722611V_Latest">[1]AustralianNA2!$FP$244</definedName>
    <definedName name="A83722612W">[1]AustralianNA2!$BK$1:$BK$10,[1]AustralianNA2!$BK$116:$BK$244</definedName>
    <definedName name="A83722612W_Data">[1]AustralianNA2!$BK$116:$BK$244</definedName>
    <definedName name="A83722612W_Latest">[1]AustralianNA2!$BK$244</definedName>
    <definedName name="A83722613X">[1]AustralianNA3!$AE$1:$AE$10,[1]AustralianNA3!$AE$116:$AE$244</definedName>
    <definedName name="A83722613X_Data">[1]AustralianNA3!$AE$116:$AE$244</definedName>
    <definedName name="A83722613X_Latest">[1]AustralianNA3!$AE$244</definedName>
    <definedName name="A83722620W">[1]AustralianNA2!$HQ$1:$HQ$10,[1]AustralianNA2!$HQ$115:$HQ$244</definedName>
    <definedName name="A83722620W_Data">[1]AustralianNA2!$HQ$115:$HQ$244</definedName>
    <definedName name="A83722620W_Latest">[1]AustralianNA2!$HQ$244</definedName>
    <definedName name="A83722621X">[1]AustralianNA2!$DL$1:$DL$10,[1]AustralianNA2!$DL$115:$DL$244</definedName>
    <definedName name="A83722621X_Data">[1]AustralianNA2!$DL$115:$DL$244</definedName>
    <definedName name="A83722621X_Latest">[1]AustralianNA2!$DL$244</definedName>
    <definedName name="A83722622A">[1]AustralianNA3!$AD$1:$AD$10,[1]AustralianNA3!$AD$116:$AD$244</definedName>
    <definedName name="A83722622A_Data">[1]AustralianNA3!$AD$116:$AD$244</definedName>
    <definedName name="A83722622A_Latest">[1]AustralianNA3!$AD$244</definedName>
    <definedName name="A85124990W">[1]AustralianNA4!$R$1:$R$10,[1]AustralianNA4!$R$11:$R$128</definedName>
    <definedName name="A85124990W_Data">[1]AustralianNA4!$R$11:$R$128</definedName>
    <definedName name="A85124990W_Latest">[1]AustralianNA4!$R$128</definedName>
    <definedName name="A85124991X">[1]AustralianNA4!$S$1:$S$10,[1]AustralianNA4!$S$11:$S$128</definedName>
    <definedName name="A85124991X_Data">[1]AustralianNA4!$S$11:$S$128</definedName>
    <definedName name="A85124991X_Latest">[1]AustralianNA4!$S$128</definedName>
    <definedName name="A85124992A">[1]AustralianNA4!$T$1:$T$10,[1]AustralianNA4!$T$11:$T$128</definedName>
    <definedName name="A85124992A_Data">[1]AustralianNA4!$T$11:$T$128</definedName>
    <definedName name="A85124992A_Latest">[1]AustralianNA4!$T$128</definedName>
    <definedName name="A85124993C">[1]AustralianNA4!$U$1:$U$10,[1]AustralianNA4!$U$11:$U$128</definedName>
    <definedName name="A85124993C_Data">[1]AustralianNA4!$U$11:$U$128</definedName>
    <definedName name="A85124993C_Latest">[1]AustralianNA4!$U$128</definedName>
    <definedName name="A85124994F">[1]AustralianNA4!$V$1:$V$10,[1]AustralianNA4!$V$11:$V$128</definedName>
    <definedName name="A85124994F_Data">[1]AustralianNA4!$V$11:$V$128</definedName>
    <definedName name="A85124994F_Latest">[1]AustralianNA4!$V$128</definedName>
    <definedName name="A85124995J">[1]AustralianNA4!$W$1:$W$10,[1]AustralianNA4!$W$11:$W$128</definedName>
    <definedName name="A85124995J_Data">[1]AustralianNA4!$W$11:$W$128</definedName>
    <definedName name="A85124995J_Latest">[1]AustralianNA4!$W$128</definedName>
    <definedName name="A85124996K">[1]AustralianNA4!$X$1:$X$10,[1]AustralianNA4!$X$11:$X$128</definedName>
    <definedName name="A85124996K_Data">[1]AustralianNA4!$X$11:$X$128</definedName>
    <definedName name="A85124996K_Latest">[1]AustralianNA4!$X$128</definedName>
    <definedName name="A85124997L">[1]AustralianNA4!$Y$1:$Y$10,[1]AustralianNA4!$Y$11:$Y$128</definedName>
    <definedName name="A85124997L_Data">[1]AustralianNA4!$Y$11:$Y$128</definedName>
    <definedName name="A85124997L_Latest">[1]AustralianNA4!$Y$128</definedName>
    <definedName name="A85124998R">[1]AustralianNA4!$Z$1:$Z$10,[1]AustralianNA4!$Z$11:$Z$128</definedName>
    <definedName name="A85124998R_Data">[1]AustralianNA4!$Z$11:$Z$128</definedName>
    <definedName name="A85124998R_Latest">[1]AustralianNA4!$Z$128</definedName>
    <definedName name="A85124999T">[1]AustralianNA4!$AA$1:$AA$10,[1]AustralianNA4!$AA$11:$AA$128</definedName>
    <definedName name="A85124999T_Data">[1]AustralianNA4!$AA$11:$AA$128</definedName>
    <definedName name="A85124999T_Latest">[1]AustralianNA4!$AA$128</definedName>
    <definedName name="A85125000T">[1]AustralianNA4!$AC$1:$AC$10,[1]AustralianNA4!$AC$11:$AC$128</definedName>
    <definedName name="A85125000T_Data">[1]AustralianNA4!$AC$11:$AC$128</definedName>
    <definedName name="A85125000T_Latest">[1]AustralianNA4!$AC$128</definedName>
    <definedName name="A85125001V">[1]AustralianNA4!$AD$1:$AD$10,[1]AustralianNA4!$AD$11:$AD$128</definedName>
    <definedName name="A85125001V_Data">[1]AustralianNA4!$AD$11:$AD$128</definedName>
    <definedName name="A85125001V_Latest">[1]AustralianNA4!$AD$128</definedName>
    <definedName name="A85125002W">[1]AustralianNA4!$AE$1:$AE$10,[1]AustralianNA4!$AE$11:$AE$128</definedName>
    <definedName name="A85125002W_Data">[1]AustralianNA4!$AE$11:$AE$128</definedName>
    <definedName name="A85125002W_Latest">[1]AustralianNA4!$AE$128</definedName>
    <definedName name="A85125003X">[1]AustralianNA4!$AF$1:$AF$10,[1]AustralianNA4!$AF$11:$AF$128</definedName>
    <definedName name="A85125003X_Data">[1]AustralianNA4!$AF$11:$AF$128</definedName>
    <definedName name="A85125003X_Latest">[1]AustralianNA4!$AF$128</definedName>
    <definedName name="A85125004A">[1]AustralianNA4!$AG$1:$AG$10,[1]AustralianNA4!$AG$11:$AG$128</definedName>
    <definedName name="A85125004A_Data">[1]AustralianNA4!$AG$11:$AG$128</definedName>
    <definedName name="A85125004A_Latest">[1]AustralianNA4!$AG$128</definedName>
    <definedName name="A85125005C">[1]AustralianNA4!$AH$1:$AH$10,[1]AustralianNA4!$AH$11:$AH$128</definedName>
    <definedName name="A85125005C_Data">[1]AustralianNA4!$AH$11:$AH$128</definedName>
    <definedName name="A85125005C_Latest">[1]AustralianNA4!$AH$128</definedName>
    <definedName name="A85125006F">[1]AustralianNA4!$AI$1:$AI$10,[1]AustralianNA4!$AI$11:$AI$128</definedName>
    <definedName name="A85125006F_Data">[1]AustralianNA4!$AI$11:$AI$128</definedName>
    <definedName name="A85125006F_Latest">[1]AustralianNA4!$AI$128</definedName>
    <definedName name="A85125007J">[1]AustralianNA4!$AJ$1:$AJ$10,[1]AustralianNA4!$AJ$11:$AJ$128</definedName>
    <definedName name="A85125007J_Data">[1]AustralianNA4!$AJ$11:$AJ$128</definedName>
    <definedName name="A85125007J_Latest">[1]AustralianNA4!$AJ$128</definedName>
    <definedName name="A85125008K">[1]AustralianNA4!$AK$1:$AK$10,[1]AustralianNA4!$AK$11:$AK$128</definedName>
    <definedName name="A85125008K_Data">[1]AustralianNA4!$AK$11:$AK$128</definedName>
    <definedName name="A85125008K_Latest">[1]AustralianNA4!$AK$128</definedName>
    <definedName name="A85125009L">[1]AustralianNA4!$AL$1:$AL$10,[1]AustralianNA4!$AL$11:$AL$128</definedName>
    <definedName name="A85125009L_Data">[1]AustralianNA4!$AL$11:$AL$128</definedName>
    <definedName name="A85125009L_Latest">[1]AustralianNA4!$AL$128</definedName>
    <definedName name="A85125010W">[1]AustralianNA4!$AM$1:$AM$10,[1]AustralianNA4!$AM$11:$AM$128</definedName>
    <definedName name="A85125010W_Data">[1]AustralianNA4!$AM$11:$AM$128</definedName>
    <definedName name="A85125010W_Latest">[1]AustralianNA4!$AM$128</definedName>
    <definedName name="A85125011X">[1]AustralianNA4!$AN$1:$AN$10,[1]AustralianNA4!$AN$11:$AN$128</definedName>
    <definedName name="A85125011X_Data">[1]AustralianNA4!$AN$11:$AN$128</definedName>
    <definedName name="A85125011X_Latest">[1]AustralianNA4!$AN$128</definedName>
    <definedName name="A85125012A">[1]AustralianNA4!$AO$1:$AO$10,[1]AustralianNA4!$AO$11:$AO$128</definedName>
    <definedName name="A85125012A_Data">[1]AustralianNA4!$AO$11:$AO$128</definedName>
    <definedName name="A85125012A_Latest">[1]AustralianNA4!$AO$128</definedName>
    <definedName name="A85125013C">[1]AustralianNA4!$AP$1:$AP$10,[1]AustralianNA4!$AP$11:$AP$128</definedName>
    <definedName name="A85125013C_Data">[1]AustralianNA4!$AP$11:$AP$128</definedName>
    <definedName name="A85125013C_Latest">[1]AustralianNA4!$AP$128</definedName>
    <definedName name="A85125014F">[1]AustralianNA4!$AQ$1:$AQ$10,[1]AustralianNA4!$AQ$11:$AQ$128</definedName>
    <definedName name="A85125014F_Data">[1]AustralianNA4!$AQ$11:$AQ$128</definedName>
    <definedName name="A85125014F_Latest">[1]AustralianNA4!$AQ$128</definedName>
    <definedName name="A85125015J">[1]AustralianNA4!$AR$1:$AR$10,[1]AustralianNA4!$AR$11:$AR$128</definedName>
    <definedName name="A85125015J_Data">[1]AustralianNA4!$AR$11:$AR$128</definedName>
    <definedName name="A85125015J_Latest">[1]AustralianNA4!$AR$128</definedName>
    <definedName name="A85125016K">[1]AustralianNA4!$AS$1:$AS$10,[1]AustralianNA4!$AS$11:$AS$128</definedName>
    <definedName name="A85125016K_Data">[1]AustralianNA4!$AS$11:$AS$128</definedName>
    <definedName name="A85125016K_Latest">[1]AustralianNA4!$AS$128</definedName>
    <definedName name="A85125017L">[1]AustralianNA4!$AT$1:$AT$10,[1]AustralianNA4!$AT$11:$AT$128</definedName>
    <definedName name="A85125017L_Data">[1]AustralianNA4!$AT$11:$AT$128</definedName>
    <definedName name="A85125017L_Latest">[1]AustralianNA4!$AT$128</definedName>
    <definedName name="A85125018R">[1]AustralianNA4!$AU$1:$AU$10,[1]AustralianNA4!$AU$11:$AU$128</definedName>
    <definedName name="A85125018R_Data">[1]AustralianNA4!$AU$11:$AU$128</definedName>
    <definedName name="A85125018R_Latest">[1]AustralianNA4!$AU$128</definedName>
    <definedName name="A85125019T">[1]AustralianNA4!$AV$1:$AV$10,[1]AustralianNA4!$AV$11:$AV$128</definedName>
    <definedName name="A85125019T_Data">[1]AustralianNA4!$AV$11:$AV$128</definedName>
    <definedName name="A85125019T_Latest">[1]AustralianNA4!$AV$128</definedName>
    <definedName name="A85125020A">[1]AustralianNA4!$AW$1:$AW$10,[1]AustralianNA4!$AW$11:$AW$128</definedName>
    <definedName name="A85125020A_Data">[1]AustralianNA4!$AW$11:$AW$128</definedName>
    <definedName name="A85125020A_Latest">[1]AustralianNA4!$AW$128</definedName>
    <definedName name="A85125021C">[1]AustralianNA4!$AX$1:$AX$10,[1]AustralianNA4!$AX$11:$AX$128</definedName>
    <definedName name="A85125021C_Data">[1]AustralianNA4!$AX$11:$AX$128</definedName>
    <definedName name="A85125021C_Latest">[1]AustralianNA4!$AX$128</definedName>
    <definedName name="A85125022F">[1]AustralianNA4!$AY$1:$AY$10,[1]AustralianNA4!$AY$11:$AY$128</definedName>
    <definedName name="A85125022F_Data">[1]AustralianNA4!$AY$11:$AY$128</definedName>
    <definedName name="A85125022F_Latest">[1]AustralianNA4!$AY$128</definedName>
    <definedName name="A85125023J">[1]AustralianNA4!$AZ$1:$AZ$10,[1]AustralianNA4!$AZ$11:$AZ$128</definedName>
    <definedName name="A85125023J_Data">[1]AustralianNA4!$AZ$11:$AZ$128</definedName>
    <definedName name="A85125023J_Latest">[1]AustralianNA4!$AZ$128</definedName>
    <definedName name="A85125024K">[1]AustralianNA4!$BA$1:$BA$10,[1]AustralianNA4!$BA$11:$BA$128</definedName>
    <definedName name="A85125024K_Data">[1]AustralianNA4!$BA$11:$BA$128</definedName>
    <definedName name="A85125024K_Latest">[1]AustralianNA4!$BA$128</definedName>
    <definedName name="A85125025L">[1]AustralianNA4!$BB$1:$BB$10,[1]AustralianNA4!$BB$11:$BB$128</definedName>
    <definedName name="A85125025L_Data">[1]AustralianNA4!$BB$11:$BB$128</definedName>
    <definedName name="A85125025L_Latest">[1]AustralianNA4!$BB$128</definedName>
    <definedName name="A85125026R">[1]AustralianNA4!$BC$1:$BC$10,[1]AustralianNA4!$BC$11:$BC$128</definedName>
    <definedName name="A85125026R_Data">[1]AustralianNA4!$BC$11:$BC$128</definedName>
    <definedName name="A85125026R_Latest">[1]AustralianNA4!$BC$128</definedName>
    <definedName name="A85125027T">[1]AustralianNA4!$BD$1:$BD$10,[1]AustralianNA4!$BD$11:$BD$128</definedName>
    <definedName name="A85125027T_Data">[1]AustralianNA4!$BD$11:$BD$128</definedName>
    <definedName name="A85125027T_Latest">[1]AustralianNA4!$BD$128</definedName>
    <definedName name="A85125028V">[1]AustralianNA4!$BF$1:$BF$10,[1]AustralianNA4!$BF$11:$BF$128</definedName>
    <definedName name="A85125028V_Data">[1]AustralianNA4!$BF$11:$BF$128</definedName>
    <definedName name="A85125028V_Latest">[1]AustralianNA4!$BF$128</definedName>
    <definedName name="A85125029W">[1]AustralianNA4!$BG$1:$BG$10,[1]AustralianNA4!$BG$11:$BG$128</definedName>
    <definedName name="A85125029W_Data">[1]AustralianNA4!$BG$11:$BG$128</definedName>
    <definedName name="A85125029W_Latest">[1]AustralianNA4!$BG$128</definedName>
    <definedName name="A85125030F">[1]AustralianNA4!$BH$1:$BH$10,[1]AustralianNA4!$BH$11:$BH$128</definedName>
    <definedName name="A85125030F_Data">[1]AustralianNA4!$BH$11:$BH$128</definedName>
    <definedName name="A85125030F_Latest">[1]AustralianNA4!$BH$128</definedName>
    <definedName name="A85125031J">[1]AustralianNA4!$BI$1:$BI$10,[1]AustralianNA4!$BI$11:$BI$128</definedName>
    <definedName name="A85125031J_Data">[1]AustralianNA4!$BI$11:$BI$128</definedName>
    <definedName name="A85125031J_Latest">[1]AustralianNA4!$BI$128</definedName>
    <definedName name="A85125032K">[1]AustralianNA4!$BJ$1:$BJ$10,[1]AustralianNA4!$BJ$11:$BJ$128</definedName>
    <definedName name="A85125032K_Data">[1]AustralianNA4!$BJ$11:$BJ$128</definedName>
    <definedName name="A85125032K_Latest">[1]AustralianNA4!$BJ$128</definedName>
    <definedName name="A85125033L">[1]AustralianNA4!$BK$1:$BK$10,[1]AustralianNA4!$BK$11:$BK$128</definedName>
    <definedName name="A85125033L_Data">[1]AustralianNA4!$BK$11:$BK$128</definedName>
    <definedName name="A85125033L_Latest">[1]AustralianNA4!$BK$128</definedName>
    <definedName name="A85125034R">[1]AustralianNA4!$BL$1:$BL$10,[1]AustralianNA4!$BL$11:$BL$128</definedName>
    <definedName name="A85125034R_Data">[1]AustralianNA4!$BL$11:$BL$128</definedName>
    <definedName name="A85125034R_Latest">[1]AustralianNA4!$BL$128</definedName>
    <definedName name="A85125035T">[1]AustralianNA4!$BM$1:$BM$10,[1]AustralianNA4!$BM$11:$BM$128</definedName>
    <definedName name="A85125035T_Data">[1]AustralianNA4!$BM$11:$BM$128</definedName>
    <definedName name="A85125035T_Latest">[1]AustralianNA4!$BM$128</definedName>
    <definedName name="A85125036V">[1]AustralianNA4!$BN$1:$BN$10,[1]AustralianNA4!$BN$11:$BN$128</definedName>
    <definedName name="A85125036V_Data">[1]AustralianNA4!$BN$11:$BN$128</definedName>
    <definedName name="A85125036V_Latest">[1]AustralianNA4!$BN$128</definedName>
    <definedName name="A85125037W">[1]AustralianNA4!$BO$1:$BO$10,[1]AustralianNA4!$BO$11:$BO$128</definedName>
    <definedName name="A85125037W_Data">[1]AustralianNA4!$BO$11:$BO$128</definedName>
    <definedName name="A85125037W_Latest">[1]AustralianNA4!$BO$128</definedName>
    <definedName name="A85125038X">[1]AustralianNA4!$BP$1:$BP$10,[1]AustralianNA4!$BP$11:$BP$128</definedName>
    <definedName name="A85125038X_Data">[1]AustralianNA4!$BP$11:$BP$128</definedName>
    <definedName name="A85125038X_Latest">[1]AustralianNA4!$BP$128</definedName>
    <definedName name="A85125039A">[1]AustralianNA4!$BQ$1:$BQ$10,[1]AustralianNA4!$BQ$11:$BQ$128</definedName>
    <definedName name="A85125039A_Data">[1]AustralianNA4!$BQ$11:$BQ$128</definedName>
    <definedName name="A85125039A_Latest">[1]AustralianNA4!$BQ$128</definedName>
    <definedName name="A85125040K">[1]AustralianNA4!$BR$1:$BR$10,[1]AustralianNA4!$BR$11:$BR$128</definedName>
    <definedName name="A85125040K_Data">[1]AustralianNA4!$BR$11:$BR$128</definedName>
    <definedName name="A85125040K_Latest">[1]AustralianNA4!$BR$128</definedName>
    <definedName name="A85125041L">[1]AustralianNA4!$BS$1:$BS$10,[1]AustralianNA4!$BS$11:$BS$128</definedName>
    <definedName name="A85125041L_Data">[1]AustralianNA4!$BS$11:$BS$128</definedName>
    <definedName name="A85125041L_Latest">[1]AustralianNA4!$BS$128</definedName>
    <definedName name="A85125042R">[1]AustralianNA4!$BT$1:$BT$10,[1]AustralianNA4!$BT$11:$BT$128</definedName>
    <definedName name="A85125042R_Data">[1]AustralianNA4!$BT$11:$BT$128</definedName>
    <definedName name="A85125042R_Latest">[1]AustralianNA4!$BT$128</definedName>
    <definedName name="A85125043T">[1]AustralianNA4!$BU$1:$BU$10,[1]AustralianNA4!$BU$11:$BU$128</definedName>
    <definedName name="A85125043T_Data">[1]AustralianNA4!$BU$11:$BU$128</definedName>
    <definedName name="A85125043T_Latest">[1]AustralianNA4!$BU$128</definedName>
    <definedName name="A85125044V">[1]AustralianNA4!$BV$1:$BV$10,[1]AustralianNA4!$BV$11:$BV$128</definedName>
    <definedName name="A85125044V_Data">[1]AustralianNA4!$BV$11:$BV$128</definedName>
    <definedName name="A85125044V_Latest">[1]AustralianNA4!$BV$128</definedName>
    <definedName name="A85125045W">[1]AustralianNA4!$BW$1:$BW$10,[1]AustralianNA4!$BW$11:$BW$128</definedName>
    <definedName name="A85125045W_Data">[1]AustralianNA4!$BW$11:$BW$128</definedName>
    <definedName name="A85125045W_Latest">[1]AustralianNA4!$BW$128</definedName>
    <definedName name="A85125046X">[1]AustralianNA4!$BX$1:$BX$10,[1]AustralianNA4!$BX$11:$BX$128</definedName>
    <definedName name="A85125046X_Data">[1]AustralianNA4!$BX$11:$BX$128</definedName>
    <definedName name="A85125046X_Latest">[1]AustralianNA4!$BX$128</definedName>
    <definedName name="A85125047A">[1]AustralianNA4!$BY$1:$BY$10,[1]AustralianNA4!$BY$11:$BY$128</definedName>
    <definedName name="A85125047A_Data">[1]AustralianNA4!$BY$11:$BY$128</definedName>
    <definedName name="A85125047A_Latest">[1]AustralianNA4!$BY$128</definedName>
    <definedName name="A85125048C">[1]AustralianNA4!$BZ$1:$BZ$10,[1]AustralianNA4!$BZ$11:$BZ$128</definedName>
    <definedName name="A85125048C_Data">[1]AustralianNA4!$BZ$11:$BZ$128</definedName>
    <definedName name="A85125048C_Latest">[1]AustralianNA4!$BZ$128</definedName>
    <definedName name="A85125049F">[1]AustralianNA4!$CA$1:$CA$10,[1]AustralianNA4!$CA$11:$CA$128</definedName>
    <definedName name="A85125049F_Data">[1]AustralianNA4!$CA$11:$CA$128</definedName>
    <definedName name="A85125049F_Latest">[1]AustralianNA4!$CA$128</definedName>
    <definedName name="A85125050R">[1]AustralianNA4!$CB$1:$CB$10,[1]AustralianNA4!$CB$11:$CB$128</definedName>
    <definedName name="A85125050R_Data">[1]AustralianNA4!$CB$11:$CB$128</definedName>
    <definedName name="A85125050R_Latest">[1]AustralianNA4!$CB$128</definedName>
    <definedName name="A85125051T">[1]AustralianNA4!$CC$1:$CC$10,[1]AustralianNA4!$CC$11:$CC$128</definedName>
    <definedName name="A85125051T_Data">[1]AustralianNA4!$CC$11:$CC$128</definedName>
    <definedName name="A85125051T_Latest">[1]AustralianNA4!$CC$128</definedName>
    <definedName name="A85125052V">[1]AustralianNA4!$CD$1:$CD$10,[1]AustralianNA4!$CD$11:$CD$128</definedName>
    <definedName name="A85125052V_Data">[1]AustralianNA4!$CD$11:$CD$128</definedName>
    <definedName name="A85125052V_Latest">[1]AustralianNA4!$CD$128</definedName>
    <definedName name="A85125053W">[1]AustralianNA4!$CE$1:$CE$10,[1]AustralianNA4!$CE$11:$CE$128</definedName>
    <definedName name="A85125053W_Data">[1]AustralianNA4!$CE$11:$CE$128</definedName>
    <definedName name="A85125053W_Latest">[1]AustralianNA4!$CE$128</definedName>
    <definedName name="A85125054X">[1]AustralianNA4!$CF$1:$CF$10,[1]AustralianNA4!$CF$11:$CF$128</definedName>
    <definedName name="A85125054X_Data">[1]AustralianNA4!$CF$11:$CF$128</definedName>
    <definedName name="A85125054X_Latest">[1]AustralianNA4!$CF$128</definedName>
    <definedName name="A85125055A">[1]AustralianNA4!$CG$1:$CG$10,[1]AustralianNA4!$CG$11:$CG$128</definedName>
    <definedName name="A85125055A_Data">[1]AustralianNA4!$CG$11:$CG$128</definedName>
    <definedName name="A85125055A_Latest">[1]AustralianNA4!$CG$128</definedName>
    <definedName name="A85125056C">[1]AustralianNA4!$CI$1:$CI$10,[1]AustralianNA4!$CI$11:$CI$128</definedName>
    <definedName name="A85125056C_Data">[1]AustralianNA4!$CI$11:$CI$128</definedName>
    <definedName name="A85125056C_Latest">[1]AustralianNA4!$CI$128</definedName>
    <definedName name="A85125057F">[1]AustralianNA4!$CJ$1:$CJ$10,[1]AustralianNA4!$CJ$11:$CJ$128</definedName>
    <definedName name="A85125057F_Data">[1]AustralianNA4!$CJ$11:$CJ$128</definedName>
    <definedName name="A85125057F_Latest">[1]AustralianNA4!$CJ$128</definedName>
    <definedName name="A85125379W">[1]AustralianNA4!$B$1:$B$10,[1]AustralianNA4!$B$11:$B$128</definedName>
    <definedName name="A85125379W_Data">[1]AustralianNA4!$B$11:$B$128</definedName>
    <definedName name="A85125379W_Latest">[1]AustralianNA4!$B$128</definedName>
    <definedName name="A85125380F">[1]AustralianNA4!$C$1:$C$10,[1]AustralianNA4!$C$11:$C$128</definedName>
    <definedName name="A85125380F_Data">[1]AustralianNA4!$C$11:$C$128</definedName>
    <definedName name="A85125380F_Latest">[1]AustralianNA4!$C$128</definedName>
    <definedName name="A85125381J">[1]AustralianNA4!$D$1:$D$10,[1]AustralianNA4!$D$11:$D$128</definedName>
    <definedName name="A85125381J_Data">[1]AustralianNA4!$D$11:$D$128</definedName>
    <definedName name="A85125381J_Latest">[1]AustralianNA4!$D$128</definedName>
    <definedName name="A85125382K">[1]AustralianNA4!$E$1:$E$10,[1]AustralianNA4!$E$11:$E$128</definedName>
    <definedName name="A85125382K_Data">[1]AustralianNA4!$E$11:$E$128</definedName>
    <definedName name="A85125382K_Latest">[1]AustralianNA4!$E$128</definedName>
    <definedName name="A85125383L">[1]AustralianNA4!$F$1:$F$10,[1]AustralianNA4!$F$11:$F$128</definedName>
    <definedName name="A85125383L_Data">[1]AustralianNA4!$F$11:$F$128</definedName>
    <definedName name="A85125383L_Latest">[1]AustralianNA4!$F$128</definedName>
    <definedName name="A85125384R">[1]AustralianNA4!$G$1:$G$10,[1]AustralianNA4!$G$11:$G$128</definedName>
    <definedName name="A85125384R_Data">[1]AustralianNA4!$G$11:$G$128</definedName>
    <definedName name="A85125384R_Latest">[1]AustralianNA4!$G$128</definedName>
    <definedName name="A85125385T">[1]AustralianNA4!$H$1:$H$10,[1]AustralianNA4!$H$11:$H$128</definedName>
    <definedName name="A85125385T_Data">[1]AustralianNA4!$H$11:$H$128</definedName>
    <definedName name="A85125385T_Latest">[1]AustralianNA4!$H$128</definedName>
    <definedName name="A85125386V">[1]AustralianNA4!$I$1:$I$10,[1]AustralianNA4!$I$11:$I$128</definedName>
    <definedName name="A85125386V_Data">[1]AustralianNA4!$I$11:$I$128</definedName>
    <definedName name="A85125386V_Latest">[1]AustralianNA4!$I$128</definedName>
    <definedName name="A85125387W">[1]AustralianNA4!$J$1:$J$10,[1]AustralianNA4!$J$11:$J$128</definedName>
    <definedName name="A85125387W_Data">[1]AustralianNA4!$J$11:$J$128</definedName>
    <definedName name="A85125387W_Latest">[1]AustralianNA4!$J$128</definedName>
    <definedName name="A85125388X">[1]AustralianNA4!$K$1:$K$10,[1]AustralianNA4!$K$11:$K$128</definedName>
    <definedName name="A85125388X_Data">[1]AustralianNA4!$K$11:$K$128</definedName>
    <definedName name="A85125388X_Latest">[1]AustralianNA4!$K$128</definedName>
    <definedName name="A85125389A">[1]AustralianNA4!$L$1:$L$10,[1]AustralianNA4!$L$11:$L$128</definedName>
    <definedName name="A85125389A_Data">[1]AustralianNA4!$L$11:$L$128</definedName>
    <definedName name="A85125389A_Latest">[1]AustralianNA4!$L$128</definedName>
    <definedName name="A85125390K">[1]AustralianNA4!$M$1:$M$10,[1]AustralianNA4!$M$11:$M$128</definedName>
    <definedName name="A85125390K_Data">[1]AustralianNA4!$M$11:$M$128</definedName>
    <definedName name="A85125390K_Latest">[1]AustralianNA4!$M$128</definedName>
    <definedName name="A85125391L">[1]AustralianNA4!$N$1:$N$10,[1]AustralianNA4!$N$11:$N$128</definedName>
    <definedName name="A85125391L_Data">[1]AustralianNA4!$N$11:$N$128</definedName>
    <definedName name="A85125391L_Latest">[1]AustralianNA4!$N$128</definedName>
    <definedName name="A85125392R">[1]AustralianNA4!$O$1:$O$10,[1]AustralianNA4!$O$11:$O$128</definedName>
    <definedName name="A85125392R_Data">[1]AustralianNA4!$O$11:$O$128</definedName>
    <definedName name="A85125392R_Latest">[1]AustralianNA4!$O$128</definedName>
    <definedName name="A85125393T">[1]AustralianNA4!$P$1:$P$10,[1]AustralianNA4!$P$11:$P$128</definedName>
    <definedName name="A85125393T_Data">[1]AustralianNA4!$P$11:$P$128</definedName>
    <definedName name="A85125393T_Latest">[1]AustralianNA4!$P$128</definedName>
    <definedName name="A85125394V">[1]AustralianNA4!$Q$1:$Q$10,[1]AustralianNA4!$Q$11:$Q$128</definedName>
    <definedName name="A85125394V_Data">[1]AustralianNA4!$Q$11:$Q$128</definedName>
    <definedName name="A85125394V_Latest">[1]AustralianNA4!$Q$128</definedName>
    <definedName name="A85125811W">[1]AustralianNA5!$AC$1:$AC$10,[1]AustralianNA5!$AC$11:$AC$128</definedName>
    <definedName name="A85125811W_Data">[1]AustralianNA5!$AC$11:$AC$128</definedName>
    <definedName name="A85125811W_Latest">[1]AustralianNA5!$AC$128</definedName>
    <definedName name="A85125812X">[1]AustralianNA4!$AB$1:$AB$10,[1]AustralianNA4!$AB$11:$AB$128</definedName>
    <definedName name="A85125812X_Data">[1]AustralianNA4!$AB$11:$AB$128</definedName>
    <definedName name="A85125812X_Latest">[1]AustralianNA4!$AB$128</definedName>
    <definedName name="A85125813A">[1]AustralianNA5!$BG$1:$BG$10,[1]AustralianNA5!$BG$11:$BG$128</definedName>
    <definedName name="A85125813A_Data">[1]AustralianNA5!$BG$11:$BG$128</definedName>
    <definedName name="A85125813A_Latest">[1]AustralianNA5!$BG$128</definedName>
    <definedName name="A85125814C">[1]AustralianNA4!$BE$1:$BE$10,[1]AustralianNA4!$BE$11:$BE$128</definedName>
    <definedName name="A85125814C_Data">[1]AustralianNA4!$BE$11:$BE$128</definedName>
    <definedName name="A85125814C_Latest">[1]AustralianNA4!$BE$128</definedName>
    <definedName name="A85125815F">[1]AustralianNA5!$CK$1:$CK$10,[1]AustralianNA5!$CK$11:$CK$128</definedName>
    <definedName name="A85125815F_Data">[1]AustralianNA5!$CK$11:$CK$128</definedName>
    <definedName name="A85125815F_Latest">[1]AustralianNA5!$CK$128</definedName>
    <definedName name="A85125816J">[1]AustralianNA4!$CH$1:$CH$10,[1]AustralianNA4!$CH$11:$CH$128</definedName>
    <definedName name="A85125816J_Data">[1]AustralianNA4!$CH$11:$CH$128</definedName>
    <definedName name="A85125816J_Latest">[1]AustralianNA4!$CH$128</definedName>
    <definedName name="A85125817K">[1]AustralianNA5!$B$1:$B$10,[1]AustralianNA5!$B$11:$B$128</definedName>
    <definedName name="A85125817K_Data">[1]AustralianNA5!$B$11:$B$128</definedName>
    <definedName name="A85125817K_Latest">[1]AustralianNA5!$B$128</definedName>
    <definedName name="A85125818L">[1]AustralianNA5!$C$1:$C$10,[1]AustralianNA5!$C$11:$C$128</definedName>
    <definedName name="A85125818L_Data">[1]AustralianNA5!$C$11:$C$128</definedName>
    <definedName name="A85125818L_Latest">[1]AustralianNA5!$C$128</definedName>
    <definedName name="A85125819R">[1]AustralianNA5!$D$1:$D$10,[1]AustralianNA5!$D$11:$D$128</definedName>
    <definedName name="A85125819R_Data">[1]AustralianNA5!$D$11:$D$128</definedName>
    <definedName name="A85125819R_Latest">[1]AustralianNA5!$D$128</definedName>
    <definedName name="A85125820X">[1]AustralianNA5!$E$1:$E$10,[1]AustralianNA5!$E$11:$E$128</definedName>
    <definedName name="A85125820X_Data">[1]AustralianNA5!$E$11:$E$128</definedName>
    <definedName name="A85125820X_Latest">[1]AustralianNA5!$E$128</definedName>
    <definedName name="A85125821A">[1]AustralianNA5!$F$1:$F$10,[1]AustralianNA5!$F$11:$F$128</definedName>
    <definedName name="A85125821A_Data">[1]AustralianNA5!$F$11:$F$128</definedName>
    <definedName name="A85125821A_Latest">[1]AustralianNA5!$F$128</definedName>
    <definedName name="A85125822C">[1]AustralianNA5!$G$1:$G$10,[1]AustralianNA5!$G$11:$G$128</definedName>
    <definedName name="A85125822C_Data">[1]AustralianNA5!$G$11:$G$128</definedName>
    <definedName name="A85125822C_Latest">[1]AustralianNA5!$G$128</definedName>
    <definedName name="A85125823F">[1]AustralianNA5!$H$1:$H$10,[1]AustralianNA5!$H$11:$H$128</definedName>
    <definedName name="A85125823F_Data">[1]AustralianNA5!$H$11:$H$128</definedName>
    <definedName name="A85125823F_Latest">[1]AustralianNA5!$H$128</definedName>
    <definedName name="A85125824J">[1]AustralianNA5!$I$1:$I$10,[1]AustralianNA5!$I$11:$I$128</definedName>
    <definedName name="A85125824J_Data">[1]AustralianNA5!$I$11:$I$128</definedName>
    <definedName name="A85125824J_Latest">[1]AustralianNA5!$I$128</definedName>
    <definedName name="A85125825K">[1]AustralianNA5!$J$1:$J$10,[1]AustralianNA5!$J$11:$J$128</definedName>
    <definedName name="A85125825K_Data">[1]AustralianNA5!$J$11:$J$128</definedName>
    <definedName name="A85125825K_Latest">[1]AustralianNA5!$J$128</definedName>
    <definedName name="A85125826L">[1]AustralianNA5!$K$1:$K$10,[1]AustralianNA5!$K$11:$K$128</definedName>
    <definedName name="A85125826L_Data">[1]AustralianNA5!$K$11:$K$128</definedName>
    <definedName name="A85125826L_Latest">[1]AustralianNA5!$K$128</definedName>
    <definedName name="A85125827R">[1]AustralianNA5!$L$1:$L$10,[1]AustralianNA5!$L$11:$L$128</definedName>
    <definedName name="A85125827R_Data">[1]AustralianNA5!$L$11:$L$128</definedName>
    <definedName name="A85125827R_Latest">[1]AustralianNA5!$L$128</definedName>
    <definedName name="A85125828T">[1]AustralianNA5!$M$1:$M$10,[1]AustralianNA5!$M$11:$M$128</definedName>
    <definedName name="A85125828T_Data">[1]AustralianNA5!$M$11:$M$128</definedName>
    <definedName name="A85125828T_Latest">[1]AustralianNA5!$M$128</definedName>
    <definedName name="A85125829V">[1]AustralianNA5!$N$1:$N$10,[1]AustralianNA5!$N$11:$N$128</definedName>
    <definedName name="A85125829V_Data">[1]AustralianNA5!$N$11:$N$128</definedName>
    <definedName name="A85125829V_Latest">[1]AustralianNA5!$N$128</definedName>
    <definedName name="A85125830C">[1]AustralianNA5!$O$1:$O$10,[1]AustralianNA5!$O$11:$O$128</definedName>
    <definedName name="A85125830C_Data">[1]AustralianNA5!$O$11:$O$128</definedName>
    <definedName name="A85125830C_Latest">[1]AustralianNA5!$O$128</definedName>
    <definedName name="A85125831F">[1]AustralianNA5!$P$1:$P$10,[1]AustralianNA5!$P$11:$P$128</definedName>
    <definedName name="A85125831F_Data">[1]AustralianNA5!$P$11:$P$128</definedName>
    <definedName name="A85125831F_Latest">[1]AustralianNA5!$P$128</definedName>
    <definedName name="A85125832J">[1]AustralianNA5!$Q$1:$Q$10,[1]AustralianNA5!$Q$11:$Q$128</definedName>
    <definedName name="A85125832J_Data">[1]AustralianNA5!$Q$11:$Q$128</definedName>
    <definedName name="A85125832J_Latest">[1]AustralianNA5!$Q$128</definedName>
    <definedName name="A85125833K">[1]AustralianNA5!$R$1:$R$10,[1]AustralianNA5!$R$11:$R$128</definedName>
    <definedName name="A85125833K_Data">[1]AustralianNA5!$R$11:$R$128</definedName>
    <definedName name="A85125833K_Latest">[1]AustralianNA5!$R$128</definedName>
    <definedName name="A85125834L">[1]AustralianNA5!$S$1:$S$10,[1]AustralianNA5!$S$11:$S$128</definedName>
    <definedName name="A85125834L_Data">[1]AustralianNA5!$S$11:$S$128</definedName>
    <definedName name="A85125834L_Latest">[1]AustralianNA5!$S$128</definedName>
    <definedName name="A85125835R">[1]AustralianNA5!$T$1:$T$10,[1]AustralianNA5!$T$11:$T$128</definedName>
    <definedName name="A85125835R_Data">[1]AustralianNA5!$T$11:$T$128</definedName>
    <definedName name="A85125835R_Latest">[1]AustralianNA5!$T$128</definedName>
    <definedName name="A85125836T">[1]AustralianNA5!$U$1:$U$10,[1]AustralianNA5!$U$11:$U$128</definedName>
    <definedName name="A85125836T_Data">[1]AustralianNA5!$U$11:$U$128</definedName>
    <definedName name="A85125836T_Latest">[1]AustralianNA5!$U$128</definedName>
    <definedName name="A85125837V">[1]AustralianNA5!$V$1:$V$10,[1]AustralianNA5!$V$11:$V$128</definedName>
    <definedName name="A85125837V_Data">[1]AustralianNA5!$V$11:$V$128</definedName>
    <definedName name="A85125837V_Latest">[1]AustralianNA5!$V$128</definedName>
    <definedName name="A85125838W">[1]AustralianNA5!$W$1:$W$10,[1]AustralianNA5!$W$11:$W$128</definedName>
    <definedName name="A85125838W_Data">[1]AustralianNA5!$W$11:$W$128</definedName>
    <definedName name="A85125838W_Latest">[1]AustralianNA5!$W$128</definedName>
    <definedName name="A85125839X">[1]AustralianNA5!$X$1:$X$10,[1]AustralianNA5!$X$11:$X$128</definedName>
    <definedName name="A85125839X_Data">[1]AustralianNA5!$X$11:$X$128</definedName>
    <definedName name="A85125839X_Latest">[1]AustralianNA5!$X$128</definedName>
    <definedName name="A85125840J">[1]AustralianNA5!$Y$1:$Y$10,[1]AustralianNA5!$Y$11:$Y$128</definedName>
    <definedName name="A85125840J_Data">[1]AustralianNA5!$Y$11:$Y$128</definedName>
    <definedName name="A85125840J_Latest">[1]AustralianNA5!$Y$128</definedName>
    <definedName name="A85125841K">[1]AustralianNA5!$Z$1:$Z$10,[1]AustralianNA5!$Z$11:$Z$128</definedName>
    <definedName name="A85125841K_Data">[1]AustralianNA5!$Z$11:$Z$128</definedName>
    <definedName name="A85125841K_Latest">[1]AustralianNA5!$Z$128</definedName>
    <definedName name="A85125842L">[1]AustralianNA5!$AA$1:$AA$10,[1]AustralianNA5!$AA$11:$AA$128</definedName>
    <definedName name="A85125842L_Data">[1]AustralianNA5!$AA$11:$AA$128</definedName>
    <definedName name="A85125842L_Latest">[1]AustralianNA5!$AA$128</definedName>
    <definedName name="A85125843R">[1]AustralianNA5!$AB$1:$AB$10,[1]AustralianNA5!$AB$11:$AB$128</definedName>
    <definedName name="A85125843R_Data">[1]AustralianNA5!$AB$11:$AB$128</definedName>
    <definedName name="A85125843R_Latest">[1]AustralianNA5!$AB$128</definedName>
    <definedName name="A85125844T">[1]AustralianNA5!$AD$1:$AD$10,[1]AustralianNA5!$AD$11:$AD$128</definedName>
    <definedName name="A85125844T_Data">[1]AustralianNA5!$AD$11:$AD$128</definedName>
    <definedName name="A85125844T_Latest">[1]AustralianNA5!$AD$128</definedName>
    <definedName name="A85125845V">[1]AustralianNA5!$AE$1:$AE$10,[1]AustralianNA5!$AE$11:$AE$128</definedName>
    <definedName name="A85125845V_Data">[1]AustralianNA5!$AE$11:$AE$128</definedName>
    <definedName name="A85125845V_Latest">[1]AustralianNA5!$AE$128</definedName>
    <definedName name="A85125846W">[1]AustralianNA5!$AF$1:$AF$10,[1]AustralianNA5!$AF$11:$AF$128</definedName>
    <definedName name="A85125846W_Data">[1]AustralianNA5!$AF$11:$AF$128</definedName>
    <definedName name="A85125846W_Latest">[1]AustralianNA5!$AF$128</definedName>
    <definedName name="A85125847X">[1]AustralianNA5!$AG$1:$AG$10,[1]AustralianNA5!$AG$11:$AG$128</definedName>
    <definedName name="A85125847X_Data">[1]AustralianNA5!$AG$11:$AG$128</definedName>
    <definedName name="A85125847X_Latest">[1]AustralianNA5!$AG$128</definedName>
    <definedName name="A85125848A">[1]AustralianNA5!$AH$1:$AH$10,[1]AustralianNA5!$AH$11:$AH$128</definedName>
    <definedName name="A85125848A_Data">[1]AustralianNA5!$AH$11:$AH$128</definedName>
    <definedName name="A85125848A_Latest">[1]AustralianNA5!$AH$128</definedName>
    <definedName name="A85125849C">[1]AustralianNA5!$AI$1:$AI$10,[1]AustralianNA5!$AI$11:$AI$128</definedName>
    <definedName name="A85125849C_Data">[1]AustralianNA5!$AI$11:$AI$128</definedName>
    <definedName name="A85125849C_Latest">[1]AustralianNA5!$AI$128</definedName>
    <definedName name="A85125850L">[1]AustralianNA5!$AJ$1:$AJ$10,[1]AustralianNA5!$AJ$11:$AJ$128</definedName>
    <definedName name="A85125850L_Data">[1]AustralianNA5!$AJ$11:$AJ$128</definedName>
    <definedName name="A85125850L_Latest">[1]AustralianNA5!$AJ$128</definedName>
    <definedName name="A85125851R">[1]AustralianNA5!$AK$1:$AK$10,[1]AustralianNA5!$AK$11:$AK$128</definedName>
    <definedName name="A85125851R_Data">[1]AustralianNA5!$AK$11:$AK$128</definedName>
    <definedName name="A85125851R_Latest">[1]AustralianNA5!$AK$128</definedName>
    <definedName name="A85125852T">[1]AustralianNA5!$AL$1:$AL$10,[1]AustralianNA5!$AL$11:$AL$128</definedName>
    <definedName name="A85125852T_Data">[1]AustralianNA5!$AL$11:$AL$128</definedName>
    <definedName name="A85125852T_Latest">[1]AustralianNA5!$AL$128</definedName>
    <definedName name="A85125853V">[1]AustralianNA5!$AM$1:$AM$10,[1]AustralianNA5!$AM$11:$AM$128</definedName>
    <definedName name="A85125853V_Data">[1]AustralianNA5!$AM$11:$AM$128</definedName>
    <definedName name="A85125853V_Latest">[1]AustralianNA5!$AM$128</definedName>
    <definedName name="A85125854W">[1]AustralianNA5!$AN$1:$AN$10,[1]AustralianNA5!$AN$11:$AN$128</definedName>
    <definedName name="A85125854W_Data">[1]AustralianNA5!$AN$11:$AN$128</definedName>
    <definedName name="A85125854W_Latest">[1]AustralianNA5!$AN$128</definedName>
    <definedName name="A85125855X">[1]AustralianNA5!$AO$1:$AO$10,[1]AustralianNA5!$AO$11:$AO$128</definedName>
    <definedName name="A85125855X_Data">[1]AustralianNA5!$AO$11:$AO$128</definedName>
    <definedName name="A85125855X_Latest">[1]AustralianNA5!$AO$128</definedName>
    <definedName name="A85125856A">[1]AustralianNA5!$AP$1:$AP$10,[1]AustralianNA5!$AP$11:$AP$128</definedName>
    <definedName name="A85125856A_Data">[1]AustralianNA5!$AP$11:$AP$128</definedName>
    <definedName name="A85125856A_Latest">[1]AustralianNA5!$AP$128</definedName>
    <definedName name="A85125857C">[1]AustralianNA5!$AQ$1:$AQ$10,[1]AustralianNA5!$AQ$11:$AQ$128</definedName>
    <definedName name="A85125857C_Data">[1]AustralianNA5!$AQ$11:$AQ$128</definedName>
    <definedName name="A85125857C_Latest">[1]AustralianNA5!$AQ$128</definedName>
    <definedName name="A85125858F">[1]AustralianNA5!$AR$1:$AR$10,[1]AustralianNA5!$AR$11:$AR$128</definedName>
    <definedName name="A85125858F_Data">[1]AustralianNA5!$AR$11:$AR$128</definedName>
    <definedName name="A85125858F_Latest">[1]AustralianNA5!$AR$128</definedName>
    <definedName name="A85125859J">[1]AustralianNA5!$AS$1:$AS$10,[1]AustralianNA5!$AS$11:$AS$128</definedName>
    <definedName name="A85125859J_Data">[1]AustralianNA5!$AS$11:$AS$128</definedName>
    <definedName name="A85125859J_Latest">[1]AustralianNA5!$AS$128</definedName>
    <definedName name="A85125860T">[1]AustralianNA5!$AT$1:$AT$10,[1]AustralianNA5!$AT$11:$AT$128</definedName>
    <definedName name="A85125860T_Data">[1]AustralianNA5!$AT$11:$AT$128</definedName>
    <definedName name="A85125860T_Latest">[1]AustralianNA5!$AT$128</definedName>
    <definedName name="A85125861V">[1]AustralianNA5!$AU$1:$AU$10,[1]AustralianNA5!$AU$11:$AU$128</definedName>
    <definedName name="A85125861V_Data">[1]AustralianNA5!$AU$11:$AU$128</definedName>
    <definedName name="A85125861V_Latest">[1]AustralianNA5!$AU$128</definedName>
    <definedName name="A85125862W">[1]AustralianNA5!$AV$1:$AV$10,[1]AustralianNA5!$AV$11:$AV$128</definedName>
    <definedName name="A85125862W_Data">[1]AustralianNA5!$AV$11:$AV$128</definedName>
    <definedName name="A85125862W_Latest">[1]AustralianNA5!$AV$128</definedName>
    <definedName name="A85125863X">[1]AustralianNA5!$AW$1:$AW$10,[1]AustralianNA5!$AW$11:$AW$128</definedName>
    <definedName name="A85125863X_Data">[1]AustralianNA5!$AW$11:$AW$128</definedName>
    <definedName name="A85125863X_Latest">[1]AustralianNA5!$AW$128</definedName>
    <definedName name="A85125864A">[1]AustralianNA5!$AX$1:$AX$10,[1]AustralianNA5!$AX$11:$AX$128</definedName>
    <definedName name="A85125864A_Data">[1]AustralianNA5!$AX$11:$AX$128</definedName>
    <definedName name="A85125864A_Latest">[1]AustralianNA5!$AX$128</definedName>
    <definedName name="A85125865C">[1]AustralianNA5!$AY$1:$AY$10,[1]AustralianNA5!$AY$11:$AY$128</definedName>
    <definedName name="A85125865C_Data">[1]AustralianNA5!$AY$11:$AY$128</definedName>
    <definedName name="A85125865C_Latest">[1]AustralianNA5!$AY$128</definedName>
    <definedName name="A85125866F">[1]AustralianNA5!$AZ$1:$AZ$10,[1]AustralianNA5!$AZ$11:$AZ$128</definedName>
    <definedName name="A85125866F_Data">[1]AustralianNA5!$AZ$11:$AZ$128</definedName>
    <definedName name="A85125866F_Latest">[1]AustralianNA5!$AZ$128</definedName>
    <definedName name="A85125867J">[1]AustralianNA5!$BA$1:$BA$10,[1]AustralianNA5!$BA$11:$BA$128</definedName>
    <definedName name="A85125867J_Data">[1]AustralianNA5!$BA$11:$BA$128</definedName>
    <definedName name="A85125867J_Latest">[1]AustralianNA5!$BA$128</definedName>
    <definedName name="A85125868K">[1]AustralianNA5!$BB$1:$BB$10,[1]AustralianNA5!$BB$11:$BB$128</definedName>
    <definedName name="A85125868K_Data">[1]AustralianNA5!$BB$11:$BB$128</definedName>
    <definedName name="A85125868K_Latest">[1]AustralianNA5!$BB$128</definedName>
    <definedName name="A85125869L">[1]AustralianNA5!$BC$1:$BC$10,[1]AustralianNA5!$BC$11:$BC$128</definedName>
    <definedName name="A85125869L_Data">[1]AustralianNA5!$BC$11:$BC$128</definedName>
    <definedName name="A85125869L_Latest">[1]AustralianNA5!$BC$128</definedName>
    <definedName name="A85125870W">[1]AustralianNA5!$BD$1:$BD$10,[1]AustralianNA5!$BD$11:$BD$128</definedName>
    <definedName name="A85125870W_Data">[1]AustralianNA5!$BD$11:$BD$128</definedName>
    <definedName name="A85125870W_Latest">[1]AustralianNA5!$BD$128</definedName>
    <definedName name="A85125871X">[1]AustralianNA5!$BE$1:$BE$10,[1]AustralianNA5!$BE$11:$BE$128</definedName>
    <definedName name="A85125871X_Data">[1]AustralianNA5!$BE$11:$BE$128</definedName>
    <definedName name="A85125871X_Latest">[1]AustralianNA5!$BE$128</definedName>
    <definedName name="A85125872A">[1]AustralianNA5!$BF$1:$BF$10,[1]AustralianNA5!$BF$11:$BF$128</definedName>
    <definedName name="A85125872A_Data">[1]AustralianNA5!$BF$11:$BF$128</definedName>
    <definedName name="A85125872A_Latest">[1]AustralianNA5!$BF$128</definedName>
    <definedName name="A85125873C">[1]AustralianNA5!$BH$1:$BH$10,[1]AustralianNA5!$BH$11:$BH$128</definedName>
    <definedName name="A85125873C_Data">[1]AustralianNA5!$BH$11:$BH$128</definedName>
    <definedName name="A85125873C_Latest">[1]AustralianNA5!$BH$128</definedName>
    <definedName name="A85125874F">[1]AustralianNA5!$BI$1:$BI$10,[1]AustralianNA5!$BI$11:$BI$128</definedName>
    <definedName name="A85125874F_Data">[1]AustralianNA5!$BI$11:$BI$128</definedName>
    <definedName name="A85125874F_Latest">[1]AustralianNA5!$BI$128</definedName>
    <definedName name="A85125875J">[1]AustralianNA5!$BJ$1:$BJ$10,[1]AustralianNA5!$BJ$11:$BJ$128</definedName>
    <definedName name="A85125875J_Data">[1]AustralianNA5!$BJ$11:$BJ$128</definedName>
    <definedName name="A85125875J_Latest">[1]AustralianNA5!$BJ$128</definedName>
    <definedName name="A85125876K">[1]AustralianNA5!$BK$1:$BK$10,[1]AustralianNA5!$BK$11:$BK$128</definedName>
    <definedName name="A85125876K_Data">[1]AustralianNA5!$BK$11:$BK$128</definedName>
    <definedName name="A85125876K_Latest">[1]AustralianNA5!$BK$128</definedName>
    <definedName name="A85125877L">[1]AustralianNA5!$BL$1:$BL$10,[1]AustralianNA5!$BL$11:$BL$128</definedName>
    <definedName name="A85125877L_Data">[1]AustralianNA5!$BL$11:$BL$128</definedName>
    <definedName name="A85125877L_Latest">[1]AustralianNA5!$BL$128</definedName>
    <definedName name="A85125878R">[1]AustralianNA5!$BM$1:$BM$10,[1]AustralianNA5!$BM$11:$BM$128</definedName>
    <definedName name="A85125878R_Data">[1]AustralianNA5!$BM$11:$BM$128</definedName>
    <definedName name="A85125878R_Latest">[1]AustralianNA5!$BM$128</definedName>
    <definedName name="A85125879T">[1]AustralianNA5!$BN$1:$BN$10,[1]AustralianNA5!$BN$11:$BN$128</definedName>
    <definedName name="A85125879T_Data">[1]AustralianNA5!$BN$11:$BN$128</definedName>
    <definedName name="A85125879T_Latest">[1]AustralianNA5!$BN$128</definedName>
    <definedName name="A85125880A">[1]AustralianNA5!$BO$1:$BO$10,[1]AustralianNA5!$BO$11:$BO$128</definedName>
    <definedName name="A85125880A_Data">[1]AustralianNA5!$BO$11:$BO$128</definedName>
    <definedName name="A85125880A_Latest">[1]AustralianNA5!$BO$128</definedName>
    <definedName name="A85125881C">[1]AustralianNA5!$BP$1:$BP$10,[1]AustralianNA5!$BP$11:$BP$128</definedName>
    <definedName name="A85125881C_Data">[1]AustralianNA5!$BP$11:$BP$128</definedName>
    <definedName name="A85125881C_Latest">[1]AustralianNA5!$BP$128</definedName>
    <definedName name="A85125882F">[1]AustralianNA5!$BQ$1:$BQ$10,[1]AustralianNA5!$BQ$11:$BQ$128</definedName>
    <definedName name="A85125882F_Data">[1]AustralianNA5!$BQ$11:$BQ$128</definedName>
    <definedName name="A85125882F_Latest">[1]AustralianNA5!$BQ$128</definedName>
    <definedName name="A85125883J">[1]AustralianNA5!$BR$1:$BR$10,[1]AustralianNA5!$BR$11:$BR$128</definedName>
    <definedName name="A85125883J_Data">[1]AustralianNA5!$BR$11:$BR$128</definedName>
    <definedName name="A85125883J_Latest">[1]AustralianNA5!$BR$128</definedName>
    <definedName name="A85125884K">[1]AustralianNA5!$BS$1:$BS$10,[1]AustralianNA5!$BS$11:$BS$128</definedName>
    <definedName name="A85125884K_Data">[1]AustralianNA5!$BS$11:$BS$128</definedName>
    <definedName name="A85125884K_Latest">[1]AustralianNA5!$BS$128</definedName>
    <definedName name="A85125885L">[1]AustralianNA5!$BT$1:$BT$10,[1]AustralianNA5!$BT$11:$BT$128</definedName>
    <definedName name="A85125885L_Data">[1]AustralianNA5!$BT$11:$BT$128</definedName>
    <definedName name="A85125885L_Latest">[1]AustralianNA5!$BT$128</definedName>
    <definedName name="A85125886R">[1]AustralianNA5!$BU$1:$BU$10,[1]AustralianNA5!$BU$11:$BU$128</definedName>
    <definedName name="A85125886R_Data">[1]AustralianNA5!$BU$11:$BU$128</definedName>
    <definedName name="A85125886R_Latest">[1]AustralianNA5!$BU$128</definedName>
    <definedName name="A85125887T">[1]AustralianNA5!$BV$1:$BV$10,[1]AustralianNA5!$BV$11:$BV$128</definedName>
    <definedName name="A85125887T_Data">[1]AustralianNA5!$BV$11:$BV$128</definedName>
    <definedName name="A85125887T_Latest">[1]AustralianNA5!$BV$128</definedName>
    <definedName name="A85125888V">[1]AustralianNA5!$BW$1:$BW$10,[1]AustralianNA5!$BW$11:$BW$128</definedName>
    <definedName name="A85125888V_Data">[1]AustralianNA5!$BW$11:$BW$128</definedName>
    <definedName name="A85125888V_Latest">[1]AustralianNA5!$BW$128</definedName>
    <definedName name="A85125889W">[1]AustralianNA5!$BX$1:$BX$10,[1]AustralianNA5!$BX$11:$BX$128</definedName>
    <definedName name="A85125889W_Data">[1]AustralianNA5!$BX$11:$BX$128</definedName>
    <definedName name="A85125889W_Latest">[1]AustralianNA5!$BX$128</definedName>
    <definedName name="A85125890F">[1]AustralianNA5!$BY$1:$BY$10,[1]AustralianNA5!$BY$11:$BY$128</definedName>
    <definedName name="A85125890F_Data">[1]AustralianNA5!$BY$11:$BY$128</definedName>
    <definedName name="A85125890F_Latest">[1]AustralianNA5!$BY$128</definedName>
    <definedName name="A85125891J">[1]AustralianNA5!$BZ$1:$BZ$10,[1]AustralianNA5!$BZ$11:$BZ$128</definedName>
    <definedName name="A85125891J_Data">[1]AustralianNA5!$BZ$11:$BZ$128</definedName>
    <definedName name="A85125891J_Latest">[1]AustralianNA5!$BZ$128</definedName>
    <definedName name="A85125892K">[1]AustralianNA5!$CA$1:$CA$10,[1]AustralianNA5!$CA$11:$CA$128</definedName>
    <definedName name="A85125892K_Data">[1]AustralianNA5!$CA$11:$CA$128</definedName>
    <definedName name="A85125892K_Latest">[1]AustralianNA5!$CA$128</definedName>
    <definedName name="A85125893L">[1]AustralianNA5!$CB$1:$CB$10,[1]AustralianNA5!$CB$11:$CB$128</definedName>
    <definedName name="A85125893L_Data">[1]AustralianNA5!$CB$11:$CB$128</definedName>
    <definedName name="A85125893L_Latest">[1]AustralianNA5!$CB$128</definedName>
    <definedName name="A85125894R">[1]AustralianNA5!$CC$1:$CC$10,[1]AustralianNA5!$CC$11:$CC$128</definedName>
    <definedName name="A85125894R_Data">[1]AustralianNA5!$CC$11:$CC$128</definedName>
    <definedName name="A85125894R_Latest">[1]AustralianNA5!$CC$128</definedName>
    <definedName name="A85125895T">[1]AustralianNA5!$CD$1:$CD$10,[1]AustralianNA5!$CD$11:$CD$128</definedName>
    <definedName name="A85125895T_Data">[1]AustralianNA5!$CD$11:$CD$128</definedName>
    <definedName name="A85125895T_Latest">[1]AustralianNA5!$CD$128</definedName>
    <definedName name="A85125896V">[1]AustralianNA5!$CE$1:$CE$10,[1]AustralianNA5!$CE$11:$CE$128</definedName>
    <definedName name="A85125896V_Data">[1]AustralianNA5!$CE$11:$CE$128</definedName>
    <definedName name="A85125896V_Latest">[1]AustralianNA5!$CE$128</definedName>
    <definedName name="A85125897W">[1]AustralianNA5!$CF$1:$CF$10,[1]AustralianNA5!$CF$11:$CF$128</definedName>
    <definedName name="A85125897W_Data">[1]AustralianNA5!$CF$11:$CF$128</definedName>
    <definedName name="A85125897W_Latest">[1]AustralianNA5!$CF$128</definedName>
    <definedName name="A85125898X">[1]AustralianNA5!$CG$1:$CG$10,[1]AustralianNA5!$CG$11:$CG$128</definedName>
    <definedName name="A85125898X_Data">[1]AustralianNA5!$CG$11:$CG$128</definedName>
    <definedName name="A85125898X_Latest">[1]AustralianNA5!$CG$128</definedName>
    <definedName name="A85125899A">[1]AustralianNA5!$CH$1:$CH$10,[1]AustralianNA5!$CH$11:$CH$128</definedName>
    <definedName name="A85125899A_Data">[1]AustralianNA5!$CH$11:$CH$128</definedName>
    <definedName name="A85125899A_Latest">[1]AustralianNA5!$CH$128</definedName>
    <definedName name="A85125900X">[1]AustralianNA5!$CI$1:$CI$10,[1]AustralianNA5!$CI$11:$CI$128</definedName>
    <definedName name="A85125900X_Data">[1]AustralianNA5!$CI$11:$CI$128</definedName>
    <definedName name="A85125900X_Latest">[1]AustralianNA5!$CI$128</definedName>
    <definedName name="A85125901A">[1]AustralianNA5!$CJ$1:$CJ$10,[1]AustralianNA5!$CJ$11:$CJ$128</definedName>
    <definedName name="A85125901A_Data">[1]AustralianNA5!$CJ$11:$CJ$128</definedName>
    <definedName name="A85125901A_Latest">[1]AustralianNA5!$CJ$128</definedName>
    <definedName name="A85125902C">[1]AustralianNA5!$CL$1:$CL$10,[1]AustralianNA5!$CL$11:$CL$128</definedName>
    <definedName name="A85125902C_Data">[1]AustralianNA5!$CL$11:$CL$128</definedName>
    <definedName name="A85125902C_Latest">[1]AustralianNA5!$CL$128</definedName>
    <definedName name="A85125903F">[1]AustralianNA5!$CM$1:$CM$10,[1]AustralianNA5!$CM$11:$CM$128</definedName>
    <definedName name="A85125903F_Data">[1]AustralianNA5!$CM$11:$CM$128</definedName>
    <definedName name="A85125903F_Latest">[1]AustralianNA5!$CM$128</definedName>
    <definedName name="A85231682X">[1]AustralianNA2!$BS$1:$BS$10,[1]AustralianNA2!$BS$120:$BS$244</definedName>
    <definedName name="A85231682X_Data">[1]AustralianNA2!$BS$120:$BS$244</definedName>
    <definedName name="A85231682X_Latest">[1]AustralianNA2!$BS$244</definedName>
    <definedName name="A85231684C">[1]AustralianNA2!$BY$1:$BY$10,[1]AustralianNA2!$BY$152:$BY$244</definedName>
    <definedName name="A85231684C_Data">[1]AustralianNA2!$BY$152:$BY$244</definedName>
    <definedName name="A85231684C_Latest">[1]AustralianNA2!$BY$244</definedName>
    <definedName name="A85231686J">[1]AustralianNA2!$BZ$1:$BZ$10,[1]AustralianNA2!$BZ$152:$BZ$244</definedName>
    <definedName name="A85231686J_Data">[1]AustralianNA2!$BZ$152:$BZ$244</definedName>
    <definedName name="A85231686J_Latest">[1]AustralianNA2!$BZ$244</definedName>
    <definedName name="A85231688L">[1]AustralianNA2!$CA$1:$CA$10,[1]AustralianNA2!$CA$152:$CA$244</definedName>
    <definedName name="A85231688L_Data">[1]AustralianNA2!$CA$152:$CA$244</definedName>
    <definedName name="A85231688L_Latest">[1]AustralianNA2!$CA$244</definedName>
    <definedName name="A85231690X">[1]AustralianNA2!$CK$1:$CK$10,[1]AustralianNA2!$CK$152:$CK$244</definedName>
    <definedName name="A85231690X_Data">[1]AustralianNA2!$CK$152:$CK$244</definedName>
    <definedName name="A85231690X_Latest">[1]AustralianNA2!$CK$244</definedName>
    <definedName name="A85231692C">[1]AustralianNA2!$CL$1:$CL$10,[1]AustralianNA2!$CL$152:$CL$244</definedName>
    <definedName name="A85231692C_Data">[1]AustralianNA2!$CL$152:$CL$244</definedName>
    <definedName name="A85231692C_Latest">[1]AustralianNA2!$CL$244</definedName>
    <definedName name="A85231694J">[1]AustralianNA2!$CN$1:$CN$10,[1]AustralianNA2!$CN$152:$CN$244</definedName>
    <definedName name="A85231694J_Data">[1]AustralianNA2!$CN$152:$CN$244</definedName>
    <definedName name="A85231694J_Latest">[1]AustralianNA2!$CN$244</definedName>
    <definedName name="A85231696L">[1]AustralianNA2!$CO$1:$CO$10,[1]AustralianNA2!$CO$152:$CO$244</definedName>
    <definedName name="A85231696L_Data">[1]AustralianNA2!$CO$152:$CO$244</definedName>
    <definedName name="A85231696L_Latest">[1]AustralianNA2!$CO$244</definedName>
    <definedName name="A85231698T">[1]AustralianNA2!$CQ$1:$CQ$10,[1]AustralianNA2!$CQ$152:$CQ$244</definedName>
    <definedName name="A85231698T_Data">[1]AustralianNA2!$CQ$152:$CQ$244</definedName>
    <definedName name="A85231698T_Latest">[1]AustralianNA2!$CQ$244</definedName>
    <definedName name="A85231700T">[1]AustralianNA2!$CR$1:$CR$10,[1]AustralianNA2!$CR$152:$CR$244</definedName>
    <definedName name="A85231700T_Data">[1]AustralianNA2!$CR$152:$CR$244</definedName>
    <definedName name="A85231700T_Latest">[1]AustralianNA2!$CR$244</definedName>
    <definedName name="A85231702W">[1]AustralianNA2!$CT$1:$CT$10,[1]AustralianNA2!$CT$152:$CT$244</definedName>
    <definedName name="A85231702W_Data">[1]AustralianNA2!$CT$152:$CT$244</definedName>
    <definedName name="A85231702W_Latest">[1]AustralianNA2!$CT$244</definedName>
    <definedName name="A85231704A">[1]AustralianNA2!$CU$1:$CU$10,[1]AustralianNA2!$CU$152:$CU$244</definedName>
    <definedName name="A85231704A_Data">[1]AustralianNA2!$CU$152:$CU$244</definedName>
    <definedName name="A85231704A_Latest">[1]AustralianNA2!$CU$244</definedName>
    <definedName name="A85231706F">[1]AustralianNA2!$FX$1:$FX$10,[1]AustralianNA2!$FX$120:$FX$244</definedName>
    <definedName name="A85231706F_Data">[1]AustralianNA2!$FX$120:$FX$244</definedName>
    <definedName name="A85231706F_Latest">[1]AustralianNA2!$FX$244</definedName>
    <definedName name="A85231708K">[1]AustralianNA2!$GD$1:$GD$10,[1]AustralianNA2!$GD$152:$GD$244</definedName>
    <definedName name="A85231708K_Data">[1]AustralianNA2!$GD$152:$GD$244</definedName>
    <definedName name="A85231708K_Latest">[1]AustralianNA2!$GD$244</definedName>
    <definedName name="A85231710W">[1]AustralianNA2!$GE$1:$GE$10,[1]AustralianNA2!$GE$152:$GE$244</definedName>
    <definedName name="A85231710W_Data">[1]AustralianNA2!$GE$152:$GE$244</definedName>
    <definedName name="A85231710W_Latest">[1]AustralianNA2!$GE$244</definedName>
    <definedName name="A85231712A">[1]AustralianNA2!$GF$1:$GF$10,[1]AustralianNA2!$GF$152:$GF$244</definedName>
    <definedName name="A85231712A_Data">[1]AustralianNA2!$GF$152:$GF$244</definedName>
    <definedName name="A85231712A_Latest">[1]AustralianNA2!$GF$244</definedName>
    <definedName name="A85231714F">[1]AustralianNA2!$GP$1:$GP$10,[1]AustralianNA2!$GP$152:$GP$244</definedName>
    <definedName name="A85231714F_Data">[1]AustralianNA2!$GP$152:$GP$244</definedName>
    <definedName name="A85231714F_Latest">[1]AustralianNA2!$GP$244</definedName>
    <definedName name="A85231716K">[1]AustralianNA2!$GQ$1:$GQ$10,[1]AustralianNA2!$GQ$152:$GQ$244</definedName>
    <definedName name="A85231716K_Data">[1]AustralianNA2!$GQ$152:$GQ$244</definedName>
    <definedName name="A85231716K_Latest">[1]AustralianNA2!$GQ$244</definedName>
    <definedName name="A85231718R">[1]AustralianNA2!$GS$1:$GS$10,[1]AustralianNA2!$GS$152:$GS$244</definedName>
    <definedName name="A85231718R_Data">[1]AustralianNA2!$GS$152:$GS$244</definedName>
    <definedName name="A85231718R_Latest">[1]AustralianNA2!$GS$244</definedName>
    <definedName name="A85231720A">[1]AustralianNA2!$GT$1:$GT$10,[1]AustralianNA2!$GT$152:$GT$244</definedName>
    <definedName name="A85231720A_Data">[1]AustralianNA2!$GT$152:$GT$244</definedName>
    <definedName name="A85231720A_Latest">[1]AustralianNA2!$GT$244</definedName>
    <definedName name="A85231722F">[1]AustralianNA2!$GV$1:$GV$10,[1]AustralianNA2!$GV$152:$GV$244</definedName>
    <definedName name="A85231722F_Data">[1]AustralianNA2!$GV$152:$GV$244</definedName>
    <definedName name="A85231722F_Latest">[1]AustralianNA2!$GV$244</definedName>
    <definedName name="A85231724K">[1]AustralianNA2!$GW$1:$GW$10,[1]AustralianNA2!$GW$152:$GW$244</definedName>
    <definedName name="A85231724K_Data">[1]AustralianNA2!$GW$152:$GW$244</definedName>
    <definedName name="A85231724K_Latest">[1]AustralianNA2!$GW$244</definedName>
    <definedName name="A85231726R">[1]AustralianNA2!$GY$1:$GY$10,[1]AustralianNA2!$GY$152:$GY$244</definedName>
    <definedName name="A85231726R_Data">[1]AustralianNA2!$GY$152:$GY$244</definedName>
    <definedName name="A85231726R_Latest">[1]AustralianNA2!$GY$244</definedName>
    <definedName name="A85231728V">[1]AustralianNA2!$GZ$1:$GZ$10,[1]AustralianNA2!$GZ$152:$GZ$244</definedName>
    <definedName name="A85231728V_Data">[1]AustralianNA2!$GZ$152:$GZ$244</definedName>
    <definedName name="A85231728V_Latest">[1]AustralianNA2!$GZ$244</definedName>
    <definedName name="A85231730F">[1]AustralianNA3!$AM$1:$AM$10,[1]AustralianNA3!$AM$120:$AM$244</definedName>
    <definedName name="A85231730F_Data">[1]AustralianNA3!$AM$120:$AM$244</definedName>
    <definedName name="A85231730F_Latest">[1]AustralianNA3!$AM$244</definedName>
    <definedName name="A85231731J">[1]AustralianNA3!$AS$1:$AS$10,[1]AustralianNA3!$AS$152:$AS$244</definedName>
    <definedName name="A85231731J_Data">[1]AustralianNA3!$AS$152:$AS$244</definedName>
    <definedName name="A85231731J_Latest">[1]AustralianNA3!$AS$244</definedName>
    <definedName name="A85231732K">[1]AustralianNA3!$AT$1:$AT$10,[1]AustralianNA3!$AT$152:$AT$244</definedName>
    <definedName name="A85231732K_Data">[1]AustralianNA3!$AT$152:$AT$244</definedName>
    <definedName name="A85231732K_Latest">[1]AustralianNA3!$AT$244</definedName>
    <definedName name="A85231733L">[1]AustralianNA3!$AU$1:$AU$10,[1]AustralianNA3!$AU$152:$AU$244</definedName>
    <definedName name="A85231733L_Data">[1]AustralianNA3!$AU$152:$AU$244</definedName>
    <definedName name="A85231733L_Latest">[1]AustralianNA3!$AU$244</definedName>
    <definedName name="A85231734R">[1]AustralianNA3!$BE$1:$BE$10,[1]AustralianNA3!$BE$152:$BE$244</definedName>
    <definedName name="A85231734R_Data">[1]AustralianNA3!$BE$152:$BE$244</definedName>
    <definedName name="A85231734R_Latest">[1]AustralianNA3!$BE$244</definedName>
    <definedName name="A85231735T">[1]AustralianNA3!$BF$1:$BF$10,[1]AustralianNA3!$BF$152:$BF$244</definedName>
    <definedName name="A85231735T_Data">[1]AustralianNA3!$BF$152:$BF$244</definedName>
    <definedName name="A85231735T_Latest">[1]AustralianNA3!$BF$244</definedName>
    <definedName name="A85231736V">[1]AustralianNA3!$BH$1:$BH$10,[1]AustralianNA3!$BH$152:$BH$244</definedName>
    <definedName name="A85231736V_Data">[1]AustralianNA3!$BH$152:$BH$244</definedName>
    <definedName name="A85231736V_Latest">[1]AustralianNA3!$BH$244</definedName>
    <definedName name="A85231737W">[1]AustralianNA3!$BI$1:$BI$10,[1]AustralianNA3!$BI$152:$BI$244</definedName>
    <definedName name="A85231737W_Data">[1]AustralianNA3!$BI$152:$BI$244</definedName>
    <definedName name="A85231737W_Latest">[1]AustralianNA3!$BI$244</definedName>
    <definedName name="A85231738X">[1]AustralianNA3!$BK$1:$BK$10,[1]AustralianNA3!$BK$152:$BK$244</definedName>
    <definedName name="A85231738X_Data">[1]AustralianNA3!$BK$152:$BK$244</definedName>
    <definedName name="A85231738X_Latest">[1]AustralianNA3!$BK$244</definedName>
    <definedName name="A85231739A">[1]AustralianNA3!$BL$1:$BL$10,[1]AustralianNA3!$BL$152:$BL$244</definedName>
    <definedName name="A85231739A_Data">[1]AustralianNA3!$BL$152:$BL$244</definedName>
    <definedName name="A85231739A_Latest">[1]AustralianNA3!$BL$244</definedName>
    <definedName name="A85231740K">[1]AustralianNA3!$BN$1:$BN$10,[1]AustralianNA3!$BN$152:$BN$244</definedName>
    <definedName name="A85231740K_Data">[1]AustralianNA3!$BN$152:$BN$244</definedName>
    <definedName name="A85231740K_Latest">[1]AustralianNA3!$BN$244</definedName>
    <definedName name="A85231741L">[1]AustralianNA3!$BO$1:$BO$10,[1]AustralianNA3!$BO$152:$BO$244</definedName>
    <definedName name="A85231741L_Data">[1]AustralianNA3!$BO$152:$BO$244</definedName>
    <definedName name="A85231741L_Latest">[1]AustralianNA3!$BO$244</definedName>
    <definedName name="A85231742R">[1]AustralianNA2!$P$1:$P$10,[1]AustralianNA2!$P$119:$P$244</definedName>
    <definedName name="A85231742R_Data">[1]AustralianNA2!$P$119:$P$244</definedName>
    <definedName name="A85231742R_Latest">[1]AustralianNA2!$P$244</definedName>
    <definedName name="A85231743T">[1]AustralianNA2!$V$1:$V$10,[1]AustralianNA2!$V$151:$V$244</definedName>
    <definedName name="A85231743T_Data">[1]AustralianNA2!$V$151:$V$244</definedName>
    <definedName name="A85231743T_Latest">[1]AustralianNA2!$V$244</definedName>
    <definedName name="A85231744V">[1]AustralianNA2!$W$1:$W$10,[1]AustralianNA2!$W$151:$W$244</definedName>
    <definedName name="A85231744V_Data">[1]AustralianNA2!$W$151:$W$244</definedName>
    <definedName name="A85231744V_Latest">[1]AustralianNA2!$W$244</definedName>
    <definedName name="A85231745W">[1]AustralianNA2!$X$1:$X$10,[1]AustralianNA2!$X$151:$X$244</definedName>
    <definedName name="A85231745W_Data">[1]AustralianNA2!$X$151:$X$244</definedName>
    <definedName name="A85231745W_Latest">[1]AustralianNA2!$X$244</definedName>
    <definedName name="A85231746X">[1]AustralianNA2!$AH$1:$AH$10,[1]AustralianNA2!$AH$151:$AH$244</definedName>
    <definedName name="A85231746X_Data">[1]AustralianNA2!$AH$151:$AH$244</definedName>
    <definedName name="A85231746X_Latest">[1]AustralianNA2!$AH$244</definedName>
    <definedName name="A85231747A">[1]AustralianNA2!$AI$1:$AI$10,[1]AustralianNA2!$AI$151:$AI$244</definedName>
    <definedName name="A85231747A_Data">[1]AustralianNA2!$AI$151:$AI$244</definedName>
    <definedName name="A85231747A_Latest">[1]AustralianNA2!$AI$244</definedName>
    <definedName name="A85231748C">[1]AustralianNA2!$AK$1:$AK$10,[1]AustralianNA2!$AK$151:$AK$244</definedName>
    <definedName name="A85231748C_Data">[1]AustralianNA2!$AK$151:$AK$244</definedName>
    <definedName name="A85231748C_Latest">[1]AustralianNA2!$AK$244</definedName>
    <definedName name="A85231749F">[1]AustralianNA2!$AL$1:$AL$10,[1]AustralianNA2!$AL$151:$AL$244</definedName>
    <definedName name="A85231749F_Data">[1]AustralianNA2!$AL$151:$AL$244</definedName>
    <definedName name="A85231749F_Latest">[1]AustralianNA2!$AL$244</definedName>
    <definedName name="A85231750R">[1]AustralianNA2!$AN$1:$AN$10,[1]AustralianNA2!$AN$151:$AN$244</definedName>
    <definedName name="A85231750R_Data">[1]AustralianNA2!$AN$151:$AN$244</definedName>
    <definedName name="A85231750R_Latest">[1]AustralianNA2!$AN$244</definedName>
    <definedName name="A85231751T">[1]AustralianNA2!$AO$1:$AO$10,[1]AustralianNA2!$AO$151:$AO$244</definedName>
    <definedName name="A85231751T_Data">[1]AustralianNA2!$AO$151:$AO$244</definedName>
    <definedName name="A85231751T_Latest">[1]AustralianNA2!$AO$244</definedName>
    <definedName name="A85231752V">[1]AustralianNA2!$AQ$1:$AQ$10,[1]AustralianNA2!$AQ$151:$AQ$244</definedName>
    <definedName name="A85231752V_Data">[1]AustralianNA2!$AQ$151:$AQ$244</definedName>
    <definedName name="A85231752V_Latest">[1]AustralianNA2!$AQ$244</definedName>
    <definedName name="A85231753W">[1]AustralianNA2!$AR$1:$AR$10,[1]AustralianNA2!$AR$151:$AR$244</definedName>
    <definedName name="A85231753W_Data">[1]AustralianNA2!$AR$151:$AR$244</definedName>
    <definedName name="A85231753W_Latest">[1]AustralianNA2!$AR$244</definedName>
    <definedName name="A85231754X">[1]AustralianNA2!$DU$1:$DU$10,[1]AustralianNA2!$DU$119:$DU$244</definedName>
    <definedName name="A85231754X_Data">[1]AustralianNA2!$DU$119:$DU$244</definedName>
    <definedName name="A85231754X_Latest">[1]AustralianNA2!$DU$244</definedName>
    <definedName name="A85231755A">[1]AustralianNA2!$EA$1:$EA$10,[1]AustralianNA2!$EA$151:$EA$244</definedName>
    <definedName name="A85231755A_Data">[1]AustralianNA2!$EA$151:$EA$244</definedName>
    <definedName name="A85231755A_Latest">[1]AustralianNA2!$EA$244</definedName>
    <definedName name="A85231756C">[1]AustralianNA2!$EB$1:$EB$10,[1]AustralianNA2!$EB$151:$EB$244</definedName>
    <definedName name="A85231756C_Data">[1]AustralianNA2!$EB$151:$EB$244</definedName>
    <definedName name="A85231756C_Latest">[1]AustralianNA2!$EB$244</definedName>
    <definedName name="A85231757F">[1]AustralianNA2!$EC$1:$EC$10,[1]AustralianNA2!$EC$151:$EC$244</definedName>
    <definedName name="A85231757F_Data">[1]AustralianNA2!$EC$151:$EC$244</definedName>
    <definedName name="A85231757F_Latest">[1]AustralianNA2!$EC$244</definedName>
    <definedName name="A85231758J">[1]AustralianNA2!$EM$1:$EM$10,[1]AustralianNA2!$EM$151:$EM$244</definedName>
    <definedName name="A85231758J_Data">[1]AustralianNA2!$EM$151:$EM$244</definedName>
    <definedName name="A85231758J_Latest">[1]AustralianNA2!$EM$244</definedName>
    <definedName name="A85231759K">[1]AustralianNA2!$EN$1:$EN$10,[1]AustralianNA2!$EN$151:$EN$244</definedName>
    <definedName name="A85231759K_Data">[1]AustralianNA2!$EN$151:$EN$244</definedName>
    <definedName name="A85231759K_Latest">[1]AustralianNA2!$EN$244</definedName>
    <definedName name="A85231760V">[1]AustralianNA2!$EP$1:$EP$10,[1]AustralianNA2!$EP$151:$EP$244</definedName>
    <definedName name="A85231760V_Data">[1]AustralianNA2!$EP$151:$EP$244</definedName>
    <definedName name="A85231760V_Latest">[1]AustralianNA2!$EP$244</definedName>
    <definedName name="A85231761W">[1]AustralianNA2!$EQ$1:$EQ$10,[1]AustralianNA2!$EQ$151:$EQ$244</definedName>
    <definedName name="A85231761W_Data">[1]AustralianNA2!$EQ$151:$EQ$244</definedName>
    <definedName name="A85231761W_Latest">[1]AustralianNA2!$EQ$244</definedName>
    <definedName name="A85231762X">[1]AustralianNA2!$ES$1:$ES$10,[1]AustralianNA2!$ES$151:$ES$244</definedName>
    <definedName name="A85231762X_Data">[1]AustralianNA2!$ES$151:$ES$244</definedName>
    <definedName name="A85231762X_Latest">[1]AustralianNA2!$ES$244</definedName>
    <definedName name="A85231763A">[1]AustralianNA2!$ET$1:$ET$10,[1]AustralianNA2!$ET$151:$ET$244</definedName>
    <definedName name="A85231763A_Data">[1]AustralianNA2!$ET$151:$ET$244</definedName>
    <definedName name="A85231763A_Latest">[1]AustralianNA2!$ET$244</definedName>
    <definedName name="A85231764C">[1]AustralianNA2!$EV$1:$EV$10,[1]AustralianNA2!$EV$151:$EV$244</definedName>
    <definedName name="A85231764C_Data">[1]AustralianNA2!$EV$151:$EV$244</definedName>
    <definedName name="A85231764C_Latest">[1]AustralianNA2!$EV$244</definedName>
    <definedName name="A85231765F">[1]AustralianNA2!$EW$1:$EW$10,[1]AustralianNA2!$EW$151:$EW$244</definedName>
    <definedName name="A85231765F_Data">[1]AustralianNA2!$EW$151:$EW$244</definedName>
    <definedName name="A85231765F_Latest">[1]AustralianNA2!$EW$244</definedName>
    <definedName name="A85231766J">[1]AustralianNA2!$HZ$1:$HZ$10,[1]AustralianNA2!$HZ$119:$HZ$244</definedName>
    <definedName name="A85231766J_Data">[1]AustralianNA2!$HZ$119:$HZ$244</definedName>
    <definedName name="A85231766J_Latest">[1]AustralianNA2!$HZ$244</definedName>
    <definedName name="A85231767K">[1]AustralianNA2!$IF$1:$IF$10,[1]AustralianNA2!$IF$151:$IF$244</definedName>
    <definedName name="A85231767K_Data">[1]AustralianNA2!$IF$151:$IF$244</definedName>
    <definedName name="A85231767K_Latest">[1]AustralianNA2!$IF$244</definedName>
    <definedName name="A85231768L">[1]AustralianNA2!$IG$1:$IG$10,[1]AustralianNA2!$IG$151:$IG$244</definedName>
    <definedName name="A85231768L_Data">[1]AustralianNA2!$IG$151:$IG$244</definedName>
    <definedName name="A85231768L_Latest">[1]AustralianNA2!$IG$244</definedName>
    <definedName name="A85231769R">[1]AustralianNA2!$IH$1:$IH$10,[1]AustralianNA2!$IH$151:$IH$244</definedName>
    <definedName name="A85231769R_Data">[1]AustralianNA2!$IH$151:$IH$244</definedName>
    <definedName name="A85231769R_Latest">[1]AustralianNA2!$IH$244</definedName>
    <definedName name="A85231770X">[1]AustralianNA3!$B$1:$B$10,[1]AustralianNA3!$B$151:$B$244</definedName>
    <definedName name="A85231770X_Data">[1]AustralianNA3!$B$151:$B$244</definedName>
    <definedName name="A85231770X_Latest">[1]AustralianNA3!$B$244</definedName>
    <definedName name="A85231771A">[1]AustralianNA3!$C$1:$C$10,[1]AustralianNA3!$C$151:$C$244</definedName>
    <definedName name="A85231771A_Data">[1]AustralianNA3!$C$151:$C$244</definedName>
    <definedName name="A85231771A_Latest">[1]AustralianNA3!$C$244</definedName>
    <definedName name="A85231772C">[1]AustralianNA3!$E$1:$E$10,[1]AustralianNA3!$E$151:$E$244</definedName>
    <definedName name="A85231772C_Data">[1]AustralianNA3!$E$151:$E$244</definedName>
    <definedName name="A85231772C_Latest">[1]AustralianNA3!$E$244</definedName>
    <definedName name="A85231773F">[1]AustralianNA3!$F$1:$F$10,[1]AustralianNA3!$F$151:$F$244</definedName>
    <definedName name="A85231773F_Data">[1]AustralianNA3!$F$151:$F$244</definedName>
    <definedName name="A85231773F_Latest">[1]AustralianNA3!$F$244</definedName>
    <definedName name="A85231774J">[1]AustralianNA3!$H$1:$H$10,[1]AustralianNA3!$H$151:$H$244</definedName>
    <definedName name="A85231774J_Data">[1]AustralianNA3!$H$151:$H$244</definedName>
    <definedName name="A85231774J_Latest">[1]AustralianNA3!$H$244</definedName>
    <definedName name="A85231775K">[1]AustralianNA3!$I$1:$I$10,[1]AustralianNA3!$I$151:$I$244</definedName>
    <definedName name="A85231775K_Data">[1]AustralianNA3!$I$151:$I$244</definedName>
    <definedName name="A85231775K_Latest">[1]AustralianNA3!$I$244</definedName>
    <definedName name="A85231776L">[1]AustralianNA3!$K$1:$K$10,[1]AustralianNA3!$K$151:$K$244</definedName>
    <definedName name="A85231776L_Data">[1]AustralianNA3!$K$151:$K$244</definedName>
    <definedName name="A85231776L_Latest">[1]AustralianNA3!$K$244</definedName>
    <definedName name="A85231777R">[1]AustralianNA3!$L$1:$L$10,[1]AustralianNA3!$L$151:$L$244</definedName>
    <definedName name="A85231777R_Data">[1]AustralianNA3!$L$151:$L$244</definedName>
    <definedName name="A85231777R_Latest">[1]AustralianNA3!$L$244</definedName>
    <definedName name="column_headings" localSheetId="3">#REF!</definedName>
    <definedName name="column_headings" localSheetId="37">#REF!</definedName>
    <definedName name="column_headings" localSheetId="38">#REF!</definedName>
    <definedName name="column_numbers" localSheetId="3">#REF!</definedName>
    <definedName name="column_numbers" localSheetId="37">#REF!</definedName>
    <definedName name="column_numbers" localSheetId="38">#REF!</definedName>
    <definedName name="d" localSheetId="3">#REF!</definedName>
    <definedName name="d" localSheetId="37">#REF!</definedName>
    <definedName name="d" localSheetId="38">#REF!</definedName>
    <definedName name="data" localSheetId="3">#REF!</definedName>
    <definedName name="data" localSheetId="37">#REF!</definedName>
    <definedName name="data" localSheetId="38">#REF!</definedName>
    <definedName name="Date_Range">[1]AustralianNA!$A$2:$A$10,[1]AustralianNA!$A$11:$A$244</definedName>
    <definedName name="Date_Range_Data">[1]AustralianNA4!$A$11:$A$128</definedName>
    <definedName name="_xlnm.Print_Titles" localSheetId="1">TableA1!$5:$8</definedName>
    <definedName name="e" localSheetId="3">#REF!</definedName>
    <definedName name="e" localSheetId="37">#REF!</definedName>
    <definedName name="e" localSheetId="38">#REF!</definedName>
    <definedName name="ea_flux" localSheetId="3">#REF!</definedName>
    <definedName name="ea_flux" localSheetId="37">#REF!</definedName>
    <definedName name="ea_flux" localSheetId="38">#REF!</definedName>
    <definedName name="Equilibre" localSheetId="3">#REF!</definedName>
    <definedName name="Equilibre" localSheetId="37">#REF!</definedName>
    <definedName name="Equilibre" localSheetId="38">#REF!</definedName>
    <definedName name="f" localSheetId="3">#REF!</definedName>
    <definedName name="f" localSheetId="37">#REF!</definedName>
    <definedName name="f" localSheetId="38">#REF!</definedName>
    <definedName name="footnotes" localSheetId="3">#REF!</definedName>
    <definedName name="footnotes" localSheetId="22">#REF!</definedName>
    <definedName name="footnotes" localSheetId="23">#REF!</definedName>
    <definedName name="footnotes" localSheetId="24">#REF!</definedName>
    <definedName name="footnotes" localSheetId="37">#REF!</definedName>
    <definedName name="footnotes" localSheetId="38">#REF!</definedName>
    <definedName name="gg" localSheetId="3">#REF!</definedName>
    <definedName name="gg" localSheetId="37">#REF!</definedName>
    <definedName name="gg" localSheetId="38">#REF!</definedName>
    <definedName name="head" localSheetId="3">#REF!</definedName>
    <definedName name="head" localSheetId="37">#REF!</definedName>
    <definedName name="head" localSheetId="38">#REF!</definedName>
    <definedName name="name" localSheetId="3">#REF!</definedName>
    <definedName name="name" localSheetId="37">#REF!</definedName>
    <definedName name="name" localSheetId="38">#REF!</definedName>
    <definedName name="name2" localSheetId="3">#REF!</definedName>
    <definedName name="name2" localSheetId="37">#REF!</definedName>
    <definedName name="name2" localSheetId="38">#REF!</definedName>
    <definedName name="name3" localSheetId="3">#REF!</definedName>
    <definedName name="name3" localSheetId="37">#REF!</definedName>
    <definedName name="name3" localSheetId="38">#REF!</definedName>
    <definedName name="name4" localSheetId="3">#REF!</definedName>
    <definedName name="name4" localSheetId="37">#REF!</definedName>
    <definedName name="name4" localSheetId="38">#REF!</definedName>
    <definedName name="nb" localSheetId="3">#REF!</definedName>
    <definedName name="nb" localSheetId="37">#REF!</definedName>
    <definedName name="nb" localSheetId="38">#REF!</definedName>
    <definedName name="PIB" localSheetId="3">#REF!</definedName>
    <definedName name="PIB" localSheetId="37">#REF!</definedName>
    <definedName name="PIB" localSheetId="38">#REF!</definedName>
    <definedName name="ressources" localSheetId="3">#REF!</definedName>
    <definedName name="ressources" localSheetId="37">#REF!</definedName>
    <definedName name="ressources" localSheetId="38">#REF!</definedName>
    <definedName name="rpflux" localSheetId="3">#REF!</definedName>
    <definedName name="rpflux" localSheetId="37">#REF!</definedName>
    <definedName name="rpflux" localSheetId="38">#REF!</definedName>
    <definedName name="rptof" localSheetId="3">#REF!</definedName>
    <definedName name="rptof" localSheetId="37">#REF!</definedName>
    <definedName name="rptof" localSheetId="38">#REF!</definedName>
    <definedName name="spanners_level1" localSheetId="3">#REF!</definedName>
    <definedName name="spanners_level1" localSheetId="22">#REF!</definedName>
    <definedName name="spanners_level1" localSheetId="23">#REF!</definedName>
    <definedName name="spanners_level1" localSheetId="24">#REF!</definedName>
    <definedName name="spanners_level1" localSheetId="37">#REF!</definedName>
    <definedName name="spanners_level1" localSheetId="38">#REF!</definedName>
    <definedName name="spanners_level2" localSheetId="3">#REF!</definedName>
    <definedName name="spanners_level2" localSheetId="22">#REF!</definedName>
    <definedName name="spanners_level2" localSheetId="23">#REF!</definedName>
    <definedName name="spanners_level2" localSheetId="24">#REF!</definedName>
    <definedName name="spanners_level2" localSheetId="37">#REF!</definedName>
    <definedName name="spanners_level2" localSheetId="38">#REF!</definedName>
    <definedName name="spanners_level3" localSheetId="3">#REF!</definedName>
    <definedName name="spanners_level3" localSheetId="22">#REF!</definedName>
    <definedName name="spanners_level3" localSheetId="23">#REF!</definedName>
    <definedName name="spanners_level3" localSheetId="24">#REF!</definedName>
    <definedName name="spanners_level3" localSheetId="37">#REF!</definedName>
    <definedName name="spanners_level3" localSheetId="38">#REF!</definedName>
    <definedName name="spanners_level4" localSheetId="3">#REF!</definedName>
    <definedName name="spanners_level4" localSheetId="22">#REF!</definedName>
    <definedName name="spanners_level4" localSheetId="23">#REF!</definedName>
    <definedName name="spanners_level4" localSheetId="24">#REF!</definedName>
    <definedName name="spanners_level4" localSheetId="37">#REF!</definedName>
    <definedName name="spanners_level4" localSheetId="38">#REF!</definedName>
    <definedName name="spanners_level5" localSheetId="3">#REF!</definedName>
    <definedName name="spanners_level5" localSheetId="22">#REF!</definedName>
    <definedName name="spanners_level5" localSheetId="23">#REF!</definedName>
    <definedName name="spanners_level5" localSheetId="24">#REF!</definedName>
    <definedName name="spanners_level5" localSheetId="37">#REF!</definedName>
    <definedName name="spanners_level5" localSheetId="38">#REF!</definedName>
    <definedName name="stub_lines" localSheetId="3">#REF!</definedName>
    <definedName name="stub_lines" localSheetId="37">#REF!</definedName>
    <definedName name="stub_lines" localSheetId="38">#REF!</definedName>
    <definedName name="titles" localSheetId="3">#REF!</definedName>
    <definedName name="titles" localSheetId="37">#REF!</definedName>
    <definedName name="titles" localSheetId="38">#REF!</definedName>
    <definedName name="totals" localSheetId="3">#REF!</definedName>
    <definedName name="totals" localSheetId="37">#REF!</definedName>
    <definedName name="totals" localSheetId="38">#REF!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M10" i="19" l="1"/>
  <c r="M11" i="19"/>
  <c r="M12" i="19"/>
  <c r="M13" i="19"/>
  <c r="M14" i="19"/>
  <c r="M15" i="19"/>
  <c r="M16" i="19"/>
  <c r="M17" i="19"/>
  <c r="M18" i="19"/>
  <c r="M19" i="19"/>
  <c r="M20" i="19"/>
  <c r="M21" i="19"/>
  <c r="M22" i="19"/>
  <c r="M23" i="19"/>
  <c r="M24" i="19"/>
  <c r="M25" i="19"/>
  <c r="M26" i="19"/>
  <c r="M27" i="19"/>
  <c r="M28" i="19"/>
  <c r="M29" i="19"/>
  <c r="M30" i="19"/>
  <c r="M31" i="19"/>
  <c r="M32" i="19"/>
  <c r="M33" i="19"/>
  <c r="M34" i="19"/>
  <c r="M35" i="19"/>
  <c r="M36" i="19"/>
  <c r="M37" i="19"/>
  <c r="M38" i="19"/>
  <c r="M39" i="19"/>
  <c r="M40" i="19"/>
  <c r="M41" i="19"/>
  <c r="M42" i="19"/>
  <c r="M43" i="19"/>
  <c r="M44" i="19"/>
  <c r="M45" i="19"/>
  <c r="M46" i="19"/>
  <c r="M47" i="19"/>
  <c r="M48" i="19"/>
  <c r="M49" i="19"/>
  <c r="M50" i="19"/>
  <c r="M51" i="19"/>
  <c r="M52" i="19"/>
  <c r="M53" i="19"/>
  <c r="M54" i="19"/>
  <c r="M55" i="19"/>
  <c r="M56" i="19"/>
  <c r="M57" i="19"/>
  <c r="M58" i="19"/>
  <c r="M59" i="19"/>
  <c r="M60" i="19"/>
  <c r="M61" i="19"/>
  <c r="M62" i="19"/>
  <c r="M63" i="19"/>
  <c r="M64" i="19"/>
  <c r="M65" i="19"/>
  <c r="M66" i="19"/>
  <c r="M67" i="19"/>
  <c r="M68" i="19"/>
  <c r="M69" i="19"/>
  <c r="M70" i="19"/>
  <c r="M71" i="19"/>
  <c r="M72" i="19"/>
  <c r="M73" i="19"/>
  <c r="M74" i="19"/>
  <c r="M75" i="19"/>
  <c r="M76" i="19"/>
  <c r="M77" i="19"/>
  <c r="M78" i="19"/>
  <c r="M79" i="19"/>
  <c r="M80" i="19"/>
  <c r="M81" i="19"/>
  <c r="M82" i="19"/>
  <c r="M83" i="19"/>
  <c r="M84" i="19"/>
  <c r="M85" i="19"/>
  <c r="M9" i="19"/>
  <c r="P32" i="17"/>
  <c r="J30" i="17"/>
  <c r="L20" i="9"/>
  <c r="L12" i="19"/>
  <c r="L11" i="19"/>
  <c r="K12" i="19"/>
  <c r="E11" i="19"/>
  <c r="J13" i="10"/>
  <c r="F15" i="10"/>
  <c r="F18" i="9"/>
  <c r="B12" i="24"/>
  <c r="C22" i="60"/>
  <c r="F20" i="25"/>
  <c r="O20" i="17"/>
  <c r="P20" i="17" s="1"/>
  <c r="M20" i="17"/>
  <c r="M24" i="17"/>
  <c r="L24" i="17"/>
  <c r="H24" i="17"/>
  <c r="H12" i="19"/>
  <c r="B20" i="19"/>
  <c r="T20" i="13"/>
  <c r="B20" i="10" l="1"/>
  <c r="D20" i="12"/>
  <c r="N12" i="10"/>
  <c r="L12" i="9" l="1"/>
  <c r="L52" i="260"/>
  <c r="L50" i="260"/>
  <c r="G24" i="260" l="1"/>
  <c r="L24" i="260" s="1"/>
  <c r="Q23" i="261" l="1"/>
  <c r="R23" i="261"/>
  <c r="R28" i="261"/>
  <c r="P50" i="261"/>
  <c r="P52" i="261"/>
  <c r="K29" i="260" l="1"/>
  <c r="N89" i="261"/>
  <c r="N88" i="261"/>
  <c r="A88" i="261"/>
  <c r="N87" i="261"/>
  <c r="A87" i="261"/>
  <c r="N86" i="261"/>
  <c r="A86" i="261"/>
  <c r="N85" i="261"/>
  <c r="A85" i="261"/>
  <c r="N84" i="261"/>
  <c r="A84" i="261"/>
  <c r="N83" i="261"/>
  <c r="D83" i="261"/>
  <c r="D53" i="261" s="1"/>
  <c r="N82" i="261"/>
  <c r="A82" i="261"/>
  <c r="N81" i="261"/>
  <c r="N80" i="261"/>
  <c r="N79" i="261"/>
  <c r="A79" i="261"/>
  <c r="N78" i="261"/>
  <c r="N77" i="261"/>
  <c r="N76" i="261"/>
  <c r="N74" i="261"/>
  <c r="N72" i="261"/>
  <c r="A69" i="261"/>
  <c r="N67" i="261"/>
  <c r="A67" i="261"/>
  <c r="N66" i="261"/>
  <c r="N65" i="261"/>
  <c r="N64" i="261"/>
  <c r="N63" i="261"/>
  <c r="N62" i="261"/>
  <c r="N61" i="261"/>
  <c r="A60" i="261"/>
  <c r="N60" i="261" s="1"/>
  <c r="N59" i="261"/>
  <c r="N58" i="261"/>
  <c r="N57" i="261"/>
  <c r="N56" i="261"/>
  <c r="A56" i="261"/>
  <c r="N55" i="261"/>
  <c r="N52" i="261"/>
  <c r="N51" i="261"/>
  <c r="N50" i="261"/>
  <c r="N49" i="261"/>
  <c r="N48" i="261"/>
  <c r="N47" i="261"/>
  <c r="N46" i="261"/>
  <c r="N45" i="261"/>
  <c r="D45" i="261"/>
  <c r="N43" i="261"/>
  <c r="N42" i="261"/>
  <c r="N41" i="261"/>
  <c r="N40" i="261"/>
  <c r="N39" i="261"/>
  <c r="N36" i="261"/>
  <c r="N35" i="261"/>
  <c r="N34" i="261"/>
  <c r="N33" i="261"/>
  <c r="N32" i="261"/>
  <c r="D32" i="261"/>
  <c r="N31" i="261"/>
  <c r="N30" i="261"/>
  <c r="D30" i="261"/>
  <c r="N28" i="261"/>
  <c r="N27" i="261"/>
  <c r="N26" i="261"/>
  <c r="N25" i="261"/>
  <c r="N24" i="261"/>
  <c r="D24" i="261"/>
  <c r="N21" i="261"/>
  <c r="N20" i="261"/>
  <c r="N19" i="261"/>
  <c r="N18" i="261"/>
  <c r="N16" i="261"/>
  <c r="N15" i="261"/>
  <c r="N14" i="261"/>
  <c r="N13" i="261"/>
  <c r="N12" i="261"/>
  <c r="N11" i="261"/>
  <c r="N10" i="261"/>
  <c r="F62" i="260"/>
  <c r="D9" i="261" l="1"/>
  <c r="D91" i="261" s="1"/>
  <c r="E9" i="260"/>
  <c r="J9" i="260"/>
  <c r="G10" i="260"/>
  <c r="O10" i="260"/>
  <c r="F11" i="260"/>
  <c r="G11" i="260"/>
  <c r="L11" i="260" s="1"/>
  <c r="K11" i="260"/>
  <c r="O11" i="260"/>
  <c r="F12" i="260"/>
  <c r="G12" i="260"/>
  <c r="K12" i="260"/>
  <c r="O12" i="260"/>
  <c r="G13" i="260"/>
  <c r="O13" i="260"/>
  <c r="O14" i="260"/>
  <c r="F15" i="260"/>
  <c r="G15" i="260"/>
  <c r="L15" i="260" s="1"/>
  <c r="K15" i="260"/>
  <c r="O15" i="260"/>
  <c r="F16" i="260"/>
  <c r="G16" i="260"/>
  <c r="K16" i="260"/>
  <c r="O16" i="260"/>
  <c r="F17" i="260"/>
  <c r="G17" i="260"/>
  <c r="K17" i="260"/>
  <c r="O17" i="260"/>
  <c r="F18" i="260"/>
  <c r="G18" i="260"/>
  <c r="K18" i="260"/>
  <c r="O18" i="260"/>
  <c r="F19" i="260"/>
  <c r="G19" i="260"/>
  <c r="L19" i="260" s="1"/>
  <c r="K19" i="260"/>
  <c r="O19" i="260"/>
  <c r="F20" i="260"/>
  <c r="G20" i="260"/>
  <c r="K20" i="260"/>
  <c r="O20" i="260"/>
  <c r="F21" i="260"/>
  <c r="G21" i="260"/>
  <c r="K21" i="260"/>
  <c r="O21" i="260"/>
  <c r="F22" i="260"/>
  <c r="G22" i="260"/>
  <c r="K22" i="260"/>
  <c r="O22" i="260"/>
  <c r="O23" i="260"/>
  <c r="F24" i="260"/>
  <c r="K24" i="260"/>
  <c r="O24" i="260"/>
  <c r="G25" i="260"/>
  <c r="L25" i="260" s="1"/>
  <c r="O25" i="260"/>
  <c r="F26" i="260"/>
  <c r="G26" i="260"/>
  <c r="K26" i="260"/>
  <c r="O26" i="260"/>
  <c r="G27" i="260"/>
  <c r="O27" i="260"/>
  <c r="G28" i="260"/>
  <c r="L28" i="260" s="1"/>
  <c r="O28" i="260"/>
  <c r="F29" i="260"/>
  <c r="G29" i="260"/>
  <c r="O29" i="260"/>
  <c r="F30" i="260"/>
  <c r="G30" i="260"/>
  <c r="K30" i="260"/>
  <c r="O30" i="260"/>
  <c r="O31" i="260"/>
  <c r="F32" i="260"/>
  <c r="G32" i="260"/>
  <c r="K32" i="260"/>
  <c r="O32" i="260"/>
  <c r="O33" i="260"/>
  <c r="F34" i="260"/>
  <c r="G34" i="260"/>
  <c r="L34" i="260" s="1"/>
  <c r="K34" i="260"/>
  <c r="O34" i="260"/>
  <c r="F35" i="260"/>
  <c r="G35" i="260"/>
  <c r="L35" i="260" s="1"/>
  <c r="K35" i="260"/>
  <c r="O35" i="260"/>
  <c r="F36" i="260"/>
  <c r="G36" i="260"/>
  <c r="K36" i="260"/>
  <c r="O36" i="260"/>
  <c r="F37" i="260"/>
  <c r="K37" i="260"/>
  <c r="O37" i="260"/>
  <c r="F38" i="260"/>
  <c r="G38" i="260"/>
  <c r="K38" i="260"/>
  <c r="O38" i="260"/>
  <c r="F39" i="260"/>
  <c r="K39" i="260"/>
  <c r="O39" i="260"/>
  <c r="F40" i="260"/>
  <c r="G40" i="260"/>
  <c r="L40" i="260" s="1"/>
  <c r="K40" i="260"/>
  <c r="O40" i="260"/>
  <c r="G41" i="260"/>
  <c r="O41" i="260"/>
  <c r="O42" i="260"/>
  <c r="F43" i="260"/>
  <c r="G43" i="260"/>
  <c r="L43" i="260" s="1"/>
  <c r="K43" i="260"/>
  <c r="O43" i="260"/>
  <c r="G44" i="260"/>
  <c r="C44" i="260" s="1"/>
  <c r="H44" i="260"/>
  <c r="O44" i="260"/>
  <c r="J45" i="260"/>
  <c r="O46" i="260"/>
  <c r="O47" i="260"/>
  <c r="O48" i="260"/>
  <c r="O49" i="260"/>
  <c r="C50" i="260"/>
  <c r="H50" i="260"/>
  <c r="O50" i="260"/>
  <c r="Q50" i="260" s="1"/>
  <c r="O51" i="260"/>
  <c r="C52" i="260"/>
  <c r="H52" i="260"/>
  <c r="O52" i="260"/>
  <c r="Q52" i="260"/>
  <c r="G54" i="260"/>
  <c r="O54" i="260"/>
  <c r="O55" i="260"/>
  <c r="O56" i="260"/>
  <c r="B57" i="260"/>
  <c r="O57" i="260"/>
  <c r="O58" i="260"/>
  <c r="G59" i="260"/>
  <c r="O59" i="260"/>
  <c r="B60" i="260"/>
  <c r="O60" i="260"/>
  <c r="O61" i="260"/>
  <c r="O62" i="260"/>
  <c r="Q62" i="260" s="1"/>
  <c r="G63" i="260"/>
  <c r="O63" i="260"/>
  <c r="G64" i="260"/>
  <c r="L64" i="260" s="1"/>
  <c r="O64" i="260"/>
  <c r="O65" i="260"/>
  <c r="O66" i="260"/>
  <c r="B67" i="260"/>
  <c r="F67" i="260" s="1"/>
  <c r="K67" i="260"/>
  <c r="O67" i="260"/>
  <c r="G68" i="260"/>
  <c r="O68" i="260"/>
  <c r="B69" i="260"/>
  <c r="O69" i="260"/>
  <c r="G70" i="260"/>
  <c r="O70" i="260"/>
  <c r="G71" i="260"/>
  <c r="O71" i="260"/>
  <c r="O72" i="260"/>
  <c r="G73" i="260"/>
  <c r="O73" i="260"/>
  <c r="G74" i="260"/>
  <c r="L74" i="260" s="1"/>
  <c r="O74" i="260"/>
  <c r="G75" i="260"/>
  <c r="O75" i="260"/>
  <c r="G76" i="260"/>
  <c r="L76" i="260" s="1"/>
  <c r="O76" i="260"/>
  <c r="F77" i="260"/>
  <c r="K77" i="260"/>
  <c r="O77" i="260"/>
  <c r="G78" i="260"/>
  <c r="O78" i="260"/>
  <c r="B79" i="260"/>
  <c r="G79" i="260"/>
  <c r="L79" i="260" s="1"/>
  <c r="O79" i="260"/>
  <c r="O80" i="260"/>
  <c r="O81" i="260"/>
  <c r="B82" i="260"/>
  <c r="G82" i="260"/>
  <c r="L82" i="260" s="1"/>
  <c r="O82" i="260"/>
  <c r="G83" i="260"/>
  <c r="O83" i="260"/>
  <c r="B84" i="260"/>
  <c r="G84" i="260" s="1"/>
  <c r="O84" i="260"/>
  <c r="B85" i="260"/>
  <c r="G85" i="260"/>
  <c r="O85" i="260"/>
  <c r="B86" i="260"/>
  <c r="G86" i="260"/>
  <c r="O86" i="260"/>
  <c r="B87" i="260"/>
  <c r="G87" i="260" s="1"/>
  <c r="O87" i="260"/>
  <c r="B88" i="260"/>
  <c r="O88" i="260"/>
  <c r="H89" i="260"/>
  <c r="O89" i="260"/>
  <c r="Q89" i="260" s="1"/>
  <c r="C7" i="259"/>
  <c r="C9" i="259" s="1"/>
  <c r="C8" i="259"/>
  <c r="C84" i="260" l="1"/>
  <c r="L84" i="260"/>
  <c r="H84" i="260" s="1"/>
  <c r="C78" i="260"/>
  <c r="L78" i="260"/>
  <c r="Q78" i="260" s="1"/>
  <c r="M78" i="260" s="1"/>
  <c r="C70" i="260"/>
  <c r="L70" i="260"/>
  <c r="H70" i="260" s="1"/>
  <c r="C68" i="260"/>
  <c r="L68" i="260"/>
  <c r="C30" i="260"/>
  <c r="L30" i="260"/>
  <c r="Q30" i="260" s="1"/>
  <c r="M30" i="260" s="1"/>
  <c r="C29" i="260"/>
  <c r="L29" i="260"/>
  <c r="H29" i="260" s="1"/>
  <c r="C26" i="260"/>
  <c r="L26" i="260"/>
  <c r="Q26" i="260" s="1"/>
  <c r="C10" i="260"/>
  <c r="L10" i="260"/>
  <c r="H10" i="260" s="1"/>
  <c r="C85" i="260"/>
  <c r="L85" i="260"/>
  <c r="C63" i="260"/>
  <c r="L63" i="260"/>
  <c r="Q63" i="260" s="1"/>
  <c r="M63" i="260" s="1"/>
  <c r="C41" i="260"/>
  <c r="L41" i="260"/>
  <c r="Q41" i="260" s="1"/>
  <c r="M41" i="260" s="1"/>
  <c r="C27" i="260"/>
  <c r="L27" i="260"/>
  <c r="C12" i="260"/>
  <c r="L12" i="260"/>
  <c r="H12" i="260" s="1"/>
  <c r="C86" i="260"/>
  <c r="L86" i="260"/>
  <c r="H86" i="260" s="1"/>
  <c r="C83" i="260"/>
  <c r="L83" i="260"/>
  <c r="H83" i="260" s="1"/>
  <c r="C71" i="260"/>
  <c r="L71" i="260"/>
  <c r="Q71" i="260" s="1"/>
  <c r="C54" i="260"/>
  <c r="L54" i="260"/>
  <c r="C36" i="260"/>
  <c r="L36" i="260"/>
  <c r="H36" i="260" s="1"/>
  <c r="D22" i="260"/>
  <c r="P22" i="261" s="1"/>
  <c r="L22" i="260"/>
  <c r="H22" i="260" s="1"/>
  <c r="C21" i="260"/>
  <c r="L21" i="260"/>
  <c r="C20" i="260"/>
  <c r="L20" i="260"/>
  <c r="Q20" i="260" s="1"/>
  <c r="M20" i="260" s="1"/>
  <c r="D18" i="260"/>
  <c r="P18" i="261" s="1"/>
  <c r="L18" i="260"/>
  <c r="Q18" i="260" s="1"/>
  <c r="M18" i="260" s="1"/>
  <c r="C17" i="260"/>
  <c r="L17" i="260"/>
  <c r="I17" i="260" s="1"/>
  <c r="Q17" i="261" s="1"/>
  <c r="C16" i="260"/>
  <c r="L16" i="260"/>
  <c r="H16" i="260" s="1"/>
  <c r="C13" i="260"/>
  <c r="L13" i="260"/>
  <c r="C87" i="260"/>
  <c r="L87" i="260"/>
  <c r="Q87" i="260" s="1"/>
  <c r="C75" i="260"/>
  <c r="L75" i="260"/>
  <c r="H75" i="260" s="1"/>
  <c r="C73" i="260"/>
  <c r="L73" i="260"/>
  <c r="H73" i="260" s="1"/>
  <c r="C59" i="260"/>
  <c r="L59" i="260"/>
  <c r="H59" i="260" s="1"/>
  <c r="C38" i="260"/>
  <c r="L38" i="260"/>
  <c r="H38" i="260" s="1"/>
  <c r="C32" i="260"/>
  <c r="L32" i="260"/>
  <c r="H32" i="260" s="1"/>
  <c r="P77" i="260"/>
  <c r="F8" i="259"/>
  <c r="O45" i="260"/>
  <c r="H68" i="260"/>
  <c r="H87" i="260"/>
  <c r="P24" i="260"/>
  <c r="P22" i="260"/>
  <c r="P21" i="260"/>
  <c r="P19" i="260"/>
  <c r="P18" i="260"/>
  <c r="P17" i="260"/>
  <c r="P15" i="260"/>
  <c r="P11" i="260"/>
  <c r="D24" i="260"/>
  <c r="P24" i="261" s="1"/>
  <c r="P43" i="260"/>
  <c r="D43" i="260"/>
  <c r="P43" i="261" s="1"/>
  <c r="D29" i="260"/>
  <c r="P29" i="261" s="1"/>
  <c r="H40" i="260"/>
  <c r="C79" i="260"/>
  <c r="C40" i="260"/>
  <c r="P34" i="260"/>
  <c r="D26" i="260"/>
  <c r="P26" i="261" s="1"/>
  <c r="H71" i="260"/>
  <c r="H43" i="260"/>
  <c r="D34" i="260"/>
  <c r="P34" i="261" s="1"/>
  <c r="I24" i="260"/>
  <c r="Q24" i="261" s="1"/>
  <c r="C24" i="260"/>
  <c r="D20" i="260"/>
  <c r="P20" i="261" s="1"/>
  <c r="Q16" i="260"/>
  <c r="M16" i="260" s="1"/>
  <c r="Q74" i="260"/>
  <c r="M74" i="260" s="1"/>
  <c r="H74" i="260"/>
  <c r="H76" i="260"/>
  <c r="Q76" i="260"/>
  <c r="M76" i="260" s="1"/>
  <c r="C76" i="260"/>
  <c r="H63" i="260"/>
  <c r="P37" i="260"/>
  <c r="Q36" i="260"/>
  <c r="M36" i="260" s="1"/>
  <c r="D32" i="260"/>
  <c r="P32" i="261" s="1"/>
  <c r="D21" i="260"/>
  <c r="P21" i="261" s="1"/>
  <c r="D17" i="260"/>
  <c r="P17" i="261" s="1"/>
  <c r="C74" i="260"/>
  <c r="P67" i="260"/>
  <c r="H54" i="260"/>
  <c r="P38" i="260"/>
  <c r="D38" i="260"/>
  <c r="P38" i="261" s="1"/>
  <c r="P30" i="260"/>
  <c r="D30" i="260"/>
  <c r="P30" i="261" s="1"/>
  <c r="P29" i="260"/>
  <c r="C22" i="260"/>
  <c r="C18" i="260"/>
  <c r="H85" i="260"/>
  <c r="Q44" i="260"/>
  <c r="M44" i="260" s="1"/>
  <c r="D40" i="260"/>
  <c r="P40" i="261" s="1"/>
  <c r="P39" i="260"/>
  <c r="P35" i="260"/>
  <c r="G55" i="260"/>
  <c r="L55" i="260" s="1"/>
  <c r="G23" i="260"/>
  <c r="G88" i="260"/>
  <c r="L88" i="260" s="1"/>
  <c r="G14" i="260"/>
  <c r="L14" i="260" s="1"/>
  <c r="G48" i="260"/>
  <c r="L48" i="260" s="1"/>
  <c r="G31" i="260"/>
  <c r="G33" i="260"/>
  <c r="L33" i="260" s="1"/>
  <c r="G61" i="260"/>
  <c r="L61" i="260" s="1"/>
  <c r="G46" i="260"/>
  <c r="G62" i="260"/>
  <c r="L62" i="260" s="1"/>
  <c r="G65" i="260"/>
  <c r="L65" i="260" s="1"/>
  <c r="G51" i="260"/>
  <c r="L51" i="260" s="1"/>
  <c r="G60" i="260"/>
  <c r="L60" i="260" s="1"/>
  <c r="G56" i="260"/>
  <c r="L56" i="260" s="1"/>
  <c r="G80" i="260"/>
  <c r="L80" i="260" s="1"/>
  <c r="G69" i="260"/>
  <c r="L69" i="260" s="1"/>
  <c r="G66" i="260"/>
  <c r="G57" i="260"/>
  <c r="L57" i="260" s="1"/>
  <c r="G89" i="260"/>
  <c r="Q82" i="260"/>
  <c r="H82" i="260"/>
  <c r="C82" i="260"/>
  <c r="Q79" i="260"/>
  <c r="H79" i="260"/>
  <c r="H35" i="260"/>
  <c r="I35" i="260"/>
  <c r="Q35" i="261" s="1"/>
  <c r="Q68" i="260"/>
  <c r="C64" i="260"/>
  <c r="H11" i="260"/>
  <c r="I11" i="260"/>
  <c r="Q11" i="261" s="1"/>
  <c r="Q73" i="260"/>
  <c r="P36" i="260"/>
  <c r="D36" i="260"/>
  <c r="P36" i="261" s="1"/>
  <c r="Q34" i="260"/>
  <c r="H30" i="260"/>
  <c r="C28" i="260"/>
  <c r="C25" i="260"/>
  <c r="Q25" i="260"/>
  <c r="C19" i="260"/>
  <c r="Q19" i="260"/>
  <c r="D19" i="260"/>
  <c r="P19" i="261" s="1"/>
  <c r="C15" i="260"/>
  <c r="Q15" i="260"/>
  <c r="D15" i="260"/>
  <c r="P15" i="261" s="1"/>
  <c r="P12" i="260"/>
  <c r="D12" i="260"/>
  <c r="P12" i="261" s="1"/>
  <c r="C43" i="260"/>
  <c r="Q43" i="260"/>
  <c r="P40" i="260"/>
  <c r="C34" i="260"/>
  <c r="P26" i="260"/>
  <c r="P20" i="260"/>
  <c r="O9" i="260"/>
  <c r="F7" i="259" s="1"/>
  <c r="F9" i="259" s="1"/>
  <c r="C35" i="260"/>
  <c r="Q35" i="260"/>
  <c r="D35" i="260"/>
  <c r="P35" i="261" s="1"/>
  <c r="P32" i="260"/>
  <c r="H25" i="260"/>
  <c r="H19" i="260"/>
  <c r="I19" i="260"/>
  <c r="Q19" i="261" s="1"/>
  <c r="P16" i="260"/>
  <c r="D16" i="260"/>
  <c r="P16" i="261" s="1"/>
  <c r="H15" i="260"/>
  <c r="I15" i="260"/>
  <c r="Q15" i="261" s="1"/>
  <c r="C11" i="260"/>
  <c r="Q11" i="260"/>
  <c r="D11" i="260"/>
  <c r="P11" i="261" s="1"/>
  <c r="N36" i="260" l="1"/>
  <c r="R36" i="261" s="1"/>
  <c r="I32" i="260"/>
  <c r="Q32" i="261" s="1"/>
  <c r="Q29" i="260"/>
  <c r="M29" i="260" s="1"/>
  <c r="Q70" i="260"/>
  <c r="M70" i="260" s="1"/>
  <c r="I38" i="260"/>
  <c r="Q38" i="261" s="1"/>
  <c r="Q59" i="260"/>
  <c r="Q86" i="260"/>
  <c r="I36" i="260"/>
  <c r="Q36" i="261" s="1"/>
  <c r="L31" i="260"/>
  <c r="H31" i="260" s="1"/>
  <c r="L23" i="260"/>
  <c r="H23" i="260" s="1"/>
  <c r="L66" i="260"/>
  <c r="H66" i="260" s="1"/>
  <c r="L46" i="260"/>
  <c r="Q46" i="260" s="1"/>
  <c r="M46" i="260" s="1"/>
  <c r="I29" i="260"/>
  <c r="Q29" i="261" s="1"/>
  <c r="N30" i="260"/>
  <c r="R30" i="261" s="1"/>
  <c r="N29" i="260"/>
  <c r="R29" i="261" s="1"/>
  <c r="Q12" i="260"/>
  <c r="M12" i="260" s="1"/>
  <c r="I30" i="260"/>
  <c r="Q30" i="261" s="1"/>
  <c r="I12" i="260"/>
  <c r="Q12" i="261" s="1"/>
  <c r="Q32" i="260"/>
  <c r="M32" i="260" s="1"/>
  <c r="N16" i="260"/>
  <c r="R16" i="261" s="1"/>
  <c r="I16" i="260"/>
  <c r="Q16" i="261" s="1"/>
  <c r="Q38" i="260"/>
  <c r="M38" i="260" s="1"/>
  <c r="H78" i="260"/>
  <c r="N20" i="260"/>
  <c r="R20" i="261" s="1"/>
  <c r="C46" i="260"/>
  <c r="H41" i="260"/>
  <c r="N12" i="260"/>
  <c r="R12" i="261" s="1"/>
  <c r="I43" i="260"/>
  <c r="Q43" i="261" s="1"/>
  <c r="Q83" i="260"/>
  <c r="M83" i="260" s="1"/>
  <c r="Q84" i="260"/>
  <c r="M84" i="260" s="1"/>
  <c r="K28" i="260"/>
  <c r="I28" i="260" s="1"/>
  <c r="Q28" i="261" s="1"/>
  <c r="H24" i="260"/>
  <c r="Q24" i="260"/>
  <c r="M24" i="260" s="1"/>
  <c r="Q54" i="260"/>
  <c r="M54" i="260" s="1"/>
  <c r="C31" i="260"/>
  <c r="Q75" i="260"/>
  <c r="M75" i="260" s="1"/>
  <c r="Q10" i="260"/>
  <c r="M10" i="260" s="1"/>
  <c r="H28" i="260"/>
  <c r="Q85" i="260"/>
  <c r="M85" i="260" s="1"/>
  <c r="H21" i="260"/>
  <c r="Q21" i="260"/>
  <c r="I40" i="260"/>
  <c r="Q40" i="261" s="1"/>
  <c r="I21" i="260"/>
  <c r="Q21" i="261" s="1"/>
  <c r="H17" i="260"/>
  <c r="Q17" i="260"/>
  <c r="H20" i="260"/>
  <c r="I20" i="260"/>
  <c r="Q20" i="261" s="1"/>
  <c r="Q28" i="260"/>
  <c r="M28" i="260" s="1"/>
  <c r="Q40" i="260"/>
  <c r="M40" i="260" s="1"/>
  <c r="C60" i="260"/>
  <c r="Q60" i="260"/>
  <c r="M60" i="260" s="1"/>
  <c r="C66" i="260"/>
  <c r="C57" i="260"/>
  <c r="Q13" i="260"/>
  <c r="M13" i="260" s="1"/>
  <c r="H13" i="260"/>
  <c r="C62" i="260"/>
  <c r="H62" i="260"/>
  <c r="H14" i="260"/>
  <c r="C14" i="260"/>
  <c r="C69" i="260"/>
  <c r="H69" i="260"/>
  <c r="C51" i="260"/>
  <c r="H51" i="260"/>
  <c r="C80" i="260"/>
  <c r="C61" i="260"/>
  <c r="H61" i="260"/>
  <c r="H33" i="260"/>
  <c r="C33" i="260"/>
  <c r="C55" i="260"/>
  <c r="N18" i="260"/>
  <c r="R18" i="261" s="1"/>
  <c r="C23" i="260"/>
  <c r="H56" i="260"/>
  <c r="C56" i="260"/>
  <c r="C65" i="260"/>
  <c r="H65" i="260"/>
  <c r="C48" i="260"/>
  <c r="H88" i="260"/>
  <c r="C88" i="260"/>
  <c r="I22" i="260"/>
  <c r="Q22" i="261" s="1"/>
  <c r="Q22" i="260"/>
  <c r="Q27" i="260"/>
  <c r="M27" i="260" s="1"/>
  <c r="H27" i="260"/>
  <c r="H26" i="260"/>
  <c r="I26" i="260"/>
  <c r="Q26" i="261" s="1"/>
  <c r="I18" i="260"/>
  <c r="Q18" i="261" s="1"/>
  <c r="H18" i="260"/>
  <c r="H64" i="260"/>
  <c r="M87" i="260"/>
  <c r="Q64" i="260"/>
  <c r="M71" i="260"/>
  <c r="M86" i="260"/>
  <c r="M82" i="260"/>
  <c r="C89" i="260"/>
  <c r="M43" i="260"/>
  <c r="N43" i="260"/>
  <c r="R43" i="261" s="1"/>
  <c r="M79" i="260"/>
  <c r="M15" i="260"/>
  <c r="N15" i="260"/>
  <c r="R15" i="261" s="1"/>
  <c r="N34" i="260"/>
  <c r="R34" i="261" s="1"/>
  <c r="M34" i="260"/>
  <c r="M11" i="260"/>
  <c r="N11" i="260"/>
  <c r="R11" i="261" s="1"/>
  <c r="M35" i="260"/>
  <c r="N35" i="260"/>
  <c r="R35" i="261" s="1"/>
  <c r="M59" i="260"/>
  <c r="M73" i="260"/>
  <c r="M68" i="260"/>
  <c r="M26" i="260"/>
  <c r="N26" i="260"/>
  <c r="R26" i="261" s="1"/>
  <c r="M19" i="260"/>
  <c r="N19" i="260"/>
  <c r="R19" i="261" s="1"/>
  <c r="M25" i="260"/>
  <c r="I34" i="260"/>
  <c r="Q34" i="261" s="1"/>
  <c r="H34" i="260"/>
  <c r="Q23" i="260" l="1"/>
  <c r="M23" i="260" s="1"/>
  <c r="Q66" i="260"/>
  <c r="M66" i="260" s="1"/>
  <c r="H46" i="260"/>
  <c r="Q31" i="260"/>
  <c r="M31" i="260" s="1"/>
  <c r="N32" i="260"/>
  <c r="R32" i="261" s="1"/>
  <c r="N38" i="260"/>
  <c r="R38" i="261" s="1"/>
  <c r="H60" i="260"/>
  <c r="N24" i="260"/>
  <c r="R24" i="261" s="1"/>
  <c r="M17" i="260"/>
  <c r="N17" i="260"/>
  <c r="R17" i="261" s="1"/>
  <c r="M21" i="260"/>
  <c r="N21" i="260"/>
  <c r="R21" i="261" s="1"/>
  <c r="Q51" i="260"/>
  <c r="M51" i="260" s="1"/>
  <c r="N40" i="260"/>
  <c r="R40" i="261" s="1"/>
  <c r="M22" i="260"/>
  <c r="N22" i="260"/>
  <c r="R22" i="261" s="1"/>
  <c r="Q65" i="260"/>
  <c r="M65" i="260" s="1"/>
  <c r="Q56" i="260"/>
  <c r="M56" i="260" s="1"/>
  <c r="H80" i="260"/>
  <c r="Q80" i="260"/>
  <c r="M80" i="260" s="1"/>
  <c r="H55" i="260"/>
  <c r="Q55" i="260"/>
  <c r="M55" i="260" s="1"/>
  <c r="Q88" i="260"/>
  <c r="M88" i="260" s="1"/>
  <c r="H48" i="260"/>
  <c r="Q48" i="260"/>
  <c r="M48" i="260" s="1"/>
  <c r="Q14" i="260"/>
  <c r="M14" i="260" s="1"/>
  <c r="Q33" i="260"/>
  <c r="M33" i="260" s="1"/>
  <c r="Q61" i="260"/>
  <c r="M61" i="260" s="1"/>
  <c r="Q69" i="260"/>
  <c r="M69" i="260" s="1"/>
  <c r="H57" i="260"/>
  <c r="Q57" i="260"/>
  <c r="M57" i="260" s="1"/>
  <c r="M64" i="260"/>
  <c r="P27" i="21" l="1"/>
  <c r="O27" i="21"/>
  <c r="N27" i="21"/>
  <c r="M27" i="21"/>
  <c r="K27" i="21"/>
  <c r="L27" i="21"/>
  <c r="L48" i="21"/>
  <c r="L10" i="21"/>
  <c r="L11" i="21"/>
  <c r="L12" i="21"/>
  <c r="L13" i="21"/>
  <c r="L14" i="21"/>
  <c r="L15" i="21"/>
  <c r="L16" i="21"/>
  <c r="L17" i="21"/>
  <c r="L18" i="21"/>
  <c r="L19" i="21"/>
  <c r="L20" i="21"/>
  <c r="L21" i="21"/>
  <c r="L22" i="21"/>
  <c r="L23" i="21"/>
  <c r="L24" i="21"/>
  <c r="L25" i="21"/>
  <c r="L26" i="21"/>
  <c r="L28" i="21"/>
  <c r="L29" i="21"/>
  <c r="L30" i="21"/>
  <c r="L31" i="21"/>
  <c r="L32" i="21"/>
  <c r="L33" i="21"/>
  <c r="L34" i="21"/>
  <c r="L35" i="21"/>
  <c r="L36" i="21"/>
  <c r="L37" i="21"/>
  <c r="L38" i="21"/>
  <c r="L39" i="21"/>
  <c r="L40" i="21"/>
  <c r="L41" i="21"/>
  <c r="L42" i="21"/>
  <c r="L43" i="21"/>
  <c r="L44" i="21"/>
  <c r="L46" i="21"/>
  <c r="L47" i="21"/>
  <c r="L49" i="21"/>
  <c r="L50" i="21"/>
  <c r="L51" i="21"/>
  <c r="L52" i="21"/>
  <c r="L54" i="21"/>
  <c r="L55" i="21"/>
  <c r="L57" i="21"/>
  <c r="L58" i="21"/>
  <c r="L59" i="21"/>
  <c r="L61" i="21"/>
  <c r="L62" i="21"/>
  <c r="L64" i="21"/>
  <c r="L65" i="21"/>
  <c r="L66" i="21"/>
  <c r="L68" i="21"/>
  <c r="L70" i="21"/>
  <c r="L71" i="21"/>
  <c r="L72" i="21"/>
  <c r="L73" i="21"/>
  <c r="L74" i="21"/>
  <c r="L75" i="21"/>
  <c r="L76" i="21"/>
  <c r="L77" i="21"/>
  <c r="L78" i="21"/>
  <c r="L80" i="21"/>
  <c r="L81" i="21"/>
  <c r="L83" i="21"/>
  <c r="L87" i="21"/>
  <c r="L90" i="21"/>
  <c r="J12" i="59"/>
  <c r="C28" i="9"/>
  <c r="E28" i="116" s="1"/>
  <c r="G28" i="9"/>
  <c r="D28" i="9" s="1"/>
  <c r="G28" i="25" s="1"/>
  <c r="J24" i="59"/>
  <c r="J30" i="59"/>
  <c r="J32" i="59"/>
  <c r="D10" i="21"/>
  <c r="F10" i="21"/>
  <c r="D11" i="21"/>
  <c r="C11" i="23"/>
  <c r="F11" i="21"/>
  <c r="E11" i="23"/>
  <c r="G11" i="19" s="1"/>
  <c r="G11" i="23"/>
  <c r="I11" i="23"/>
  <c r="D12" i="21"/>
  <c r="K12" i="23"/>
  <c r="B32" i="23"/>
  <c r="L32" i="23"/>
  <c r="J32" i="23"/>
  <c r="D32" i="23" s="1"/>
  <c r="C32" i="21"/>
  <c r="E32" i="23" s="1"/>
  <c r="F32" i="21"/>
  <c r="K32" i="23"/>
  <c r="F12" i="21"/>
  <c r="N12" i="23"/>
  <c r="F32" i="23"/>
  <c r="O32" i="23"/>
  <c r="M32" i="23"/>
  <c r="J32" i="21"/>
  <c r="G32" i="21"/>
  <c r="N32" i="23"/>
  <c r="D13" i="21"/>
  <c r="F13" i="21"/>
  <c r="D14" i="21"/>
  <c r="C14" i="23"/>
  <c r="F14" i="21"/>
  <c r="E14" i="23"/>
  <c r="G14" i="23"/>
  <c r="I14" i="23"/>
  <c r="D15" i="21"/>
  <c r="C15" i="23"/>
  <c r="F15" i="21"/>
  <c r="E15" i="23"/>
  <c r="G15" i="23"/>
  <c r="I15" i="23"/>
  <c r="D16" i="21"/>
  <c r="C16" i="23"/>
  <c r="F16" i="21"/>
  <c r="E16" i="23"/>
  <c r="G16" i="23"/>
  <c r="I16" i="23"/>
  <c r="D17" i="21"/>
  <c r="F17" i="21"/>
  <c r="E17" i="23"/>
  <c r="I17" i="23"/>
  <c r="D18" i="21"/>
  <c r="C18" i="23"/>
  <c r="F18" i="21"/>
  <c r="E18" i="23"/>
  <c r="G18" i="23"/>
  <c r="I18" i="23"/>
  <c r="D19" i="21"/>
  <c r="C19" i="23"/>
  <c r="F19" i="21"/>
  <c r="E19" i="23"/>
  <c r="G19" i="23"/>
  <c r="I19" i="23"/>
  <c r="D20" i="21"/>
  <c r="C20" i="23"/>
  <c r="F20" i="21"/>
  <c r="E20" i="23"/>
  <c r="G20" i="23"/>
  <c r="I20" i="23"/>
  <c r="D21" i="21"/>
  <c r="C21" i="23"/>
  <c r="F21" i="21"/>
  <c r="E21" i="23"/>
  <c r="G21" i="23"/>
  <c r="I21" i="23"/>
  <c r="D22" i="21"/>
  <c r="C22" i="23"/>
  <c r="F22" i="21"/>
  <c r="E22" i="23"/>
  <c r="G22" i="23"/>
  <c r="I22" i="23"/>
  <c r="D23" i="21"/>
  <c r="C23" i="23"/>
  <c r="F23" i="21"/>
  <c r="E23" i="23"/>
  <c r="G23" i="23"/>
  <c r="I23" i="23"/>
  <c r="D24" i="21"/>
  <c r="F24" i="21"/>
  <c r="H25" i="21"/>
  <c r="D25" i="21"/>
  <c r="J25" i="21"/>
  <c r="F25" i="21" s="1"/>
  <c r="D26" i="21"/>
  <c r="C26" i="23"/>
  <c r="F26" i="21"/>
  <c r="E26" i="23"/>
  <c r="G26" i="23"/>
  <c r="I26" i="23"/>
  <c r="C27" i="14"/>
  <c r="D27" i="21" s="1"/>
  <c r="M27" i="14"/>
  <c r="F27" i="21" s="1"/>
  <c r="I27" i="13" s="1"/>
  <c r="D28" i="21"/>
  <c r="C28" i="23"/>
  <c r="F28" i="21"/>
  <c r="E28" i="23"/>
  <c r="G28" i="23"/>
  <c r="I28" i="23"/>
  <c r="D29" i="21"/>
  <c r="C29" i="23"/>
  <c r="F29" i="21"/>
  <c r="E29" i="23"/>
  <c r="G29" i="23"/>
  <c r="I29" i="23"/>
  <c r="D30" i="21"/>
  <c r="C30" i="23"/>
  <c r="F30" i="21"/>
  <c r="E30" i="23"/>
  <c r="N30" i="25"/>
  <c r="I30" i="25"/>
  <c r="G30" i="9"/>
  <c r="G30" i="23"/>
  <c r="I30" i="23"/>
  <c r="H31" i="21"/>
  <c r="D31" i="21" s="1"/>
  <c r="J31" i="21"/>
  <c r="F31" i="21" s="1"/>
  <c r="I31" i="13" s="1"/>
  <c r="D32" i="21"/>
  <c r="D33" i="21"/>
  <c r="C33" i="23"/>
  <c r="F33" i="21"/>
  <c r="E33" i="23"/>
  <c r="G33" i="23"/>
  <c r="I33" i="23"/>
  <c r="D34" i="21"/>
  <c r="C34" i="23"/>
  <c r="F34" i="21"/>
  <c r="E34" i="23"/>
  <c r="G34" i="23"/>
  <c r="I34" i="23"/>
  <c r="D35" i="21"/>
  <c r="J35" i="23"/>
  <c r="K35" i="23" s="1"/>
  <c r="F35" i="21"/>
  <c r="M35" i="23"/>
  <c r="N35" i="23" s="1"/>
  <c r="D36" i="21"/>
  <c r="K36" i="23"/>
  <c r="F36" i="21"/>
  <c r="N36" i="23"/>
  <c r="D37" i="21"/>
  <c r="C37" i="23"/>
  <c r="F37" i="21"/>
  <c r="E37" i="23"/>
  <c r="G37" i="23"/>
  <c r="I37" i="23"/>
  <c r="D38" i="21"/>
  <c r="C38" i="23"/>
  <c r="F38" i="21"/>
  <c r="E38" i="23"/>
  <c r="G38" i="23"/>
  <c r="I38" i="23"/>
  <c r="C39" i="21"/>
  <c r="E39" i="21"/>
  <c r="J39" i="23"/>
  <c r="K39" i="23" s="1"/>
  <c r="L39" i="23" s="1"/>
  <c r="M39" i="23"/>
  <c r="N39" i="23" s="1"/>
  <c r="O39" i="23" s="1"/>
  <c r="D40" i="21"/>
  <c r="K40" i="23"/>
  <c r="F40" i="21"/>
  <c r="M40" i="23"/>
  <c r="G40" i="23"/>
  <c r="I40" i="23"/>
  <c r="D41" i="21"/>
  <c r="C41" i="23"/>
  <c r="F41" i="21"/>
  <c r="E41" i="23"/>
  <c r="G41" i="23"/>
  <c r="I41" i="23"/>
  <c r="D42" i="21"/>
  <c r="C42" i="23"/>
  <c r="F42" i="21"/>
  <c r="E42" i="23"/>
  <c r="G42" i="23"/>
  <c r="I42" i="23"/>
  <c r="C43" i="21"/>
  <c r="D44" i="21"/>
  <c r="C44" i="21"/>
  <c r="F44" i="21"/>
  <c r="C44" i="23"/>
  <c r="G44" i="9"/>
  <c r="E44" i="23"/>
  <c r="G44" i="23"/>
  <c r="I44" i="23"/>
  <c r="M11" i="25"/>
  <c r="E11" i="25"/>
  <c r="M12" i="25"/>
  <c r="E12" i="25"/>
  <c r="M15" i="25"/>
  <c r="E15" i="25"/>
  <c r="M16" i="25"/>
  <c r="E16" i="25"/>
  <c r="M17" i="25"/>
  <c r="E17" i="25"/>
  <c r="M18" i="25"/>
  <c r="E18" i="25"/>
  <c r="M19" i="25"/>
  <c r="E19" i="25"/>
  <c r="M20" i="25"/>
  <c r="E20" i="25"/>
  <c r="M21" i="25"/>
  <c r="E21" i="25"/>
  <c r="M22" i="25"/>
  <c r="E22" i="25"/>
  <c r="M40" i="25"/>
  <c r="E40" i="25"/>
  <c r="M34" i="25"/>
  <c r="E34" i="25"/>
  <c r="M24" i="25"/>
  <c r="E24" i="25"/>
  <c r="M26" i="25"/>
  <c r="E26" i="25"/>
  <c r="C44" i="9"/>
  <c r="M29" i="25"/>
  <c r="E29" i="25"/>
  <c r="M30" i="25"/>
  <c r="L30" i="25" s="1"/>
  <c r="C30" i="9"/>
  <c r="H30" i="261" s="1"/>
  <c r="C30" i="36"/>
  <c r="C30" i="25" s="1"/>
  <c r="M32" i="25"/>
  <c r="E32" i="25"/>
  <c r="M35" i="25"/>
  <c r="E35" i="25"/>
  <c r="M36" i="25"/>
  <c r="E36" i="25"/>
  <c r="M37" i="25"/>
  <c r="E37" i="25"/>
  <c r="M38" i="25"/>
  <c r="E38" i="25"/>
  <c r="M39" i="25"/>
  <c r="E39" i="25"/>
  <c r="M43" i="25"/>
  <c r="E43" i="25"/>
  <c r="G48" i="9"/>
  <c r="D48" i="9" s="1"/>
  <c r="C48" i="9"/>
  <c r="G51" i="9"/>
  <c r="D51" i="9" s="1"/>
  <c r="C51" i="9"/>
  <c r="D46" i="21"/>
  <c r="F46" i="21"/>
  <c r="E47" i="59"/>
  <c r="C47" i="21" s="1"/>
  <c r="D47" i="21" s="1"/>
  <c r="H48" i="21"/>
  <c r="D48" i="21" s="1"/>
  <c r="F48" i="59"/>
  <c r="E48" i="59" s="1"/>
  <c r="C48" i="21" s="1"/>
  <c r="I48" i="21"/>
  <c r="E48" i="21" s="1"/>
  <c r="F50" i="140" s="1"/>
  <c r="H49" i="21"/>
  <c r="D49" i="21" s="1"/>
  <c r="F49" i="59"/>
  <c r="E49" i="59" s="1"/>
  <c r="C49" i="21" s="1"/>
  <c r="I49" i="21"/>
  <c r="E49" i="21" s="1"/>
  <c r="H50" i="21"/>
  <c r="D50" i="21" s="1"/>
  <c r="F50" i="59"/>
  <c r="E50" i="59" s="1"/>
  <c r="C50" i="21" s="1"/>
  <c r="I50" i="21"/>
  <c r="E50" i="21" s="1"/>
  <c r="H51" i="21"/>
  <c r="D51" i="21" s="1"/>
  <c r="F51" i="59"/>
  <c r="E51" i="59" s="1"/>
  <c r="C51" i="21" s="1"/>
  <c r="I51" i="21"/>
  <c r="E51" i="21" s="1"/>
  <c r="F53" i="140" s="1"/>
  <c r="H52" i="21"/>
  <c r="D52" i="21"/>
  <c r="F52" i="59"/>
  <c r="E52" i="59" s="1"/>
  <c r="C52" i="21" s="1"/>
  <c r="I52" i="21"/>
  <c r="E52" i="21" s="1"/>
  <c r="G54" i="59"/>
  <c r="O91" i="59"/>
  <c r="O92" i="59"/>
  <c r="O93" i="59"/>
  <c r="O94" i="59"/>
  <c r="O95" i="59"/>
  <c r="O96" i="59"/>
  <c r="O97" i="59"/>
  <c r="O98" i="59"/>
  <c r="O99" i="59"/>
  <c r="O100" i="59"/>
  <c r="O101" i="59"/>
  <c r="O102" i="59"/>
  <c r="O103" i="59"/>
  <c r="O104" i="59"/>
  <c r="O105" i="59"/>
  <c r="O106" i="59"/>
  <c r="O107" i="59"/>
  <c r="O108" i="59"/>
  <c r="O109" i="59"/>
  <c r="O110" i="59"/>
  <c r="O111" i="59"/>
  <c r="O112" i="59"/>
  <c r="O113" i="59"/>
  <c r="O114" i="59"/>
  <c r="O115" i="59"/>
  <c r="O116" i="59"/>
  <c r="O117" i="59"/>
  <c r="O118" i="59"/>
  <c r="O119" i="59"/>
  <c r="O120" i="59"/>
  <c r="O121" i="59"/>
  <c r="O122" i="59"/>
  <c r="O123" i="59"/>
  <c r="O124" i="59"/>
  <c r="O125" i="59"/>
  <c r="O126" i="59"/>
  <c r="O127" i="59"/>
  <c r="O128" i="59"/>
  <c r="O129" i="59"/>
  <c r="O130" i="59"/>
  <c r="O131" i="59"/>
  <c r="O132" i="59"/>
  <c r="O133" i="59"/>
  <c r="O134" i="59"/>
  <c r="O135" i="59"/>
  <c r="O136" i="59"/>
  <c r="O137" i="59"/>
  <c r="O138" i="59"/>
  <c r="O139" i="59"/>
  <c r="O140" i="59"/>
  <c r="O141" i="59"/>
  <c r="O142" i="59"/>
  <c r="O143" i="59"/>
  <c r="O144" i="59"/>
  <c r="O145" i="59"/>
  <c r="O146" i="59"/>
  <c r="O147" i="59"/>
  <c r="O148" i="59"/>
  <c r="O149" i="59"/>
  <c r="O150" i="59"/>
  <c r="O151" i="59"/>
  <c r="O152" i="59"/>
  <c r="O153" i="59"/>
  <c r="O154" i="59"/>
  <c r="O155" i="59"/>
  <c r="O156" i="59"/>
  <c r="O157" i="59"/>
  <c r="O158" i="59"/>
  <c r="O159" i="59"/>
  <c r="O160" i="59"/>
  <c r="O161" i="59"/>
  <c r="O162" i="59"/>
  <c r="O163" i="59"/>
  <c r="O164" i="59"/>
  <c r="O165" i="59"/>
  <c r="O166" i="59"/>
  <c r="O167" i="59"/>
  <c r="O168" i="59"/>
  <c r="O169" i="59"/>
  <c r="O170" i="59"/>
  <c r="O171" i="59"/>
  <c r="O172" i="59"/>
  <c r="O173" i="59"/>
  <c r="O174" i="59"/>
  <c r="O175" i="59"/>
  <c r="O176" i="59"/>
  <c r="O177" i="59"/>
  <c r="O178" i="59"/>
  <c r="O179" i="59"/>
  <c r="O180" i="59"/>
  <c r="O181" i="59"/>
  <c r="O182" i="59"/>
  <c r="O183" i="59"/>
  <c r="O184" i="59"/>
  <c r="O185" i="59"/>
  <c r="O186" i="59"/>
  <c r="O187" i="59"/>
  <c r="O188" i="59"/>
  <c r="O189" i="59"/>
  <c r="O190" i="59"/>
  <c r="O191" i="59"/>
  <c r="O192" i="59"/>
  <c r="O193" i="59"/>
  <c r="O194" i="59"/>
  <c r="O195" i="59"/>
  <c r="O196" i="59"/>
  <c r="O197" i="59"/>
  <c r="O198" i="59"/>
  <c r="O199" i="59"/>
  <c r="O200" i="59"/>
  <c r="O201" i="59"/>
  <c r="O202" i="59"/>
  <c r="O203" i="59"/>
  <c r="O204" i="59"/>
  <c r="O205" i="59"/>
  <c r="O206" i="59"/>
  <c r="O207" i="59"/>
  <c r="O208" i="59"/>
  <c r="O209" i="59"/>
  <c r="O210" i="59"/>
  <c r="O211" i="59"/>
  <c r="O212" i="59"/>
  <c r="O213" i="59"/>
  <c r="O214" i="59"/>
  <c r="O215" i="59"/>
  <c r="O216" i="59"/>
  <c r="O217" i="59"/>
  <c r="O218" i="59"/>
  <c r="O55" i="59"/>
  <c r="O56" i="59"/>
  <c r="O57" i="59"/>
  <c r="O58" i="59"/>
  <c r="O59" i="59"/>
  <c r="N60" i="59"/>
  <c r="O61" i="59"/>
  <c r="O62" i="59"/>
  <c r="O66" i="59"/>
  <c r="N67" i="59"/>
  <c r="O72" i="59"/>
  <c r="O74" i="59"/>
  <c r="O76" i="59"/>
  <c r="N77" i="59"/>
  <c r="O77" i="59" s="1"/>
  <c r="N78" i="59"/>
  <c r="O78" i="59" s="1"/>
  <c r="O80" i="59"/>
  <c r="O81" i="59"/>
  <c r="O82" i="59"/>
  <c r="O83" i="59"/>
  <c r="O88" i="59"/>
  <c r="O46" i="59"/>
  <c r="N47" i="59"/>
  <c r="O47" i="59" s="1"/>
  <c r="O48" i="59"/>
  <c r="O49" i="59"/>
  <c r="O50" i="59"/>
  <c r="O51" i="59"/>
  <c r="O52" i="59"/>
  <c r="O10" i="59"/>
  <c r="O11" i="59"/>
  <c r="O12" i="59"/>
  <c r="O13" i="59"/>
  <c r="O14" i="59"/>
  <c r="O15" i="59"/>
  <c r="O16" i="59"/>
  <c r="O17" i="59"/>
  <c r="O18" i="59"/>
  <c r="O19" i="59"/>
  <c r="O20" i="59"/>
  <c r="O21" i="59"/>
  <c r="O22" i="59"/>
  <c r="O23" i="59"/>
  <c r="O24" i="59"/>
  <c r="O25" i="59"/>
  <c r="O26" i="59"/>
  <c r="O27" i="59"/>
  <c r="O28" i="59"/>
  <c r="O29" i="59"/>
  <c r="O30" i="59"/>
  <c r="O31" i="59"/>
  <c r="O32" i="59"/>
  <c r="O33" i="59"/>
  <c r="O34" i="59"/>
  <c r="O35" i="59"/>
  <c r="O36" i="59"/>
  <c r="O37" i="59"/>
  <c r="O38" i="59"/>
  <c r="O39" i="59"/>
  <c r="O40" i="59"/>
  <c r="O41" i="59"/>
  <c r="O42" i="59"/>
  <c r="O43" i="59"/>
  <c r="O44" i="59"/>
  <c r="P54" i="59"/>
  <c r="Q54" i="59" s="1"/>
  <c r="R54" i="59" s="1"/>
  <c r="N55" i="59"/>
  <c r="B55" i="59"/>
  <c r="P55" i="59" s="1"/>
  <c r="N56" i="59"/>
  <c r="P56" i="59"/>
  <c r="N57" i="59"/>
  <c r="B57" i="59"/>
  <c r="P57" i="59" s="1"/>
  <c r="P58" i="59"/>
  <c r="Q58" i="59" s="1"/>
  <c r="R58" i="59" s="1"/>
  <c r="P59" i="59"/>
  <c r="P60" i="59"/>
  <c r="Q60" i="59"/>
  <c r="N61" i="59"/>
  <c r="P61" i="59"/>
  <c r="N62" i="59"/>
  <c r="B62" i="59"/>
  <c r="P62" i="59" s="1"/>
  <c r="A63" i="59"/>
  <c r="P63" i="59" s="1"/>
  <c r="Q63" i="59" s="1"/>
  <c r="A64" i="59"/>
  <c r="P64" i="59" s="1"/>
  <c r="Q64" i="59" s="1"/>
  <c r="B65" i="59"/>
  <c r="A65" i="59"/>
  <c r="N66" i="59"/>
  <c r="P66" i="59"/>
  <c r="P67" i="59"/>
  <c r="Q67" i="59" s="1"/>
  <c r="P68" i="59"/>
  <c r="Q68" i="59" s="1"/>
  <c r="R68" i="59" s="1"/>
  <c r="G68" i="21" s="1"/>
  <c r="P69" i="59"/>
  <c r="R69" i="59" s="1"/>
  <c r="P70" i="59"/>
  <c r="Q70" i="59" s="1"/>
  <c r="B71" i="59"/>
  <c r="P71" i="59"/>
  <c r="Q71" i="59" s="1"/>
  <c r="N72" i="59"/>
  <c r="A72" i="59"/>
  <c r="P73" i="59"/>
  <c r="Q73" i="59" s="1"/>
  <c r="N74" i="59"/>
  <c r="P74" i="59"/>
  <c r="P75" i="59"/>
  <c r="P76" i="59"/>
  <c r="Q76" i="59" s="1"/>
  <c r="P77" i="59"/>
  <c r="P78" i="59"/>
  <c r="Q78" i="59" s="1"/>
  <c r="R78" i="59" s="1"/>
  <c r="G78" i="21" s="1"/>
  <c r="N80" i="59"/>
  <c r="P80" i="59"/>
  <c r="R80" i="59"/>
  <c r="G80" i="21" s="1"/>
  <c r="N81" i="59"/>
  <c r="P81" i="59"/>
  <c r="N82" i="59"/>
  <c r="P82" i="59"/>
  <c r="N83" i="59"/>
  <c r="P83" i="59"/>
  <c r="P84" i="59"/>
  <c r="R84" i="59" s="1"/>
  <c r="G84" i="21" s="1"/>
  <c r="J84" i="21" s="1"/>
  <c r="P85" i="59"/>
  <c r="P86" i="59"/>
  <c r="R86" i="59" s="1"/>
  <c r="R87" i="59"/>
  <c r="G87" i="21" s="1"/>
  <c r="J87" i="21" s="1"/>
  <c r="N88" i="59"/>
  <c r="P88" i="59"/>
  <c r="Q88" i="59" s="1"/>
  <c r="R88" i="59" s="1"/>
  <c r="G88" i="21" s="1"/>
  <c r="F91" i="59"/>
  <c r="F92" i="59"/>
  <c r="F93" i="59"/>
  <c r="F94" i="59"/>
  <c r="F95" i="59"/>
  <c r="F96" i="59"/>
  <c r="F97" i="59"/>
  <c r="F98" i="59"/>
  <c r="F99" i="59"/>
  <c r="F100" i="59"/>
  <c r="F101" i="59"/>
  <c r="F102" i="59"/>
  <c r="F103" i="59"/>
  <c r="F104" i="59"/>
  <c r="F105" i="59"/>
  <c r="F106" i="59"/>
  <c r="F107" i="59"/>
  <c r="F108" i="59"/>
  <c r="F109" i="59"/>
  <c r="F110" i="59"/>
  <c r="F111" i="59"/>
  <c r="F112" i="59"/>
  <c r="F113" i="59"/>
  <c r="F114" i="59"/>
  <c r="F115" i="59"/>
  <c r="F116" i="59"/>
  <c r="F117" i="59"/>
  <c r="F118" i="59"/>
  <c r="F119" i="59"/>
  <c r="F120" i="59"/>
  <c r="F121" i="59"/>
  <c r="F122" i="59"/>
  <c r="F123" i="59"/>
  <c r="F124" i="59"/>
  <c r="F125" i="59"/>
  <c r="F126" i="59"/>
  <c r="F127" i="59"/>
  <c r="F128" i="59"/>
  <c r="F129" i="59"/>
  <c r="F130" i="59"/>
  <c r="F131" i="59"/>
  <c r="F132" i="59"/>
  <c r="F133" i="59"/>
  <c r="F134" i="59"/>
  <c r="F135" i="59"/>
  <c r="F136" i="59"/>
  <c r="F137" i="59"/>
  <c r="F138" i="59"/>
  <c r="F139" i="59"/>
  <c r="F140" i="59"/>
  <c r="F141" i="59"/>
  <c r="F142" i="59"/>
  <c r="F143" i="59"/>
  <c r="F144" i="59"/>
  <c r="F145" i="59"/>
  <c r="F146" i="59"/>
  <c r="F147" i="59"/>
  <c r="F148" i="59"/>
  <c r="F149" i="59"/>
  <c r="F150" i="59"/>
  <c r="F151" i="59"/>
  <c r="F152" i="59"/>
  <c r="F153" i="59"/>
  <c r="F154" i="59"/>
  <c r="F155" i="59"/>
  <c r="F156" i="59"/>
  <c r="F157" i="59"/>
  <c r="F158" i="59"/>
  <c r="F159" i="59"/>
  <c r="F160" i="59"/>
  <c r="F161" i="59"/>
  <c r="F162" i="59"/>
  <c r="F163" i="59"/>
  <c r="F164" i="59"/>
  <c r="F165" i="59"/>
  <c r="F166" i="59"/>
  <c r="F167" i="59"/>
  <c r="F168" i="59"/>
  <c r="F169" i="59"/>
  <c r="F170" i="59"/>
  <c r="F171" i="59"/>
  <c r="F172" i="59"/>
  <c r="F173" i="59"/>
  <c r="F174" i="59"/>
  <c r="F175" i="59"/>
  <c r="F176" i="59"/>
  <c r="F177" i="59"/>
  <c r="F178" i="59"/>
  <c r="F179" i="59"/>
  <c r="F180" i="59"/>
  <c r="F181" i="59"/>
  <c r="F182" i="59"/>
  <c r="F183" i="59"/>
  <c r="F184" i="59"/>
  <c r="F185" i="59"/>
  <c r="F186" i="59"/>
  <c r="F187" i="59"/>
  <c r="F188" i="59"/>
  <c r="F189" i="59"/>
  <c r="F190" i="59"/>
  <c r="F191" i="59"/>
  <c r="F192" i="59"/>
  <c r="F193" i="59"/>
  <c r="F194" i="59"/>
  <c r="F195" i="59"/>
  <c r="F196" i="59"/>
  <c r="F197" i="59"/>
  <c r="F198" i="59"/>
  <c r="F199" i="59"/>
  <c r="F200" i="59"/>
  <c r="F201" i="59"/>
  <c r="F202" i="59"/>
  <c r="F203" i="59"/>
  <c r="F204" i="59"/>
  <c r="F205" i="59"/>
  <c r="F206" i="59"/>
  <c r="F207" i="59"/>
  <c r="F208" i="59"/>
  <c r="F209" i="59"/>
  <c r="F210" i="59"/>
  <c r="F211" i="59"/>
  <c r="F212" i="59"/>
  <c r="F213" i="59"/>
  <c r="F214" i="59"/>
  <c r="F215" i="59"/>
  <c r="F216" i="59"/>
  <c r="F217" i="59"/>
  <c r="F218" i="59"/>
  <c r="F55" i="59"/>
  <c r="F57" i="59"/>
  <c r="F58" i="59"/>
  <c r="F59" i="59"/>
  <c r="E59" i="59" s="1"/>
  <c r="F60" i="59"/>
  <c r="F61" i="59"/>
  <c r="F62" i="59"/>
  <c r="E62" i="59" s="1"/>
  <c r="F66" i="59"/>
  <c r="E66" i="59" s="1"/>
  <c r="F67" i="59"/>
  <c r="F72" i="59"/>
  <c r="F74" i="59"/>
  <c r="E74" i="59" s="1"/>
  <c r="F76" i="59"/>
  <c r="E76" i="59" s="1"/>
  <c r="F77" i="59"/>
  <c r="F78" i="59"/>
  <c r="F80" i="59"/>
  <c r="F81" i="59"/>
  <c r="F82" i="59"/>
  <c r="E82" i="59" s="1"/>
  <c r="F83" i="59"/>
  <c r="F88" i="59"/>
  <c r="F46" i="59"/>
  <c r="F47" i="59"/>
  <c r="F10" i="59"/>
  <c r="F11" i="59"/>
  <c r="F12" i="59"/>
  <c r="F13" i="59"/>
  <c r="F14" i="59"/>
  <c r="F15" i="59"/>
  <c r="F16" i="59"/>
  <c r="F17" i="59"/>
  <c r="F18" i="59"/>
  <c r="F19" i="59"/>
  <c r="F20" i="59"/>
  <c r="F21" i="59"/>
  <c r="F22" i="59"/>
  <c r="F23" i="59"/>
  <c r="F24" i="59"/>
  <c r="F25" i="59"/>
  <c r="F26" i="59"/>
  <c r="F27" i="59"/>
  <c r="F28" i="59"/>
  <c r="F29" i="59"/>
  <c r="F30" i="59"/>
  <c r="F31" i="59"/>
  <c r="F32" i="59"/>
  <c r="F33" i="59"/>
  <c r="F34" i="59"/>
  <c r="F35" i="59"/>
  <c r="F36" i="59"/>
  <c r="F37" i="59"/>
  <c r="F38" i="59"/>
  <c r="F39" i="59"/>
  <c r="F40" i="59"/>
  <c r="F41" i="59"/>
  <c r="F42" i="59"/>
  <c r="F43" i="59"/>
  <c r="F44" i="59"/>
  <c r="E55" i="59"/>
  <c r="G55" i="59"/>
  <c r="G56" i="59"/>
  <c r="E57" i="59"/>
  <c r="G57" i="59"/>
  <c r="G58" i="59"/>
  <c r="G59" i="59"/>
  <c r="E60" i="59"/>
  <c r="G60" i="59"/>
  <c r="E61" i="59"/>
  <c r="G61" i="59"/>
  <c r="G62" i="59"/>
  <c r="H62" i="59" s="1"/>
  <c r="G63" i="59"/>
  <c r="G64" i="59"/>
  <c r="G65" i="59"/>
  <c r="G66" i="59"/>
  <c r="E67" i="59"/>
  <c r="G67" i="59"/>
  <c r="G68" i="59"/>
  <c r="G69" i="59"/>
  <c r="G70" i="59"/>
  <c r="G71" i="59"/>
  <c r="E72" i="59"/>
  <c r="G73" i="59"/>
  <c r="G74" i="59"/>
  <c r="G75" i="59"/>
  <c r="G76" i="59"/>
  <c r="E77" i="59"/>
  <c r="G77" i="59"/>
  <c r="E78" i="59"/>
  <c r="G78" i="59"/>
  <c r="I79" i="59"/>
  <c r="E80" i="59"/>
  <c r="G80" i="59"/>
  <c r="E81" i="59"/>
  <c r="G81" i="59"/>
  <c r="G82" i="59"/>
  <c r="I82" i="59" s="1"/>
  <c r="C82" i="21" s="1"/>
  <c r="E83" i="59"/>
  <c r="G83" i="59"/>
  <c r="G84" i="59"/>
  <c r="G85" i="59"/>
  <c r="G86" i="59"/>
  <c r="E88" i="59"/>
  <c r="G88" i="59"/>
  <c r="C89" i="21"/>
  <c r="G89" i="21"/>
  <c r="J89" i="21"/>
  <c r="G54" i="21"/>
  <c r="J54" i="21" s="1"/>
  <c r="J54" i="59"/>
  <c r="J55" i="59"/>
  <c r="J56" i="59"/>
  <c r="G58" i="21"/>
  <c r="J58" i="21" s="1"/>
  <c r="J58" i="59"/>
  <c r="J59" i="59"/>
  <c r="J60" i="59"/>
  <c r="J61" i="59"/>
  <c r="J62" i="59"/>
  <c r="J63" i="59"/>
  <c r="J64" i="59"/>
  <c r="J65" i="59"/>
  <c r="J66" i="59"/>
  <c r="J67" i="59"/>
  <c r="J68" i="59"/>
  <c r="G69" i="21"/>
  <c r="J69" i="21" s="1"/>
  <c r="J69" i="59"/>
  <c r="J70" i="59"/>
  <c r="J73" i="59"/>
  <c r="J77" i="59"/>
  <c r="J78" i="59"/>
  <c r="J80" i="59"/>
  <c r="J83" i="59"/>
  <c r="J85" i="59"/>
  <c r="G86" i="21"/>
  <c r="J86" i="21" s="1"/>
  <c r="J86" i="59"/>
  <c r="C46" i="9"/>
  <c r="H46" i="17" s="1"/>
  <c r="G46" i="9"/>
  <c r="D46" i="9" s="1"/>
  <c r="E46" i="21"/>
  <c r="C79" i="21"/>
  <c r="F79" i="21" s="1"/>
  <c r="H87" i="21"/>
  <c r="E10" i="21"/>
  <c r="N11" i="25"/>
  <c r="J11" i="25"/>
  <c r="N12" i="25"/>
  <c r="J12" i="25"/>
  <c r="E13" i="21"/>
  <c r="E14" i="21"/>
  <c r="D14" i="23"/>
  <c r="N15" i="25"/>
  <c r="J15" i="25"/>
  <c r="N16" i="25"/>
  <c r="J16" i="25"/>
  <c r="N17" i="25"/>
  <c r="J17" i="25"/>
  <c r="N18" i="25"/>
  <c r="J18" i="25"/>
  <c r="N19" i="25"/>
  <c r="J19" i="25"/>
  <c r="N20" i="25"/>
  <c r="J20" i="25"/>
  <c r="N21" i="25"/>
  <c r="J21" i="25"/>
  <c r="N22" i="25"/>
  <c r="J22" i="25"/>
  <c r="E23" i="21"/>
  <c r="D23" i="23"/>
  <c r="N24" i="25"/>
  <c r="J24" i="25"/>
  <c r="E25" i="59"/>
  <c r="C25" i="21" s="1"/>
  <c r="E25" i="21" s="1"/>
  <c r="N26" i="25"/>
  <c r="J26" i="25"/>
  <c r="H27" i="14"/>
  <c r="E27" i="21"/>
  <c r="E28" i="21"/>
  <c r="D28" i="23"/>
  <c r="N29" i="25"/>
  <c r="J29" i="25"/>
  <c r="E31" i="59"/>
  <c r="C31" i="21" s="1"/>
  <c r="N32" i="25"/>
  <c r="J32" i="25"/>
  <c r="E33" i="21"/>
  <c r="D33" i="23"/>
  <c r="N34" i="25"/>
  <c r="J34" i="25"/>
  <c r="N35" i="25"/>
  <c r="J35" i="25"/>
  <c r="N36" i="25"/>
  <c r="J36" i="25"/>
  <c r="N37" i="25"/>
  <c r="J37" i="25"/>
  <c r="N38" i="25"/>
  <c r="J38" i="25"/>
  <c r="N39" i="25"/>
  <c r="J39" i="25"/>
  <c r="N40" i="25"/>
  <c r="J40" i="25"/>
  <c r="E41" i="21"/>
  <c r="D41" i="23"/>
  <c r="E42" i="21"/>
  <c r="D42" i="23"/>
  <c r="N43" i="25"/>
  <c r="J43" i="25"/>
  <c r="E11" i="21"/>
  <c r="D11" i="23"/>
  <c r="E12" i="21"/>
  <c r="L12" i="23"/>
  <c r="D12" i="23" s="1"/>
  <c r="E15" i="21"/>
  <c r="D15" i="23"/>
  <c r="E16" i="21"/>
  <c r="D16" i="23"/>
  <c r="E17" i="21"/>
  <c r="E18" i="21"/>
  <c r="D18" i="23"/>
  <c r="E19" i="21"/>
  <c r="D19" i="23"/>
  <c r="E20" i="21"/>
  <c r="D20" i="23"/>
  <c r="E21" i="21"/>
  <c r="D21" i="23"/>
  <c r="E22" i="21"/>
  <c r="D22" i="23"/>
  <c r="E24" i="21"/>
  <c r="E26" i="21"/>
  <c r="D26" i="23"/>
  <c r="E29" i="21"/>
  <c r="D29" i="23"/>
  <c r="E32" i="21"/>
  <c r="E34" i="21"/>
  <c r="D34" i="23"/>
  <c r="E35" i="21"/>
  <c r="E36" i="21"/>
  <c r="L36" i="23"/>
  <c r="E37" i="21"/>
  <c r="D37" i="23"/>
  <c r="E38" i="21"/>
  <c r="D38" i="23"/>
  <c r="E40" i="21"/>
  <c r="D40" i="23"/>
  <c r="E44" i="21"/>
  <c r="E43" i="21" s="1"/>
  <c r="C10" i="14"/>
  <c r="D10" i="14" s="1"/>
  <c r="D11" i="14"/>
  <c r="G11" i="14"/>
  <c r="D12" i="14"/>
  <c r="G12" i="14"/>
  <c r="D14" i="14"/>
  <c r="D15" i="14"/>
  <c r="G15" i="14"/>
  <c r="D16" i="14"/>
  <c r="G16" i="14"/>
  <c r="D17" i="14"/>
  <c r="G17" i="14"/>
  <c r="C18" i="14"/>
  <c r="D18" i="14" s="1"/>
  <c r="G18" i="14"/>
  <c r="D19" i="14"/>
  <c r="G19" i="14"/>
  <c r="D20" i="14"/>
  <c r="G20" i="14"/>
  <c r="D21" i="14"/>
  <c r="G21" i="14"/>
  <c r="D22" i="14"/>
  <c r="G22" i="14"/>
  <c r="D23" i="14"/>
  <c r="G23" i="14"/>
  <c r="D24" i="14"/>
  <c r="D26" i="14"/>
  <c r="G26" i="14"/>
  <c r="D27" i="14"/>
  <c r="C28" i="14"/>
  <c r="D28" i="14" s="1"/>
  <c r="D29" i="14"/>
  <c r="G29" i="14"/>
  <c r="C30" i="14"/>
  <c r="D30" i="14" s="1"/>
  <c r="C32" i="14"/>
  <c r="D32" i="14" s="1"/>
  <c r="D33" i="14"/>
  <c r="G33" i="14"/>
  <c r="C34" i="14"/>
  <c r="D34" i="14" s="1"/>
  <c r="D35" i="14"/>
  <c r="G35" i="14"/>
  <c r="D36" i="14"/>
  <c r="G36" i="14"/>
  <c r="D37" i="14"/>
  <c r="G37" i="14"/>
  <c r="D38" i="14"/>
  <c r="G38" i="14"/>
  <c r="D40" i="14"/>
  <c r="G40" i="14"/>
  <c r="C41" i="14"/>
  <c r="D41" i="14" s="1"/>
  <c r="D42" i="14"/>
  <c r="G42" i="14"/>
  <c r="C44" i="14"/>
  <c r="D44" i="14" s="1"/>
  <c r="C46" i="14"/>
  <c r="D46" i="14" s="1"/>
  <c r="C52" i="14"/>
  <c r="D52" i="14" s="1"/>
  <c r="K10" i="21"/>
  <c r="K11" i="21"/>
  <c r="K13" i="21"/>
  <c r="K14" i="21"/>
  <c r="K15" i="21"/>
  <c r="K16" i="21"/>
  <c r="K17" i="21"/>
  <c r="K18" i="21"/>
  <c r="K19" i="21"/>
  <c r="K20" i="21"/>
  <c r="K21" i="21"/>
  <c r="B23" i="8"/>
  <c r="C23" i="8"/>
  <c r="C11" i="9"/>
  <c r="C12" i="9"/>
  <c r="H12" i="261" s="1"/>
  <c r="C14" i="9"/>
  <c r="K14" i="17" s="1"/>
  <c r="C15" i="9"/>
  <c r="C16" i="9"/>
  <c r="C17" i="9"/>
  <c r="C18" i="9"/>
  <c r="B18" i="25" s="1"/>
  <c r="C19" i="9"/>
  <c r="C20" i="9"/>
  <c r="C21" i="9"/>
  <c r="C22" i="9"/>
  <c r="C24" i="9"/>
  <c r="H24" i="261" s="1"/>
  <c r="C25" i="9"/>
  <c r="C26" i="9"/>
  <c r="E26" i="116" s="1"/>
  <c r="C29" i="9"/>
  <c r="C31" i="9"/>
  <c r="C32" i="9"/>
  <c r="H32" i="261" s="1"/>
  <c r="C33" i="9"/>
  <c r="C34" i="9"/>
  <c r="H34" i="17" s="1"/>
  <c r="C35" i="9"/>
  <c r="C36" i="9"/>
  <c r="C37" i="9"/>
  <c r="K37" i="17" s="1"/>
  <c r="C38" i="9"/>
  <c r="C39" i="9"/>
  <c r="C40" i="9"/>
  <c r="C41" i="9"/>
  <c r="C42" i="9"/>
  <c r="C43" i="9"/>
  <c r="F11" i="8"/>
  <c r="G11" i="8"/>
  <c r="F12" i="8"/>
  <c r="G12" i="8"/>
  <c r="F29" i="8"/>
  <c r="G29" i="8"/>
  <c r="F30" i="8"/>
  <c r="G30" i="8"/>
  <c r="F31" i="8"/>
  <c r="G31" i="8"/>
  <c r="F32" i="8"/>
  <c r="G32" i="8"/>
  <c r="G33" i="9"/>
  <c r="D33" i="9" s="1"/>
  <c r="F34" i="8"/>
  <c r="G34" i="8"/>
  <c r="F35" i="8"/>
  <c r="G35" i="8"/>
  <c r="F36" i="8"/>
  <c r="B36" i="36" s="1"/>
  <c r="G36" i="8"/>
  <c r="F37" i="8"/>
  <c r="G37" i="8"/>
  <c r="F38" i="8"/>
  <c r="B38" i="36" s="1"/>
  <c r="G38" i="8"/>
  <c r="F39" i="8"/>
  <c r="G39" i="8"/>
  <c r="F40" i="8"/>
  <c r="G40" i="8"/>
  <c r="F41" i="8"/>
  <c r="G41" i="8"/>
  <c r="F42" i="8"/>
  <c r="B42" i="36" s="1"/>
  <c r="G42" i="8"/>
  <c r="F43" i="8"/>
  <c r="G43" i="8"/>
  <c r="F44" i="8"/>
  <c r="G44" i="8"/>
  <c r="F24" i="8"/>
  <c r="G24" i="8"/>
  <c r="F25" i="8"/>
  <c r="G25" i="8"/>
  <c r="F26" i="8"/>
  <c r="G26" i="8"/>
  <c r="G14" i="9"/>
  <c r="D14" i="9" s="1"/>
  <c r="G14" i="25" s="1"/>
  <c r="F15" i="8"/>
  <c r="G15" i="8"/>
  <c r="F16" i="8"/>
  <c r="G16" i="8"/>
  <c r="F17" i="8"/>
  <c r="B17" i="36" s="1"/>
  <c r="G17" i="8"/>
  <c r="F18" i="8"/>
  <c r="G18" i="8"/>
  <c r="F19" i="8"/>
  <c r="B19" i="36" s="1"/>
  <c r="G19" i="8"/>
  <c r="F20" i="8"/>
  <c r="G20" i="8"/>
  <c r="F21" i="8"/>
  <c r="G21" i="8"/>
  <c r="F22" i="8"/>
  <c r="G22" i="8"/>
  <c r="G23" i="9"/>
  <c r="I23" i="116" s="1"/>
  <c r="K23" i="21"/>
  <c r="G25" i="9"/>
  <c r="D25" i="9" s="1"/>
  <c r="G25" i="25" s="1"/>
  <c r="K26" i="21"/>
  <c r="B28" i="8"/>
  <c r="C28" i="8"/>
  <c r="B27" i="8"/>
  <c r="C27" i="8"/>
  <c r="G27" i="9"/>
  <c r="K28" i="21"/>
  <c r="K29" i="21"/>
  <c r="B31" i="25"/>
  <c r="G31" i="9"/>
  <c r="D31" i="9" s="1"/>
  <c r="I31" i="9" s="1"/>
  <c r="J31" i="9" s="1"/>
  <c r="K33" i="21"/>
  <c r="K34" i="21"/>
  <c r="K35" i="21"/>
  <c r="K36" i="21"/>
  <c r="K37" i="21"/>
  <c r="K38" i="21"/>
  <c r="K39" i="21"/>
  <c r="K40" i="21"/>
  <c r="G41" i="9"/>
  <c r="G42" i="9"/>
  <c r="K42" i="21"/>
  <c r="K43" i="21"/>
  <c r="K44" i="21"/>
  <c r="B46" i="25"/>
  <c r="K46" i="21"/>
  <c r="C47" i="9"/>
  <c r="E47" i="116" s="1"/>
  <c r="E47" i="8"/>
  <c r="B47" i="9" s="1"/>
  <c r="B47" i="12" s="1"/>
  <c r="G47" i="9"/>
  <c r="K47" i="21"/>
  <c r="B48" i="25"/>
  <c r="K48" i="21"/>
  <c r="C49" i="9"/>
  <c r="G49" i="9"/>
  <c r="K49" i="21"/>
  <c r="C50" i="9"/>
  <c r="B50" i="25" s="1"/>
  <c r="E50" i="8"/>
  <c r="G50" i="9"/>
  <c r="K50" i="21"/>
  <c r="G51" i="25"/>
  <c r="K51" i="21"/>
  <c r="C52" i="9"/>
  <c r="H52" i="17" s="1"/>
  <c r="E52" i="8"/>
  <c r="B52" i="9" s="1"/>
  <c r="B52" i="12" s="1"/>
  <c r="G52" i="9"/>
  <c r="I52" i="116" s="1"/>
  <c r="K52" i="21"/>
  <c r="E54" i="8"/>
  <c r="B54" i="9" s="1"/>
  <c r="B54" i="12" s="1"/>
  <c r="E55" i="8"/>
  <c r="B55" i="9" s="1"/>
  <c r="E56" i="8"/>
  <c r="B56" i="9" s="1"/>
  <c r="B56" i="12" s="1"/>
  <c r="E57" i="8"/>
  <c r="B57" i="9" s="1"/>
  <c r="E58" i="8"/>
  <c r="B58" i="9" s="1"/>
  <c r="E59" i="8"/>
  <c r="B59" i="9" s="1"/>
  <c r="B59" i="12" s="1"/>
  <c r="C77" i="9"/>
  <c r="C78" i="9"/>
  <c r="C83" i="9"/>
  <c r="E83" i="116" s="1"/>
  <c r="C89" i="9"/>
  <c r="E75" i="8"/>
  <c r="E76" i="8"/>
  <c r="B76" i="9" s="1"/>
  <c r="E77" i="8"/>
  <c r="B77" i="9" s="1"/>
  <c r="E78" i="8"/>
  <c r="B78" i="9" s="1"/>
  <c r="B78" i="12" s="1"/>
  <c r="E79" i="8"/>
  <c r="B79" i="9" s="1"/>
  <c r="B79" i="12" s="1"/>
  <c r="E80" i="8"/>
  <c r="B80" i="9" s="1"/>
  <c r="E81" i="8"/>
  <c r="B81" i="9" s="1"/>
  <c r="B81" i="12" s="1"/>
  <c r="E82" i="8"/>
  <c r="B82" i="9" s="1"/>
  <c r="B82" i="12" s="1"/>
  <c r="E83" i="8"/>
  <c r="E84" i="8"/>
  <c r="B84" i="9" s="1"/>
  <c r="E85" i="8"/>
  <c r="B85" i="9" s="1"/>
  <c r="B85" i="12" s="1"/>
  <c r="E86" i="8"/>
  <c r="B86" i="9" s="1"/>
  <c r="B86" i="12" s="1"/>
  <c r="E87" i="8"/>
  <c r="B87" i="9" s="1"/>
  <c r="B87" i="12" s="1"/>
  <c r="E88" i="8"/>
  <c r="B88" i="9" s="1"/>
  <c r="B88" i="12" s="1"/>
  <c r="D89" i="9"/>
  <c r="G89" i="9"/>
  <c r="G89" i="25" s="1"/>
  <c r="E60" i="8"/>
  <c r="B60" i="9" s="1"/>
  <c r="E61" i="8"/>
  <c r="B61" i="9" s="1"/>
  <c r="B61" i="12" s="1"/>
  <c r="E62" i="8"/>
  <c r="B62" i="9" s="1"/>
  <c r="B62" i="12" s="1"/>
  <c r="E63" i="8"/>
  <c r="B63" i="9" s="1"/>
  <c r="E64" i="8"/>
  <c r="E65" i="8"/>
  <c r="E66" i="8"/>
  <c r="B66" i="9" s="1"/>
  <c r="E67" i="8"/>
  <c r="B67" i="9" s="1"/>
  <c r="E68" i="8"/>
  <c r="B68" i="9" s="1"/>
  <c r="B68" i="12" s="1"/>
  <c r="E69" i="8"/>
  <c r="B69" i="9" s="1"/>
  <c r="B69" i="12" s="1"/>
  <c r="E70" i="8"/>
  <c r="B70" i="9" s="1"/>
  <c r="B70" i="12" s="1"/>
  <c r="E71" i="8"/>
  <c r="B71" i="9" s="1"/>
  <c r="B71" i="12" s="1"/>
  <c r="E72" i="8"/>
  <c r="B72" i="9" s="1"/>
  <c r="E73" i="8"/>
  <c r="B73" i="9" s="1"/>
  <c r="E74" i="8"/>
  <c r="B74" i="9" s="1"/>
  <c r="G77" i="9"/>
  <c r="G78" i="9"/>
  <c r="I78" i="116" s="1"/>
  <c r="G83" i="9"/>
  <c r="C28" i="36"/>
  <c r="C28" i="25" s="1"/>
  <c r="G28" i="36"/>
  <c r="D28" i="36" s="1"/>
  <c r="G10" i="9"/>
  <c r="D10" i="9" s="1"/>
  <c r="G11" i="9"/>
  <c r="G12" i="9"/>
  <c r="G13" i="9"/>
  <c r="G15" i="9"/>
  <c r="G16" i="9"/>
  <c r="G17" i="9"/>
  <c r="G18" i="9"/>
  <c r="G19" i="9"/>
  <c r="G20" i="9"/>
  <c r="I20" i="116" s="1"/>
  <c r="G21" i="9"/>
  <c r="G22" i="9"/>
  <c r="I22" i="116" s="1"/>
  <c r="G24" i="9"/>
  <c r="G26" i="9"/>
  <c r="G29" i="9"/>
  <c r="G32" i="9"/>
  <c r="G34" i="9"/>
  <c r="G35" i="9"/>
  <c r="D35" i="9" s="1"/>
  <c r="G36" i="9"/>
  <c r="G37" i="9"/>
  <c r="G38" i="9"/>
  <c r="D38" i="9" s="1"/>
  <c r="G39" i="9"/>
  <c r="D39" i="9" s="1"/>
  <c r="G40" i="9"/>
  <c r="G43" i="9"/>
  <c r="E49" i="8"/>
  <c r="B49" i="9" s="1"/>
  <c r="P49" i="9" s="1"/>
  <c r="B46" i="8"/>
  <c r="P46" i="12" s="1"/>
  <c r="C47" i="8"/>
  <c r="C48" i="8"/>
  <c r="C49" i="8"/>
  <c r="C50" i="8"/>
  <c r="C51" i="8"/>
  <c r="C52" i="8"/>
  <c r="B47" i="8"/>
  <c r="D47" i="8" s="1"/>
  <c r="B48" i="8"/>
  <c r="B49" i="8"/>
  <c r="B50" i="8"/>
  <c r="B51" i="8"/>
  <c r="B52" i="8"/>
  <c r="B10" i="8"/>
  <c r="B11" i="8"/>
  <c r="B12" i="8"/>
  <c r="B13" i="8"/>
  <c r="P13" i="12" s="1"/>
  <c r="B14" i="8"/>
  <c r="B15" i="8"/>
  <c r="B16" i="8"/>
  <c r="P16" i="12" s="1"/>
  <c r="B17" i="8"/>
  <c r="B18" i="8"/>
  <c r="B19" i="8"/>
  <c r="B20" i="8"/>
  <c r="P20" i="12" s="1"/>
  <c r="B21" i="8"/>
  <c r="P21" i="12" s="1"/>
  <c r="B22" i="8"/>
  <c r="B24" i="8"/>
  <c r="B25" i="8"/>
  <c r="B26" i="8"/>
  <c r="B29" i="8"/>
  <c r="B30" i="8"/>
  <c r="B31" i="8"/>
  <c r="B32" i="8"/>
  <c r="B33" i="8"/>
  <c r="B34" i="8"/>
  <c r="B35" i="8"/>
  <c r="B36" i="8"/>
  <c r="B37" i="8"/>
  <c r="P37" i="12" s="1"/>
  <c r="B38" i="8"/>
  <c r="B39" i="8"/>
  <c r="P39" i="12" s="1"/>
  <c r="B40" i="8"/>
  <c r="P40" i="12" s="1"/>
  <c r="B41" i="8"/>
  <c r="B42" i="8"/>
  <c r="B43" i="8"/>
  <c r="B44" i="8"/>
  <c r="P44" i="12" s="1"/>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D91" i="128"/>
  <c r="A54" i="9"/>
  <c r="C54" i="9" s="1"/>
  <c r="E65" i="9"/>
  <c r="E67" i="9"/>
  <c r="E72" i="9"/>
  <c r="E83" i="9"/>
  <c r="E77" i="9"/>
  <c r="E54" i="59"/>
  <c r="R90" i="59"/>
  <c r="R45" i="59"/>
  <c r="M29" i="102"/>
  <c r="R11" i="59"/>
  <c r="M32" i="102"/>
  <c r="R12" i="59" s="1"/>
  <c r="M28" i="102"/>
  <c r="R13" i="59" s="1"/>
  <c r="M10" i="102"/>
  <c r="R15" i="59" s="1"/>
  <c r="M20" i="102"/>
  <c r="R16" i="59" s="1"/>
  <c r="M15" i="102"/>
  <c r="R17" i="59" s="1"/>
  <c r="M26" i="102"/>
  <c r="R18" i="59"/>
  <c r="M31" i="102"/>
  <c r="R19" i="59" s="1"/>
  <c r="M34" i="102"/>
  <c r="R20" i="59" s="1"/>
  <c r="M14" i="102"/>
  <c r="R21" i="59" s="1"/>
  <c r="M22" i="102"/>
  <c r="R22" i="59"/>
  <c r="M30" i="102"/>
  <c r="R24" i="59" s="1"/>
  <c r="M23" i="102"/>
  <c r="R26" i="59" s="1"/>
  <c r="M33" i="102"/>
  <c r="R27" i="59" s="1"/>
  <c r="M9" i="102"/>
  <c r="R29" i="59" s="1"/>
  <c r="M37" i="102"/>
  <c r="R30" i="59" s="1"/>
  <c r="M35" i="102"/>
  <c r="R32" i="59"/>
  <c r="M18" i="102"/>
  <c r="R35" i="59" s="1"/>
  <c r="M21" i="102"/>
  <c r="R36" i="59" s="1"/>
  <c r="M13" i="102"/>
  <c r="R38" i="59" s="1"/>
  <c r="M25" i="102"/>
  <c r="R39" i="59" s="1"/>
  <c r="M27" i="102"/>
  <c r="R40" i="59" s="1"/>
  <c r="M36" i="102"/>
  <c r="R43" i="59"/>
  <c r="R44" i="59"/>
  <c r="I90" i="59"/>
  <c r="E56" i="59"/>
  <c r="E63" i="59"/>
  <c r="E64" i="59"/>
  <c r="E65" i="59"/>
  <c r="E68" i="59"/>
  <c r="E69" i="59"/>
  <c r="E70" i="59"/>
  <c r="E71" i="59"/>
  <c r="E73" i="59"/>
  <c r="E75" i="59"/>
  <c r="E84" i="59"/>
  <c r="E85" i="59"/>
  <c r="E86" i="59"/>
  <c r="E87" i="59"/>
  <c r="I87" i="59" s="1"/>
  <c r="I45" i="59"/>
  <c r="G26" i="102"/>
  <c r="I12" i="59" s="1"/>
  <c r="G37" i="102"/>
  <c r="I24" i="59" s="1"/>
  <c r="G35" i="102"/>
  <c r="I30" i="59" s="1"/>
  <c r="K30" i="59" s="1"/>
  <c r="G36" i="102"/>
  <c r="I32" i="59" s="1"/>
  <c r="K32" i="59" s="1"/>
  <c r="L90" i="59"/>
  <c r="L53" i="59"/>
  <c r="L45" i="59"/>
  <c r="L9" i="59"/>
  <c r="E10" i="9"/>
  <c r="K10" i="9" s="1"/>
  <c r="H10" i="19"/>
  <c r="D10" i="19"/>
  <c r="F10" i="13"/>
  <c r="I10" i="13"/>
  <c r="H10" i="10"/>
  <c r="G10" i="19"/>
  <c r="D11" i="9"/>
  <c r="E11" i="9"/>
  <c r="H11" i="19"/>
  <c r="D11" i="19"/>
  <c r="F11" i="13"/>
  <c r="I11" i="13"/>
  <c r="H11" i="10"/>
  <c r="E12" i="9"/>
  <c r="H12" i="10"/>
  <c r="E13" i="9"/>
  <c r="H13" i="19"/>
  <c r="D13" i="19" s="1"/>
  <c r="F13" i="13"/>
  <c r="I13" i="13"/>
  <c r="H13" i="10"/>
  <c r="C14" i="128" s="1"/>
  <c r="G13" i="19"/>
  <c r="E14" i="9"/>
  <c r="K14" i="9" s="1"/>
  <c r="H14" i="19"/>
  <c r="D14" i="19" s="1"/>
  <c r="F14" i="13"/>
  <c r="I14" i="13"/>
  <c r="H14" i="10"/>
  <c r="C15" i="128" s="1"/>
  <c r="G14" i="19"/>
  <c r="D15" i="9"/>
  <c r="Q15" i="9" s="1"/>
  <c r="E15" i="9"/>
  <c r="H15" i="19"/>
  <c r="D15" i="19" s="1"/>
  <c r="F15" i="13"/>
  <c r="I15" i="13"/>
  <c r="H15" i="10"/>
  <c r="G15" i="19"/>
  <c r="D16" i="9"/>
  <c r="I16" i="9" s="1"/>
  <c r="E16" i="9"/>
  <c r="H16" i="19"/>
  <c r="D16" i="19" s="1"/>
  <c r="F16" i="13"/>
  <c r="I16" i="13"/>
  <c r="H16" i="10"/>
  <c r="G16" i="19"/>
  <c r="E17" i="9"/>
  <c r="H17" i="19"/>
  <c r="D17" i="19" s="1"/>
  <c r="F17" i="13"/>
  <c r="I17" i="13"/>
  <c r="H17" i="10"/>
  <c r="G17" i="19"/>
  <c r="E18" i="9"/>
  <c r="H18" i="19"/>
  <c r="D18" i="19" s="1"/>
  <c r="F18" i="13"/>
  <c r="I18" i="13"/>
  <c r="H18" i="10"/>
  <c r="C19" i="128" s="1"/>
  <c r="G18" i="19"/>
  <c r="D19" i="9"/>
  <c r="E19" i="9"/>
  <c r="H19" i="19"/>
  <c r="D19" i="19" s="1"/>
  <c r="F19" i="13"/>
  <c r="I19" i="13"/>
  <c r="H19" i="10"/>
  <c r="C20" i="128" s="1"/>
  <c r="G19" i="19"/>
  <c r="E20" i="9"/>
  <c r="H20" i="19"/>
  <c r="D20" i="19" s="1"/>
  <c r="F20" i="13"/>
  <c r="I20" i="13"/>
  <c r="L21" i="26"/>
  <c r="Q20" i="13" s="1"/>
  <c r="O20" i="13"/>
  <c r="G20" i="19"/>
  <c r="E21" i="9"/>
  <c r="H21" i="19"/>
  <c r="D21" i="19" s="1"/>
  <c r="F21" i="13"/>
  <c r="I21" i="13"/>
  <c r="H21" i="10"/>
  <c r="G21" i="19"/>
  <c r="E22" i="9"/>
  <c r="H22" i="19"/>
  <c r="D22" i="19" s="1"/>
  <c r="F22" i="13"/>
  <c r="I22" i="13"/>
  <c r="H22" i="10"/>
  <c r="C23" i="128" s="1"/>
  <c r="G22" i="19"/>
  <c r="D100" i="8"/>
  <c r="E26" i="9"/>
  <c r="E27" i="9"/>
  <c r="E28" i="9"/>
  <c r="E29" i="9"/>
  <c r="E30" i="9"/>
  <c r="E31" i="9"/>
  <c r="E32" i="9"/>
  <c r="E24" i="9"/>
  <c r="E34" i="9"/>
  <c r="E35" i="9"/>
  <c r="E36" i="9"/>
  <c r="E37" i="9"/>
  <c r="E38" i="9"/>
  <c r="E39" i="9"/>
  <c r="E40" i="9"/>
  <c r="E41" i="9"/>
  <c r="E42" i="9"/>
  <c r="E43" i="9"/>
  <c r="E44" i="9"/>
  <c r="C13" i="8"/>
  <c r="H23" i="19"/>
  <c r="D23" i="19" s="1"/>
  <c r="F23" i="13"/>
  <c r="I23" i="13"/>
  <c r="H23" i="10"/>
  <c r="G23" i="19"/>
  <c r="D24" i="9"/>
  <c r="L24" i="26"/>
  <c r="Q24" i="13"/>
  <c r="O24" i="13" s="1"/>
  <c r="F24" i="13"/>
  <c r="I24" i="13"/>
  <c r="G24" i="19"/>
  <c r="D24" i="17"/>
  <c r="H25" i="19"/>
  <c r="D25" i="19"/>
  <c r="F25" i="13"/>
  <c r="I25" i="13"/>
  <c r="H25" i="10"/>
  <c r="G25" i="10" s="1"/>
  <c r="I25" i="10" s="1"/>
  <c r="G25" i="19"/>
  <c r="D26" i="9"/>
  <c r="I26" i="9" s="1"/>
  <c r="J26" i="9" s="1"/>
  <c r="H26" i="19"/>
  <c r="D26" i="19" s="1"/>
  <c r="F26" i="13"/>
  <c r="I26" i="13"/>
  <c r="H26" i="10"/>
  <c r="C27" i="128" s="1"/>
  <c r="G26" i="19"/>
  <c r="H27" i="19"/>
  <c r="D27" i="19"/>
  <c r="F27" i="13"/>
  <c r="H27" i="10"/>
  <c r="C28" i="128" s="1"/>
  <c r="G27" i="19"/>
  <c r="H28" i="19"/>
  <c r="D28" i="19" s="1"/>
  <c r="F28" i="13"/>
  <c r="I28" i="13"/>
  <c r="H28" i="10"/>
  <c r="G28" i="19"/>
  <c r="H29" i="19"/>
  <c r="D29" i="19" s="1"/>
  <c r="F29" i="13"/>
  <c r="I29" i="13"/>
  <c r="H29" i="10"/>
  <c r="G29" i="19"/>
  <c r="L26" i="26"/>
  <c r="Q30" i="13" s="1"/>
  <c r="O30" i="13" s="1"/>
  <c r="F30" i="13"/>
  <c r="I30" i="13"/>
  <c r="G30" i="19"/>
  <c r="D30" i="17"/>
  <c r="H31" i="19"/>
  <c r="D31" i="19" s="1"/>
  <c r="F31" i="13"/>
  <c r="L55" i="26"/>
  <c r="Q31" i="13" s="1"/>
  <c r="O31" i="13" s="1"/>
  <c r="G31" i="19"/>
  <c r="L27" i="26"/>
  <c r="Q32" i="13" s="1"/>
  <c r="O32" i="13" s="1"/>
  <c r="D32" i="17"/>
  <c r="H33" i="19"/>
  <c r="D33" i="19"/>
  <c r="F33" i="13"/>
  <c r="I33" i="13"/>
  <c r="L87" i="26"/>
  <c r="Q33" i="13"/>
  <c r="O33" i="13" s="1"/>
  <c r="G33" i="19"/>
  <c r="D34" i="9"/>
  <c r="H34" i="19"/>
  <c r="D34" i="19" s="1"/>
  <c r="F34" i="13"/>
  <c r="I34" i="13"/>
  <c r="L29" i="26"/>
  <c r="Q34" i="13" s="1"/>
  <c r="O34" i="13" s="1"/>
  <c r="G34" i="19"/>
  <c r="H35" i="19"/>
  <c r="D35" i="19"/>
  <c r="L30" i="26"/>
  <c r="Q35" i="13"/>
  <c r="O35" i="13" s="1"/>
  <c r="D36" i="9"/>
  <c r="H36" i="19"/>
  <c r="D36" i="19" s="1"/>
  <c r="H36" i="10"/>
  <c r="C38" i="154" s="1"/>
  <c r="H37" i="19"/>
  <c r="D37" i="19" s="1"/>
  <c r="F37" i="13"/>
  <c r="I37" i="13"/>
  <c r="G37" i="19"/>
  <c r="H38" i="19"/>
  <c r="D38" i="19" s="1"/>
  <c r="F38" i="13"/>
  <c r="I38" i="13"/>
  <c r="H38" i="10"/>
  <c r="C39" i="128" s="1"/>
  <c r="G38" i="19"/>
  <c r="H39" i="19"/>
  <c r="D39" i="19" s="1"/>
  <c r="H39" i="10"/>
  <c r="C40" i="128" s="1"/>
  <c r="H40" i="19"/>
  <c r="D40" i="19" s="1"/>
  <c r="H40" i="10"/>
  <c r="H41" i="19"/>
  <c r="D41" i="19" s="1"/>
  <c r="F41" i="13"/>
  <c r="I41" i="13"/>
  <c r="L35" i="26"/>
  <c r="Q41" i="13" s="1"/>
  <c r="O41" i="13" s="1"/>
  <c r="G41" i="19"/>
  <c r="H42" i="19"/>
  <c r="D42" i="19" s="1"/>
  <c r="F42" i="13"/>
  <c r="I42" i="13"/>
  <c r="H42" i="10"/>
  <c r="G42" i="19"/>
  <c r="H43" i="19"/>
  <c r="D43" i="19" s="1"/>
  <c r="H43" i="10"/>
  <c r="C44" i="128" s="1"/>
  <c r="G43" i="19"/>
  <c r="H44" i="19"/>
  <c r="D44" i="19" s="1"/>
  <c r="F44" i="13"/>
  <c r="G44" i="19"/>
  <c r="E46" i="9"/>
  <c r="H46" i="19"/>
  <c r="D46" i="19"/>
  <c r="F46" i="13"/>
  <c r="I46" i="13"/>
  <c r="G46" i="19"/>
  <c r="E47" i="9"/>
  <c r="H47" i="19"/>
  <c r="D47" i="19"/>
  <c r="G47" i="10"/>
  <c r="G47" i="19"/>
  <c r="E48" i="9"/>
  <c r="H48" i="19"/>
  <c r="D48" i="19" s="1"/>
  <c r="G48" i="10"/>
  <c r="G48" i="19"/>
  <c r="E49" i="9"/>
  <c r="H49" i="19"/>
  <c r="D49" i="19" s="1"/>
  <c r="G49" i="10"/>
  <c r="C51" i="154" s="1"/>
  <c r="G49" i="19"/>
  <c r="E52" i="9"/>
  <c r="H50" i="19"/>
  <c r="D50" i="19" s="1"/>
  <c r="G50" i="19"/>
  <c r="H51" i="19"/>
  <c r="D51" i="19" s="1"/>
  <c r="G51" i="10"/>
  <c r="C52" i="128" s="1"/>
  <c r="G51" i="19"/>
  <c r="H52" i="19"/>
  <c r="D52" i="19" s="1"/>
  <c r="F52" i="13"/>
  <c r="G52" i="10"/>
  <c r="C53" i="128" s="1"/>
  <c r="G52" i="19"/>
  <c r="C10" i="8"/>
  <c r="N10" i="17"/>
  <c r="N13" i="17"/>
  <c r="N14" i="17"/>
  <c r="J18" i="12"/>
  <c r="N25" i="17"/>
  <c r="N31" i="17"/>
  <c r="N33" i="17"/>
  <c r="J37" i="12"/>
  <c r="J39" i="12"/>
  <c r="N41" i="17"/>
  <c r="N42" i="17"/>
  <c r="N46" i="17"/>
  <c r="N47" i="17"/>
  <c r="N48" i="17"/>
  <c r="N49" i="17"/>
  <c r="N50" i="17"/>
  <c r="N51" i="17"/>
  <c r="N52" i="17"/>
  <c r="D54" i="12"/>
  <c r="G54" i="12" s="1"/>
  <c r="A55" i="9"/>
  <c r="A56" i="9"/>
  <c r="A57" i="9"/>
  <c r="A58" i="9"/>
  <c r="A60" i="9"/>
  <c r="A61" i="9"/>
  <c r="A62" i="9"/>
  <c r="A63" i="9"/>
  <c r="A64" i="9"/>
  <c r="A65" i="9"/>
  <c r="A66" i="9"/>
  <c r="A67" i="9"/>
  <c r="A68" i="9"/>
  <c r="A69" i="9"/>
  <c r="A70" i="9"/>
  <c r="A71" i="9"/>
  <c r="A72" i="9"/>
  <c r="A73" i="9"/>
  <c r="A75" i="9"/>
  <c r="A76" i="9"/>
  <c r="A79" i="9"/>
  <c r="A80" i="9"/>
  <c r="A81" i="9"/>
  <c r="A82" i="9"/>
  <c r="A84" i="9"/>
  <c r="A85" i="9"/>
  <c r="A86" i="9"/>
  <c r="A87" i="9"/>
  <c r="A88" i="9"/>
  <c r="A59" i="9"/>
  <c r="G59" i="9" s="1"/>
  <c r="I59" i="116" s="1"/>
  <c r="G72" i="10"/>
  <c r="N72" i="17"/>
  <c r="A74" i="9"/>
  <c r="G74" i="9" s="1"/>
  <c r="I74" i="116" s="1"/>
  <c r="P76" i="13"/>
  <c r="O76" i="13" s="1"/>
  <c r="N76" i="17"/>
  <c r="D78" i="12"/>
  <c r="P81" i="13"/>
  <c r="O81" i="13" s="1"/>
  <c r="N81" i="17"/>
  <c r="P82" i="13"/>
  <c r="O82" i="13" s="1"/>
  <c r="N82" i="17"/>
  <c r="D87" i="19"/>
  <c r="P88" i="13"/>
  <c r="O88" i="13"/>
  <c r="N88" i="17"/>
  <c r="D89" i="19"/>
  <c r="I89" i="261" s="1"/>
  <c r="G89" i="10"/>
  <c r="N89" i="17"/>
  <c r="B56" i="21"/>
  <c r="L56" i="21" s="1"/>
  <c r="B60" i="21"/>
  <c r="L60" i="21" s="1"/>
  <c r="B67" i="21"/>
  <c r="L67" i="21" s="1"/>
  <c r="B69" i="21"/>
  <c r="L69" i="21" s="1"/>
  <c r="B79" i="21"/>
  <c r="L79" i="21" s="1"/>
  <c r="B82" i="21"/>
  <c r="L82" i="21" s="1"/>
  <c r="B84" i="21"/>
  <c r="L84" i="21" s="1"/>
  <c r="B85" i="21"/>
  <c r="L85" i="21" s="1"/>
  <c r="B86" i="21"/>
  <c r="L86" i="21" s="1"/>
  <c r="B88" i="21"/>
  <c r="L88" i="21" s="1"/>
  <c r="AG45" i="99"/>
  <c r="AG46" i="99"/>
  <c r="AG49" i="99"/>
  <c r="AG50" i="99"/>
  <c r="AG51" i="99"/>
  <c r="AD10" i="99"/>
  <c r="AD11" i="99"/>
  <c r="AD14" i="99"/>
  <c r="AD15" i="99"/>
  <c r="AD16" i="99"/>
  <c r="AD17" i="99"/>
  <c r="AD18" i="99"/>
  <c r="AD19" i="99"/>
  <c r="AD20" i="99"/>
  <c r="AD21" i="99"/>
  <c r="AD23" i="99"/>
  <c r="AD25" i="99"/>
  <c r="AD28" i="99"/>
  <c r="AD29" i="99"/>
  <c r="AD34" i="99"/>
  <c r="AD35" i="99"/>
  <c r="AD36" i="99"/>
  <c r="AD37" i="99"/>
  <c r="AD38" i="99"/>
  <c r="AD39" i="99"/>
  <c r="AD40" i="99"/>
  <c r="AD42" i="99"/>
  <c r="E229" i="59"/>
  <c r="R39" i="98" s="1"/>
  <c r="B46" i="99"/>
  <c r="B19" i="99"/>
  <c r="B27" i="99"/>
  <c r="K36" i="99"/>
  <c r="M22" i="99"/>
  <c r="N22" i="99"/>
  <c r="X18" i="99"/>
  <c r="Y18" i="99"/>
  <c r="X22" i="99"/>
  <c r="Y22" i="99"/>
  <c r="X43" i="98"/>
  <c r="X43" i="99" s="1"/>
  <c r="Y43" i="98"/>
  <c r="Y43" i="99" s="1"/>
  <c r="D47" i="128"/>
  <c r="D48" i="128"/>
  <c r="D49" i="128"/>
  <c r="D50" i="128"/>
  <c r="D51" i="128"/>
  <c r="D52" i="128"/>
  <c r="D53" i="128"/>
  <c r="D11" i="128"/>
  <c r="D12" i="128"/>
  <c r="D14" i="128"/>
  <c r="D15" i="128"/>
  <c r="D16" i="128"/>
  <c r="D17" i="128"/>
  <c r="D18" i="128"/>
  <c r="D19" i="128"/>
  <c r="D20" i="128"/>
  <c r="D21" i="128"/>
  <c r="D22" i="128"/>
  <c r="D23" i="128"/>
  <c r="D24" i="128"/>
  <c r="D26" i="128"/>
  <c r="D27" i="128"/>
  <c r="D28" i="128"/>
  <c r="D29" i="128"/>
  <c r="D30" i="128"/>
  <c r="D32" i="128"/>
  <c r="D34" i="128"/>
  <c r="D35" i="128"/>
  <c r="D36" i="128"/>
  <c r="D37" i="128"/>
  <c r="D38" i="128"/>
  <c r="D39" i="128"/>
  <c r="D40" i="128"/>
  <c r="D41" i="128"/>
  <c r="F42" i="128"/>
  <c r="D43" i="128"/>
  <c r="D44" i="128"/>
  <c r="D45" i="128"/>
  <c r="E42" i="128"/>
  <c r="G42" i="128" s="1"/>
  <c r="C11" i="128"/>
  <c r="C16" i="128"/>
  <c r="H20" i="10"/>
  <c r="C21" i="128" s="1"/>
  <c r="C26" i="128"/>
  <c r="H31" i="10"/>
  <c r="C32" i="128" s="1"/>
  <c r="H33" i="10"/>
  <c r="H34" i="10"/>
  <c r="H35" i="10"/>
  <c r="C38" i="128"/>
  <c r="H44" i="10"/>
  <c r="C45" i="128" s="1"/>
  <c r="C47" i="128"/>
  <c r="C51" i="128"/>
  <c r="D8" i="155"/>
  <c r="E8" i="155"/>
  <c r="G47" i="21"/>
  <c r="F49" i="140"/>
  <c r="G49" i="140"/>
  <c r="J49" i="140"/>
  <c r="K49" i="140"/>
  <c r="L49" i="140"/>
  <c r="N50" i="59"/>
  <c r="G50" i="21" s="1"/>
  <c r="J50" i="21" s="1"/>
  <c r="H52" i="140"/>
  <c r="I52" i="140"/>
  <c r="J52" i="140"/>
  <c r="K52" i="140"/>
  <c r="L52" i="140"/>
  <c r="D49" i="60"/>
  <c r="D52" i="60"/>
  <c r="K35" i="12"/>
  <c r="N10" i="13"/>
  <c r="C10" i="13"/>
  <c r="N46" i="13"/>
  <c r="C46" i="13"/>
  <c r="C25" i="13"/>
  <c r="G27" i="10"/>
  <c r="A67" i="10"/>
  <c r="G67" i="10" s="1"/>
  <c r="G77" i="10"/>
  <c r="G83" i="10"/>
  <c r="G10" i="10"/>
  <c r="I10" i="10" s="1"/>
  <c r="G11" i="10"/>
  <c r="I11" i="10" s="1"/>
  <c r="G12" i="10"/>
  <c r="G13" i="10"/>
  <c r="G14" i="10"/>
  <c r="I14" i="10" s="1"/>
  <c r="G15" i="10"/>
  <c r="I15" i="10" s="1"/>
  <c r="G16" i="10"/>
  <c r="G17" i="10"/>
  <c r="G18" i="10"/>
  <c r="I18" i="10" s="1"/>
  <c r="G19" i="10"/>
  <c r="G20" i="10"/>
  <c r="G21" i="10"/>
  <c r="G22" i="10"/>
  <c r="I22" i="10" s="1"/>
  <c r="G23" i="10"/>
  <c r="G24" i="10"/>
  <c r="G26" i="10"/>
  <c r="G28" i="10"/>
  <c r="G29" i="10"/>
  <c r="G30" i="10"/>
  <c r="G31" i="10"/>
  <c r="G32" i="10"/>
  <c r="G34" i="10"/>
  <c r="G35" i="10"/>
  <c r="G36" i="10"/>
  <c r="G37" i="10"/>
  <c r="G38" i="10"/>
  <c r="G39" i="10"/>
  <c r="G40" i="10"/>
  <c r="I40" i="10" s="1"/>
  <c r="G41" i="10"/>
  <c r="G42" i="10"/>
  <c r="G43" i="10"/>
  <c r="G44" i="10"/>
  <c r="F50" i="8"/>
  <c r="B50" i="36" s="1"/>
  <c r="C50" i="36"/>
  <c r="G50" i="36"/>
  <c r="F47" i="8"/>
  <c r="B47" i="36" s="1"/>
  <c r="C47" i="36"/>
  <c r="G47" i="36"/>
  <c r="H50" i="8"/>
  <c r="H47" i="8"/>
  <c r="D10" i="36"/>
  <c r="K10" i="36" s="1"/>
  <c r="G37" i="36"/>
  <c r="D37" i="36" s="1"/>
  <c r="C37" i="36"/>
  <c r="H49" i="8"/>
  <c r="H52" i="8"/>
  <c r="E17" i="36"/>
  <c r="G17" i="36"/>
  <c r="C12" i="8"/>
  <c r="E36" i="36"/>
  <c r="G36" i="36"/>
  <c r="D36" i="36" s="1"/>
  <c r="E31" i="36"/>
  <c r="G31" i="36"/>
  <c r="D31" i="36" s="1"/>
  <c r="E26" i="36"/>
  <c r="G26" i="36"/>
  <c r="E22" i="36"/>
  <c r="G22" i="36"/>
  <c r="G51" i="36"/>
  <c r="C51" i="36"/>
  <c r="H68" i="8"/>
  <c r="C68" i="8"/>
  <c r="C61" i="8"/>
  <c r="C66" i="8"/>
  <c r="H42" i="8"/>
  <c r="C42" i="8"/>
  <c r="D42" i="8" s="1"/>
  <c r="H36" i="8"/>
  <c r="C36" i="8"/>
  <c r="H39" i="8"/>
  <c r="C39" i="8"/>
  <c r="C36" i="36"/>
  <c r="H25" i="8"/>
  <c r="C25" i="8"/>
  <c r="D25" i="8" s="1"/>
  <c r="E11" i="36"/>
  <c r="G11" i="36"/>
  <c r="D11" i="36" s="1"/>
  <c r="K15" i="12"/>
  <c r="G24" i="36"/>
  <c r="D24" i="36" s="1"/>
  <c r="C24" i="36"/>
  <c r="E19" i="36"/>
  <c r="G19" i="36"/>
  <c r="D19" i="36" s="1"/>
  <c r="E30" i="36"/>
  <c r="G30" i="36"/>
  <c r="D30" i="36" s="1"/>
  <c r="K17" i="12"/>
  <c r="G40" i="36"/>
  <c r="D40" i="36" s="1"/>
  <c r="C40" i="36"/>
  <c r="C40" i="25" s="1"/>
  <c r="G29" i="36"/>
  <c r="D29" i="36" s="1"/>
  <c r="C29" i="36"/>
  <c r="C29" i="25" s="1"/>
  <c r="H35" i="8"/>
  <c r="C35" i="8"/>
  <c r="D35" i="8" s="1"/>
  <c r="E37" i="36"/>
  <c r="H20" i="8"/>
  <c r="C20" i="8"/>
  <c r="D20" i="8" s="1"/>
  <c r="H26" i="8"/>
  <c r="C26" i="8"/>
  <c r="H66" i="8"/>
  <c r="C64" i="8"/>
  <c r="D64" i="8" s="1"/>
  <c r="C82" i="8"/>
  <c r="C81" i="8"/>
  <c r="C86" i="8"/>
  <c r="D86" i="8" s="1"/>
  <c r="C84" i="8"/>
  <c r="C21" i="8"/>
  <c r="H21" i="8"/>
  <c r="H22" i="8"/>
  <c r="C22" i="8"/>
  <c r="E40" i="36"/>
  <c r="G32" i="36"/>
  <c r="D32" i="36" s="1"/>
  <c r="C32" i="36"/>
  <c r="C32" i="25" s="1"/>
  <c r="C55" i="8"/>
  <c r="H55" i="8"/>
  <c r="C69" i="8"/>
  <c r="H76" i="8"/>
  <c r="C76" i="8"/>
  <c r="D76" i="8" s="1"/>
  <c r="C71" i="8"/>
  <c r="D71" i="8" s="1"/>
  <c r="C26" i="36"/>
  <c r="E27" i="36"/>
  <c r="G27" i="36"/>
  <c r="D27" i="36" s="1"/>
  <c r="C17" i="36"/>
  <c r="C11" i="36"/>
  <c r="C11" i="25" s="1"/>
  <c r="E16" i="36"/>
  <c r="G16" i="36"/>
  <c r="D16" i="36" s="1"/>
  <c r="C19" i="8"/>
  <c r="D19" i="8" s="1"/>
  <c r="H19" i="8"/>
  <c r="H16" i="8"/>
  <c r="C16" i="8"/>
  <c r="D16" i="8" s="1"/>
  <c r="H38" i="8"/>
  <c r="C38" i="8"/>
  <c r="D38" i="8" s="1"/>
  <c r="I30" i="36"/>
  <c r="J30" i="36" s="1"/>
  <c r="E34" i="36"/>
  <c r="G34" i="36"/>
  <c r="D34" i="36" s="1"/>
  <c r="G20" i="36"/>
  <c r="D20" i="36" s="1"/>
  <c r="C20" i="36"/>
  <c r="C20" i="25" s="1"/>
  <c r="H60" i="8"/>
  <c r="C60" i="8"/>
  <c r="D60" i="8" s="1"/>
  <c r="C73" i="8"/>
  <c r="H73" i="8"/>
  <c r="C75" i="8"/>
  <c r="D75" i="8" s="1"/>
  <c r="H29" i="8"/>
  <c r="C29" i="8"/>
  <c r="C32" i="8"/>
  <c r="H40" i="8"/>
  <c r="C40" i="8"/>
  <c r="D40" i="8" s="1"/>
  <c r="H32" i="8"/>
  <c r="C19" i="36"/>
  <c r="C19" i="25" s="1"/>
  <c r="E24" i="36"/>
  <c r="H56" i="8"/>
  <c r="C56" i="8"/>
  <c r="C85" i="8"/>
  <c r="C80" i="8"/>
  <c r="D80" i="8" s="1"/>
  <c r="C79" i="8"/>
  <c r="D79" i="8" s="1"/>
  <c r="C59" i="8"/>
  <c r="D59" i="8" s="1"/>
  <c r="C72" i="8"/>
  <c r="I48" i="9"/>
  <c r="J48" i="9" s="1"/>
  <c r="C31" i="8"/>
  <c r="H31" i="8"/>
  <c r="E49" i="36"/>
  <c r="G49" i="36"/>
  <c r="C49" i="36"/>
  <c r="G41" i="36"/>
  <c r="D41" i="36" s="1"/>
  <c r="C41" i="36"/>
  <c r="G35" i="36"/>
  <c r="C35" i="36"/>
  <c r="C35" i="25" s="1"/>
  <c r="G12" i="36"/>
  <c r="D12" i="36" s="1"/>
  <c r="C12" i="36"/>
  <c r="C12" i="25" s="1"/>
  <c r="H58" i="8"/>
  <c r="C58" i="8"/>
  <c r="D58" i="8" s="1"/>
  <c r="H81" i="8"/>
  <c r="E15" i="36"/>
  <c r="G15" i="36"/>
  <c r="D15" i="36" s="1"/>
  <c r="C15" i="36"/>
  <c r="C15" i="25" s="1"/>
  <c r="E43" i="36"/>
  <c r="G43" i="36"/>
  <c r="D43" i="36" s="1"/>
  <c r="C43" i="36"/>
  <c r="E28" i="36"/>
  <c r="F28" i="36" s="1"/>
  <c r="L28" i="36" s="1"/>
  <c r="H12" i="8"/>
  <c r="H18" i="8"/>
  <c r="C18" i="8"/>
  <c r="G25" i="36"/>
  <c r="D25" i="36" s="1"/>
  <c r="C25" i="36"/>
  <c r="C25" i="25" s="1"/>
  <c r="K21" i="12"/>
  <c r="C87" i="8"/>
  <c r="D87" i="8" s="1"/>
  <c r="K87" i="8" s="1"/>
  <c r="C88" i="8"/>
  <c r="D88" i="8" s="1"/>
  <c r="C67" i="8"/>
  <c r="D67" i="8" s="1"/>
  <c r="C74" i="8"/>
  <c r="C43" i="8"/>
  <c r="D43" i="8" s="1"/>
  <c r="H43" i="8"/>
  <c r="C41" i="8"/>
  <c r="H41" i="8"/>
  <c r="C17" i="8"/>
  <c r="H17" i="8"/>
  <c r="C15" i="8"/>
  <c r="D15" i="8" s="1"/>
  <c r="H59" i="8"/>
  <c r="H82" i="8"/>
  <c r="C31" i="36"/>
  <c r="C31" i="25" s="1"/>
  <c r="D31" i="25" s="1"/>
  <c r="E44" i="36"/>
  <c r="G44" i="36"/>
  <c r="D44" i="36" s="1"/>
  <c r="K19" i="12"/>
  <c r="C57" i="8"/>
  <c r="H57" i="8"/>
  <c r="C70" i="8"/>
  <c r="I24" i="9"/>
  <c r="J24" i="9" s="1"/>
  <c r="H34" i="8"/>
  <c r="C34" i="8"/>
  <c r="D34" i="8" s="1"/>
  <c r="C30" i="8"/>
  <c r="D30" i="8" s="1"/>
  <c r="H30" i="8"/>
  <c r="C34" i="36"/>
  <c r="C34" i="25" s="1"/>
  <c r="E29" i="36"/>
  <c r="E35" i="36"/>
  <c r="E20" i="36"/>
  <c r="E32" i="36"/>
  <c r="G18" i="36"/>
  <c r="C18" i="36"/>
  <c r="E13" i="36"/>
  <c r="G13" i="36"/>
  <c r="D13" i="36" s="1"/>
  <c r="F13" i="36" s="1"/>
  <c r="P13" i="36" s="1"/>
  <c r="C24" i="8"/>
  <c r="D24" i="8" s="1"/>
  <c r="H24" i="8"/>
  <c r="H23" i="8"/>
  <c r="G100" i="8"/>
  <c r="C44" i="8"/>
  <c r="H21" i="21"/>
  <c r="E23" i="140" s="1"/>
  <c r="H23" i="60" s="1"/>
  <c r="J21" i="21"/>
  <c r="I21" i="21"/>
  <c r="F23" i="140"/>
  <c r="H23" i="140"/>
  <c r="I23" i="140"/>
  <c r="J23" i="140"/>
  <c r="K23" i="140"/>
  <c r="L23" i="140"/>
  <c r="H13" i="21"/>
  <c r="J13" i="21"/>
  <c r="I13" i="21"/>
  <c r="F15" i="140" s="1"/>
  <c r="H15" i="140"/>
  <c r="I15" i="140"/>
  <c r="J15" i="140"/>
  <c r="K15" i="140"/>
  <c r="L15" i="140"/>
  <c r="M13" i="8"/>
  <c r="D54" i="60"/>
  <c r="D50" i="60"/>
  <c r="D45" i="60"/>
  <c r="I43" i="257" s="1"/>
  <c r="D53" i="60"/>
  <c r="I51" i="257" s="1"/>
  <c r="C11" i="8"/>
  <c r="D11" i="8" s="1"/>
  <c r="D51" i="60"/>
  <c r="H89" i="8"/>
  <c r="C89" i="8"/>
  <c r="D41" i="60"/>
  <c r="I39" i="257"/>
  <c r="D37" i="60"/>
  <c r="I35" i="257" s="1"/>
  <c r="D33" i="60"/>
  <c r="D29" i="60"/>
  <c r="D25" i="60"/>
  <c r="D21" i="60"/>
  <c r="I19" i="257" s="1"/>
  <c r="D17" i="60"/>
  <c r="I15" i="257" s="1"/>
  <c r="D13" i="60"/>
  <c r="E12" i="36"/>
  <c r="M32" i="8"/>
  <c r="H32" i="21"/>
  <c r="E34" i="140" s="1"/>
  <c r="H34" i="60" s="1"/>
  <c r="I32" i="21"/>
  <c r="F34" i="140"/>
  <c r="H34" i="140"/>
  <c r="I34" i="140"/>
  <c r="J34" i="140"/>
  <c r="K34" i="140"/>
  <c r="L34" i="140"/>
  <c r="D48" i="60"/>
  <c r="D44" i="60"/>
  <c r="I42" i="257" s="1"/>
  <c r="D40" i="60"/>
  <c r="I38" i="257" s="1"/>
  <c r="D36" i="60"/>
  <c r="I34" i="257" s="1"/>
  <c r="D32" i="60"/>
  <c r="I30" i="257" s="1"/>
  <c r="D28" i="60"/>
  <c r="D24" i="60"/>
  <c r="D20" i="60"/>
  <c r="D16" i="60"/>
  <c r="I14" i="257" s="1"/>
  <c r="D12" i="60"/>
  <c r="H37" i="8"/>
  <c r="C37" i="8"/>
  <c r="H86" i="8"/>
  <c r="H80" i="8"/>
  <c r="E18" i="36"/>
  <c r="E41" i="36"/>
  <c r="K41" i="36" s="1"/>
  <c r="C22" i="36"/>
  <c r="C22" i="25" s="1"/>
  <c r="H41" i="10"/>
  <c r="C62" i="8"/>
  <c r="M42" i="8"/>
  <c r="H42" i="21"/>
  <c r="J42" i="21"/>
  <c r="E44" i="140" s="1"/>
  <c r="I42" i="21"/>
  <c r="F44" i="140" s="1"/>
  <c r="H44" i="140"/>
  <c r="I44" i="140"/>
  <c r="J44" i="140"/>
  <c r="K44" i="140"/>
  <c r="L44" i="140"/>
  <c r="M11" i="8"/>
  <c r="H11" i="21"/>
  <c r="J11" i="21"/>
  <c r="I11" i="21"/>
  <c r="F13" i="140" s="1"/>
  <c r="H13" i="140"/>
  <c r="I13" i="140"/>
  <c r="J13" i="140"/>
  <c r="K13" i="140"/>
  <c r="L13" i="140"/>
  <c r="D43" i="60"/>
  <c r="D39" i="60"/>
  <c r="D35" i="60"/>
  <c r="D31" i="60"/>
  <c r="I29" i="257" s="1"/>
  <c r="D27" i="60"/>
  <c r="D23" i="60"/>
  <c r="D19" i="60"/>
  <c r="D15" i="60"/>
  <c r="H67" i="8"/>
  <c r="H85" i="8"/>
  <c r="H61" i="8"/>
  <c r="C16" i="36"/>
  <c r="M15" i="8"/>
  <c r="H15" i="21"/>
  <c r="J15" i="21"/>
  <c r="I15" i="21"/>
  <c r="F17" i="140" s="1"/>
  <c r="H17" i="140"/>
  <c r="I17" i="140"/>
  <c r="J17" i="140"/>
  <c r="K17" i="140"/>
  <c r="L17" i="140"/>
  <c r="M36" i="8"/>
  <c r="H36" i="21"/>
  <c r="J36" i="21"/>
  <c r="I36" i="21"/>
  <c r="F38" i="140" s="1"/>
  <c r="H38" i="140"/>
  <c r="I38" i="140"/>
  <c r="J38" i="140"/>
  <c r="K38" i="140"/>
  <c r="F38" i="60" s="1"/>
  <c r="L38" i="140"/>
  <c r="M37" i="8"/>
  <c r="H37" i="21"/>
  <c r="J37" i="21"/>
  <c r="E39" i="140" s="1"/>
  <c r="I37" i="21"/>
  <c r="F39" i="140" s="1"/>
  <c r="H39" i="140"/>
  <c r="I39" i="140"/>
  <c r="J39" i="140"/>
  <c r="K39" i="140"/>
  <c r="L39" i="140"/>
  <c r="D46" i="60"/>
  <c r="D42" i="60"/>
  <c r="D38" i="60"/>
  <c r="D34" i="60"/>
  <c r="I32" i="257" s="1"/>
  <c r="D30" i="60"/>
  <c r="D26" i="60"/>
  <c r="D22" i="60"/>
  <c r="I20" i="257" s="1"/>
  <c r="D18" i="60"/>
  <c r="I16" i="257" s="1"/>
  <c r="D14" i="60"/>
  <c r="H71" i="8"/>
  <c r="M17" i="8"/>
  <c r="R17" i="8" s="1"/>
  <c r="H17" i="21"/>
  <c r="J17" i="21"/>
  <c r="E19" i="140"/>
  <c r="I17" i="21"/>
  <c r="F19" i="140" s="1"/>
  <c r="I19" i="60" s="1"/>
  <c r="H19" i="140"/>
  <c r="I19" i="140"/>
  <c r="J19" i="140"/>
  <c r="K19" i="140"/>
  <c r="L19" i="140"/>
  <c r="M29" i="8"/>
  <c r="H29" i="21"/>
  <c r="J29" i="21"/>
  <c r="I29" i="21"/>
  <c r="F31" i="140" s="1"/>
  <c r="I31" i="60" s="1"/>
  <c r="H31" i="140"/>
  <c r="I31" i="140"/>
  <c r="J31" i="140"/>
  <c r="K31" i="140"/>
  <c r="L31" i="140"/>
  <c r="M20" i="8"/>
  <c r="H20" i="21"/>
  <c r="J20" i="21"/>
  <c r="I20" i="21"/>
  <c r="F22" i="140" s="1"/>
  <c r="H22" i="140"/>
  <c r="I22" i="140"/>
  <c r="J22" i="140"/>
  <c r="K22" i="140"/>
  <c r="L22" i="140"/>
  <c r="M16" i="8"/>
  <c r="H16" i="21"/>
  <c r="J16" i="21"/>
  <c r="I16" i="21"/>
  <c r="F18" i="140" s="1"/>
  <c r="I18" i="60" s="1"/>
  <c r="H18" i="140"/>
  <c r="I18" i="140"/>
  <c r="J18" i="140"/>
  <c r="K18" i="140"/>
  <c r="L18" i="140"/>
  <c r="M26" i="8"/>
  <c r="H26" i="21"/>
  <c r="J26" i="21"/>
  <c r="I26" i="21"/>
  <c r="F28" i="140" s="1"/>
  <c r="H28" i="140"/>
  <c r="I28" i="140"/>
  <c r="J28" i="140"/>
  <c r="K28" i="140"/>
  <c r="L28" i="140"/>
  <c r="M21" i="8"/>
  <c r="M19" i="8"/>
  <c r="H19" i="21"/>
  <c r="J19" i="21"/>
  <c r="I19" i="21"/>
  <c r="F21" i="140" s="1"/>
  <c r="I21" i="60" s="1"/>
  <c r="H21" i="140"/>
  <c r="I21" i="140"/>
  <c r="J21" i="140"/>
  <c r="K21" i="140"/>
  <c r="L21" i="140"/>
  <c r="M34" i="8"/>
  <c r="N34" i="8" s="1"/>
  <c r="H34" i="21"/>
  <c r="J34" i="21"/>
  <c r="I34" i="21"/>
  <c r="F36" i="140" s="1"/>
  <c r="H36" i="140"/>
  <c r="I36" i="140"/>
  <c r="J36" i="140"/>
  <c r="K36" i="140"/>
  <c r="L36" i="140"/>
  <c r="I25" i="9"/>
  <c r="C44" i="36"/>
  <c r="C44" i="25" s="1"/>
  <c r="C78" i="8"/>
  <c r="D78" i="8" s="1"/>
  <c r="H46" i="21"/>
  <c r="J46" i="21"/>
  <c r="I46" i="21"/>
  <c r="F48" i="140" s="1"/>
  <c r="H48" i="140"/>
  <c r="I48" i="140"/>
  <c r="J48" i="140"/>
  <c r="K48" i="140"/>
  <c r="L48" i="140"/>
  <c r="H78" i="8"/>
  <c r="D26" i="10"/>
  <c r="E26" i="10"/>
  <c r="H72" i="8"/>
  <c r="H88" i="8"/>
  <c r="H84" i="8"/>
  <c r="D14" i="10"/>
  <c r="E14" i="10"/>
  <c r="H69" i="8"/>
  <c r="H70" i="8"/>
  <c r="H74" i="8"/>
  <c r="H79" i="8"/>
  <c r="H64" i="8"/>
  <c r="D15" i="10"/>
  <c r="E15" i="10"/>
  <c r="C77" i="8"/>
  <c r="H77" i="8"/>
  <c r="G18" i="59"/>
  <c r="D18" i="10"/>
  <c r="E18" i="10"/>
  <c r="E21" i="36"/>
  <c r="G21" i="36"/>
  <c r="D21" i="36" s="1"/>
  <c r="D46" i="10"/>
  <c r="E46" i="10"/>
  <c r="E47" i="36"/>
  <c r="E52" i="36"/>
  <c r="C52" i="36"/>
  <c r="G52" i="36"/>
  <c r="C21" i="36"/>
  <c r="C21" i="25" s="1"/>
  <c r="G39" i="36"/>
  <c r="D39" i="36" s="1"/>
  <c r="C39" i="36"/>
  <c r="C39" i="25" s="1"/>
  <c r="D36" i="10"/>
  <c r="E36" i="10"/>
  <c r="D27" i="10"/>
  <c r="E27" i="10"/>
  <c r="D22" i="10"/>
  <c r="E22" i="10"/>
  <c r="E39" i="36"/>
  <c r="K39" i="36" s="1"/>
  <c r="D20" i="10"/>
  <c r="E20" i="10"/>
  <c r="E38" i="36"/>
  <c r="G38" i="36"/>
  <c r="D38" i="36" s="1"/>
  <c r="C38" i="36"/>
  <c r="C38" i="25" s="1"/>
  <c r="D11" i="10"/>
  <c r="E11" i="10"/>
  <c r="D17" i="10"/>
  <c r="E17" i="10"/>
  <c r="D13" i="10"/>
  <c r="E13" i="10"/>
  <c r="D37" i="10"/>
  <c r="E37" i="10"/>
  <c r="C63" i="8"/>
  <c r="D63" i="8" s="1"/>
  <c r="H63" i="8"/>
  <c r="D19" i="10"/>
  <c r="E19" i="10"/>
  <c r="D40" i="10"/>
  <c r="E40" i="10"/>
  <c r="D28" i="10"/>
  <c r="E28" i="10"/>
  <c r="D30" i="10"/>
  <c r="E30" i="10"/>
  <c r="H30" i="10"/>
  <c r="H87" i="8"/>
  <c r="D31" i="10"/>
  <c r="E31" i="10"/>
  <c r="D41" i="10"/>
  <c r="E41" i="10"/>
  <c r="D24" i="10"/>
  <c r="E24" i="10"/>
  <c r="H24" i="10"/>
  <c r="H33" i="21"/>
  <c r="J33" i="21"/>
  <c r="I33" i="21"/>
  <c r="F35" i="140" s="1"/>
  <c r="H35" i="140"/>
  <c r="I35" i="140"/>
  <c r="J35" i="140"/>
  <c r="K35" i="140"/>
  <c r="L35" i="140"/>
  <c r="H28" i="21"/>
  <c r="E30" i="140" s="1"/>
  <c r="H30" i="60" s="1"/>
  <c r="J28" i="21"/>
  <c r="I28" i="21"/>
  <c r="F30" i="140"/>
  <c r="H30" i="140"/>
  <c r="I30" i="140"/>
  <c r="J30" i="140"/>
  <c r="K30" i="140"/>
  <c r="L30" i="140"/>
  <c r="M28" i="8"/>
  <c r="C27" i="15"/>
  <c r="H27" i="21" s="1"/>
  <c r="M27" i="15"/>
  <c r="J27" i="21" s="1"/>
  <c r="H27" i="15"/>
  <c r="I27" i="21" s="1"/>
  <c r="F29" i="140" s="1"/>
  <c r="H29" i="140"/>
  <c r="I29" i="140"/>
  <c r="G29" i="140" s="1"/>
  <c r="J29" i="140"/>
  <c r="K29" i="140"/>
  <c r="L29" i="140"/>
  <c r="M27" i="8"/>
  <c r="N27" i="8" s="1"/>
  <c r="H38" i="21"/>
  <c r="J38" i="21"/>
  <c r="I38" i="21"/>
  <c r="F40" i="140" s="1"/>
  <c r="H40" i="140"/>
  <c r="I40" i="140"/>
  <c r="J40" i="140"/>
  <c r="K40" i="140"/>
  <c r="L40" i="140"/>
  <c r="M38" i="8"/>
  <c r="R38" i="8" s="1"/>
  <c r="D35" i="10"/>
  <c r="E35" i="10"/>
  <c r="C54" i="8"/>
  <c r="D54" i="8" s="1"/>
  <c r="H54" i="8"/>
  <c r="H83" i="8"/>
  <c r="C83" i="8"/>
  <c r="D83" i="8" s="1"/>
  <c r="G101" i="8"/>
  <c r="C65" i="8"/>
  <c r="H65" i="8"/>
  <c r="D38" i="10"/>
  <c r="E38" i="10"/>
  <c r="H24" i="21"/>
  <c r="J24" i="21"/>
  <c r="I24" i="21"/>
  <c r="F26" i="140"/>
  <c r="H26" i="140"/>
  <c r="I26" i="140"/>
  <c r="J26" i="140"/>
  <c r="K26" i="140"/>
  <c r="L26" i="140"/>
  <c r="C33" i="8"/>
  <c r="D33" i="8" s="1"/>
  <c r="H33" i="8"/>
  <c r="H44" i="21"/>
  <c r="J44" i="21"/>
  <c r="I44" i="21"/>
  <c r="F46" i="140" s="1"/>
  <c r="H46" i="140"/>
  <c r="I46" i="140"/>
  <c r="J46" i="140"/>
  <c r="K46" i="140"/>
  <c r="L46" i="140"/>
  <c r="M44" i="8"/>
  <c r="H12" i="21"/>
  <c r="J12" i="21"/>
  <c r="I12" i="21"/>
  <c r="F14" i="140" s="1"/>
  <c r="I14" i="60" s="1"/>
  <c r="H14" i="140"/>
  <c r="G14" i="140" s="1"/>
  <c r="I14" i="140"/>
  <c r="J14" i="140"/>
  <c r="K14" i="140"/>
  <c r="L14" i="140"/>
  <c r="M12" i="8"/>
  <c r="H23" i="21"/>
  <c r="J23" i="21"/>
  <c r="I23" i="21"/>
  <c r="F25" i="140" s="1"/>
  <c r="H25" i="140"/>
  <c r="I25" i="140"/>
  <c r="J25" i="140"/>
  <c r="K25" i="140"/>
  <c r="L25" i="140"/>
  <c r="M23" i="8"/>
  <c r="H40" i="21"/>
  <c r="J40" i="21"/>
  <c r="I40" i="21"/>
  <c r="F42" i="140" s="1"/>
  <c r="H42" i="140"/>
  <c r="G42" i="140" s="1"/>
  <c r="I42" i="140"/>
  <c r="J42" i="140"/>
  <c r="K42" i="140"/>
  <c r="L42" i="140"/>
  <c r="M40" i="8"/>
  <c r="D48" i="10"/>
  <c r="E48" i="10"/>
  <c r="D43" i="10"/>
  <c r="E43" i="10"/>
  <c r="D29" i="10"/>
  <c r="E29" i="10"/>
  <c r="D16" i="10"/>
  <c r="E16" i="10"/>
  <c r="D12" i="10"/>
  <c r="E12" i="10"/>
  <c r="D49" i="10"/>
  <c r="E49" i="10"/>
  <c r="D21" i="10"/>
  <c r="E21" i="10"/>
  <c r="H32" i="10"/>
  <c r="D32" i="10"/>
  <c r="E32" i="10"/>
  <c r="H30" i="21"/>
  <c r="J30" i="21"/>
  <c r="I30" i="21"/>
  <c r="E30" i="21"/>
  <c r="H32" i="140"/>
  <c r="I32" i="140"/>
  <c r="J32" i="140"/>
  <c r="K32" i="140"/>
  <c r="L32" i="140"/>
  <c r="M30" i="8"/>
  <c r="D44" i="10"/>
  <c r="E44" i="10"/>
  <c r="M24" i="8"/>
  <c r="R24" i="8" s="1"/>
  <c r="D42" i="10"/>
  <c r="E42" i="10"/>
  <c r="H18" i="21"/>
  <c r="J18" i="21"/>
  <c r="I18" i="21"/>
  <c r="F20" i="140" s="1"/>
  <c r="I20" i="60" s="1"/>
  <c r="H20" i="140"/>
  <c r="I20" i="140"/>
  <c r="J20" i="140"/>
  <c r="K20" i="140"/>
  <c r="L20" i="140"/>
  <c r="M18" i="8"/>
  <c r="G79" i="21"/>
  <c r="H79" i="21" s="1"/>
  <c r="J79" i="21"/>
  <c r="F81" i="140"/>
  <c r="H81" i="140"/>
  <c r="I81" i="140"/>
  <c r="J81" i="140"/>
  <c r="K81" i="140"/>
  <c r="L81" i="140"/>
  <c r="H41" i="21"/>
  <c r="J41" i="21"/>
  <c r="I41" i="21"/>
  <c r="F43" i="140" s="1"/>
  <c r="H43" i="140"/>
  <c r="G43" i="140" s="1"/>
  <c r="I43" i="140"/>
  <c r="J43" i="140"/>
  <c r="K43" i="140"/>
  <c r="L43" i="140"/>
  <c r="M41" i="8"/>
  <c r="F89" i="140"/>
  <c r="H89" i="140"/>
  <c r="I89" i="140"/>
  <c r="J89" i="140"/>
  <c r="K89" i="140"/>
  <c r="L89" i="140"/>
  <c r="D34" i="10"/>
  <c r="E34" i="10"/>
  <c r="H14" i="21"/>
  <c r="J14" i="21"/>
  <c r="I14" i="21"/>
  <c r="F16" i="140" s="1"/>
  <c r="H16" i="140"/>
  <c r="I16" i="140"/>
  <c r="J16" i="140"/>
  <c r="K16" i="140"/>
  <c r="L16" i="140"/>
  <c r="N51" i="59"/>
  <c r="G51" i="21" s="1"/>
  <c r="J51" i="21" s="1"/>
  <c r="H53" i="140"/>
  <c r="I53" i="140"/>
  <c r="G53" i="140" s="1"/>
  <c r="J53" i="60" s="1"/>
  <c r="J53" i="140"/>
  <c r="K53" i="140"/>
  <c r="L53" i="140"/>
  <c r="M51" i="8"/>
  <c r="R51" i="8" s="1"/>
  <c r="H10" i="21"/>
  <c r="J10" i="21"/>
  <c r="I10" i="21"/>
  <c r="F12" i="140" s="1"/>
  <c r="H12" i="140"/>
  <c r="I12" i="140"/>
  <c r="J12" i="140"/>
  <c r="K12" i="140"/>
  <c r="F12" i="60" s="1"/>
  <c r="L12" i="140"/>
  <c r="M10" i="8"/>
  <c r="R10" i="8" s="1"/>
  <c r="H35" i="21"/>
  <c r="J35" i="21"/>
  <c r="E37" i="140" s="1"/>
  <c r="H37" i="60" s="1"/>
  <c r="I35" i="21"/>
  <c r="F37" i="140" s="1"/>
  <c r="I37" i="60" s="1"/>
  <c r="H37" i="140"/>
  <c r="I37" i="140"/>
  <c r="J37" i="140"/>
  <c r="K37" i="140"/>
  <c r="L37" i="140"/>
  <c r="M35" i="8"/>
  <c r="N35" i="8" s="1"/>
  <c r="H22" i="21"/>
  <c r="J22" i="21"/>
  <c r="I22" i="21"/>
  <c r="F24" i="140" s="1"/>
  <c r="H24" i="140"/>
  <c r="I24" i="140"/>
  <c r="J24" i="140"/>
  <c r="K24" i="140"/>
  <c r="L24" i="140"/>
  <c r="M22" i="8"/>
  <c r="F87" i="140"/>
  <c r="H87" i="140"/>
  <c r="I87" i="140"/>
  <c r="J87" i="140"/>
  <c r="K87" i="140"/>
  <c r="L87" i="140"/>
  <c r="E33" i="140"/>
  <c r="H33" i="60" s="1"/>
  <c r="N31" i="59"/>
  <c r="G31" i="21" s="1"/>
  <c r="I31" i="21" s="1"/>
  <c r="H33" i="140"/>
  <c r="I33" i="140"/>
  <c r="J33" i="140"/>
  <c r="K33" i="140"/>
  <c r="L33" i="140"/>
  <c r="M31" i="8"/>
  <c r="G44" i="21"/>
  <c r="G43" i="21"/>
  <c r="H45" i="140"/>
  <c r="I45" i="140"/>
  <c r="J45" i="140"/>
  <c r="K45" i="140"/>
  <c r="F45" i="60" s="1"/>
  <c r="L45" i="140"/>
  <c r="M43" i="8"/>
  <c r="N49" i="59"/>
  <c r="G49" i="21" s="1"/>
  <c r="J49" i="21" s="1"/>
  <c r="H51" i="140"/>
  <c r="I51" i="140"/>
  <c r="J51" i="140"/>
  <c r="K51" i="140"/>
  <c r="L51" i="140"/>
  <c r="M49" i="8"/>
  <c r="E35" i="12"/>
  <c r="H35" i="12" s="1"/>
  <c r="O35" i="12" s="1"/>
  <c r="D39" i="10"/>
  <c r="E39" i="10"/>
  <c r="K39" i="12"/>
  <c r="C52" i="10"/>
  <c r="C42" i="36"/>
  <c r="C42" i="25" s="1"/>
  <c r="E42" i="36"/>
  <c r="N48" i="59"/>
  <c r="G48" i="21" s="1"/>
  <c r="J48" i="21" s="1"/>
  <c r="H50" i="140"/>
  <c r="G50" i="140" s="1"/>
  <c r="I50" i="140"/>
  <c r="J50" i="140"/>
  <c r="K50" i="140"/>
  <c r="L50" i="140"/>
  <c r="D87" i="60"/>
  <c r="E100" i="8"/>
  <c r="D81" i="60"/>
  <c r="E27" i="140"/>
  <c r="H27" i="60" s="1"/>
  <c r="N25" i="59"/>
  <c r="G25" i="21" s="1"/>
  <c r="I25" i="21" s="1"/>
  <c r="F27" i="140" s="1"/>
  <c r="H27" i="140"/>
  <c r="I27" i="140"/>
  <c r="J27" i="140"/>
  <c r="K27" i="140"/>
  <c r="L27" i="140"/>
  <c r="M25" i="8"/>
  <c r="F76" i="140"/>
  <c r="H76" i="140"/>
  <c r="I76" i="140"/>
  <c r="J76" i="140"/>
  <c r="K76" i="140"/>
  <c r="L76" i="140"/>
  <c r="C33" i="36"/>
  <c r="C33" i="25" s="1"/>
  <c r="D10" i="10"/>
  <c r="E10" i="10"/>
  <c r="D89" i="60"/>
  <c r="F91" i="140"/>
  <c r="H91" i="140"/>
  <c r="I91" i="140"/>
  <c r="J91" i="140"/>
  <c r="K91" i="140"/>
  <c r="L91" i="140"/>
  <c r="N41" i="13"/>
  <c r="C41" i="13"/>
  <c r="N14" i="13"/>
  <c r="C14" i="13"/>
  <c r="G39" i="21"/>
  <c r="I39" i="21"/>
  <c r="F41" i="140" s="1"/>
  <c r="H41" i="140"/>
  <c r="I41" i="140"/>
  <c r="J41" i="140"/>
  <c r="K41" i="140"/>
  <c r="F41" i="60" s="1"/>
  <c r="L41" i="140"/>
  <c r="M39" i="8"/>
  <c r="N39" i="8" s="1"/>
  <c r="D76" i="60"/>
  <c r="F77" i="140"/>
  <c r="H77" i="140"/>
  <c r="I77" i="140"/>
  <c r="J77" i="140"/>
  <c r="K77" i="140"/>
  <c r="L77" i="140"/>
  <c r="F78" i="140"/>
  <c r="H78" i="140"/>
  <c r="I78" i="140"/>
  <c r="J78" i="140"/>
  <c r="K78" i="140"/>
  <c r="L78" i="140"/>
  <c r="N13" i="13"/>
  <c r="C13" i="13"/>
  <c r="N52" i="59"/>
  <c r="G52" i="21" s="1"/>
  <c r="J52" i="21" s="1"/>
  <c r="F54" i="140"/>
  <c r="H54" i="140"/>
  <c r="I54" i="140"/>
  <c r="J54" i="140"/>
  <c r="K54" i="140"/>
  <c r="F54" i="60" s="1"/>
  <c r="L54" i="140"/>
  <c r="N31" i="13"/>
  <c r="F82" i="140"/>
  <c r="H82" i="140"/>
  <c r="G82" i="140" s="1"/>
  <c r="I82" i="140"/>
  <c r="J82" i="140"/>
  <c r="K82" i="140"/>
  <c r="L82" i="140"/>
  <c r="F58" i="140"/>
  <c r="H58" i="140"/>
  <c r="I58" i="140"/>
  <c r="J58" i="140"/>
  <c r="K58" i="140"/>
  <c r="L58" i="140"/>
  <c r="N52" i="13"/>
  <c r="C52" i="13"/>
  <c r="N49" i="13"/>
  <c r="M28" i="13"/>
  <c r="C28" i="13"/>
  <c r="D82" i="60"/>
  <c r="F67" i="140"/>
  <c r="H67" i="140"/>
  <c r="I67" i="140"/>
  <c r="J67" i="140"/>
  <c r="K67" i="140"/>
  <c r="L67" i="140"/>
  <c r="D77" i="60"/>
  <c r="F83" i="140"/>
  <c r="H83" i="140"/>
  <c r="I83" i="140"/>
  <c r="J83" i="140"/>
  <c r="K83" i="140"/>
  <c r="L83" i="140"/>
  <c r="F61" i="140"/>
  <c r="H61" i="140"/>
  <c r="G61" i="140" s="1"/>
  <c r="I61" i="140"/>
  <c r="J61" i="140"/>
  <c r="K61" i="140"/>
  <c r="L61" i="140"/>
  <c r="N33" i="13"/>
  <c r="C33" i="13"/>
  <c r="F63" i="140"/>
  <c r="H63" i="140"/>
  <c r="G63" i="140" s="1"/>
  <c r="I63" i="140"/>
  <c r="J63" i="140"/>
  <c r="K63" i="140"/>
  <c r="L63" i="140"/>
  <c r="F65" i="140"/>
  <c r="H65" i="140"/>
  <c r="I65" i="140"/>
  <c r="J65" i="140"/>
  <c r="K65" i="140"/>
  <c r="L65" i="140"/>
  <c r="F74" i="140"/>
  <c r="H74" i="140"/>
  <c r="I74" i="140"/>
  <c r="J74" i="140"/>
  <c r="K74" i="140"/>
  <c r="L74" i="140"/>
  <c r="F72" i="140"/>
  <c r="H72" i="140"/>
  <c r="I72" i="140"/>
  <c r="J72" i="140"/>
  <c r="K72" i="140"/>
  <c r="L72" i="140"/>
  <c r="F64" i="140"/>
  <c r="H64" i="140"/>
  <c r="I64" i="140"/>
  <c r="J64" i="140"/>
  <c r="K64" i="140"/>
  <c r="L64" i="140"/>
  <c r="D58" i="60"/>
  <c r="E14" i="36"/>
  <c r="C14" i="36"/>
  <c r="C14" i="25" s="1"/>
  <c r="D91" i="60"/>
  <c r="D78" i="60"/>
  <c r="F60" i="140"/>
  <c r="H60" i="140"/>
  <c r="I60" i="140"/>
  <c r="J60" i="140"/>
  <c r="K60" i="140"/>
  <c r="L60" i="140"/>
  <c r="F70" i="140"/>
  <c r="H70" i="140"/>
  <c r="I70" i="140"/>
  <c r="J70" i="140"/>
  <c r="K70" i="140"/>
  <c r="L70" i="140"/>
  <c r="F90" i="140"/>
  <c r="H90" i="140"/>
  <c r="I90" i="140"/>
  <c r="J90" i="140"/>
  <c r="K90" i="140"/>
  <c r="L90" i="140"/>
  <c r="F73" i="140"/>
  <c r="H73" i="140"/>
  <c r="I73" i="140"/>
  <c r="J73" i="140"/>
  <c r="K73" i="140"/>
  <c r="L73" i="140"/>
  <c r="N48" i="13"/>
  <c r="C48" i="13"/>
  <c r="F75" i="140"/>
  <c r="H75" i="140"/>
  <c r="I75" i="140"/>
  <c r="J75" i="140"/>
  <c r="K75" i="140"/>
  <c r="L75" i="140"/>
  <c r="F86" i="140"/>
  <c r="H86" i="140"/>
  <c r="G86" i="140" s="1"/>
  <c r="J86" i="60" s="1"/>
  <c r="H84" i="257" s="1"/>
  <c r="I86" i="140"/>
  <c r="J86" i="140"/>
  <c r="K86" i="140"/>
  <c r="L86" i="140"/>
  <c r="C27" i="13"/>
  <c r="F57" i="140"/>
  <c r="H57" i="140"/>
  <c r="G57" i="140" s="1"/>
  <c r="J57" i="60" s="1"/>
  <c r="I57" i="140"/>
  <c r="J57" i="140"/>
  <c r="K57" i="140"/>
  <c r="L57" i="140"/>
  <c r="F69" i="140"/>
  <c r="H69" i="140"/>
  <c r="I69" i="140"/>
  <c r="J69" i="140"/>
  <c r="K69" i="140"/>
  <c r="L69" i="140"/>
  <c r="F59" i="140"/>
  <c r="H59" i="140"/>
  <c r="I59" i="140"/>
  <c r="J59" i="140"/>
  <c r="K59" i="140"/>
  <c r="L59" i="140"/>
  <c r="D72" i="60"/>
  <c r="D61" i="60"/>
  <c r="F33" i="8"/>
  <c r="B33" i="36" s="1"/>
  <c r="B16" i="36"/>
  <c r="B18" i="36"/>
  <c r="B20" i="36"/>
  <c r="B22" i="36"/>
  <c r="B24" i="36"/>
  <c r="B34" i="36"/>
  <c r="H34" i="36" s="1"/>
  <c r="B35" i="36"/>
  <c r="B37" i="36"/>
  <c r="B39" i="36"/>
  <c r="B41" i="36"/>
  <c r="H41" i="36" s="1"/>
  <c r="B43" i="36"/>
  <c r="B44" i="36"/>
  <c r="O44" i="36" s="1"/>
  <c r="B26" i="36"/>
  <c r="B29" i="36"/>
  <c r="B31" i="36"/>
  <c r="F68" i="140"/>
  <c r="H68" i="140"/>
  <c r="I68" i="140"/>
  <c r="J68" i="140"/>
  <c r="K68" i="140"/>
  <c r="L68" i="140"/>
  <c r="D67" i="60"/>
  <c r="D90" i="60"/>
  <c r="D70" i="60"/>
  <c r="F56" i="140"/>
  <c r="H56" i="140"/>
  <c r="G56" i="140" s="1"/>
  <c r="I56" i="140"/>
  <c r="J56" i="140"/>
  <c r="K56" i="140"/>
  <c r="L56" i="140"/>
  <c r="D60" i="60"/>
  <c r="F71" i="140"/>
  <c r="H71" i="140"/>
  <c r="I71" i="140"/>
  <c r="J71" i="140"/>
  <c r="K71" i="140"/>
  <c r="L71" i="140"/>
  <c r="E46" i="36"/>
  <c r="E48" i="36"/>
  <c r="F49" i="8"/>
  <c r="B49" i="36" s="1"/>
  <c r="F88" i="140"/>
  <c r="H88" i="140"/>
  <c r="I88" i="140"/>
  <c r="J88" i="140"/>
  <c r="K88" i="140"/>
  <c r="L88" i="140"/>
  <c r="F79" i="140"/>
  <c r="H79" i="140"/>
  <c r="I79" i="140"/>
  <c r="J79" i="140"/>
  <c r="K79" i="140"/>
  <c r="L79" i="140"/>
  <c r="F84" i="140"/>
  <c r="H84" i="140"/>
  <c r="I84" i="140"/>
  <c r="J84" i="140"/>
  <c r="K84" i="140"/>
  <c r="L84" i="140"/>
  <c r="B25" i="36"/>
  <c r="D83" i="60"/>
  <c r="F51" i="8"/>
  <c r="B51" i="36" s="1"/>
  <c r="D74" i="60"/>
  <c r="D65" i="60"/>
  <c r="D75" i="60"/>
  <c r="F80" i="140"/>
  <c r="H80" i="140"/>
  <c r="G80" i="140" s="1"/>
  <c r="I80" i="140"/>
  <c r="J80" i="140"/>
  <c r="K80" i="140"/>
  <c r="L80" i="140"/>
  <c r="D73" i="60"/>
  <c r="B11" i="36"/>
  <c r="D64" i="60"/>
  <c r="F62" i="140"/>
  <c r="H62" i="140"/>
  <c r="I62" i="140"/>
  <c r="J62" i="140"/>
  <c r="K62" i="140"/>
  <c r="L62" i="140"/>
  <c r="D63" i="60"/>
  <c r="F66" i="140"/>
  <c r="H66" i="140"/>
  <c r="I66" i="140"/>
  <c r="J66" i="140"/>
  <c r="K66" i="140"/>
  <c r="L66" i="140"/>
  <c r="C42" i="13"/>
  <c r="D86" i="60"/>
  <c r="C46" i="36"/>
  <c r="C48" i="36"/>
  <c r="D80" i="60"/>
  <c r="D79" i="60"/>
  <c r="D71" i="60"/>
  <c r="D68" i="60"/>
  <c r="D69" i="60"/>
  <c r="D66" i="60"/>
  <c r="D56" i="60"/>
  <c r="D57" i="60"/>
  <c r="D84" i="60"/>
  <c r="D59" i="60"/>
  <c r="D62" i="60"/>
  <c r="D88" i="60"/>
  <c r="C47" i="10"/>
  <c r="N51" i="13"/>
  <c r="C51" i="13"/>
  <c r="N50" i="13"/>
  <c r="F32" i="60"/>
  <c r="C23" i="13"/>
  <c r="F43" i="60"/>
  <c r="J43" i="60"/>
  <c r="E32" i="116"/>
  <c r="I34" i="60"/>
  <c r="F34" i="60"/>
  <c r="N47" i="13"/>
  <c r="C47" i="13"/>
  <c r="E24" i="116"/>
  <c r="I24" i="116"/>
  <c r="I26" i="60"/>
  <c r="F26" i="60"/>
  <c r="D83" i="17"/>
  <c r="F14" i="60"/>
  <c r="J14" i="60"/>
  <c r="H12" i="257" s="1"/>
  <c r="I38" i="60"/>
  <c r="E36" i="116"/>
  <c r="I22" i="60"/>
  <c r="F22" i="60"/>
  <c r="E20" i="116"/>
  <c r="I42" i="60"/>
  <c r="F42" i="60"/>
  <c r="J42" i="60"/>
  <c r="E40" i="116"/>
  <c r="I40" i="116"/>
  <c r="F31" i="60"/>
  <c r="I24" i="60"/>
  <c r="F24" i="60"/>
  <c r="F29" i="60"/>
  <c r="E15" i="116"/>
  <c r="I15" i="116"/>
  <c r="E37" i="116"/>
  <c r="I16" i="60"/>
  <c r="F16" i="60"/>
  <c r="I50" i="60"/>
  <c r="F50" i="60"/>
  <c r="E48" i="116"/>
  <c r="I48" i="116"/>
  <c r="I36" i="60"/>
  <c r="F36" i="60"/>
  <c r="I34" i="116"/>
  <c r="I46" i="60"/>
  <c r="F46" i="60"/>
  <c r="H44" i="60"/>
  <c r="I44" i="60"/>
  <c r="F44" i="60"/>
  <c r="I28" i="116"/>
  <c r="I30" i="60"/>
  <c r="F30" i="60"/>
  <c r="F33" i="60"/>
  <c r="E31" i="116"/>
  <c r="I40" i="60"/>
  <c r="F40" i="60"/>
  <c r="I38" i="116"/>
  <c r="I27" i="60"/>
  <c r="F27" i="60"/>
  <c r="E25" i="116"/>
  <c r="I25" i="116"/>
  <c r="I47" i="116"/>
  <c r="E39" i="116"/>
  <c r="E35" i="116"/>
  <c r="I35" i="116"/>
  <c r="E11" i="116"/>
  <c r="E50" i="116"/>
  <c r="I50" i="116"/>
  <c r="F37" i="60"/>
  <c r="E19" i="116"/>
  <c r="I19" i="116"/>
  <c r="I25" i="60"/>
  <c r="F25" i="60"/>
  <c r="I49" i="60"/>
  <c r="F49" i="60"/>
  <c r="J49" i="60"/>
  <c r="E17" i="116"/>
  <c r="F20" i="60"/>
  <c r="E43" i="116"/>
  <c r="E16" i="116"/>
  <c r="I16" i="116"/>
  <c r="I15" i="60"/>
  <c r="F15" i="60"/>
  <c r="H19" i="60"/>
  <c r="F19" i="60"/>
  <c r="I53" i="60"/>
  <c r="F53" i="60"/>
  <c r="I41" i="60"/>
  <c r="F52" i="60"/>
  <c r="I17" i="60"/>
  <c r="F17" i="60"/>
  <c r="I54" i="60"/>
  <c r="I26" i="116"/>
  <c r="F51" i="60"/>
  <c r="I23" i="60"/>
  <c r="F23" i="60"/>
  <c r="E33" i="116"/>
  <c r="I33" i="116"/>
  <c r="H39" i="60"/>
  <c r="I39" i="60"/>
  <c r="F39" i="60"/>
  <c r="F18" i="60"/>
  <c r="I28" i="60"/>
  <c r="F28" i="60"/>
  <c r="F21" i="60"/>
  <c r="I13" i="60"/>
  <c r="F13" i="60"/>
  <c r="I35" i="60"/>
  <c r="F35" i="60"/>
  <c r="E46" i="116"/>
  <c r="I46" i="116"/>
  <c r="I48" i="60"/>
  <c r="F48" i="60"/>
  <c r="I10" i="116"/>
  <c r="I12" i="60"/>
  <c r="P54" i="13"/>
  <c r="O54" i="13"/>
  <c r="P55" i="13"/>
  <c r="O55" i="13" s="1"/>
  <c r="P56" i="13"/>
  <c r="O56" i="13"/>
  <c r="P57" i="13"/>
  <c r="O57" i="13"/>
  <c r="P58" i="13"/>
  <c r="O58" i="13" s="1"/>
  <c r="P59" i="13"/>
  <c r="O59" i="13"/>
  <c r="P60" i="13"/>
  <c r="O60" i="13"/>
  <c r="P61" i="13"/>
  <c r="O61" i="13"/>
  <c r="P62" i="13"/>
  <c r="O62" i="13"/>
  <c r="P63" i="13"/>
  <c r="O63" i="13" s="1"/>
  <c r="P64" i="13"/>
  <c r="O64" i="13"/>
  <c r="P65" i="13"/>
  <c r="O65" i="13" s="1"/>
  <c r="P66" i="13"/>
  <c r="O66" i="13"/>
  <c r="P68" i="13"/>
  <c r="O68" i="13" s="1"/>
  <c r="P69" i="13"/>
  <c r="O69" i="13"/>
  <c r="P70" i="13"/>
  <c r="O70" i="13" s="1"/>
  <c r="P71" i="13"/>
  <c r="O71" i="13"/>
  <c r="P73" i="13"/>
  <c r="O73" i="13" s="1"/>
  <c r="P74" i="13"/>
  <c r="O74" i="13"/>
  <c r="P75" i="13"/>
  <c r="O75" i="13"/>
  <c r="P78" i="13"/>
  <c r="O78" i="13" s="1"/>
  <c r="H79" i="13"/>
  <c r="P79" i="13"/>
  <c r="O79" i="13" s="1"/>
  <c r="P80" i="13"/>
  <c r="O80" i="13"/>
  <c r="P84" i="13"/>
  <c r="O84" i="13" s="1"/>
  <c r="P85" i="13"/>
  <c r="O85" i="13" s="1"/>
  <c r="P86" i="13"/>
  <c r="O86" i="13" s="1"/>
  <c r="H87" i="13"/>
  <c r="P87" i="13"/>
  <c r="O87" i="13"/>
  <c r="M90" i="59"/>
  <c r="H45" i="19"/>
  <c r="G53" i="19"/>
  <c r="G45" i="19"/>
  <c r="E78" i="116"/>
  <c r="E89" i="116"/>
  <c r="C23" i="162"/>
  <c r="C24" i="162"/>
  <c r="C25" i="162"/>
  <c r="C26" i="162"/>
  <c r="C27" i="162"/>
  <c r="C28" i="162"/>
  <c r="C29" i="162"/>
  <c r="C30" i="162"/>
  <c r="C31" i="162"/>
  <c r="C32" i="162"/>
  <c r="C14" i="162"/>
  <c r="C15" i="162"/>
  <c r="C16" i="162"/>
  <c r="C17" i="162"/>
  <c r="C18" i="162"/>
  <c r="C19" i="162"/>
  <c r="C20" i="162"/>
  <c r="C21" i="162"/>
  <c r="C22" i="162"/>
  <c r="C33" i="162"/>
  <c r="C34" i="162"/>
  <c r="C35" i="162"/>
  <c r="C36" i="162"/>
  <c r="C37" i="162"/>
  <c r="C38" i="162"/>
  <c r="C39" i="162"/>
  <c r="C40" i="162"/>
  <c r="C41" i="162"/>
  <c r="C42" i="162"/>
  <c r="C13" i="162"/>
  <c r="C43" i="162"/>
  <c r="C44" i="162"/>
  <c r="C45" i="162"/>
  <c r="C46" i="162"/>
  <c r="C47" i="162"/>
  <c r="I47" i="257"/>
  <c r="K41" i="17"/>
  <c r="H20" i="17"/>
  <c r="J20" i="17"/>
  <c r="K20" i="17"/>
  <c r="J26" i="17"/>
  <c r="K26" i="17"/>
  <c r="H43" i="17"/>
  <c r="J43" i="17"/>
  <c r="K43" i="17"/>
  <c r="H39" i="17"/>
  <c r="J39" i="17"/>
  <c r="K39" i="17"/>
  <c r="H19" i="17"/>
  <c r="J19" i="17"/>
  <c r="K19" i="17"/>
  <c r="H32" i="17"/>
  <c r="D10" i="100"/>
  <c r="K10" i="100"/>
  <c r="E89" i="100"/>
  <c r="F89" i="100"/>
  <c r="G89" i="100"/>
  <c r="H89" i="100"/>
  <c r="I89" i="100"/>
  <c r="J89" i="100"/>
  <c r="D45" i="100"/>
  <c r="D46" i="100"/>
  <c r="D47" i="100"/>
  <c r="D48" i="100"/>
  <c r="D49" i="100"/>
  <c r="D50" i="100"/>
  <c r="D51" i="100"/>
  <c r="C51" i="100" s="1"/>
  <c r="D9" i="100"/>
  <c r="D11" i="100"/>
  <c r="D12" i="100"/>
  <c r="C12" i="100" s="1"/>
  <c r="D13" i="100"/>
  <c r="C13" i="100" s="1"/>
  <c r="D14" i="100"/>
  <c r="D15" i="100"/>
  <c r="D16" i="100"/>
  <c r="C16" i="100" s="1"/>
  <c r="D17" i="100"/>
  <c r="C17" i="100" s="1"/>
  <c r="D18" i="100"/>
  <c r="D19" i="100"/>
  <c r="D20" i="100"/>
  <c r="C20" i="100" s="1"/>
  <c r="D21" i="100"/>
  <c r="D22" i="100"/>
  <c r="D23" i="100"/>
  <c r="C23" i="100" s="1"/>
  <c r="D24" i="100"/>
  <c r="C24" i="100" s="1"/>
  <c r="D25" i="100"/>
  <c r="C25" i="100" s="1"/>
  <c r="D26" i="100"/>
  <c r="D27" i="100"/>
  <c r="D28" i="100"/>
  <c r="C28" i="100" s="1"/>
  <c r="D29" i="100"/>
  <c r="C29" i="100" s="1"/>
  <c r="D30" i="100"/>
  <c r="D31" i="100"/>
  <c r="D32" i="100"/>
  <c r="C32" i="100" s="1"/>
  <c r="D33" i="100"/>
  <c r="C33" i="100" s="1"/>
  <c r="D34" i="100"/>
  <c r="D35" i="100"/>
  <c r="D36" i="100"/>
  <c r="C36" i="100" s="1"/>
  <c r="D37" i="100"/>
  <c r="C37" i="100" s="1"/>
  <c r="D38" i="100"/>
  <c r="D39" i="100"/>
  <c r="C39" i="100" s="1"/>
  <c r="D40" i="100"/>
  <c r="C40" i="100" s="1"/>
  <c r="D41" i="100"/>
  <c r="C41" i="100" s="1"/>
  <c r="D42" i="100"/>
  <c r="D43" i="100"/>
  <c r="K90" i="100"/>
  <c r="K89" i="100" s="1"/>
  <c r="K53" i="100"/>
  <c r="K54" i="100"/>
  <c r="K55" i="100"/>
  <c r="K56" i="100"/>
  <c r="K57" i="100"/>
  <c r="K58" i="100"/>
  <c r="K59" i="100"/>
  <c r="K60" i="100"/>
  <c r="K61" i="100"/>
  <c r="K62" i="100"/>
  <c r="K63" i="100"/>
  <c r="K64" i="100"/>
  <c r="K65" i="100"/>
  <c r="K66" i="100"/>
  <c r="K67" i="100"/>
  <c r="K68" i="100"/>
  <c r="K69" i="100"/>
  <c r="K70" i="100"/>
  <c r="K71" i="100"/>
  <c r="K72" i="100"/>
  <c r="K73" i="100"/>
  <c r="K74" i="100"/>
  <c r="K75" i="100"/>
  <c r="K76" i="100"/>
  <c r="K77" i="100"/>
  <c r="K78" i="100"/>
  <c r="K79" i="100"/>
  <c r="K80" i="100"/>
  <c r="K81" i="100"/>
  <c r="K82" i="100"/>
  <c r="K83" i="100"/>
  <c r="K84" i="100"/>
  <c r="K85" i="100"/>
  <c r="K86" i="100"/>
  <c r="K87" i="100"/>
  <c r="K88" i="100"/>
  <c r="K45" i="100"/>
  <c r="K46" i="100"/>
  <c r="K47" i="100"/>
  <c r="K48" i="100"/>
  <c r="K49" i="100"/>
  <c r="K50" i="100"/>
  <c r="K51" i="100"/>
  <c r="K9" i="100"/>
  <c r="K11" i="100"/>
  <c r="K12" i="100"/>
  <c r="K13" i="100"/>
  <c r="K14" i="100"/>
  <c r="C14" i="100" s="1"/>
  <c r="K15" i="100"/>
  <c r="K16" i="100"/>
  <c r="K17" i="100"/>
  <c r="K18" i="100"/>
  <c r="C18" i="100" s="1"/>
  <c r="K19" i="100"/>
  <c r="K20" i="100"/>
  <c r="K21" i="100"/>
  <c r="K22" i="100"/>
  <c r="C22" i="100" s="1"/>
  <c r="K23" i="100"/>
  <c r="K24" i="100"/>
  <c r="K25" i="100"/>
  <c r="K26" i="100"/>
  <c r="C26" i="100" s="1"/>
  <c r="K27" i="100"/>
  <c r="K28" i="100"/>
  <c r="K29" i="100"/>
  <c r="K30" i="100"/>
  <c r="C30" i="100" s="1"/>
  <c r="K31" i="100"/>
  <c r="K32" i="100"/>
  <c r="K33" i="100"/>
  <c r="K34" i="100"/>
  <c r="C34" i="100" s="1"/>
  <c r="K35" i="100"/>
  <c r="K36" i="100"/>
  <c r="K37" i="100"/>
  <c r="K38" i="100"/>
  <c r="K39" i="100"/>
  <c r="K40" i="100"/>
  <c r="K41" i="100"/>
  <c r="K42" i="100"/>
  <c r="C42" i="100" s="1"/>
  <c r="K43" i="100"/>
  <c r="C15" i="100"/>
  <c r="C19" i="100"/>
  <c r="C21" i="100"/>
  <c r="C35" i="100"/>
  <c r="C38" i="100"/>
  <c r="C43" i="100"/>
  <c r="C9" i="100"/>
  <c r="C27" i="100"/>
  <c r="H42" i="128"/>
  <c r="J42" i="128" s="1"/>
  <c r="I42" i="128"/>
  <c r="C45" i="100"/>
  <c r="C49" i="100"/>
  <c r="D90" i="100"/>
  <c r="D53" i="100"/>
  <c r="D54" i="100"/>
  <c r="D52" i="100" s="1"/>
  <c r="D55" i="100"/>
  <c r="D56" i="100"/>
  <c r="D57" i="100"/>
  <c r="D58" i="100"/>
  <c r="D59" i="100"/>
  <c r="D60" i="100"/>
  <c r="D61" i="100"/>
  <c r="D62" i="100"/>
  <c r="D63" i="100"/>
  <c r="D64" i="100"/>
  <c r="D65" i="100"/>
  <c r="D66" i="100"/>
  <c r="D67" i="100"/>
  <c r="D68" i="100"/>
  <c r="D69" i="100"/>
  <c r="D70" i="100"/>
  <c r="D71" i="100"/>
  <c r="D72" i="100"/>
  <c r="D73" i="100"/>
  <c r="D74" i="100"/>
  <c r="D75" i="100"/>
  <c r="D76" i="100"/>
  <c r="D77" i="100"/>
  <c r="D78" i="100"/>
  <c r="D79" i="100"/>
  <c r="D80" i="100"/>
  <c r="D81" i="100"/>
  <c r="D82" i="100"/>
  <c r="D83" i="100"/>
  <c r="D84" i="100"/>
  <c r="D85" i="100"/>
  <c r="D86" i="100"/>
  <c r="D87" i="100"/>
  <c r="D88" i="100"/>
  <c r="C11" i="100"/>
  <c r="C31" i="100"/>
  <c r="I77" i="116"/>
  <c r="I89" i="116"/>
  <c r="I83" i="116"/>
  <c r="I89" i="9"/>
  <c r="W8" i="167"/>
  <c r="W11" i="167"/>
  <c r="W17" i="167"/>
  <c r="W18" i="167"/>
  <c r="W25" i="167"/>
  <c r="W29" i="167"/>
  <c r="W41" i="167"/>
  <c r="W30" i="167"/>
  <c r="X8" i="167"/>
  <c r="X11" i="167"/>
  <c r="X17" i="167"/>
  <c r="X18" i="167"/>
  <c r="X25" i="167"/>
  <c r="X29" i="167"/>
  <c r="X41" i="167"/>
  <c r="X30" i="167"/>
  <c r="Y8" i="167"/>
  <c r="Y11" i="167"/>
  <c r="Y17" i="167"/>
  <c r="Y18" i="167"/>
  <c r="Y25" i="167"/>
  <c r="Y29" i="167"/>
  <c r="Y41" i="167"/>
  <c r="Y30" i="167"/>
  <c r="Z8" i="167"/>
  <c r="Z11" i="167"/>
  <c r="Z17" i="167"/>
  <c r="Z18" i="167"/>
  <c r="Z25" i="167"/>
  <c r="Z29" i="167"/>
  <c r="Z41" i="167"/>
  <c r="Z30" i="167"/>
  <c r="AA8" i="167"/>
  <c r="AA11" i="167"/>
  <c r="AA17" i="167"/>
  <c r="AA18" i="167"/>
  <c r="AA25" i="167"/>
  <c r="AA29" i="167"/>
  <c r="AA41" i="167"/>
  <c r="AA30" i="167"/>
  <c r="AB8" i="167"/>
  <c r="AB11" i="167"/>
  <c r="AB17" i="167"/>
  <c r="AB18" i="167"/>
  <c r="AB25" i="167"/>
  <c r="AB29" i="167"/>
  <c r="AB41" i="167"/>
  <c r="AB30" i="167"/>
  <c r="AC8" i="167"/>
  <c r="AC11" i="167"/>
  <c r="AC17" i="167"/>
  <c r="AC18" i="167"/>
  <c r="AC25" i="167"/>
  <c r="AC29" i="167"/>
  <c r="AC41" i="167"/>
  <c r="AC30" i="167"/>
  <c r="AD8" i="167"/>
  <c r="AD11" i="167"/>
  <c r="AD17" i="167"/>
  <c r="AD18" i="167"/>
  <c r="AD25" i="167"/>
  <c r="AD29" i="167"/>
  <c r="AD41" i="167"/>
  <c r="AD30" i="167"/>
  <c r="AE8" i="167"/>
  <c r="AE11" i="167"/>
  <c r="AE17" i="167"/>
  <c r="AE18" i="167"/>
  <c r="AE25" i="167"/>
  <c r="AE29" i="167"/>
  <c r="AE41" i="167"/>
  <c r="AE30" i="167"/>
  <c r="AF8" i="167"/>
  <c r="AF11" i="167"/>
  <c r="AF17" i="167"/>
  <c r="AF18" i="167"/>
  <c r="AF25" i="167"/>
  <c r="AF29" i="167"/>
  <c r="AF41" i="167"/>
  <c r="AF30" i="167"/>
  <c r="AG8" i="167"/>
  <c r="AG11" i="167"/>
  <c r="AG17" i="167"/>
  <c r="AG18" i="167"/>
  <c r="AG25" i="167"/>
  <c r="AG29" i="167"/>
  <c r="AG41" i="167"/>
  <c r="AG30" i="167"/>
  <c r="AG49" i="167"/>
  <c r="AH8" i="167"/>
  <c r="AH11" i="167"/>
  <c r="AH17" i="167"/>
  <c r="AH18" i="167"/>
  <c r="AH25" i="167"/>
  <c r="AH29" i="167"/>
  <c r="AH41" i="167"/>
  <c r="AH30" i="167"/>
  <c r="AI8" i="167"/>
  <c r="AI11" i="167"/>
  <c r="AI17" i="167"/>
  <c r="AI18" i="167"/>
  <c r="AI25" i="167"/>
  <c r="AI29" i="167"/>
  <c r="AI41" i="167"/>
  <c r="AI30" i="167"/>
  <c r="AJ8" i="167"/>
  <c r="AJ11" i="167"/>
  <c r="AJ17" i="167"/>
  <c r="AJ18" i="167"/>
  <c r="AJ25" i="167"/>
  <c r="AJ29" i="167"/>
  <c r="AJ41" i="167"/>
  <c r="AJ30" i="167"/>
  <c r="AK8" i="167"/>
  <c r="AK11" i="167"/>
  <c r="AK17" i="167"/>
  <c r="AK18" i="167"/>
  <c r="AK25" i="167"/>
  <c r="AK29" i="167"/>
  <c r="AK41" i="167"/>
  <c r="AK30" i="167"/>
  <c r="P8" i="166"/>
  <c r="AL8" i="167"/>
  <c r="P11" i="166"/>
  <c r="AL11" i="167" s="1"/>
  <c r="V11" i="167"/>
  <c r="P17" i="166"/>
  <c r="AL17" i="167" s="1"/>
  <c r="V17" i="167"/>
  <c r="P18" i="166"/>
  <c r="AL18" i="167" s="1"/>
  <c r="V18" i="167"/>
  <c r="P25" i="166"/>
  <c r="AL25" i="167" s="1"/>
  <c r="P29" i="166"/>
  <c r="AL29" i="167" s="1"/>
  <c r="AL49" i="167" s="1"/>
  <c r="V29" i="167"/>
  <c r="P41" i="166"/>
  <c r="AL41" i="167"/>
  <c r="P30" i="166"/>
  <c r="AL30" i="167" s="1"/>
  <c r="V30" i="167"/>
  <c r="Q8" i="166"/>
  <c r="AM8" i="167" s="1"/>
  <c r="Q11" i="166"/>
  <c r="AM11" i="167" s="1"/>
  <c r="Q17" i="166"/>
  <c r="AM17" i="167" s="1"/>
  <c r="Q18" i="166"/>
  <c r="AM18" i="167"/>
  <c r="Q25" i="166"/>
  <c r="AM25" i="167" s="1"/>
  <c r="Q29" i="166"/>
  <c r="AM29" i="167" s="1"/>
  <c r="Q41" i="166"/>
  <c r="AM41" i="167" s="1"/>
  <c r="Q30" i="166"/>
  <c r="AM30" i="167" s="1"/>
  <c r="R8" i="166"/>
  <c r="AN8" i="167" s="1"/>
  <c r="R11" i="166"/>
  <c r="AN11" i="167"/>
  <c r="R17" i="166"/>
  <c r="AN17" i="167" s="1"/>
  <c r="R18" i="166"/>
  <c r="AN18" i="167" s="1"/>
  <c r="R25" i="166"/>
  <c r="AN25" i="167" s="1"/>
  <c r="R29" i="166"/>
  <c r="AN29" i="167" s="1"/>
  <c r="R41" i="166"/>
  <c r="AN41" i="167" s="1"/>
  <c r="R30" i="166"/>
  <c r="AN30" i="167" s="1"/>
  <c r="AN49" i="167" s="1"/>
  <c r="V8" i="167"/>
  <c r="AP8" i="167" s="1"/>
  <c r="V25" i="167"/>
  <c r="V41" i="167"/>
  <c r="C8" i="167"/>
  <c r="C11" i="167"/>
  <c r="C17" i="167"/>
  <c r="C18" i="167"/>
  <c r="C24" i="167"/>
  <c r="C25" i="167"/>
  <c r="C29" i="167"/>
  <c r="C37" i="167"/>
  <c r="C41" i="167"/>
  <c r="P9" i="166"/>
  <c r="AL9" i="167" s="1"/>
  <c r="V9" i="167"/>
  <c r="P10" i="166"/>
  <c r="AL10" i="167" s="1"/>
  <c r="AP10" i="167" s="1"/>
  <c r="V10" i="167"/>
  <c r="P12" i="166"/>
  <c r="AL12" i="167" s="1"/>
  <c r="V12" i="167"/>
  <c r="P13" i="166"/>
  <c r="AL13" i="167"/>
  <c r="V13" i="167"/>
  <c r="P14" i="166"/>
  <c r="AL14" i="167" s="1"/>
  <c r="V14" i="167"/>
  <c r="P15" i="166"/>
  <c r="AL15" i="167" s="1"/>
  <c r="V15" i="167"/>
  <c r="P16" i="166"/>
  <c r="AL16" i="167" s="1"/>
  <c r="V16" i="167"/>
  <c r="P19" i="166"/>
  <c r="AL19" i="167" s="1"/>
  <c r="V19" i="167"/>
  <c r="P20" i="166"/>
  <c r="AL20" i="167" s="1"/>
  <c r="V20" i="167"/>
  <c r="P21" i="166"/>
  <c r="AL21" i="167" s="1"/>
  <c r="V21" i="167"/>
  <c r="P22" i="166"/>
  <c r="AL22" i="167" s="1"/>
  <c r="V22" i="167"/>
  <c r="P23" i="166"/>
  <c r="AL23" i="167" s="1"/>
  <c r="V23" i="167"/>
  <c r="P24" i="166"/>
  <c r="AL24" i="167" s="1"/>
  <c r="V24" i="167"/>
  <c r="P26" i="166"/>
  <c r="AL26" i="167" s="1"/>
  <c r="V26" i="167"/>
  <c r="P27" i="166"/>
  <c r="AL27" i="167" s="1"/>
  <c r="AP27" i="167" s="1"/>
  <c r="P28" i="166"/>
  <c r="AL28" i="167" s="1"/>
  <c r="V28" i="167"/>
  <c r="P31" i="166"/>
  <c r="AL31" i="167"/>
  <c r="V31" i="167"/>
  <c r="P32" i="166"/>
  <c r="AL32" i="167" s="1"/>
  <c r="V32" i="167"/>
  <c r="P33" i="166"/>
  <c r="AL33" i="167" s="1"/>
  <c r="AP33" i="167" s="1"/>
  <c r="V33" i="167"/>
  <c r="P34" i="166"/>
  <c r="AL34" i="167"/>
  <c r="V34" i="167"/>
  <c r="P35" i="166"/>
  <c r="AL35" i="167" s="1"/>
  <c r="V35" i="167"/>
  <c r="P36" i="166"/>
  <c r="AL36" i="167" s="1"/>
  <c r="V36" i="167"/>
  <c r="P37" i="166"/>
  <c r="AL37" i="167"/>
  <c r="V37" i="167"/>
  <c r="P38" i="166"/>
  <c r="AL38" i="167" s="1"/>
  <c r="V38" i="167"/>
  <c r="P39" i="166"/>
  <c r="AL39" i="167" s="1"/>
  <c r="V39" i="167"/>
  <c r="P40" i="166"/>
  <c r="AL40" i="167" s="1"/>
  <c r="V40" i="167"/>
  <c r="P42" i="166"/>
  <c r="AL42" i="167"/>
  <c r="V42" i="167"/>
  <c r="P93" i="166"/>
  <c r="AL44" i="167" s="1"/>
  <c r="Y9" i="167"/>
  <c r="Y10" i="167"/>
  <c r="Y12" i="167"/>
  <c r="Y13" i="167"/>
  <c r="Y14" i="167"/>
  <c r="Y15" i="167"/>
  <c r="Y16" i="167"/>
  <c r="Y19" i="167"/>
  <c r="Y20" i="167"/>
  <c r="Y21" i="167"/>
  <c r="Y22" i="167"/>
  <c r="Y23" i="167"/>
  <c r="Y24" i="167"/>
  <c r="Y26" i="167"/>
  <c r="C27" i="166"/>
  <c r="Y27" i="167" s="1"/>
  <c r="Y28" i="167"/>
  <c r="Y31" i="167"/>
  <c r="Y32" i="167"/>
  <c r="Y33" i="167"/>
  <c r="Y34" i="167"/>
  <c r="Y35" i="167"/>
  <c r="Y36" i="167"/>
  <c r="Y37" i="167"/>
  <c r="Y38" i="167"/>
  <c r="Y39" i="167"/>
  <c r="Y40" i="167"/>
  <c r="Y42" i="167"/>
  <c r="Z9" i="167"/>
  <c r="Z10" i="167"/>
  <c r="Z12" i="167"/>
  <c r="Z13" i="167"/>
  <c r="Z14" i="167"/>
  <c r="Z15" i="167"/>
  <c r="Z16" i="167"/>
  <c r="Z19" i="167"/>
  <c r="Z20" i="167"/>
  <c r="Z21" i="167"/>
  <c r="Z22" i="167"/>
  <c r="Z23" i="167"/>
  <c r="Z24" i="167"/>
  <c r="Z26" i="167"/>
  <c r="D27" i="166"/>
  <c r="Z27" i="167" s="1"/>
  <c r="Z28" i="167"/>
  <c r="Z31" i="167"/>
  <c r="Z32" i="167"/>
  <c r="Z33" i="167"/>
  <c r="Z34" i="167"/>
  <c r="Z35" i="167"/>
  <c r="Z36" i="167"/>
  <c r="Z37" i="167"/>
  <c r="Z38" i="167"/>
  <c r="Z39" i="167"/>
  <c r="Z40" i="167"/>
  <c r="Z42" i="167"/>
  <c r="AA9" i="167"/>
  <c r="AA10" i="167"/>
  <c r="AA12" i="167"/>
  <c r="AA13" i="167"/>
  <c r="AA14" i="167"/>
  <c r="AA15" i="167"/>
  <c r="AA16" i="167"/>
  <c r="AA19" i="167"/>
  <c r="AA20" i="167"/>
  <c r="AA21" i="167"/>
  <c r="AA22" i="167"/>
  <c r="AA23" i="167"/>
  <c r="AA24" i="167"/>
  <c r="AA26" i="167"/>
  <c r="E27" i="166"/>
  <c r="AA27" i="167" s="1"/>
  <c r="AA28" i="167"/>
  <c r="AA31" i="167"/>
  <c r="AA32" i="167"/>
  <c r="AA33" i="167"/>
  <c r="AA34" i="167"/>
  <c r="AA35" i="167"/>
  <c r="AA36" i="167"/>
  <c r="AA37" i="167"/>
  <c r="AA38" i="167"/>
  <c r="AA39" i="167"/>
  <c r="AA40" i="167"/>
  <c r="AA42" i="167"/>
  <c r="AB9" i="167"/>
  <c r="AB10" i="167"/>
  <c r="AB12" i="167"/>
  <c r="AB13" i="167"/>
  <c r="AB14" i="167"/>
  <c r="AB15" i="167"/>
  <c r="AB16" i="167"/>
  <c r="AB19" i="167"/>
  <c r="AB20" i="167"/>
  <c r="AB21" i="167"/>
  <c r="AB22" i="167"/>
  <c r="AB23" i="167"/>
  <c r="AB24" i="167"/>
  <c r="AB26" i="167"/>
  <c r="F27" i="166"/>
  <c r="AB27" i="167" s="1"/>
  <c r="AB28" i="167"/>
  <c r="AB31" i="167"/>
  <c r="AB32" i="167"/>
  <c r="AB33" i="167"/>
  <c r="AB34" i="167"/>
  <c r="AB35" i="167"/>
  <c r="AB36" i="167"/>
  <c r="AB37" i="167"/>
  <c r="AB38" i="167"/>
  <c r="AB39" i="167"/>
  <c r="AB40" i="167"/>
  <c r="AB42" i="167"/>
  <c r="AC9" i="167"/>
  <c r="AC10" i="167"/>
  <c r="AC12" i="167"/>
  <c r="AC13" i="167"/>
  <c r="AC14" i="167"/>
  <c r="AC15" i="167"/>
  <c r="AC16" i="167"/>
  <c r="AC19" i="167"/>
  <c r="AC20" i="167"/>
  <c r="AC21" i="167"/>
  <c r="AC22" i="167"/>
  <c r="AC23" i="167"/>
  <c r="AC24" i="167"/>
  <c r="AC26" i="167"/>
  <c r="G27" i="166"/>
  <c r="AC27" i="167" s="1"/>
  <c r="AC28" i="167"/>
  <c r="AC31" i="167"/>
  <c r="AC32" i="167"/>
  <c r="AC33" i="167"/>
  <c r="AC34" i="167"/>
  <c r="AC35" i="167"/>
  <c r="AC36" i="167"/>
  <c r="AC37" i="167"/>
  <c r="AC38" i="167"/>
  <c r="AC39" i="167"/>
  <c r="AC40" i="167"/>
  <c r="AC42" i="167"/>
  <c r="AD9" i="167"/>
  <c r="AD10" i="167"/>
  <c r="AD12" i="167"/>
  <c r="AD13" i="167"/>
  <c r="AD14" i="167"/>
  <c r="AD15" i="167"/>
  <c r="AD16" i="167"/>
  <c r="AD19" i="167"/>
  <c r="AD20" i="167"/>
  <c r="AD21" i="167"/>
  <c r="AD22" i="167"/>
  <c r="AD23" i="167"/>
  <c r="AD24" i="167"/>
  <c r="AD26" i="167"/>
  <c r="H27" i="166"/>
  <c r="AD27" i="167" s="1"/>
  <c r="AD28" i="167"/>
  <c r="AD31" i="167"/>
  <c r="AD32" i="167"/>
  <c r="AD33" i="167"/>
  <c r="AD34" i="167"/>
  <c r="AD35" i="167"/>
  <c r="AD36" i="167"/>
  <c r="AD37" i="167"/>
  <c r="AD38" i="167"/>
  <c r="AD39" i="167"/>
  <c r="AD40" i="167"/>
  <c r="AD42" i="167"/>
  <c r="AE9" i="167"/>
  <c r="AE10" i="167"/>
  <c r="AE12" i="167"/>
  <c r="AE13" i="167"/>
  <c r="AE14" i="167"/>
  <c r="AE15" i="167"/>
  <c r="AE16" i="167"/>
  <c r="AE19" i="167"/>
  <c r="AE20" i="167"/>
  <c r="AE21" i="167"/>
  <c r="AE22" i="167"/>
  <c r="AE23" i="167"/>
  <c r="AE24" i="167"/>
  <c r="AE26" i="167"/>
  <c r="I27" i="166"/>
  <c r="AE27" i="167" s="1"/>
  <c r="AE28" i="167"/>
  <c r="AE31" i="167"/>
  <c r="AE32" i="167"/>
  <c r="AE33" i="167"/>
  <c r="AE34" i="167"/>
  <c r="AE35" i="167"/>
  <c r="AE36" i="167"/>
  <c r="AE37" i="167"/>
  <c r="AE38" i="167"/>
  <c r="AE39" i="167"/>
  <c r="AE40" i="167"/>
  <c r="AE42" i="167"/>
  <c r="AF9" i="167"/>
  <c r="AF10" i="167"/>
  <c r="AF12" i="167"/>
  <c r="AF13" i="167"/>
  <c r="AF14" i="167"/>
  <c r="AF15" i="167"/>
  <c r="AF16" i="167"/>
  <c r="AF19" i="167"/>
  <c r="AF20" i="167"/>
  <c r="AF21" i="167"/>
  <c r="AF22" i="167"/>
  <c r="AF23" i="167"/>
  <c r="AF24" i="167"/>
  <c r="AF26" i="167"/>
  <c r="J27" i="166"/>
  <c r="AF27" i="167" s="1"/>
  <c r="AF28" i="167"/>
  <c r="AF31" i="167"/>
  <c r="AF32" i="167"/>
  <c r="AF33" i="167"/>
  <c r="AF34" i="167"/>
  <c r="AF35" i="167"/>
  <c r="AF36" i="167"/>
  <c r="AF37" i="167"/>
  <c r="AF38" i="167"/>
  <c r="AF39" i="167"/>
  <c r="AF40" i="167"/>
  <c r="AF42" i="167"/>
  <c r="AG9" i="167"/>
  <c r="AG10" i="167"/>
  <c r="AG12" i="167"/>
  <c r="AG13" i="167"/>
  <c r="AG14" i="167"/>
  <c r="AG15" i="167"/>
  <c r="AG16" i="167"/>
  <c r="AG19" i="167"/>
  <c r="AG20" i="167"/>
  <c r="AG21" i="167"/>
  <c r="AG22" i="167"/>
  <c r="AG23" i="167"/>
  <c r="AG24" i="167"/>
  <c r="AG26" i="167"/>
  <c r="K27" i="166"/>
  <c r="AG27" i="167" s="1"/>
  <c r="AG28" i="167"/>
  <c r="AG31" i="167"/>
  <c r="AG32" i="167"/>
  <c r="AG33" i="167"/>
  <c r="AG34" i="167"/>
  <c r="AG35" i="167"/>
  <c r="AG36" i="167"/>
  <c r="AG37" i="167"/>
  <c r="AG38" i="167"/>
  <c r="AG39" i="167"/>
  <c r="AG40" i="167"/>
  <c r="AG42" i="167"/>
  <c r="AH9" i="167"/>
  <c r="AH10" i="167"/>
  <c r="AH12" i="167"/>
  <c r="AH13" i="167"/>
  <c r="AH14" i="167"/>
  <c r="AH15" i="167"/>
  <c r="AH16" i="167"/>
  <c r="AH19" i="167"/>
  <c r="AH20" i="167"/>
  <c r="AH21" i="167"/>
  <c r="AH22" i="167"/>
  <c r="AH23" i="167"/>
  <c r="AH24" i="167"/>
  <c r="AH26" i="167"/>
  <c r="L27" i="166"/>
  <c r="AH27" i="167" s="1"/>
  <c r="AH28" i="167"/>
  <c r="AH31" i="167"/>
  <c r="AH32" i="167"/>
  <c r="AH33" i="167"/>
  <c r="AH34" i="167"/>
  <c r="AH35" i="167"/>
  <c r="AH36" i="167"/>
  <c r="AH37" i="167"/>
  <c r="AH38" i="167"/>
  <c r="AH39" i="167"/>
  <c r="AH40" i="167"/>
  <c r="AH42" i="167"/>
  <c r="AI9" i="167"/>
  <c r="AI10" i="167"/>
  <c r="AI12" i="167"/>
  <c r="AI13" i="167"/>
  <c r="AI14" i="167"/>
  <c r="AI15" i="167"/>
  <c r="AI16" i="167"/>
  <c r="AI19" i="167"/>
  <c r="AI20" i="167"/>
  <c r="AI21" i="167"/>
  <c r="AI22" i="167"/>
  <c r="AI23" i="167"/>
  <c r="AI24" i="167"/>
  <c r="AI26" i="167"/>
  <c r="M27" i="166"/>
  <c r="AI27" i="167" s="1"/>
  <c r="AI28" i="167"/>
  <c r="AI31" i="167"/>
  <c r="AI32" i="167"/>
  <c r="AI33" i="167"/>
  <c r="AI34" i="167"/>
  <c r="AI35" i="167"/>
  <c r="AI36" i="167"/>
  <c r="AI37" i="167"/>
  <c r="AI38" i="167"/>
  <c r="AI39" i="167"/>
  <c r="AI40" i="167"/>
  <c r="AI42" i="167"/>
  <c r="AJ9" i="167"/>
  <c r="AJ10" i="167"/>
  <c r="AJ12" i="167"/>
  <c r="AJ13" i="167"/>
  <c r="AJ14" i="167"/>
  <c r="AJ15" i="167"/>
  <c r="AJ16" i="167"/>
  <c r="AJ19" i="167"/>
  <c r="AJ20" i="167"/>
  <c r="AJ21" i="167"/>
  <c r="AJ22" i="167"/>
  <c r="AJ23" i="167"/>
  <c r="AJ24" i="167"/>
  <c r="AJ26" i="167"/>
  <c r="N27" i="166"/>
  <c r="AJ27" i="167" s="1"/>
  <c r="AJ28" i="167"/>
  <c r="AJ31" i="167"/>
  <c r="AJ32" i="167"/>
  <c r="AJ33" i="167"/>
  <c r="AJ34" i="167"/>
  <c r="AJ35" i="167"/>
  <c r="AJ36" i="167"/>
  <c r="AJ37" i="167"/>
  <c r="AJ38" i="167"/>
  <c r="AJ39" i="167"/>
  <c r="AJ40" i="167"/>
  <c r="AJ42" i="167"/>
  <c r="AK9" i="167"/>
  <c r="AK10" i="167"/>
  <c r="AK12" i="167"/>
  <c r="AK13" i="167"/>
  <c r="AK14" i="167"/>
  <c r="AK15" i="167"/>
  <c r="AK16" i="167"/>
  <c r="AK19" i="167"/>
  <c r="AK20" i="167"/>
  <c r="AK21" i="167"/>
  <c r="AK22" i="167"/>
  <c r="AK23" i="167"/>
  <c r="AK24" i="167"/>
  <c r="AK26" i="167"/>
  <c r="O27" i="166"/>
  <c r="AK27" i="167" s="1"/>
  <c r="AK28" i="167"/>
  <c r="AK31" i="167"/>
  <c r="AK32" i="167"/>
  <c r="AK33" i="167"/>
  <c r="AK34" i="167"/>
  <c r="AK35" i="167"/>
  <c r="AK36" i="167"/>
  <c r="AK37" i="167"/>
  <c r="AK38" i="167"/>
  <c r="AK39" i="167"/>
  <c r="AK40" i="167"/>
  <c r="AK42" i="167"/>
  <c r="Q9" i="166"/>
  <c r="AM9" i="167" s="1"/>
  <c r="Q10" i="166"/>
  <c r="AM10" i="167" s="1"/>
  <c r="Q12" i="166"/>
  <c r="AM12" i="167" s="1"/>
  <c r="Q13" i="166"/>
  <c r="AM13" i="167" s="1"/>
  <c r="Q14" i="166"/>
  <c r="AM14" i="167"/>
  <c r="Q15" i="166"/>
  <c r="AM15" i="167" s="1"/>
  <c r="Q16" i="166"/>
  <c r="AM16" i="167" s="1"/>
  <c r="Q19" i="166"/>
  <c r="AM19" i="167" s="1"/>
  <c r="Q20" i="166"/>
  <c r="AM20" i="167" s="1"/>
  <c r="Q21" i="166"/>
  <c r="AM21" i="167" s="1"/>
  <c r="Q22" i="166"/>
  <c r="AM22" i="167" s="1"/>
  <c r="Q23" i="166"/>
  <c r="AM23" i="167" s="1"/>
  <c r="Q24" i="166"/>
  <c r="AM24" i="167" s="1"/>
  <c r="Q26" i="166"/>
  <c r="AM26" i="167" s="1"/>
  <c r="Q27" i="166"/>
  <c r="AM27" i="167"/>
  <c r="Q28" i="166"/>
  <c r="AM28" i="167" s="1"/>
  <c r="Q31" i="166"/>
  <c r="AM31" i="167" s="1"/>
  <c r="Q32" i="166"/>
  <c r="AM32" i="167" s="1"/>
  <c r="Q33" i="166"/>
  <c r="AM33" i="167" s="1"/>
  <c r="Q34" i="166"/>
  <c r="AM34" i="167" s="1"/>
  <c r="Q35" i="166"/>
  <c r="AM35" i="167" s="1"/>
  <c r="Q36" i="166"/>
  <c r="AM36" i="167" s="1"/>
  <c r="Q37" i="166"/>
  <c r="AM37" i="167"/>
  <c r="Q38" i="166"/>
  <c r="AM38" i="167" s="1"/>
  <c r="Q39" i="166"/>
  <c r="AM39" i="167" s="1"/>
  <c r="Q40" i="166"/>
  <c r="AM40" i="167" s="1"/>
  <c r="Q42" i="166"/>
  <c r="AM42" i="167" s="1"/>
  <c r="R9" i="166"/>
  <c r="AN9" i="167" s="1"/>
  <c r="R10" i="166"/>
  <c r="AN10" i="167"/>
  <c r="R12" i="166"/>
  <c r="AN12" i="167" s="1"/>
  <c r="R13" i="166"/>
  <c r="AN13" i="167" s="1"/>
  <c r="R14" i="166"/>
  <c r="AN14" i="167" s="1"/>
  <c r="R15" i="166"/>
  <c r="AN15" i="167" s="1"/>
  <c r="R16" i="166"/>
  <c r="AN16" i="167" s="1"/>
  <c r="R19" i="166"/>
  <c r="AN19" i="167"/>
  <c r="R20" i="166"/>
  <c r="AN20" i="167" s="1"/>
  <c r="R21" i="166"/>
  <c r="AN21" i="167" s="1"/>
  <c r="R22" i="166"/>
  <c r="AN22" i="167" s="1"/>
  <c r="R23" i="166"/>
  <c r="AN23" i="167" s="1"/>
  <c r="R24" i="166"/>
  <c r="AN24" i="167" s="1"/>
  <c r="R26" i="166"/>
  <c r="AN26" i="167" s="1"/>
  <c r="R27" i="166"/>
  <c r="AN27" i="167" s="1"/>
  <c r="R28" i="166"/>
  <c r="AN28" i="167"/>
  <c r="R31" i="166"/>
  <c r="AN31" i="167" s="1"/>
  <c r="R32" i="166"/>
  <c r="AN32" i="167" s="1"/>
  <c r="R33" i="166"/>
  <c r="AN33" i="167" s="1"/>
  <c r="R34" i="166"/>
  <c r="AN34" i="167" s="1"/>
  <c r="R35" i="166"/>
  <c r="AN35" i="167" s="1"/>
  <c r="R36" i="166"/>
  <c r="AN36" i="167" s="1"/>
  <c r="R37" i="166"/>
  <c r="AN37" i="167" s="1"/>
  <c r="R38" i="166"/>
  <c r="AN38" i="167" s="1"/>
  <c r="R39" i="166"/>
  <c r="AN39" i="167" s="1"/>
  <c r="R40" i="166"/>
  <c r="AN40" i="167" s="1"/>
  <c r="R42" i="166"/>
  <c r="AN42" i="167" s="1"/>
  <c r="C93" i="166"/>
  <c r="Y44" i="167" s="1"/>
  <c r="D93" i="166"/>
  <c r="E93" i="166"/>
  <c r="F93" i="166"/>
  <c r="G93" i="166"/>
  <c r="AC44" i="167" s="1"/>
  <c r="H93" i="166"/>
  <c r="I93" i="166"/>
  <c r="J93" i="166"/>
  <c r="K93" i="166"/>
  <c r="AG44" i="167" s="1"/>
  <c r="L93" i="166"/>
  <c r="M93" i="166"/>
  <c r="N93" i="166"/>
  <c r="O93" i="166"/>
  <c r="AK44" i="167" s="1"/>
  <c r="Q93" i="166"/>
  <c r="R93" i="166"/>
  <c r="I64" i="54"/>
  <c r="I61" i="54"/>
  <c r="I56" i="257"/>
  <c r="I60" i="257"/>
  <c r="B58" i="12"/>
  <c r="B76" i="12"/>
  <c r="B84" i="12"/>
  <c r="B63" i="12"/>
  <c r="H15" i="25"/>
  <c r="C24" i="25"/>
  <c r="H24" i="25"/>
  <c r="L35" i="25"/>
  <c r="G34" i="60"/>
  <c r="V32" i="21" s="1"/>
  <c r="C26" i="25"/>
  <c r="H26" i="25"/>
  <c r="N11" i="8"/>
  <c r="G14" i="21"/>
  <c r="G16" i="60" s="1"/>
  <c r="C14" i="21"/>
  <c r="F73" i="60"/>
  <c r="F84" i="60"/>
  <c r="C9" i="167"/>
  <c r="C10" i="167"/>
  <c r="C12" i="167"/>
  <c r="C13" i="167"/>
  <c r="C14" i="167"/>
  <c r="C15" i="167"/>
  <c r="C16" i="167"/>
  <c r="C19" i="167"/>
  <c r="C20" i="167"/>
  <c r="C21" i="167"/>
  <c r="C22" i="167"/>
  <c r="C23" i="167"/>
  <c r="C26" i="167"/>
  <c r="C28" i="167"/>
  <c r="C30" i="167"/>
  <c r="C31" i="167"/>
  <c r="C32" i="167"/>
  <c r="C33" i="167"/>
  <c r="C34" i="167"/>
  <c r="C35" i="167"/>
  <c r="C36" i="167"/>
  <c r="C38" i="167"/>
  <c r="C39" i="167"/>
  <c r="C40" i="167"/>
  <c r="C42" i="167"/>
  <c r="D8" i="167"/>
  <c r="D9" i="167"/>
  <c r="D10" i="167"/>
  <c r="D11" i="167"/>
  <c r="D12" i="167"/>
  <c r="D13" i="167"/>
  <c r="D14" i="167"/>
  <c r="D15" i="167"/>
  <c r="D16" i="167"/>
  <c r="D17" i="167"/>
  <c r="D18" i="167"/>
  <c r="D19" i="167"/>
  <c r="D20" i="167"/>
  <c r="D21" i="167"/>
  <c r="D22" i="167"/>
  <c r="D23" i="167"/>
  <c r="D24" i="167"/>
  <c r="D25" i="167"/>
  <c r="D26" i="167"/>
  <c r="D28" i="167"/>
  <c r="D29" i="167"/>
  <c r="D30" i="167"/>
  <c r="D31" i="167"/>
  <c r="D32" i="167"/>
  <c r="D33" i="167"/>
  <c r="D34" i="167"/>
  <c r="D35" i="167"/>
  <c r="D36" i="167"/>
  <c r="D37" i="167"/>
  <c r="D38" i="167"/>
  <c r="D39" i="167"/>
  <c r="D40" i="167"/>
  <c r="D41" i="167"/>
  <c r="D42" i="167"/>
  <c r="E8" i="167"/>
  <c r="E9" i="167"/>
  <c r="E10" i="167"/>
  <c r="E11" i="167"/>
  <c r="E12" i="167"/>
  <c r="E13" i="167"/>
  <c r="E14" i="167"/>
  <c r="E15" i="167"/>
  <c r="E16" i="167"/>
  <c r="E17" i="167"/>
  <c r="E18" i="167"/>
  <c r="E19" i="167"/>
  <c r="E20" i="167"/>
  <c r="E21" i="167"/>
  <c r="E22" i="167"/>
  <c r="E23" i="167"/>
  <c r="E24" i="167"/>
  <c r="E25" i="167"/>
  <c r="E26" i="167"/>
  <c r="E28" i="167"/>
  <c r="E29" i="167"/>
  <c r="E30" i="167"/>
  <c r="E31" i="167"/>
  <c r="E32" i="167"/>
  <c r="E33" i="167"/>
  <c r="E34" i="167"/>
  <c r="E35" i="167"/>
  <c r="E36" i="167"/>
  <c r="E37" i="167"/>
  <c r="E38" i="167"/>
  <c r="E39" i="167"/>
  <c r="E40" i="167"/>
  <c r="E41" i="167"/>
  <c r="E42" i="167"/>
  <c r="F8" i="167"/>
  <c r="F9" i="167"/>
  <c r="F10" i="167"/>
  <c r="F11" i="167"/>
  <c r="F12" i="167"/>
  <c r="F13" i="167"/>
  <c r="F14" i="167"/>
  <c r="F15" i="167"/>
  <c r="F16" i="167"/>
  <c r="F17" i="167"/>
  <c r="F18" i="167"/>
  <c r="F19" i="167"/>
  <c r="F20" i="167"/>
  <c r="F21" i="167"/>
  <c r="F22" i="167"/>
  <c r="F23" i="167"/>
  <c r="F24" i="167"/>
  <c r="F25" i="167"/>
  <c r="F26" i="167"/>
  <c r="F28" i="167"/>
  <c r="F29" i="167"/>
  <c r="F30" i="167"/>
  <c r="F31" i="167"/>
  <c r="F32" i="167"/>
  <c r="F33" i="167"/>
  <c r="F34" i="167"/>
  <c r="F35" i="167"/>
  <c r="F36" i="167"/>
  <c r="F37" i="167"/>
  <c r="F38" i="167"/>
  <c r="F39" i="167"/>
  <c r="F40" i="167"/>
  <c r="F41" i="167"/>
  <c r="F42" i="167"/>
  <c r="G8" i="167"/>
  <c r="G9" i="167"/>
  <c r="G10" i="167"/>
  <c r="G11" i="167"/>
  <c r="G12" i="167"/>
  <c r="G13" i="167"/>
  <c r="G14" i="167"/>
  <c r="G15" i="167"/>
  <c r="G16" i="167"/>
  <c r="G17" i="167"/>
  <c r="G18" i="167"/>
  <c r="G19" i="167"/>
  <c r="G20" i="167"/>
  <c r="G21" i="167"/>
  <c r="G22" i="167"/>
  <c r="G23" i="167"/>
  <c r="G24" i="167"/>
  <c r="G25" i="167"/>
  <c r="G26" i="167"/>
  <c r="G28" i="167"/>
  <c r="G29" i="167"/>
  <c r="G30" i="167"/>
  <c r="G31" i="167"/>
  <c r="G32" i="167"/>
  <c r="G33" i="167"/>
  <c r="G34" i="167"/>
  <c r="G35" i="167"/>
  <c r="G36" i="167"/>
  <c r="G37" i="167"/>
  <c r="G38" i="167"/>
  <c r="G39" i="167"/>
  <c r="G40" i="167"/>
  <c r="G41" i="167"/>
  <c r="G42" i="167"/>
  <c r="H8" i="167"/>
  <c r="H9" i="167"/>
  <c r="H10" i="167"/>
  <c r="H11" i="167"/>
  <c r="H12" i="167"/>
  <c r="H13" i="167"/>
  <c r="H14" i="167"/>
  <c r="H15" i="167"/>
  <c r="H16" i="167"/>
  <c r="H17" i="167"/>
  <c r="H18" i="167"/>
  <c r="H19" i="167"/>
  <c r="H20" i="167"/>
  <c r="H21" i="167"/>
  <c r="H22" i="167"/>
  <c r="H23" i="167"/>
  <c r="H24" i="167"/>
  <c r="H25" i="167"/>
  <c r="H26" i="167"/>
  <c r="H28" i="167"/>
  <c r="H29" i="167"/>
  <c r="H30" i="167"/>
  <c r="H31" i="167"/>
  <c r="H32" i="167"/>
  <c r="H33" i="167"/>
  <c r="H34" i="167"/>
  <c r="H35" i="167"/>
  <c r="H36" i="167"/>
  <c r="H37" i="167"/>
  <c r="H38" i="167"/>
  <c r="H39" i="167"/>
  <c r="H40" i="167"/>
  <c r="H41" i="167"/>
  <c r="H42" i="167"/>
  <c r="I8" i="167"/>
  <c r="I9" i="167"/>
  <c r="I10" i="167"/>
  <c r="I11" i="167"/>
  <c r="I12" i="167"/>
  <c r="I13" i="167"/>
  <c r="I14" i="167"/>
  <c r="I15" i="167"/>
  <c r="I16" i="167"/>
  <c r="I17" i="167"/>
  <c r="I18" i="167"/>
  <c r="I19" i="167"/>
  <c r="I20" i="167"/>
  <c r="I21" i="167"/>
  <c r="I22" i="167"/>
  <c r="I23" i="167"/>
  <c r="I24" i="167"/>
  <c r="I25" i="167"/>
  <c r="I26" i="167"/>
  <c r="I28" i="167"/>
  <c r="I29" i="167"/>
  <c r="I30" i="167"/>
  <c r="I31" i="167"/>
  <c r="I32" i="167"/>
  <c r="I33" i="167"/>
  <c r="I34" i="167"/>
  <c r="I35" i="167"/>
  <c r="I36" i="167"/>
  <c r="I37" i="167"/>
  <c r="I38" i="167"/>
  <c r="I39" i="167"/>
  <c r="I40" i="167"/>
  <c r="I41" i="167"/>
  <c r="I42" i="167"/>
  <c r="J8" i="167"/>
  <c r="J9" i="167"/>
  <c r="J10" i="167"/>
  <c r="J11" i="167"/>
  <c r="J12" i="167"/>
  <c r="J13" i="167"/>
  <c r="J14" i="167"/>
  <c r="J15" i="167"/>
  <c r="J16" i="167"/>
  <c r="J17" i="167"/>
  <c r="J18" i="167"/>
  <c r="J19" i="167"/>
  <c r="J20" i="167"/>
  <c r="J21" i="167"/>
  <c r="J22" i="167"/>
  <c r="J23" i="167"/>
  <c r="J24" i="167"/>
  <c r="J25" i="167"/>
  <c r="J26" i="167"/>
  <c r="J28" i="167"/>
  <c r="J29" i="167"/>
  <c r="J30" i="167"/>
  <c r="J31" i="167"/>
  <c r="J32" i="167"/>
  <c r="J33" i="167"/>
  <c r="J34" i="167"/>
  <c r="J35" i="167"/>
  <c r="J36" i="167"/>
  <c r="J37" i="167"/>
  <c r="J38" i="167"/>
  <c r="J39" i="167"/>
  <c r="J40" i="167"/>
  <c r="J41" i="167"/>
  <c r="J42" i="167"/>
  <c r="K8" i="167"/>
  <c r="K9" i="167"/>
  <c r="K10" i="167"/>
  <c r="K11" i="167"/>
  <c r="K12" i="167"/>
  <c r="K13" i="167"/>
  <c r="K14" i="167"/>
  <c r="K15" i="167"/>
  <c r="K16" i="167"/>
  <c r="K17" i="167"/>
  <c r="K18" i="167"/>
  <c r="K19" i="167"/>
  <c r="K20" i="167"/>
  <c r="K21" i="167"/>
  <c r="K22" i="167"/>
  <c r="K23" i="167"/>
  <c r="K24" i="167"/>
  <c r="K25" i="167"/>
  <c r="K26" i="167"/>
  <c r="K28" i="167"/>
  <c r="K29" i="167"/>
  <c r="K30" i="167"/>
  <c r="K31" i="167"/>
  <c r="K32" i="167"/>
  <c r="K33" i="167"/>
  <c r="K34" i="167"/>
  <c r="K35" i="167"/>
  <c r="K36" i="167"/>
  <c r="K37" i="167"/>
  <c r="K38" i="167"/>
  <c r="K39" i="167"/>
  <c r="K40" i="167"/>
  <c r="K41" i="167"/>
  <c r="K42" i="167"/>
  <c r="L8" i="167"/>
  <c r="L9" i="167"/>
  <c r="L10" i="167"/>
  <c r="L11" i="167"/>
  <c r="L12" i="167"/>
  <c r="L13" i="167"/>
  <c r="L14" i="167"/>
  <c r="L15" i="167"/>
  <c r="L16" i="167"/>
  <c r="L17" i="167"/>
  <c r="L18" i="167"/>
  <c r="L19" i="167"/>
  <c r="L20" i="167"/>
  <c r="L21" i="167"/>
  <c r="L22" i="167"/>
  <c r="L23" i="167"/>
  <c r="L24" i="167"/>
  <c r="L25" i="167"/>
  <c r="L26" i="167"/>
  <c r="L28" i="167"/>
  <c r="L29" i="167"/>
  <c r="L30" i="167"/>
  <c r="L31" i="167"/>
  <c r="L32" i="167"/>
  <c r="L33" i="167"/>
  <c r="L34" i="167"/>
  <c r="L35" i="167"/>
  <c r="L36" i="167"/>
  <c r="L37" i="167"/>
  <c r="L38" i="167"/>
  <c r="L39" i="167"/>
  <c r="L40" i="167"/>
  <c r="L41" i="167"/>
  <c r="L42" i="167"/>
  <c r="M8" i="167"/>
  <c r="M9" i="167"/>
  <c r="M10" i="167"/>
  <c r="M11" i="167"/>
  <c r="M12" i="167"/>
  <c r="M13" i="167"/>
  <c r="M14" i="167"/>
  <c r="M15" i="167"/>
  <c r="M16" i="167"/>
  <c r="M17" i="167"/>
  <c r="M18" i="167"/>
  <c r="M19" i="167"/>
  <c r="M20" i="167"/>
  <c r="M21" i="167"/>
  <c r="M22" i="167"/>
  <c r="M23" i="167"/>
  <c r="M24" i="167"/>
  <c r="M25" i="167"/>
  <c r="M26" i="167"/>
  <c r="M28" i="167"/>
  <c r="M29" i="167"/>
  <c r="M30" i="167"/>
  <c r="M31" i="167"/>
  <c r="M32" i="167"/>
  <c r="M33" i="167"/>
  <c r="M34" i="167"/>
  <c r="M35" i="167"/>
  <c r="M36" i="167"/>
  <c r="M37" i="167"/>
  <c r="M38" i="167"/>
  <c r="M39" i="167"/>
  <c r="M40" i="167"/>
  <c r="M41" i="167"/>
  <c r="M42" i="167"/>
  <c r="N8" i="167"/>
  <c r="N9" i="167"/>
  <c r="N10" i="167"/>
  <c r="N11" i="167"/>
  <c r="N12" i="167"/>
  <c r="N13" i="167"/>
  <c r="N14" i="167"/>
  <c r="N15" i="167"/>
  <c r="N16" i="167"/>
  <c r="N17" i="167"/>
  <c r="N18" i="167"/>
  <c r="N19" i="167"/>
  <c r="N20" i="167"/>
  <c r="N21" i="167"/>
  <c r="N22" i="167"/>
  <c r="N23" i="167"/>
  <c r="N24" i="167"/>
  <c r="N25" i="167"/>
  <c r="N26" i="167"/>
  <c r="N28" i="167"/>
  <c r="N29" i="167"/>
  <c r="N30" i="167"/>
  <c r="N31" i="167"/>
  <c r="N32" i="167"/>
  <c r="N33" i="167"/>
  <c r="N34" i="167"/>
  <c r="N35" i="167"/>
  <c r="N36" i="167"/>
  <c r="N37" i="167"/>
  <c r="N38" i="167"/>
  <c r="N39" i="167"/>
  <c r="N40" i="167"/>
  <c r="N41" i="167"/>
  <c r="N42" i="167"/>
  <c r="O8" i="167"/>
  <c r="O9" i="167"/>
  <c r="O10" i="167"/>
  <c r="O11" i="167"/>
  <c r="O12" i="167"/>
  <c r="O13" i="167"/>
  <c r="O14" i="167"/>
  <c r="O15" i="167"/>
  <c r="O16" i="167"/>
  <c r="O17" i="167"/>
  <c r="O18" i="167"/>
  <c r="O19" i="167"/>
  <c r="O20" i="167"/>
  <c r="O21" i="167"/>
  <c r="O22" i="167"/>
  <c r="O23" i="167"/>
  <c r="O24" i="167"/>
  <c r="O25" i="167"/>
  <c r="O26" i="167"/>
  <c r="O28" i="167"/>
  <c r="O29" i="167"/>
  <c r="O30" i="167"/>
  <c r="O31" i="167"/>
  <c r="O32" i="167"/>
  <c r="O33" i="167"/>
  <c r="O34" i="167"/>
  <c r="O35" i="167"/>
  <c r="O36" i="167"/>
  <c r="O37" i="167"/>
  <c r="O38" i="167"/>
  <c r="O39" i="167"/>
  <c r="O40" i="167"/>
  <c r="O41" i="167"/>
  <c r="O42" i="167"/>
  <c r="P8" i="167"/>
  <c r="P9" i="167"/>
  <c r="P10" i="167"/>
  <c r="P11" i="167"/>
  <c r="P12" i="167"/>
  <c r="P13" i="167"/>
  <c r="P14" i="167"/>
  <c r="P15" i="167"/>
  <c r="P16" i="167"/>
  <c r="P17" i="167"/>
  <c r="P18" i="167"/>
  <c r="P19" i="167"/>
  <c r="P20" i="167"/>
  <c r="P21" i="167"/>
  <c r="P22" i="167"/>
  <c r="P23" i="167"/>
  <c r="P24" i="167"/>
  <c r="P25" i="167"/>
  <c r="P26" i="167"/>
  <c r="P28" i="167"/>
  <c r="P29" i="167"/>
  <c r="P30" i="167"/>
  <c r="P31" i="167"/>
  <c r="P32" i="167"/>
  <c r="P33" i="167"/>
  <c r="P34" i="167"/>
  <c r="P35" i="167"/>
  <c r="P36" i="167"/>
  <c r="P37" i="167"/>
  <c r="P38" i="167"/>
  <c r="P39" i="167"/>
  <c r="P40" i="167"/>
  <c r="P41" i="167"/>
  <c r="P42" i="167"/>
  <c r="Q8" i="167"/>
  <c r="Q9" i="167"/>
  <c r="Q10" i="167"/>
  <c r="Q11" i="167"/>
  <c r="Q12" i="167"/>
  <c r="Q13" i="167"/>
  <c r="Q14" i="167"/>
  <c r="Q15" i="167"/>
  <c r="Q16" i="167"/>
  <c r="Q17" i="167"/>
  <c r="Q18" i="167"/>
  <c r="Q19" i="167"/>
  <c r="Q20" i="167"/>
  <c r="Q21" i="167"/>
  <c r="Q22" i="167"/>
  <c r="Q23" i="167"/>
  <c r="Q24" i="167"/>
  <c r="Q25" i="167"/>
  <c r="Q26" i="167"/>
  <c r="Q28" i="167"/>
  <c r="Q29" i="167"/>
  <c r="Q30" i="167"/>
  <c r="Q31" i="167"/>
  <c r="Q32" i="167"/>
  <c r="Q33" i="167"/>
  <c r="Q34" i="167"/>
  <c r="Q35" i="167"/>
  <c r="Q36" i="167"/>
  <c r="Q37" i="167"/>
  <c r="Q38" i="167"/>
  <c r="Q39" i="167"/>
  <c r="Q40" i="167"/>
  <c r="Q41" i="167"/>
  <c r="Q42" i="167"/>
  <c r="R8" i="167"/>
  <c r="R9" i="167"/>
  <c r="R10" i="167"/>
  <c r="R11" i="167"/>
  <c r="R12" i="167"/>
  <c r="R13" i="167"/>
  <c r="R14" i="167"/>
  <c r="R15" i="167"/>
  <c r="R16" i="167"/>
  <c r="R17" i="167"/>
  <c r="R18" i="167"/>
  <c r="R19" i="167"/>
  <c r="R20" i="167"/>
  <c r="R21" i="167"/>
  <c r="R22" i="167"/>
  <c r="R23" i="167"/>
  <c r="R24" i="167"/>
  <c r="R25" i="167"/>
  <c r="R26" i="167"/>
  <c r="R28" i="167"/>
  <c r="R29" i="167"/>
  <c r="R30" i="167"/>
  <c r="R31" i="167"/>
  <c r="R32" i="167"/>
  <c r="R33" i="167"/>
  <c r="R34" i="167"/>
  <c r="R35" i="167"/>
  <c r="R36" i="167"/>
  <c r="R37" i="167"/>
  <c r="R38" i="167"/>
  <c r="R39" i="167"/>
  <c r="R40" i="167"/>
  <c r="R41" i="167"/>
  <c r="R42" i="167"/>
  <c r="S8" i="167"/>
  <c r="S9" i="167"/>
  <c r="S10" i="167"/>
  <c r="S11" i="167"/>
  <c r="S12" i="167"/>
  <c r="S13" i="167"/>
  <c r="S14" i="167"/>
  <c r="S15" i="167"/>
  <c r="S16" i="167"/>
  <c r="S17" i="167"/>
  <c r="S18" i="167"/>
  <c r="S19" i="167"/>
  <c r="S20" i="167"/>
  <c r="S21" i="167"/>
  <c r="S22" i="167"/>
  <c r="S23" i="167"/>
  <c r="S24" i="167"/>
  <c r="S25" i="167"/>
  <c r="S26" i="167"/>
  <c r="S28" i="167"/>
  <c r="S29" i="167"/>
  <c r="S30" i="167"/>
  <c r="S31" i="167"/>
  <c r="S32" i="167"/>
  <c r="S33" i="167"/>
  <c r="S34" i="167"/>
  <c r="S35" i="167"/>
  <c r="S36" i="167"/>
  <c r="S37" i="167"/>
  <c r="S38" i="167"/>
  <c r="S39" i="167"/>
  <c r="S40" i="167"/>
  <c r="S41" i="167"/>
  <c r="S42" i="167"/>
  <c r="T8" i="167"/>
  <c r="T9" i="167"/>
  <c r="T10" i="167"/>
  <c r="T11" i="167"/>
  <c r="T12" i="167"/>
  <c r="T13" i="167"/>
  <c r="T14" i="167"/>
  <c r="T15" i="167"/>
  <c r="T16" i="167"/>
  <c r="T17" i="167"/>
  <c r="T18" i="167"/>
  <c r="T19" i="167"/>
  <c r="T20" i="167"/>
  <c r="T21" i="167"/>
  <c r="T22" i="167"/>
  <c r="T23" i="167"/>
  <c r="T24" i="167"/>
  <c r="T25" i="167"/>
  <c r="T26" i="167"/>
  <c r="T28" i="167"/>
  <c r="T29" i="167"/>
  <c r="T30" i="167"/>
  <c r="T31" i="167"/>
  <c r="T32" i="167"/>
  <c r="T33" i="167"/>
  <c r="T34" i="167"/>
  <c r="T35" i="167"/>
  <c r="T36" i="167"/>
  <c r="T37" i="167"/>
  <c r="T38" i="167"/>
  <c r="T39" i="167"/>
  <c r="T40" i="167"/>
  <c r="T41" i="167"/>
  <c r="T42" i="167"/>
  <c r="U8" i="167"/>
  <c r="U9" i="167"/>
  <c r="U10" i="167"/>
  <c r="U11" i="167"/>
  <c r="U12" i="167"/>
  <c r="U13" i="167"/>
  <c r="U14" i="167"/>
  <c r="U15" i="167"/>
  <c r="U16" i="167"/>
  <c r="U17" i="167"/>
  <c r="U18" i="167"/>
  <c r="U19" i="167"/>
  <c r="U20" i="167"/>
  <c r="U21" i="167"/>
  <c r="U22" i="167"/>
  <c r="U23" i="167"/>
  <c r="U24" i="167"/>
  <c r="U25" i="167"/>
  <c r="U26" i="167"/>
  <c r="U28" i="167"/>
  <c r="U29" i="167"/>
  <c r="U30" i="167"/>
  <c r="U31" i="167"/>
  <c r="U32" i="167"/>
  <c r="U33" i="167"/>
  <c r="U34" i="167"/>
  <c r="U35" i="167"/>
  <c r="U36" i="167"/>
  <c r="U37" i="167"/>
  <c r="U38" i="167"/>
  <c r="U39" i="167"/>
  <c r="U40" i="167"/>
  <c r="U41" i="167"/>
  <c r="U42" i="167"/>
  <c r="W9" i="167"/>
  <c r="W10" i="167"/>
  <c r="W12" i="167"/>
  <c r="W13" i="167"/>
  <c r="W14" i="167"/>
  <c r="W15" i="167"/>
  <c r="W16" i="167"/>
  <c r="W19" i="167"/>
  <c r="W20" i="167"/>
  <c r="W21" i="167"/>
  <c r="W22" i="167"/>
  <c r="W23" i="167"/>
  <c r="W24" i="167"/>
  <c r="W26" i="167"/>
  <c r="W28" i="167"/>
  <c r="W31" i="167"/>
  <c r="W32" i="167"/>
  <c r="W33" i="167"/>
  <c r="W34" i="167"/>
  <c r="W35" i="167"/>
  <c r="W36" i="167"/>
  <c r="W37" i="167"/>
  <c r="W38" i="167"/>
  <c r="W39" i="167"/>
  <c r="W40" i="167"/>
  <c r="W42" i="167"/>
  <c r="X9" i="167"/>
  <c r="X10" i="167"/>
  <c r="X12" i="167"/>
  <c r="X13" i="167"/>
  <c r="X14" i="167"/>
  <c r="X15" i="167"/>
  <c r="X16" i="167"/>
  <c r="X19" i="167"/>
  <c r="X20" i="167"/>
  <c r="X21" i="167"/>
  <c r="X22" i="167"/>
  <c r="X23" i="167"/>
  <c r="X24" i="167"/>
  <c r="X26" i="167"/>
  <c r="X28" i="167"/>
  <c r="X31" i="167"/>
  <c r="X32" i="167"/>
  <c r="X33" i="167"/>
  <c r="X34" i="167"/>
  <c r="X35" i="167"/>
  <c r="X36" i="167"/>
  <c r="X37" i="167"/>
  <c r="X38" i="167"/>
  <c r="X39" i="167"/>
  <c r="X40" i="167"/>
  <c r="X42" i="167"/>
  <c r="L85" i="140"/>
  <c r="L47" i="140"/>
  <c r="J85" i="140"/>
  <c r="I85" i="140"/>
  <c r="I49" i="140"/>
  <c r="H85" i="140"/>
  <c r="B57" i="12"/>
  <c r="C36" i="25"/>
  <c r="H40" i="25"/>
  <c r="C43" i="25"/>
  <c r="K12" i="60"/>
  <c r="K13" i="60"/>
  <c r="K14" i="60"/>
  <c r="K15" i="60"/>
  <c r="K16" i="60"/>
  <c r="K17" i="60"/>
  <c r="K18" i="60"/>
  <c r="K19" i="60"/>
  <c r="K20" i="60"/>
  <c r="K21" i="60"/>
  <c r="K22" i="60"/>
  <c r="K23" i="60"/>
  <c r="K24" i="60"/>
  <c r="K25" i="60"/>
  <c r="K26" i="60"/>
  <c r="K27" i="60"/>
  <c r="K28" i="60"/>
  <c r="K29" i="60"/>
  <c r="K30" i="60"/>
  <c r="K31" i="60"/>
  <c r="K32" i="60"/>
  <c r="K33" i="60"/>
  <c r="K34" i="60"/>
  <c r="K35" i="60"/>
  <c r="K36" i="60"/>
  <c r="K37" i="60"/>
  <c r="K38" i="60"/>
  <c r="K39" i="60"/>
  <c r="K40" i="60"/>
  <c r="K41" i="60"/>
  <c r="K42" i="60"/>
  <c r="K43" i="60"/>
  <c r="K44" i="60"/>
  <c r="K45" i="60"/>
  <c r="K46" i="60"/>
  <c r="K57" i="60"/>
  <c r="K58" i="60"/>
  <c r="K59" i="60"/>
  <c r="K60" i="60"/>
  <c r="K61" i="60"/>
  <c r="K62" i="60"/>
  <c r="K63" i="60"/>
  <c r="K64" i="60"/>
  <c r="K65" i="60"/>
  <c r="K66" i="60"/>
  <c r="K67" i="60"/>
  <c r="K68" i="60"/>
  <c r="K69" i="60"/>
  <c r="K70" i="60"/>
  <c r="K71" i="60"/>
  <c r="K72" i="60"/>
  <c r="K73" i="60"/>
  <c r="K74" i="60"/>
  <c r="K75" i="60"/>
  <c r="K76" i="60"/>
  <c r="K77" i="60"/>
  <c r="K78" i="60"/>
  <c r="K79" i="60"/>
  <c r="K80" i="60"/>
  <c r="K81" i="60"/>
  <c r="K82" i="60"/>
  <c r="K83" i="60"/>
  <c r="K84" i="60"/>
  <c r="K85" i="60"/>
  <c r="K86" i="60"/>
  <c r="K87" i="60"/>
  <c r="K88" i="60"/>
  <c r="K89" i="60"/>
  <c r="K90" i="60"/>
  <c r="K91" i="60"/>
  <c r="K56" i="60"/>
  <c r="K49" i="60"/>
  <c r="K50" i="60"/>
  <c r="K51" i="60"/>
  <c r="K52" i="60"/>
  <c r="K53" i="60"/>
  <c r="K54" i="60"/>
  <c r="K48" i="60"/>
  <c r="B47" i="59"/>
  <c r="G47" i="59"/>
  <c r="E104" i="59"/>
  <c r="G104" i="59"/>
  <c r="E120" i="59"/>
  <c r="G120" i="59"/>
  <c r="E136" i="59"/>
  <c r="G136" i="59"/>
  <c r="E148" i="59"/>
  <c r="G148" i="59"/>
  <c r="E164" i="59"/>
  <c r="G164" i="59"/>
  <c r="E172" i="59"/>
  <c r="G172" i="59"/>
  <c r="E184" i="59"/>
  <c r="G184" i="59"/>
  <c r="E192" i="59"/>
  <c r="G192" i="59"/>
  <c r="H192" i="59" s="1"/>
  <c r="E200" i="59"/>
  <c r="E204" i="59"/>
  <c r="E96" i="59"/>
  <c r="G96" i="59"/>
  <c r="E100" i="59"/>
  <c r="H100" i="59" s="1"/>
  <c r="G100" i="59"/>
  <c r="E108" i="59"/>
  <c r="G108" i="59"/>
  <c r="E112" i="59"/>
  <c r="G112" i="59"/>
  <c r="E116" i="59"/>
  <c r="G116" i="59"/>
  <c r="H116" i="59" s="1"/>
  <c r="E124" i="59"/>
  <c r="G124" i="59"/>
  <c r="E128" i="59"/>
  <c r="G128" i="59"/>
  <c r="E132" i="59"/>
  <c r="G132" i="59"/>
  <c r="E140" i="59"/>
  <c r="G140" i="59"/>
  <c r="E144" i="59"/>
  <c r="H144" i="59" s="1"/>
  <c r="E152" i="59"/>
  <c r="G152" i="59"/>
  <c r="E156" i="59"/>
  <c r="G156" i="59"/>
  <c r="E160" i="59"/>
  <c r="G160" i="59"/>
  <c r="E168" i="59"/>
  <c r="E176" i="59"/>
  <c r="G176" i="59"/>
  <c r="E180" i="59"/>
  <c r="E188" i="59"/>
  <c r="E196" i="59"/>
  <c r="E208" i="59"/>
  <c r="E212" i="59"/>
  <c r="G212" i="59"/>
  <c r="E216" i="59"/>
  <c r="H77" i="59"/>
  <c r="H74" i="59"/>
  <c r="B52" i="14"/>
  <c r="M10" i="21"/>
  <c r="W10" i="21" s="1"/>
  <c r="M14" i="21"/>
  <c r="M18" i="21"/>
  <c r="W18" i="21" s="1"/>
  <c r="G11" i="21"/>
  <c r="G13" i="60" s="1"/>
  <c r="C11" i="21"/>
  <c r="G12" i="21"/>
  <c r="C12" i="21"/>
  <c r="G13" i="21"/>
  <c r="C13" i="21"/>
  <c r="G15" i="21"/>
  <c r="C15" i="21"/>
  <c r="G16" i="21"/>
  <c r="C16" i="21"/>
  <c r="G17" i="21"/>
  <c r="C17" i="21"/>
  <c r="G18" i="21"/>
  <c r="C18" i="21"/>
  <c r="G19" i="21"/>
  <c r="C19" i="21"/>
  <c r="G21" i="60" s="1"/>
  <c r="G20" i="21"/>
  <c r="C20" i="21"/>
  <c r="G21" i="21"/>
  <c r="C21" i="21"/>
  <c r="G22" i="21"/>
  <c r="C22" i="21"/>
  <c r="G23" i="21"/>
  <c r="C23" i="21"/>
  <c r="G24" i="21"/>
  <c r="C24" i="21"/>
  <c r="G26" i="21"/>
  <c r="C26" i="21"/>
  <c r="B27" i="15"/>
  <c r="G27" i="21" s="1"/>
  <c r="T27" i="21" s="1"/>
  <c r="B27" i="14"/>
  <c r="C27" i="21" s="1"/>
  <c r="G28" i="21"/>
  <c r="C28" i="21"/>
  <c r="G29" i="21"/>
  <c r="C29" i="21"/>
  <c r="G30" i="21"/>
  <c r="C30" i="21"/>
  <c r="G33" i="21"/>
  <c r="C33" i="21"/>
  <c r="G34" i="21"/>
  <c r="C34" i="21"/>
  <c r="G35" i="21"/>
  <c r="C35" i="21"/>
  <c r="G36" i="21"/>
  <c r="C36" i="21"/>
  <c r="G37" i="21"/>
  <c r="T37" i="21" s="1"/>
  <c r="C37" i="21"/>
  <c r="G38" i="21"/>
  <c r="C38" i="21"/>
  <c r="G41" i="60"/>
  <c r="V39" i="21" s="1"/>
  <c r="G40" i="21"/>
  <c r="C40" i="21"/>
  <c r="G41" i="21"/>
  <c r="C41" i="21"/>
  <c r="G42" i="21"/>
  <c r="C42" i="21"/>
  <c r="G10" i="21"/>
  <c r="C10" i="21"/>
  <c r="D85" i="60"/>
  <c r="D93" i="60"/>
  <c r="F62" i="8"/>
  <c r="K24" i="59"/>
  <c r="H89" i="17"/>
  <c r="K69" i="21"/>
  <c r="M69" i="21" s="1"/>
  <c r="W69" i="21" s="1"/>
  <c r="L59" i="26"/>
  <c r="L89" i="26"/>
  <c r="L81" i="26"/>
  <c r="F91" i="60"/>
  <c r="C85" i="140"/>
  <c r="K85" i="140"/>
  <c r="F85" i="60" s="1"/>
  <c r="F69" i="60"/>
  <c r="J44" i="100"/>
  <c r="J8" i="100"/>
  <c r="C56" i="100"/>
  <c r="C60" i="100"/>
  <c r="C64" i="100"/>
  <c r="C68" i="100"/>
  <c r="C72" i="100"/>
  <c r="C76" i="100"/>
  <c r="C80" i="100"/>
  <c r="C84" i="100"/>
  <c r="C88" i="100"/>
  <c r="A57" i="10"/>
  <c r="A60" i="10"/>
  <c r="A69" i="10"/>
  <c r="I37" i="10"/>
  <c r="D47" i="10"/>
  <c r="E47" i="10"/>
  <c r="D52" i="10"/>
  <c r="E52" i="10"/>
  <c r="A79" i="10"/>
  <c r="A82" i="10"/>
  <c r="A84" i="10"/>
  <c r="A85" i="10"/>
  <c r="A86" i="10"/>
  <c r="A87" i="10"/>
  <c r="A88" i="10"/>
  <c r="A56" i="17"/>
  <c r="A60" i="17"/>
  <c r="N60" i="17" s="1"/>
  <c r="A67" i="17"/>
  <c r="A69" i="17"/>
  <c r="K11" i="17"/>
  <c r="N11" i="17"/>
  <c r="N12" i="17"/>
  <c r="J15" i="17"/>
  <c r="K15" i="17"/>
  <c r="N15" i="17"/>
  <c r="J16" i="17"/>
  <c r="K16" i="17"/>
  <c r="N16" i="17"/>
  <c r="H17" i="17"/>
  <c r="J17" i="17"/>
  <c r="N18" i="17"/>
  <c r="N19" i="17"/>
  <c r="N20" i="17"/>
  <c r="J21" i="17"/>
  <c r="K21" i="17"/>
  <c r="N21" i="17"/>
  <c r="G22" i="30"/>
  <c r="D22" i="30" s="1"/>
  <c r="N24" i="17"/>
  <c r="H25" i="17"/>
  <c r="J25" i="17"/>
  <c r="K25" i="17"/>
  <c r="N26" i="17"/>
  <c r="N27" i="17"/>
  <c r="H28" i="17"/>
  <c r="N28" i="17"/>
  <c r="N30" i="17"/>
  <c r="H31" i="17"/>
  <c r="J31" i="17"/>
  <c r="K31" i="17"/>
  <c r="N32" i="17"/>
  <c r="K33" i="17"/>
  <c r="N34" i="17"/>
  <c r="H35" i="17"/>
  <c r="J35" i="17"/>
  <c r="K35" i="17"/>
  <c r="N35" i="17"/>
  <c r="H36" i="17"/>
  <c r="J36" i="17"/>
  <c r="K36" i="17"/>
  <c r="N36" i="17"/>
  <c r="N39" i="17"/>
  <c r="H40" i="17"/>
  <c r="J40" i="17"/>
  <c r="K40" i="17"/>
  <c r="N40" i="17"/>
  <c r="K42" i="17"/>
  <c r="N43" i="17"/>
  <c r="D45" i="17"/>
  <c r="I45" i="19"/>
  <c r="J45" i="19"/>
  <c r="N45" i="17"/>
  <c r="J46" i="17"/>
  <c r="K46" i="17"/>
  <c r="H48" i="17"/>
  <c r="J48" i="17"/>
  <c r="K49" i="17"/>
  <c r="J52" i="17"/>
  <c r="D53" i="17"/>
  <c r="F21" i="30"/>
  <c r="F30" i="30"/>
  <c r="E30" i="30"/>
  <c r="N36" i="13" s="1"/>
  <c r="N55" i="17"/>
  <c r="N56" i="17"/>
  <c r="N57" i="17"/>
  <c r="N58" i="17"/>
  <c r="N59" i="17"/>
  <c r="N61" i="17"/>
  <c r="N62" i="17"/>
  <c r="N63" i="17"/>
  <c r="N64" i="17"/>
  <c r="N65" i="17"/>
  <c r="N66" i="17"/>
  <c r="N67" i="17"/>
  <c r="N74" i="17"/>
  <c r="N77" i="17"/>
  <c r="H78" i="17"/>
  <c r="N78" i="17"/>
  <c r="A79" i="17"/>
  <c r="N79" i="17"/>
  <c r="N80" i="17"/>
  <c r="A82" i="17"/>
  <c r="N83" i="17"/>
  <c r="A84" i="17"/>
  <c r="N84" i="17"/>
  <c r="A85" i="17"/>
  <c r="N85" i="17"/>
  <c r="A86" i="17"/>
  <c r="N86" i="17"/>
  <c r="A87" i="17"/>
  <c r="N87" i="17"/>
  <c r="A88" i="17"/>
  <c r="A56" i="19"/>
  <c r="A60" i="19"/>
  <c r="A67" i="19"/>
  <c r="A69" i="19"/>
  <c r="A79" i="19"/>
  <c r="A82" i="19"/>
  <c r="A84" i="19"/>
  <c r="A85" i="19"/>
  <c r="A86" i="19"/>
  <c r="A87" i="19"/>
  <c r="A88" i="19"/>
  <c r="O55" i="140"/>
  <c r="N55" i="140"/>
  <c r="O47" i="140"/>
  <c r="N47" i="140"/>
  <c r="F77" i="60"/>
  <c r="F76" i="60"/>
  <c r="F78" i="60"/>
  <c r="F65" i="60"/>
  <c r="F81" i="60"/>
  <c r="F82" i="60"/>
  <c r="F85" i="140"/>
  <c r="F58" i="60"/>
  <c r="F57" i="60"/>
  <c r="F62" i="60"/>
  <c r="F66" i="60"/>
  <c r="V54" i="29"/>
  <c r="V54" i="27"/>
  <c r="V53" i="29"/>
  <c r="V52" i="29"/>
  <c r="V51" i="29"/>
  <c r="V50" i="29"/>
  <c r="V49" i="29"/>
  <c r="V48" i="29"/>
  <c r="V47" i="29"/>
  <c r="V46" i="29"/>
  <c r="V45" i="29"/>
  <c r="V44" i="29"/>
  <c r="V43" i="29"/>
  <c r="V42" i="29"/>
  <c r="V41" i="29"/>
  <c r="V40" i="29"/>
  <c r="V39" i="29"/>
  <c r="V38" i="29"/>
  <c r="V37" i="29"/>
  <c r="V36" i="29"/>
  <c r="V35" i="29"/>
  <c r="V34" i="29"/>
  <c r="V33" i="29"/>
  <c r="V32" i="29"/>
  <c r="V31" i="29"/>
  <c r="V30" i="29"/>
  <c r="V29" i="29"/>
  <c r="N12" i="59"/>
  <c r="P12" i="59"/>
  <c r="N28" i="59"/>
  <c r="P28" i="59"/>
  <c r="N24" i="59"/>
  <c r="Q24" i="59" s="1"/>
  <c r="P24" i="59"/>
  <c r="P31" i="59"/>
  <c r="Q31" i="59" s="1"/>
  <c r="P47" i="59"/>
  <c r="Q47" i="59" s="1"/>
  <c r="N11" i="59"/>
  <c r="N10" i="59"/>
  <c r="N13" i="59"/>
  <c r="N14" i="59"/>
  <c r="N15" i="59"/>
  <c r="Q15" i="59" s="1"/>
  <c r="P15" i="59"/>
  <c r="N16" i="59"/>
  <c r="N17" i="59"/>
  <c r="N18" i="59"/>
  <c r="Q18" i="59" s="1"/>
  <c r="P18" i="59"/>
  <c r="N19" i="59"/>
  <c r="P19" i="59"/>
  <c r="N20" i="59"/>
  <c r="N21" i="59"/>
  <c r="N22" i="59"/>
  <c r="N23" i="59"/>
  <c r="N26" i="59"/>
  <c r="Q26" i="59" s="1"/>
  <c r="N27" i="59"/>
  <c r="P27" i="59"/>
  <c r="N29" i="59"/>
  <c r="N30" i="59"/>
  <c r="N32" i="59"/>
  <c r="N33" i="59"/>
  <c r="P33" i="59"/>
  <c r="N34" i="59"/>
  <c r="N35" i="59"/>
  <c r="N36" i="59"/>
  <c r="N37" i="59"/>
  <c r="N38" i="59"/>
  <c r="N39" i="59"/>
  <c r="N40" i="59"/>
  <c r="Q40" i="59" s="1"/>
  <c r="N41" i="59"/>
  <c r="N42" i="59"/>
  <c r="N43" i="59"/>
  <c r="N44" i="59"/>
  <c r="P22" i="59"/>
  <c r="P26" i="59"/>
  <c r="P34" i="59"/>
  <c r="P37" i="59"/>
  <c r="P38" i="59"/>
  <c r="P40" i="59"/>
  <c r="P11" i="59"/>
  <c r="P42" i="59"/>
  <c r="Q80" i="59"/>
  <c r="N157" i="59"/>
  <c r="P157" i="59"/>
  <c r="P25" i="59"/>
  <c r="Q61" i="59"/>
  <c r="P29" i="59"/>
  <c r="P49" i="59"/>
  <c r="Q49" i="59" s="1"/>
  <c r="P17" i="59"/>
  <c r="P35" i="59"/>
  <c r="Q35" i="59" s="1"/>
  <c r="P23" i="59"/>
  <c r="Q23" i="59" s="1"/>
  <c r="P21" i="59"/>
  <c r="P36" i="59"/>
  <c r="P50" i="59"/>
  <c r="Q50" i="59" s="1"/>
  <c r="P48" i="59"/>
  <c r="Q48" i="59" s="1"/>
  <c r="Q81" i="59"/>
  <c r="P20" i="59"/>
  <c r="P52" i="59"/>
  <c r="P14" i="59"/>
  <c r="P16" i="59"/>
  <c r="P10" i="59"/>
  <c r="P13" i="59"/>
  <c r="P30" i="59"/>
  <c r="Q30" i="59" s="1"/>
  <c r="P32" i="59"/>
  <c r="P39" i="59"/>
  <c r="Q39" i="59" s="1"/>
  <c r="P41" i="59"/>
  <c r="P43" i="59"/>
  <c r="Q43" i="59" s="1"/>
  <c r="P44" i="59"/>
  <c r="N46" i="59"/>
  <c r="P46" i="59"/>
  <c r="P51" i="59"/>
  <c r="Q51" i="59" s="1"/>
  <c r="E41" i="59"/>
  <c r="H41" i="59" s="1"/>
  <c r="G41" i="59"/>
  <c r="E24" i="59"/>
  <c r="H24" i="59" s="1"/>
  <c r="G24" i="59"/>
  <c r="E12" i="59"/>
  <c r="G12" i="59"/>
  <c r="E28" i="59"/>
  <c r="G28" i="59"/>
  <c r="E26" i="59"/>
  <c r="H26" i="59" s="1"/>
  <c r="G26" i="59"/>
  <c r="E42" i="59"/>
  <c r="H42" i="59" s="1"/>
  <c r="G42" i="59"/>
  <c r="G31" i="59"/>
  <c r="H31" i="59" s="1"/>
  <c r="E43" i="59"/>
  <c r="G43" i="59"/>
  <c r="G50" i="59"/>
  <c r="H50" i="59" s="1"/>
  <c r="E16" i="59"/>
  <c r="G16" i="59"/>
  <c r="E30" i="59"/>
  <c r="G30" i="59"/>
  <c r="G25" i="59"/>
  <c r="H25" i="59" s="1"/>
  <c r="E34" i="59"/>
  <c r="G34" i="59"/>
  <c r="E37" i="59"/>
  <c r="G37" i="59"/>
  <c r="E23" i="59"/>
  <c r="G23" i="59"/>
  <c r="E21" i="59"/>
  <c r="G21" i="59"/>
  <c r="E38" i="59"/>
  <c r="G38" i="59"/>
  <c r="E36" i="59"/>
  <c r="G36" i="59"/>
  <c r="E29" i="59"/>
  <c r="H29" i="59" s="1"/>
  <c r="G29" i="59"/>
  <c r="E17" i="59"/>
  <c r="G17" i="59"/>
  <c r="E157" i="59"/>
  <c r="G157" i="59"/>
  <c r="E39" i="59"/>
  <c r="G39" i="59"/>
  <c r="E33" i="59"/>
  <c r="G33" i="59"/>
  <c r="H81" i="59"/>
  <c r="G49" i="59"/>
  <c r="H49" i="59" s="1"/>
  <c r="E20" i="59"/>
  <c r="G20" i="59"/>
  <c r="G52" i="59"/>
  <c r="G48" i="59"/>
  <c r="H48" i="59"/>
  <c r="E22" i="59"/>
  <c r="G22" i="59"/>
  <c r="E15" i="59"/>
  <c r="G15" i="59"/>
  <c r="E40" i="59"/>
  <c r="H40" i="59" s="1"/>
  <c r="G40" i="59"/>
  <c r="E11" i="59"/>
  <c r="G11" i="59"/>
  <c r="E14" i="59"/>
  <c r="G14" i="59"/>
  <c r="E19" i="59"/>
  <c r="H19" i="59" s="1"/>
  <c r="G19" i="59"/>
  <c r="E35" i="59"/>
  <c r="G35" i="59"/>
  <c r="G10" i="59"/>
  <c r="H10" i="59" s="1"/>
  <c r="E27" i="59"/>
  <c r="G27" i="59"/>
  <c r="E46" i="59"/>
  <c r="G46" i="59"/>
  <c r="G51" i="59"/>
  <c r="E13" i="59"/>
  <c r="G13" i="59"/>
  <c r="E44" i="59"/>
  <c r="G44" i="59"/>
  <c r="E32" i="59"/>
  <c r="G32" i="59"/>
  <c r="A83" i="9"/>
  <c r="C52" i="154"/>
  <c r="C48" i="154"/>
  <c r="D12" i="154"/>
  <c r="C12" i="154"/>
  <c r="C87" i="100"/>
  <c r="C86" i="100"/>
  <c r="C85" i="100"/>
  <c r="C83" i="100"/>
  <c r="C82" i="100"/>
  <c r="C81" i="100"/>
  <c r="C79" i="100"/>
  <c r="C78" i="100"/>
  <c r="C77" i="100"/>
  <c r="C75" i="100"/>
  <c r="C74" i="100"/>
  <c r="C73" i="100"/>
  <c r="C71" i="100"/>
  <c r="C70" i="100"/>
  <c r="C69" i="100"/>
  <c r="C67" i="100"/>
  <c r="C66" i="100"/>
  <c r="C65" i="100"/>
  <c r="C63" i="100"/>
  <c r="C62" i="100"/>
  <c r="C61" i="100"/>
  <c r="C59" i="100"/>
  <c r="C58" i="100"/>
  <c r="C57" i="100"/>
  <c r="C55" i="100"/>
  <c r="C54" i="100"/>
  <c r="C53" i="100"/>
  <c r="E92" i="128"/>
  <c r="D91" i="127"/>
  <c r="E44" i="100"/>
  <c r="E8" i="100"/>
  <c r="F44" i="100"/>
  <c r="F8" i="100"/>
  <c r="G44" i="100"/>
  <c r="H44" i="100"/>
  <c r="I44" i="100"/>
  <c r="I8" i="100"/>
  <c r="L44" i="100"/>
  <c r="M44" i="100"/>
  <c r="M91" i="100" s="1"/>
  <c r="E52" i="100"/>
  <c r="F52" i="100"/>
  <c r="G52" i="100"/>
  <c r="H52" i="100"/>
  <c r="I52" i="100"/>
  <c r="J52" i="100"/>
  <c r="L52" i="100"/>
  <c r="M52" i="100"/>
  <c r="L89" i="100"/>
  <c r="L8" i="100"/>
  <c r="M89" i="100"/>
  <c r="G8" i="100"/>
  <c r="G91" i="100" s="1"/>
  <c r="H8" i="100"/>
  <c r="M8" i="100"/>
  <c r="D59" i="13"/>
  <c r="C59" i="13" s="1"/>
  <c r="E59" i="13"/>
  <c r="D67" i="13"/>
  <c r="E67" i="13"/>
  <c r="D72" i="13"/>
  <c r="E72" i="13"/>
  <c r="D74" i="13"/>
  <c r="E74" i="13"/>
  <c r="C74" i="13" s="1"/>
  <c r="D77" i="13"/>
  <c r="C77" i="13" s="1"/>
  <c r="E77" i="13"/>
  <c r="D83" i="13"/>
  <c r="C83" i="13" s="1"/>
  <c r="E83" i="13"/>
  <c r="M89" i="13"/>
  <c r="D89" i="13"/>
  <c r="E89" i="13"/>
  <c r="D54" i="13"/>
  <c r="E54" i="13"/>
  <c r="D55" i="13"/>
  <c r="E55" i="13"/>
  <c r="D56" i="13"/>
  <c r="E56" i="13"/>
  <c r="D57" i="13"/>
  <c r="E57" i="13"/>
  <c r="D58" i="13"/>
  <c r="E58" i="13"/>
  <c r="D60" i="13"/>
  <c r="E60" i="13"/>
  <c r="C60" i="13" s="1"/>
  <c r="D61" i="13"/>
  <c r="E61" i="13"/>
  <c r="C61" i="13"/>
  <c r="D63" i="13"/>
  <c r="E63" i="13"/>
  <c r="D64" i="13"/>
  <c r="E64" i="13"/>
  <c r="D65" i="13"/>
  <c r="C65" i="13" s="1"/>
  <c r="E65" i="13"/>
  <c r="D66" i="13"/>
  <c r="E66" i="13"/>
  <c r="D68" i="13"/>
  <c r="C68" i="13" s="1"/>
  <c r="E68" i="13"/>
  <c r="D69" i="13"/>
  <c r="C69" i="13" s="1"/>
  <c r="E69" i="13"/>
  <c r="D70" i="13"/>
  <c r="E70" i="13"/>
  <c r="C70" i="13" s="1"/>
  <c r="D71" i="13"/>
  <c r="C71" i="13" s="1"/>
  <c r="E71" i="13"/>
  <c r="D73" i="13"/>
  <c r="C73" i="13" s="1"/>
  <c r="E73" i="13"/>
  <c r="D75" i="13"/>
  <c r="E75" i="13"/>
  <c r="C75" i="13"/>
  <c r="D76" i="13"/>
  <c r="C76" i="13" s="1"/>
  <c r="E76" i="13"/>
  <c r="D78" i="13"/>
  <c r="E78" i="13"/>
  <c r="D79" i="13"/>
  <c r="E79" i="13"/>
  <c r="C79" i="13"/>
  <c r="D80" i="13"/>
  <c r="C80" i="13" s="1"/>
  <c r="E80" i="13"/>
  <c r="D81" i="13"/>
  <c r="E81" i="13"/>
  <c r="D82" i="13"/>
  <c r="E82" i="13"/>
  <c r="C82" i="13"/>
  <c r="D84" i="13"/>
  <c r="C84" i="13" s="1"/>
  <c r="E84" i="13"/>
  <c r="D85" i="13"/>
  <c r="C85" i="13" s="1"/>
  <c r="E85" i="13"/>
  <c r="D86" i="13"/>
  <c r="E86" i="13"/>
  <c r="D87" i="13"/>
  <c r="E87" i="13"/>
  <c r="D88" i="13"/>
  <c r="C88" i="13" s="1"/>
  <c r="E88" i="13"/>
  <c r="S9" i="162"/>
  <c r="S10" i="162"/>
  <c r="S11" i="162"/>
  <c r="S12" i="162"/>
  <c r="S13" i="162"/>
  <c r="S14" i="162"/>
  <c r="S15" i="162"/>
  <c r="S16" i="162"/>
  <c r="S17" i="162"/>
  <c r="S18" i="162"/>
  <c r="S19" i="162"/>
  <c r="S20" i="162"/>
  <c r="S21" i="162"/>
  <c r="S22" i="162"/>
  <c r="S23" i="162"/>
  <c r="S24" i="162"/>
  <c r="S25" i="162"/>
  <c r="S26" i="162"/>
  <c r="S27" i="162"/>
  <c r="S28" i="162"/>
  <c r="S29" i="162"/>
  <c r="S30" i="162"/>
  <c r="S31" i="162"/>
  <c r="S32" i="162"/>
  <c r="S33" i="162"/>
  <c r="S34" i="162"/>
  <c r="S35" i="162"/>
  <c r="S36" i="162"/>
  <c r="S37" i="162"/>
  <c r="S38" i="162"/>
  <c r="S39" i="162"/>
  <c r="S40" i="162"/>
  <c r="S41" i="162"/>
  <c r="S42" i="162"/>
  <c r="S43" i="162"/>
  <c r="S44" i="162"/>
  <c r="S45" i="162"/>
  <c r="S46" i="162"/>
  <c r="S47" i="162"/>
  <c r="S48" i="162"/>
  <c r="S8" i="162"/>
  <c r="R9" i="162"/>
  <c r="R10" i="162"/>
  <c r="R11" i="162"/>
  <c r="R12" i="162"/>
  <c r="R13" i="162"/>
  <c r="R14" i="162"/>
  <c r="R15" i="162"/>
  <c r="R16" i="162"/>
  <c r="R17" i="162"/>
  <c r="R18" i="162"/>
  <c r="R19" i="162"/>
  <c r="R20" i="162"/>
  <c r="R21" i="162"/>
  <c r="R22" i="162"/>
  <c r="R23" i="162"/>
  <c r="R24" i="162"/>
  <c r="R25" i="162"/>
  <c r="R26" i="162"/>
  <c r="R27" i="162"/>
  <c r="R28" i="162"/>
  <c r="R29" i="162"/>
  <c r="R30" i="162"/>
  <c r="R31" i="162"/>
  <c r="R32" i="162"/>
  <c r="R33" i="162"/>
  <c r="R34" i="162"/>
  <c r="R35" i="162"/>
  <c r="R36" i="162"/>
  <c r="R37" i="162"/>
  <c r="R38" i="162"/>
  <c r="R39" i="162"/>
  <c r="R40" i="162"/>
  <c r="R41" i="162"/>
  <c r="R42" i="162"/>
  <c r="R43" i="162"/>
  <c r="R44" i="162"/>
  <c r="R45" i="162"/>
  <c r="R46" i="162"/>
  <c r="R47" i="162"/>
  <c r="R48" i="162"/>
  <c r="R8" i="162"/>
  <c r="U9" i="162"/>
  <c r="U10" i="162"/>
  <c r="U11" i="162"/>
  <c r="U12" i="162"/>
  <c r="U13" i="162"/>
  <c r="U14" i="162"/>
  <c r="U15" i="162"/>
  <c r="U16" i="162"/>
  <c r="U17" i="162"/>
  <c r="U18" i="162"/>
  <c r="U19" i="162"/>
  <c r="U20" i="162"/>
  <c r="U21" i="162"/>
  <c r="U22" i="162"/>
  <c r="U23" i="162"/>
  <c r="U24" i="162"/>
  <c r="U25" i="162"/>
  <c r="U26" i="162"/>
  <c r="U27" i="162"/>
  <c r="U28" i="162"/>
  <c r="U29" i="162"/>
  <c r="U30" i="162"/>
  <c r="U31" i="162"/>
  <c r="U32" i="162"/>
  <c r="U33" i="162"/>
  <c r="U34" i="162"/>
  <c r="U35" i="162"/>
  <c r="U36" i="162"/>
  <c r="U37" i="162"/>
  <c r="U38" i="162"/>
  <c r="U39" i="162"/>
  <c r="U40" i="162"/>
  <c r="U41" i="162"/>
  <c r="U42" i="162"/>
  <c r="U43" i="162"/>
  <c r="U44" i="162"/>
  <c r="U45" i="162"/>
  <c r="U46" i="162"/>
  <c r="U47" i="162"/>
  <c r="U48" i="162"/>
  <c r="U8" i="162"/>
  <c r="T9" i="162"/>
  <c r="T10" i="162"/>
  <c r="T11" i="162"/>
  <c r="T12" i="162"/>
  <c r="T13" i="162"/>
  <c r="T14" i="162"/>
  <c r="T15" i="162"/>
  <c r="T16" i="162"/>
  <c r="T17" i="162"/>
  <c r="T18" i="162"/>
  <c r="T19" i="162"/>
  <c r="T20" i="162"/>
  <c r="T21" i="162"/>
  <c r="T22" i="162"/>
  <c r="T23" i="162"/>
  <c r="T24" i="162"/>
  <c r="T25" i="162"/>
  <c r="T26" i="162"/>
  <c r="T27" i="162"/>
  <c r="T28" i="162"/>
  <c r="T29" i="162"/>
  <c r="T30" i="162"/>
  <c r="T31" i="162"/>
  <c r="T32" i="162"/>
  <c r="T33" i="162"/>
  <c r="T34" i="162"/>
  <c r="T35" i="162"/>
  <c r="T36" i="162"/>
  <c r="T37" i="162"/>
  <c r="T38" i="162"/>
  <c r="T39" i="162"/>
  <c r="T40" i="162"/>
  <c r="T41" i="162"/>
  <c r="T42" i="162"/>
  <c r="T43" i="162"/>
  <c r="T44" i="162"/>
  <c r="T45" i="162"/>
  <c r="T46" i="162"/>
  <c r="T47" i="162"/>
  <c r="T48" i="162"/>
  <c r="T8" i="162"/>
  <c r="B55" i="100"/>
  <c r="B59" i="100"/>
  <c r="B66" i="100"/>
  <c r="B68" i="100"/>
  <c r="B78" i="100"/>
  <c r="B81" i="100"/>
  <c r="B83" i="100"/>
  <c r="B84" i="100"/>
  <c r="B85" i="100"/>
  <c r="B87" i="100"/>
  <c r="D13" i="154"/>
  <c r="C13" i="154"/>
  <c r="D15" i="154"/>
  <c r="D16" i="154"/>
  <c r="D17" i="154"/>
  <c r="C17" i="154"/>
  <c r="D18" i="154"/>
  <c r="D19" i="154"/>
  <c r="D20" i="154"/>
  <c r="C20" i="154"/>
  <c r="D21" i="154"/>
  <c r="D22" i="154"/>
  <c r="D23" i="154"/>
  <c r="D24" i="154"/>
  <c r="C24" i="154"/>
  <c r="D25" i="154"/>
  <c r="D27" i="154"/>
  <c r="D28" i="154"/>
  <c r="D29" i="154"/>
  <c r="D30" i="154"/>
  <c r="D31" i="154"/>
  <c r="D33" i="154"/>
  <c r="D35" i="154"/>
  <c r="C35" i="154"/>
  <c r="D36" i="154"/>
  <c r="C36" i="154"/>
  <c r="D37" i="154"/>
  <c r="D38" i="154"/>
  <c r="D39" i="154"/>
  <c r="C39" i="154"/>
  <c r="D40" i="154"/>
  <c r="C40" i="154"/>
  <c r="D41" i="154"/>
  <c r="C41" i="154"/>
  <c r="D42" i="154"/>
  <c r="C42" i="154"/>
  <c r="D44" i="154"/>
  <c r="D45" i="154"/>
  <c r="D46" i="154"/>
  <c r="D62" i="13"/>
  <c r="C62" i="13" s="1"/>
  <c r="E62" i="13"/>
  <c r="C11" i="13"/>
  <c r="C15" i="13"/>
  <c r="C16" i="13"/>
  <c r="C17" i="13"/>
  <c r="C19" i="13"/>
  <c r="C20" i="13"/>
  <c r="C21" i="13"/>
  <c r="C22" i="13"/>
  <c r="C26" i="13"/>
  <c r="C29" i="13"/>
  <c r="C34" i="13"/>
  <c r="C37" i="13"/>
  <c r="C38" i="13"/>
  <c r="C40" i="13"/>
  <c r="B66" i="12"/>
  <c r="B67" i="12"/>
  <c r="B73" i="12"/>
  <c r="B74" i="12"/>
  <c r="F55" i="8"/>
  <c r="G55" i="8" s="1"/>
  <c r="F56" i="8"/>
  <c r="F57" i="8"/>
  <c r="G57" i="8" s="1"/>
  <c r="P57" i="8" s="1"/>
  <c r="F58" i="8"/>
  <c r="F59" i="8"/>
  <c r="F60" i="8"/>
  <c r="F61" i="8"/>
  <c r="F63" i="8"/>
  <c r="G63" i="8" s="1"/>
  <c r="P63" i="8" s="1"/>
  <c r="F64" i="8"/>
  <c r="F65" i="8"/>
  <c r="F66" i="8"/>
  <c r="F67" i="8"/>
  <c r="G67" i="8" s="1"/>
  <c r="P67" i="8" s="1"/>
  <c r="F68" i="8"/>
  <c r="F69" i="8"/>
  <c r="F70" i="8"/>
  <c r="G70" i="8" s="1"/>
  <c r="F71" i="8"/>
  <c r="F72" i="8"/>
  <c r="G72" i="8" s="1"/>
  <c r="P72" i="8" s="1"/>
  <c r="F73" i="8"/>
  <c r="F74" i="8"/>
  <c r="G74" i="8" s="1"/>
  <c r="P74" i="8" s="1"/>
  <c r="F75" i="8"/>
  <c r="G75" i="8" s="1"/>
  <c r="F76" i="8"/>
  <c r="G76" i="8" s="1"/>
  <c r="P76" i="8" s="1"/>
  <c r="F77" i="8"/>
  <c r="F78" i="8"/>
  <c r="G78" i="8" s="1"/>
  <c r="P78" i="8" s="1"/>
  <c r="F79" i="8"/>
  <c r="F80" i="8"/>
  <c r="F81" i="8"/>
  <c r="F82" i="8"/>
  <c r="G82" i="8" s="1"/>
  <c r="F83" i="8"/>
  <c r="G83" i="8" s="1"/>
  <c r="F84" i="8"/>
  <c r="F85" i="8"/>
  <c r="F86" i="8"/>
  <c r="F87" i="8"/>
  <c r="G87" i="8" s="1"/>
  <c r="P87" i="8" s="1"/>
  <c r="F88" i="8"/>
  <c r="F54" i="8"/>
  <c r="H31" i="256"/>
  <c r="E6" i="256"/>
  <c r="E7" i="256"/>
  <c r="E8" i="256"/>
  <c r="B8" i="256"/>
  <c r="C8" i="256"/>
  <c r="D8" i="256"/>
  <c r="C9" i="256"/>
  <c r="D9" i="256"/>
  <c r="C10" i="256"/>
  <c r="I25" i="256"/>
  <c r="J25" i="256"/>
  <c r="U100" i="184"/>
  <c r="G36" i="184"/>
  <c r="E14" i="187" s="1"/>
  <c r="G100" i="184"/>
  <c r="C13" i="187"/>
  <c r="U36" i="184"/>
  <c r="C23" i="188" s="1"/>
  <c r="V36" i="184"/>
  <c r="C21" i="188" s="1"/>
  <c r="E12" i="187"/>
  <c r="V100" i="184"/>
  <c r="C12" i="187" s="1"/>
  <c r="D36" i="184"/>
  <c r="C20" i="188" s="1"/>
  <c r="E11" i="187" s="1"/>
  <c r="P36" i="184"/>
  <c r="T36" i="184"/>
  <c r="C15" i="188" s="1"/>
  <c r="D100" i="184"/>
  <c r="P100" i="184"/>
  <c r="C10" i="187" s="1"/>
  <c r="T100" i="184"/>
  <c r="T101" i="184" s="1"/>
  <c r="C9" i="187"/>
  <c r="AE90" i="184"/>
  <c r="AE89" i="184"/>
  <c r="AE88" i="184"/>
  <c r="AE84" i="184"/>
  <c r="AE75" i="184"/>
  <c r="AE72" i="184"/>
  <c r="AE36" i="184"/>
  <c r="AB100" i="184"/>
  <c r="AB101" i="184" s="1"/>
  <c r="X100" i="184"/>
  <c r="X101" i="184" s="1"/>
  <c r="L100" i="184"/>
  <c r="L101" i="184" s="1"/>
  <c r="H100" i="184"/>
  <c r="H101" i="184" s="1"/>
  <c r="AD100" i="184"/>
  <c r="AD101" i="184"/>
  <c r="AC100" i="184"/>
  <c r="AC101" i="184" s="1"/>
  <c r="AA100" i="184"/>
  <c r="AA101" i="184" s="1"/>
  <c r="Z100" i="184"/>
  <c r="Z101" i="184" s="1"/>
  <c r="Y100" i="184"/>
  <c r="Y101" i="184"/>
  <c r="W100" i="184"/>
  <c r="W101" i="184" s="1"/>
  <c r="S100" i="184"/>
  <c r="S101" i="184" s="1"/>
  <c r="R100" i="184"/>
  <c r="R101" i="184" s="1"/>
  <c r="Q100" i="184"/>
  <c r="Q101" i="184"/>
  <c r="O100" i="184"/>
  <c r="O101" i="184" s="1"/>
  <c r="N100" i="184"/>
  <c r="N101" i="184" s="1"/>
  <c r="M100" i="184"/>
  <c r="M101" i="184" s="1"/>
  <c r="K100" i="184"/>
  <c r="K101" i="184"/>
  <c r="J100" i="184"/>
  <c r="J101" i="184" s="1"/>
  <c r="I100" i="184"/>
  <c r="I101" i="184" s="1"/>
  <c r="F100" i="184"/>
  <c r="F101" i="184" s="1"/>
  <c r="E100" i="184"/>
  <c r="E101" i="184"/>
  <c r="C100" i="184"/>
  <c r="C101" i="184" s="1"/>
  <c r="AD68" i="184"/>
  <c r="AD69" i="184" s="1"/>
  <c r="AC68" i="184"/>
  <c r="AC69" i="184" s="1"/>
  <c r="AB68" i="184"/>
  <c r="AB69" i="184"/>
  <c r="AA68" i="184"/>
  <c r="AA69" i="184" s="1"/>
  <c r="Z68" i="184"/>
  <c r="Z69" i="184" s="1"/>
  <c r="Y68" i="184"/>
  <c r="Y69" i="184" s="1"/>
  <c r="X68" i="184"/>
  <c r="X69" i="184"/>
  <c r="W68" i="184"/>
  <c r="W69" i="184" s="1"/>
  <c r="V68" i="184"/>
  <c r="V69" i="184" s="1"/>
  <c r="U68" i="184"/>
  <c r="U69" i="184" s="1"/>
  <c r="T68" i="184"/>
  <c r="T69" i="184"/>
  <c r="S68" i="184"/>
  <c r="S69" i="184" s="1"/>
  <c r="R68" i="184"/>
  <c r="R69" i="184" s="1"/>
  <c r="Q68" i="184"/>
  <c r="Q69" i="184" s="1"/>
  <c r="P68" i="184"/>
  <c r="P69" i="184"/>
  <c r="O68" i="184"/>
  <c r="O69" i="184" s="1"/>
  <c r="N68" i="184"/>
  <c r="N69" i="184" s="1"/>
  <c r="M68" i="184"/>
  <c r="M69" i="184" s="1"/>
  <c r="L68" i="184"/>
  <c r="L69" i="184"/>
  <c r="K68" i="184"/>
  <c r="K69" i="184" s="1"/>
  <c r="J68" i="184"/>
  <c r="J69" i="184" s="1"/>
  <c r="I68" i="184"/>
  <c r="I69" i="184" s="1"/>
  <c r="H68" i="184"/>
  <c r="H69" i="184"/>
  <c r="G68" i="184"/>
  <c r="G69" i="184" s="1"/>
  <c r="F68" i="184"/>
  <c r="F69" i="184" s="1"/>
  <c r="E68" i="184"/>
  <c r="E69" i="184" s="1"/>
  <c r="D68" i="184"/>
  <c r="D69" i="184"/>
  <c r="C68" i="184"/>
  <c r="C69" i="184" s="1"/>
  <c r="AD36" i="184"/>
  <c r="AD37" i="184" s="1"/>
  <c r="AC36" i="184"/>
  <c r="AC37" i="184" s="1"/>
  <c r="AB36" i="184"/>
  <c r="AB37" i="184"/>
  <c r="AA36" i="184"/>
  <c r="AA37" i="184" s="1"/>
  <c r="Z36" i="184"/>
  <c r="Z37" i="184" s="1"/>
  <c r="Y36" i="184"/>
  <c r="Y37" i="184" s="1"/>
  <c r="X36" i="184"/>
  <c r="X37" i="184"/>
  <c r="W36" i="184"/>
  <c r="W37" i="184" s="1"/>
  <c r="T37" i="184"/>
  <c r="S36" i="184"/>
  <c r="S37" i="184" s="1"/>
  <c r="R36" i="184"/>
  <c r="R37" i="184" s="1"/>
  <c r="Q36" i="184"/>
  <c r="Q37" i="184" s="1"/>
  <c r="O36" i="184"/>
  <c r="O37" i="184"/>
  <c r="N36" i="184"/>
  <c r="N37" i="184" s="1"/>
  <c r="M36" i="184"/>
  <c r="M37" i="184" s="1"/>
  <c r="L36" i="184"/>
  <c r="L37" i="184" s="1"/>
  <c r="K36" i="184"/>
  <c r="K37" i="184"/>
  <c r="J36" i="184"/>
  <c r="J37" i="184" s="1"/>
  <c r="I36" i="184"/>
  <c r="I37" i="184" s="1"/>
  <c r="H36" i="184"/>
  <c r="H37" i="184" s="1"/>
  <c r="F36" i="184"/>
  <c r="F37" i="184"/>
  <c r="E36" i="184"/>
  <c r="E37" i="184" s="1"/>
  <c r="C36" i="184"/>
  <c r="C37" i="184" s="1"/>
  <c r="C13" i="188"/>
  <c r="D13" i="188" s="1"/>
  <c r="C12" i="188"/>
  <c r="AE66" i="184"/>
  <c r="AE65" i="184"/>
  <c r="AE64" i="184"/>
  <c r="AE63" i="184"/>
  <c r="AE62" i="184"/>
  <c r="AE61" i="184"/>
  <c r="AE60" i="184"/>
  <c r="AE59" i="184"/>
  <c r="AE58" i="184"/>
  <c r="AE57" i="184"/>
  <c r="AE56" i="184"/>
  <c r="AE55" i="184"/>
  <c r="AE54" i="184"/>
  <c r="AE53" i="184"/>
  <c r="AE52" i="184"/>
  <c r="AE51" i="184"/>
  <c r="AE50" i="184"/>
  <c r="AE49" i="184"/>
  <c r="AE48" i="184"/>
  <c r="AE47" i="184"/>
  <c r="AE46" i="184"/>
  <c r="AE45" i="184"/>
  <c r="AE44" i="184"/>
  <c r="AE43" i="184"/>
  <c r="AE40" i="184"/>
  <c r="AE42" i="184"/>
  <c r="AE41" i="184"/>
  <c r="AE39" i="184"/>
  <c r="AE98" i="184"/>
  <c r="AE97" i="184"/>
  <c r="AE96" i="184"/>
  <c r="AE95" i="184"/>
  <c r="AE94" i="184"/>
  <c r="AE93" i="184"/>
  <c r="AE92" i="184"/>
  <c r="AE91" i="184"/>
  <c r="AE87" i="184"/>
  <c r="AE86" i="184"/>
  <c r="AE85" i="184"/>
  <c r="AE83" i="184"/>
  <c r="AE82" i="184"/>
  <c r="AE81" i="184"/>
  <c r="AE80" i="184"/>
  <c r="AE79" i="184"/>
  <c r="AE78" i="184"/>
  <c r="AE77" i="184"/>
  <c r="AE76" i="184"/>
  <c r="AE74" i="184"/>
  <c r="AE73" i="184"/>
  <c r="AE71" i="184"/>
  <c r="AF44" i="167"/>
  <c r="AH44" i="167"/>
  <c r="AI44" i="167"/>
  <c r="AJ44" i="167"/>
  <c r="AM44" i="167"/>
  <c r="AN44" i="167"/>
  <c r="Z44" i="167"/>
  <c r="AA44" i="167"/>
  <c r="AB44" i="167"/>
  <c r="AE44" i="167"/>
  <c r="AD44" i="167"/>
  <c r="C9" i="162"/>
  <c r="C10" i="162"/>
  <c r="C11" i="162"/>
  <c r="C12" i="162"/>
  <c r="C8" i="162"/>
  <c r="D8" i="162" s="1"/>
  <c r="E8" i="162" s="1"/>
  <c r="O42" i="166"/>
  <c r="N42" i="166"/>
  <c r="M42" i="166"/>
  <c r="L42" i="166"/>
  <c r="K42" i="166"/>
  <c r="J42" i="166"/>
  <c r="I42" i="166"/>
  <c r="H42" i="166"/>
  <c r="G42" i="166"/>
  <c r="F42" i="166"/>
  <c r="E42" i="166"/>
  <c r="D42" i="166"/>
  <c r="C42" i="166"/>
  <c r="I101" i="54"/>
  <c r="M17" i="98"/>
  <c r="E10" i="59"/>
  <c r="E91" i="59"/>
  <c r="E93" i="59"/>
  <c r="E94" i="59"/>
  <c r="E95" i="59"/>
  <c r="E97" i="59"/>
  <c r="E98" i="59"/>
  <c r="E99" i="59"/>
  <c r="E101" i="59"/>
  <c r="E102" i="59"/>
  <c r="E103" i="59"/>
  <c r="E105" i="59"/>
  <c r="E106" i="59"/>
  <c r="E107" i="59"/>
  <c r="E109" i="59"/>
  <c r="E110" i="59"/>
  <c r="E111" i="59"/>
  <c r="E113" i="59"/>
  <c r="E114" i="59"/>
  <c r="E115" i="59"/>
  <c r="E117" i="59"/>
  <c r="E118" i="59"/>
  <c r="E119" i="59"/>
  <c r="E121" i="59"/>
  <c r="E122" i="59"/>
  <c r="E123" i="59"/>
  <c r="E125" i="59"/>
  <c r="E126" i="59"/>
  <c r="E127" i="59"/>
  <c r="E129" i="59"/>
  <c r="E130" i="59"/>
  <c r="E131" i="59"/>
  <c r="E133" i="59"/>
  <c r="E134" i="59"/>
  <c r="E135" i="59"/>
  <c r="E137" i="59"/>
  <c r="E138" i="59"/>
  <c r="E139" i="59"/>
  <c r="E141" i="59"/>
  <c r="E142" i="59"/>
  <c r="E143" i="59"/>
  <c r="E145" i="59"/>
  <c r="E146" i="59"/>
  <c r="E147" i="59"/>
  <c r="E149" i="59"/>
  <c r="E150" i="59"/>
  <c r="E151" i="59"/>
  <c r="E153" i="59"/>
  <c r="E154" i="59"/>
  <c r="E155" i="59"/>
  <c r="E158" i="59"/>
  <c r="E159" i="59"/>
  <c r="E161" i="59"/>
  <c r="E162" i="59"/>
  <c r="E163" i="59"/>
  <c r="E165" i="59"/>
  <c r="E166" i="59"/>
  <c r="E167" i="59"/>
  <c r="E169" i="59"/>
  <c r="E170" i="59"/>
  <c r="E171" i="59"/>
  <c r="E173" i="59"/>
  <c r="E174" i="59"/>
  <c r="E175" i="59"/>
  <c r="E177" i="59"/>
  <c r="E178" i="59"/>
  <c r="E179" i="59"/>
  <c r="E181" i="59"/>
  <c r="E182" i="59"/>
  <c r="E183" i="59"/>
  <c r="E185" i="59"/>
  <c r="E186" i="59"/>
  <c r="E187" i="59"/>
  <c r="E189" i="59"/>
  <c r="E190" i="59"/>
  <c r="E191" i="59"/>
  <c r="E193" i="59"/>
  <c r="E194" i="59"/>
  <c r="E195" i="59"/>
  <c r="E197" i="59"/>
  <c r="E198" i="59"/>
  <c r="E199" i="59"/>
  <c r="E201" i="59"/>
  <c r="E202" i="59"/>
  <c r="E203" i="59"/>
  <c r="E205" i="59"/>
  <c r="E206" i="59"/>
  <c r="E207" i="59"/>
  <c r="E209" i="59"/>
  <c r="E210" i="59"/>
  <c r="E211" i="59"/>
  <c r="E213" i="59"/>
  <c r="E214" i="59"/>
  <c r="E215" i="59"/>
  <c r="E217" i="59"/>
  <c r="E218" i="59"/>
  <c r="E219" i="59"/>
  <c r="N53" i="59"/>
  <c r="N91" i="59"/>
  <c r="N92" i="59"/>
  <c r="N93" i="59"/>
  <c r="N94" i="59"/>
  <c r="N95" i="59"/>
  <c r="N96" i="59"/>
  <c r="N97" i="59"/>
  <c r="N98" i="59"/>
  <c r="N99" i="59"/>
  <c r="N100" i="59"/>
  <c r="N101" i="59"/>
  <c r="N102" i="59"/>
  <c r="N103" i="59"/>
  <c r="N104" i="59"/>
  <c r="P104" i="59"/>
  <c r="N105" i="59"/>
  <c r="N106" i="59"/>
  <c r="N107" i="59"/>
  <c r="N108" i="59"/>
  <c r="N109" i="59"/>
  <c r="N110" i="59"/>
  <c r="N111" i="59"/>
  <c r="N112" i="59"/>
  <c r="N113" i="59"/>
  <c r="N114" i="59"/>
  <c r="N115" i="59"/>
  <c r="N116" i="59"/>
  <c r="N117" i="59"/>
  <c r="N118" i="59"/>
  <c r="N119" i="59"/>
  <c r="N120" i="59"/>
  <c r="N121" i="59"/>
  <c r="N122" i="59"/>
  <c r="N123" i="59"/>
  <c r="N124" i="59"/>
  <c r="N125" i="59"/>
  <c r="N126" i="59"/>
  <c r="N127" i="59"/>
  <c r="N128" i="59"/>
  <c r="P128" i="59"/>
  <c r="N129" i="59"/>
  <c r="N130" i="59"/>
  <c r="N131" i="59"/>
  <c r="N132" i="59"/>
  <c r="N133" i="59"/>
  <c r="N134" i="59"/>
  <c r="N135" i="59"/>
  <c r="N136" i="59"/>
  <c r="P136" i="59"/>
  <c r="N137" i="59"/>
  <c r="N138" i="59"/>
  <c r="N139" i="59"/>
  <c r="N140" i="59"/>
  <c r="N141" i="59"/>
  <c r="N142" i="59"/>
  <c r="N143" i="59"/>
  <c r="N144" i="59"/>
  <c r="N145" i="59"/>
  <c r="N146" i="59"/>
  <c r="N147" i="59"/>
  <c r="N148" i="59"/>
  <c r="N149" i="59"/>
  <c r="N150" i="59"/>
  <c r="Q150" i="59" s="1"/>
  <c r="N151" i="59"/>
  <c r="P151" i="59"/>
  <c r="N152" i="59"/>
  <c r="N153" i="59"/>
  <c r="N154" i="59"/>
  <c r="P154" i="59"/>
  <c r="Q154" i="59" s="1"/>
  <c r="N155" i="59"/>
  <c r="N156" i="59"/>
  <c r="N158" i="59"/>
  <c r="N159" i="59"/>
  <c r="Q159" i="59" s="1"/>
  <c r="P159" i="59"/>
  <c r="N160" i="59"/>
  <c r="N161" i="59"/>
  <c r="N162" i="59"/>
  <c r="N163" i="59"/>
  <c r="N164" i="59"/>
  <c r="N165" i="59"/>
  <c r="N166" i="59"/>
  <c r="N167" i="59"/>
  <c r="P167" i="59"/>
  <c r="N168" i="59"/>
  <c r="N169" i="59"/>
  <c r="N170" i="59"/>
  <c r="P170" i="59"/>
  <c r="Q170" i="59" s="1"/>
  <c r="N171" i="59"/>
  <c r="Q171" i="59" s="1"/>
  <c r="P171" i="59"/>
  <c r="N172" i="59"/>
  <c r="N173" i="59"/>
  <c r="N174" i="59"/>
  <c r="N175" i="59"/>
  <c r="P175" i="59"/>
  <c r="N176" i="59"/>
  <c r="N177" i="59"/>
  <c r="N178" i="59"/>
  <c r="N179" i="59"/>
  <c r="P179" i="59"/>
  <c r="N180" i="59"/>
  <c r="N181" i="59"/>
  <c r="N182" i="59"/>
  <c r="N183" i="59"/>
  <c r="P183" i="59"/>
  <c r="N184" i="59"/>
  <c r="N185" i="59"/>
  <c r="N186" i="59"/>
  <c r="P186" i="59"/>
  <c r="N187" i="59"/>
  <c r="N188" i="59"/>
  <c r="N189" i="59"/>
  <c r="N190" i="59"/>
  <c r="P190" i="59"/>
  <c r="N191" i="59"/>
  <c r="N192" i="59"/>
  <c r="N193" i="59"/>
  <c r="N194" i="59"/>
  <c r="P194" i="59"/>
  <c r="N195" i="59"/>
  <c r="N196" i="59"/>
  <c r="N197" i="59"/>
  <c r="N198" i="59"/>
  <c r="N199" i="59"/>
  <c r="N200" i="59"/>
  <c r="N201" i="59"/>
  <c r="N202" i="59"/>
  <c r="P202" i="59"/>
  <c r="N203" i="59"/>
  <c r="N204" i="59"/>
  <c r="N205" i="59"/>
  <c r="N206" i="59"/>
  <c r="N207" i="59"/>
  <c r="N208" i="59"/>
  <c r="N209" i="59"/>
  <c r="N210" i="59"/>
  <c r="P210" i="59"/>
  <c r="N211" i="59"/>
  <c r="N212" i="59"/>
  <c r="N213" i="59"/>
  <c r="N214" i="59"/>
  <c r="P214" i="59"/>
  <c r="N215" i="59"/>
  <c r="Q215" i="59" s="1"/>
  <c r="N216" i="59"/>
  <c r="N217" i="59"/>
  <c r="N218" i="59"/>
  <c r="P218" i="59"/>
  <c r="Q218" i="59" s="1"/>
  <c r="M45" i="59"/>
  <c r="M9" i="59"/>
  <c r="R92" i="166"/>
  <c r="R91" i="166"/>
  <c r="R90" i="166"/>
  <c r="R89" i="166"/>
  <c r="R86" i="166"/>
  <c r="R81" i="166"/>
  <c r="R79" i="166"/>
  <c r="R77" i="166"/>
  <c r="R75" i="166"/>
  <c r="R74" i="166"/>
  <c r="R73" i="166"/>
  <c r="R72" i="166"/>
  <c r="R71" i="166"/>
  <c r="R70" i="166"/>
  <c r="R69" i="166"/>
  <c r="R68" i="166"/>
  <c r="R67" i="166"/>
  <c r="R66" i="166"/>
  <c r="R65" i="166"/>
  <c r="R64" i="166"/>
  <c r="R63" i="166"/>
  <c r="R60" i="166"/>
  <c r="R58" i="166"/>
  <c r="R57" i="166"/>
  <c r="R56" i="166"/>
  <c r="R55" i="166"/>
  <c r="R54" i="166"/>
  <c r="R53" i="166"/>
  <c r="R52" i="166"/>
  <c r="R50" i="166"/>
  <c r="R49" i="166"/>
  <c r="R48" i="166"/>
  <c r="R47" i="166"/>
  <c r="R46" i="166"/>
  <c r="R45" i="166"/>
  <c r="R44" i="166"/>
  <c r="Q92" i="166"/>
  <c r="P92" i="166"/>
  <c r="O92" i="166"/>
  <c r="Q91" i="166"/>
  <c r="P91" i="166"/>
  <c r="O91" i="166"/>
  <c r="Q90" i="166"/>
  <c r="P90" i="166"/>
  <c r="O90" i="166"/>
  <c r="Q89" i="166"/>
  <c r="P89" i="166"/>
  <c r="O89" i="166"/>
  <c r="Q86" i="166"/>
  <c r="P86" i="166"/>
  <c r="O86" i="166"/>
  <c r="Q81" i="166"/>
  <c r="P81" i="166"/>
  <c r="O81" i="166"/>
  <c r="Q79" i="166"/>
  <c r="P79" i="166"/>
  <c r="O79" i="166"/>
  <c r="Q77" i="166"/>
  <c r="P77" i="166"/>
  <c r="O77" i="166"/>
  <c r="Q75" i="166"/>
  <c r="P75" i="166"/>
  <c r="O75" i="166"/>
  <c r="Q74" i="166"/>
  <c r="P74" i="166"/>
  <c r="O74" i="166"/>
  <c r="Q73" i="166"/>
  <c r="P73" i="166"/>
  <c r="O73" i="166"/>
  <c r="Q72" i="166"/>
  <c r="P72" i="166"/>
  <c r="O72" i="166"/>
  <c r="Q71" i="166"/>
  <c r="P71" i="166"/>
  <c r="O71" i="166"/>
  <c r="Q70" i="166"/>
  <c r="P70" i="166"/>
  <c r="O70" i="166"/>
  <c r="Q69" i="166"/>
  <c r="P69" i="166"/>
  <c r="O69" i="166"/>
  <c r="Q68" i="166"/>
  <c r="P68" i="166"/>
  <c r="O68" i="166"/>
  <c r="Q67" i="166"/>
  <c r="P67" i="166"/>
  <c r="O67" i="166"/>
  <c r="Q66" i="166"/>
  <c r="P66" i="166"/>
  <c r="O66" i="166"/>
  <c r="Q65" i="166"/>
  <c r="P65" i="166"/>
  <c r="O65" i="166"/>
  <c r="Q64" i="166"/>
  <c r="P64" i="166"/>
  <c r="O64" i="166"/>
  <c r="Q63" i="166"/>
  <c r="P63" i="166"/>
  <c r="O63" i="166"/>
  <c r="Q60" i="166"/>
  <c r="P60" i="166"/>
  <c r="O60" i="166"/>
  <c r="Q58" i="166"/>
  <c r="P58" i="166"/>
  <c r="O58" i="166"/>
  <c r="Q57" i="166"/>
  <c r="P57" i="166"/>
  <c r="O57" i="166"/>
  <c r="Q56" i="166"/>
  <c r="P56" i="166"/>
  <c r="O56" i="166"/>
  <c r="Q55" i="166"/>
  <c r="P55" i="166"/>
  <c r="O55" i="166"/>
  <c r="Q54" i="166"/>
  <c r="P54" i="166"/>
  <c r="O54" i="166"/>
  <c r="Q53" i="166"/>
  <c r="P53" i="166"/>
  <c r="O53" i="166"/>
  <c r="Q52" i="166"/>
  <c r="P52" i="166"/>
  <c r="O52" i="166"/>
  <c r="Q50" i="166"/>
  <c r="P50" i="166"/>
  <c r="O50" i="166"/>
  <c r="Q49" i="166"/>
  <c r="P49" i="166"/>
  <c r="O49" i="166"/>
  <c r="Q48" i="166"/>
  <c r="P48" i="166"/>
  <c r="O48" i="166"/>
  <c r="Q47" i="166"/>
  <c r="P47" i="166"/>
  <c r="O47" i="166"/>
  <c r="Q46" i="166"/>
  <c r="P46" i="166"/>
  <c r="O46" i="166"/>
  <c r="Q45" i="166"/>
  <c r="P45" i="166"/>
  <c r="O45" i="166"/>
  <c r="Q44" i="166"/>
  <c r="P44" i="166"/>
  <c r="O44" i="166"/>
  <c r="O41" i="166"/>
  <c r="O40" i="166"/>
  <c r="O39" i="166"/>
  <c r="O38" i="166"/>
  <c r="O37" i="166"/>
  <c r="O36" i="166"/>
  <c r="O35" i="166"/>
  <c r="O34" i="166"/>
  <c r="O33" i="166"/>
  <c r="O32" i="166"/>
  <c r="O31" i="166"/>
  <c r="O30" i="166"/>
  <c r="O29" i="166"/>
  <c r="O28" i="166"/>
  <c r="O26" i="166"/>
  <c r="O25" i="166"/>
  <c r="O24" i="166"/>
  <c r="O23" i="166"/>
  <c r="O22" i="166"/>
  <c r="O21" i="166"/>
  <c r="O20" i="166"/>
  <c r="O19" i="166"/>
  <c r="O18" i="166"/>
  <c r="O17" i="166"/>
  <c r="O16" i="166"/>
  <c r="O15" i="166"/>
  <c r="O14" i="166"/>
  <c r="O13" i="166"/>
  <c r="O12" i="166"/>
  <c r="O11" i="166"/>
  <c r="O10" i="166"/>
  <c r="O9" i="166"/>
  <c r="O8" i="166"/>
  <c r="N8" i="166"/>
  <c r="N26" i="166"/>
  <c r="M26" i="166"/>
  <c r="L26" i="166"/>
  <c r="K26" i="166"/>
  <c r="J26" i="166"/>
  <c r="I26" i="166"/>
  <c r="H26" i="166"/>
  <c r="G26" i="166"/>
  <c r="F26" i="166"/>
  <c r="E26" i="166"/>
  <c r="D26" i="166"/>
  <c r="C26" i="166"/>
  <c r="N70" i="166"/>
  <c r="M70" i="166"/>
  <c r="L70" i="166"/>
  <c r="K70" i="166"/>
  <c r="J70" i="166"/>
  <c r="I70" i="166"/>
  <c r="H70" i="166"/>
  <c r="G70" i="166"/>
  <c r="F70" i="166"/>
  <c r="E70" i="166"/>
  <c r="D70" i="166"/>
  <c r="C70" i="166"/>
  <c r="N92" i="166"/>
  <c r="M92" i="166"/>
  <c r="L92" i="166"/>
  <c r="K92" i="166"/>
  <c r="J92" i="166"/>
  <c r="I92" i="166"/>
  <c r="H92" i="166"/>
  <c r="G92" i="166"/>
  <c r="F92" i="166"/>
  <c r="E92" i="166"/>
  <c r="D92" i="166"/>
  <c r="N91" i="166"/>
  <c r="M91" i="166"/>
  <c r="L91" i="166"/>
  <c r="K91" i="166"/>
  <c r="J91" i="166"/>
  <c r="I91" i="166"/>
  <c r="H91" i="166"/>
  <c r="G91" i="166"/>
  <c r="F91" i="166"/>
  <c r="E91" i="166"/>
  <c r="D91" i="166"/>
  <c r="N90" i="166"/>
  <c r="M90" i="166"/>
  <c r="L90" i="166"/>
  <c r="K90" i="166"/>
  <c r="J90" i="166"/>
  <c r="I90" i="166"/>
  <c r="H90" i="166"/>
  <c r="G90" i="166"/>
  <c r="F90" i="166"/>
  <c r="E90" i="166"/>
  <c r="D90" i="166"/>
  <c r="N89" i="166"/>
  <c r="M89" i="166"/>
  <c r="L89" i="166"/>
  <c r="K89" i="166"/>
  <c r="J89" i="166"/>
  <c r="I89" i="166"/>
  <c r="H89" i="166"/>
  <c r="G89" i="166"/>
  <c r="F89" i="166"/>
  <c r="E89" i="166"/>
  <c r="D89" i="166"/>
  <c r="C92" i="166"/>
  <c r="C91" i="166"/>
  <c r="C90" i="166"/>
  <c r="C89" i="166"/>
  <c r="N86" i="166"/>
  <c r="M86" i="166"/>
  <c r="L86" i="166"/>
  <c r="K86" i="166"/>
  <c r="J86" i="166"/>
  <c r="I86" i="166"/>
  <c r="H86" i="166"/>
  <c r="G86" i="166"/>
  <c r="F86" i="166"/>
  <c r="E86" i="166"/>
  <c r="D86" i="166"/>
  <c r="C86" i="166"/>
  <c r="N81" i="166"/>
  <c r="M81" i="166"/>
  <c r="L81" i="166"/>
  <c r="K81" i="166"/>
  <c r="J81" i="166"/>
  <c r="I81" i="166"/>
  <c r="H81" i="166"/>
  <c r="G81" i="166"/>
  <c r="F81" i="166"/>
  <c r="E81" i="166"/>
  <c r="D81" i="166"/>
  <c r="C81" i="166"/>
  <c r="N79" i="166"/>
  <c r="M79" i="166"/>
  <c r="L79" i="166"/>
  <c r="K79" i="166"/>
  <c r="J79" i="166"/>
  <c r="I79" i="166"/>
  <c r="H79" i="166"/>
  <c r="G79" i="166"/>
  <c r="F79" i="166"/>
  <c r="E79" i="166"/>
  <c r="D79" i="166"/>
  <c r="C79" i="166"/>
  <c r="N77" i="166"/>
  <c r="M77" i="166"/>
  <c r="L77" i="166"/>
  <c r="K77" i="166"/>
  <c r="J77" i="166"/>
  <c r="I77" i="166"/>
  <c r="H77" i="166"/>
  <c r="G77" i="166"/>
  <c r="F77" i="166"/>
  <c r="E77" i="166"/>
  <c r="D77" i="166"/>
  <c r="C77" i="166"/>
  <c r="N75" i="166"/>
  <c r="M75" i="166"/>
  <c r="L75" i="166"/>
  <c r="K75" i="166"/>
  <c r="J75" i="166"/>
  <c r="I75" i="166"/>
  <c r="H75" i="166"/>
  <c r="G75" i="166"/>
  <c r="F75" i="166"/>
  <c r="E75" i="166"/>
  <c r="D75" i="166"/>
  <c r="C75" i="166"/>
  <c r="N74" i="166"/>
  <c r="M74" i="166"/>
  <c r="L74" i="166"/>
  <c r="K74" i="166"/>
  <c r="J74" i="166"/>
  <c r="I74" i="166"/>
  <c r="H74" i="166"/>
  <c r="G74" i="166"/>
  <c r="F74" i="166"/>
  <c r="E74" i="166"/>
  <c r="D74" i="166"/>
  <c r="C74" i="166"/>
  <c r="N73" i="166"/>
  <c r="M73" i="166"/>
  <c r="L73" i="166"/>
  <c r="K73" i="166"/>
  <c r="J73" i="166"/>
  <c r="I73" i="166"/>
  <c r="H73" i="166"/>
  <c r="G73" i="166"/>
  <c r="F73" i="166"/>
  <c r="E73" i="166"/>
  <c r="D73" i="166"/>
  <c r="C73" i="166"/>
  <c r="N72" i="166"/>
  <c r="M72" i="166"/>
  <c r="L72" i="166"/>
  <c r="K72" i="166"/>
  <c r="J72" i="166"/>
  <c r="I72" i="166"/>
  <c r="H72" i="166"/>
  <c r="G72" i="166"/>
  <c r="F72" i="166"/>
  <c r="E72" i="166"/>
  <c r="D72" i="166"/>
  <c r="C72" i="166"/>
  <c r="N71" i="166"/>
  <c r="M71" i="166"/>
  <c r="L71" i="166"/>
  <c r="K71" i="166"/>
  <c r="J71" i="166"/>
  <c r="I71" i="166"/>
  <c r="H71" i="166"/>
  <c r="G71" i="166"/>
  <c r="F71" i="166"/>
  <c r="E71" i="166"/>
  <c r="D71" i="166"/>
  <c r="C71" i="166"/>
  <c r="N69" i="166"/>
  <c r="M69" i="166"/>
  <c r="L69" i="166"/>
  <c r="K69" i="166"/>
  <c r="J69" i="166"/>
  <c r="I69" i="166"/>
  <c r="H69" i="166"/>
  <c r="G69" i="166"/>
  <c r="F69" i="166"/>
  <c r="E69" i="166"/>
  <c r="D69" i="166"/>
  <c r="C69" i="166"/>
  <c r="N68" i="166"/>
  <c r="M68" i="166"/>
  <c r="L68" i="166"/>
  <c r="K68" i="166"/>
  <c r="J68" i="166"/>
  <c r="I68" i="166"/>
  <c r="H68" i="166"/>
  <c r="G68" i="166"/>
  <c r="F68" i="166"/>
  <c r="E68" i="166"/>
  <c r="D68" i="166"/>
  <c r="C68" i="166"/>
  <c r="N67" i="166"/>
  <c r="M67" i="166"/>
  <c r="L67" i="166"/>
  <c r="K67" i="166"/>
  <c r="J67" i="166"/>
  <c r="I67" i="166"/>
  <c r="H67" i="166"/>
  <c r="G67" i="166"/>
  <c r="F67" i="166"/>
  <c r="E67" i="166"/>
  <c r="D67" i="166"/>
  <c r="C67" i="166"/>
  <c r="N66" i="166"/>
  <c r="M66" i="166"/>
  <c r="L66" i="166"/>
  <c r="K66" i="166"/>
  <c r="J66" i="166"/>
  <c r="I66" i="166"/>
  <c r="H66" i="166"/>
  <c r="G66" i="166"/>
  <c r="F66" i="166"/>
  <c r="E66" i="166"/>
  <c r="D66" i="166"/>
  <c r="C66" i="166"/>
  <c r="N65" i="166"/>
  <c r="M65" i="166"/>
  <c r="L65" i="166"/>
  <c r="K65" i="166"/>
  <c r="J65" i="166"/>
  <c r="I65" i="166"/>
  <c r="H65" i="166"/>
  <c r="G65" i="166"/>
  <c r="F65" i="166"/>
  <c r="E65" i="166"/>
  <c r="D65" i="166"/>
  <c r="C65" i="166"/>
  <c r="N64" i="166"/>
  <c r="M64" i="166"/>
  <c r="L64" i="166"/>
  <c r="K64" i="166"/>
  <c r="J64" i="166"/>
  <c r="I64" i="166"/>
  <c r="H64" i="166"/>
  <c r="G64" i="166"/>
  <c r="F64" i="166"/>
  <c r="E64" i="166"/>
  <c r="D64" i="166"/>
  <c r="C64" i="166"/>
  <c r="N63" i="166"/>
  <c r="M63" i="166"/>
  <c r="L63" i="166"/>
  <c r="K63" i="166"/>
  <c r="J63" i="166"/>
  <c r="I63" i="166"/>
  <c r="H63" i="166"/>
  <c r="G63" i="166"/>
  <c r="F63" i="166"/>
  <c r="E63" i="166"/>
  <c r="D63" i="166"/>
  <c r="C63" i="166"/>
  <c r="N60" i="166"/>
  <c r="M60" i="166"/>
  <c r="L60" i="166"/>
  <c r="K60" i="166"/>
  <c r="J60" i="166"/>
  <c r="I60" i="166"/>
  <c r="H60" i="166"/>
  <c r="G60" i="166"/>
  <c r="F60" i="166"/>
  <c r="E60" i="166"/>
  <c r="D60" i="166"/>
  <c r="C60" i="166"/>
  <c r="N58" i="166"/>
  <c r="M58" i="166"/>
  <c r="L58" i="166"/>
  <c r="K58" i="166"/>
  <c r="J58" i="166"/>
  <c r="I58" i="166"/>
  <c r="H58" i="166"/>
  <c r="G58" i="166"/>
  <c r="F58" i="166"/>
  <c r="E58" i="166"/>
  <c r="D58" i="166"/>
  <c r="C58" i="166"/>
  <c r="N57" i="166"/>
  <c r="M57" i="166"/>
  <c r="L57" i="166"/>
  <c r="K57" i="166"/>
  <c r="J57" i="166"/>
  <c r="I57" i="166"/>
  <c r="H57" i="166"/>
  <c r="G57" i="166"/>
  <c r="F57" i="166"/>
  <c r="E57" i="166"/>
  <c r="D57" i="166"/>
  <c r="C57" i="166"/>
  <c r="N56" i="166"/>
  <c r="M56" i="166"/>
  <c r="L56" i="166"/>
  <c r="K56" i="166"/>
  <c r="J56" i="166"/>
  <c r="I56" i="166"/>
  <c r="H56" i="166"/>
  <c r="G56" i="166"/>
  <c r="F56" i="166"/>
  <c r="E56" i="166"/>
  <c r="D56" i="166"/>
  <c r="C56" i="166"/>
  <c r="N55" i="166"/>
  <c r="M55" i="166"/>
  <c r="L55" i="166"/>
  <c r="K55" i="166"/>
  <c r="J55" i="166"/>
  <c r="I55" i="166"/>
  <c r="H55" i="166"/>
  <c r="G55" i="166"/>
  <c r="F55" i="166"/>
  <c r="E55" i="166"/>
  <c r="D55" i="166"/>
  <c r="C55" i="166"/>
  <c r="N54" i="166"/>
  <c r="M54" i="166"/>
  <c r="L54" i="166"/>
  <c r="K54" i="166"/>
  <c r="J54" i="166"/>
  <c r="I54" i="166"/>
  <c r="H54" i="166"/>
  <c r="G54" i="166"/>
  <c r="F54" i="166"/>
  <c r="E54" i="166"/>
  <c r="D54" i="166"/>
  <c r="C54" i="166"/>
  <c r="N53" i="166"/>
  <c r="M53" i="166"/>
  <c r="L53" i="166"/>
  <c r="K53" i="166"/>
  <c r="J53" i="166"/>
  <c r="I53" i="166"/>
  <c r="H53" i="166"/>
  <c r="G53" i="166"/>
  <c r="F53" i="166"/>
  <c r="E53" i="166"/>
  <c r="D53" i="166"/>
  <c r="C53" i="166"/>
  <c r="N52" i="166"/>
  <c r="M52" i="166"/>
  <c r="L52" i="166"/>
  <c r="K52" i="166"/>
  <c r="J52" i="166"/>
  <c r="I52" i="166"/>
  <c r="H52" i="166"/>
  <c r="G52" i="166"/>
  <c r="F52" i="166"/>
  <c r="E52" i="166"/>
  <c r="D52" i="166"/>
  <c r="C52" i="166"/>
  <c r="N50" i="166"/>
  <c r="M50" i="166"/>
  <c r="L50" i="166"/>
  <c r="K50" i="166"/>
  <c r="J50" i="166"/>
  <c r="I50" i="166"/>
  <c r="H50" i="166"/>
  <c r="G50" i="166"/>
  <c r="F50" i="166"/>
  <c r="E50" i="166"/>
  <c r="D50" i="166"/>
  <c r="C50" i="166"/>
  <c r="N49" i="166"/>
  <c r="M49" i="166"/>
  <c r="L49" i="166"/>
  <c r="K49" i="166"/>
  <c r="J49" i="166"/>
  <c r="I49" i="166"/>
  <c r="H49" i="166"/>
  <c r="G49" i="166"/>
  <c r="F49" i="166"/>
  <c r="E49" i="166"/>
  <c r="D49" i="166"/>
  <c r="C49" i="166"/>
  <c r="N48" i="166"/>
  <c r="M48" i="166"/>
  <c r="L48" i="166"/>
  <c r="K48" i="166"/>
  <c r="J48" i="166"/>
  <c r="I48" i="166"/>
  <c r="H48" i="166"/>
  <c r="G48" i="166"/>
  <c r="F48" i="166"/>
  <c r="E48" i="166"/>
  <c r="D48" i="166"/>
  <c r="C48" i="166"/>
  <c r="N47" i="166"/>
  <c r="M47" i="166"/>
  <c r="L47" i="166"/>
  <c r="K47" i="166"/>
  <c r="J47" i="166"/>
  <c r="I47" i="166"/>
  <c r="H47" i="166"/>
  <c r="G47" i="166"/>
  <c r="F47" i="166"/>
  <c r="E47" i="166"/>
  <c r="D47" i="166"/>
  <c r="C47" i="166"/>
  <c r="N46" i="166"/>
  <c r="M46" i="166"/>
  <c r="L46" i="166"/>
  <c r="K46" i="166"/>
  <c r="J46" i="166"/>
  <c r="I46" i="166"/>
  <c r="H46" i="166"/>
  <c r="G46" i="166"/>
  <c r="F46" i="166"/>
  <c r="E46" i="166"/>
  <c r="D46" i="166"/>
  <c r="C46" i="166"/>
  <c r="N45" i="166"/>
  <c r="M45" i="166"/>
  <c r="L45" i="166"/>
  <c r="K45" i="166"/>
  <c r="J45" i="166"/>
  <c r="I45" i="166"/>
  <c r="H45" i="166"/>
  <c r="G45" i="166"/>
  <c r="F45" i="166"/>
  <c r="E45" i="166"/>
  <c r="D45" i="166"/>
  <c r="C45" i="166"/>
  <c r="N44" i="166"/>
  <c r="M44" i="166"/>
  <c r="L44" i="166"/>
  <c r="K44" i="166"/>
  <c r="J44" i="166"/>
  <c r="I44" i="166"/>
  <c r="H44" i="166"/>
  <c r="G44" i="166"/>
  <c r="F44" i="166"/>
  <c r="E44" i="166"/>
  <c r="D44" i="166"/>
  <c r="C44" i="166"/>
  <c r="N41" i="166"/>
  <c r="M41" i="166"/>
  <c r="L41" i="166"/>
  <c r="K41" i="166"/>
  <c r="J41" i="166"/>
  <c r="I41" i="166"/>
  <c r="H41" i="166"/>
  <c r="G41" i="166"/>
  <c r="F41" i="166"/>
  <c r="E41" i="166"/>
  <c r="D41" i="166"/>
  <c r="C41" i="166"/>
  <c r="N40" i="166"/>
  <c r="M40" i="166"/>
  <c r="L40" i="166"/>
  <c r="K40" i="166"/>
  <c r="J40" i="166"/>
  <c r="I40" i="166"/>
  <c r="H40" i="166"/>
  <c r="G40" i="166"/>
  <c r="F40" i="166"/>
  <c r="E40" i="166"/>
  <c r="D40" i="166"/>
  <c r="C40" i="166"/>
  <c r="N39" i="166"/>
  <c r="M39" i="166"/>
  <c r="L39" i="166"/>
  <c r="K39" i="166"/>
  <c r="J39" i="166"/>
  <c r="I39" i="166"/>
  <c r="H39" i="166"/>
  <c r="G39" i="166"/>
  <c r="F39" i="166"/>
  <c r="E39" i="166"/>
  <c r="D39" i="166"/>
  <c r="C39" i="166"/>
  <c r="N38" i="166"/>
  <c r="M38" i="166"/>
  <c r="L38" i="166"/>
  <c r="K38" i="166"/>
  <c r="J38" i="166"/>
  <c r="I38" i="166"/>
  <c r="H38" i="166"/>
  <c r="G38" i="166"/>
  <c r="F38" i="166"/>
  <c r="E38" i="166"/>
  <c r="D38" i="166"/>
  <c r="C38" i="166"/>
  <c r="N37" i="166"/>
  <c r="M37" i="166"/>
  <c r="L37" i="166"/>
  <c r="K37" i="166"/>
  <c r="J37" i="166"/>
  <c r="I37" i="166"/>
  <c r="H37" i="166"/>
  <c r="G37" i="166"/>
  <c r="F37" i="166"/>
  <c r="E37" i="166"/>
  <c r="D37" i="166"/>
  <c r="C37" i="166"/>
  <c r="N36" i="166"/>
  <c r="M36" i="166"/>
  <c r="L36" i="166"/>
  <c r="K36" i="166"/>
  <c r="J36" i="166"/>
  <c r="I36" i="166"/>
  <c r="H36" i="166"/>
  <c r="G36" i="166"/>
  <c r="F36" i="166"/>
  <c r="E36" i="166"/>
  <c r="D36" i="166"/>
  <c r="C36" i="166"/>
  <c r="N35" i="166"/>
  <c r="M35" i="166"/>
  <c r="L35" i="166"/>
  <c r="K35" i="166"/>
  <c r="J35" i="166"/>
  <c r="I35" i="166"/>
  <c r="H35" i="166"/>
  <c r="G35" i="166"/>
  <c r="F35" i="166"/>
  <c r="E35" i="166"/>
  <c r="D35" i="166"/>
  <c r="C35" i="166"/>
  <c r="N34" i="166"/>
  <c r="M34" i="166"/>
  <c r="L34" i="166"/>
  <c r="K34" i="166"/>
  <c r="J34" i="166"/>
  <c r="I34" i="166"/>
  <c r="H34" i="166"/>
  <c r="G34" i="166"/>
  <c r="F34" i="166"/>
  <c r="E34" i="166"/>
  <c r="D34" i="166"/>
  <c r="C34" i="166"/>
  <c r="N33" i="166"/>
  <c r="M33" i="166"/>
  <c r="L33" i="166"/>
  <c r="K33" i="166"/>
  <c r="J33" i="166"/>
  <c r="I33" i="166"/>
  <c r="H33" i="166"/>
  <c r="G33" i="166"/>
  <c r="F33" i="166"/>
  <c r="E33" i="166"/>
  <c r="D33" i="166"/>
  <c r="C33" i="166"/>
  <c r="N32" i="166"/>
  <c r="M32" i="166"/>
  <c r="L32" i="166"/>
  <c r="K32" i="166"/>
  <c r="J32" i="166"/>
  <c r="I32" i="166"/>
  <c r="H32" i="166"/>
  <c r="G32" i="166"/>
  <c r="F32" i="166"/>
  <c r="E32" i="166"/>
  <c r="D32" i="166"/>
  <c r="C32" i="166"/>
  <c r="N31" i="166"/>
  <c r="M31" i="166"/>
  <c r="L31" i="166"/>
  <c r="K31" i="166"/>
  <c r="J31" i="166"/>
  <c r="I31" i="166"/>
  <c r="H31" i="166"/>
  <c r="G31" i="166"/>
  <c r="F31" i="166"/>
  <c r="E31" i="166"/>
  <c r="D31" i="166"/>
  <c r="C31" i="166"/>
  <c r="N30" i="166"/>
  <c r="M30" i="166"/>
  <c r="L30" i="166"/>
  <c r="K30" i="166"/>
  <c r="J30" i="166"/>
  <c r="I30" i="166"/>
  <c r="H30" i="166"/>
  <c r="G30" i="166"/>
  <c r="F30" i="166"/>
  <c r="E30" i="166"/>
  <c r="D30" i="166"/>
  <c r="C30" i="166"/>
  <c r="N29" i="166"/>
  <c r="M29" i="166"/>
  <c r="L29" i="166"/>
  <c r="K29" i="166"/>
  <c r="J29" i="166"/>
  <c r="I29" i="166"/>
  <c r="H29" i="166"/>
  <c r="G29" i="166"/>
  <c r="F29" i="166"/>
  <c r="E29" i="166"/>
  <c r="D29" i="166"/>
  <c r="C29" i="166"/>
  <c r="N28" i="166"/>
  <c r="M28" i="166"/>
  <c r="L28" i="166"/>
  <c r="K28" i="166"/>
  <c r="J28" i="166"/>
  <c r="I28" i="166"/>
  <c r="H28" i="166"/>
  <c r="G28" i="166"/>
  <c r="F28" i="166"/>
  <c r="E28" i="166"/>
  <c r="D28" i="166"/>
  <c r="C28" i="166"/>
  <c r="N25" i="166"/>
  <c r="M25" i="166"/>
  <c r="L25" i="166"/>
  <c r="K25" i="166"/>
  <c r="J25" i="166"/>
  <c r="I25" i="166"/>
  <c r="H25" i="166"/>
  <c r="G25" i="166"/>
  <c r="F25" i="166"/>
  <c r="E25" i="166"/>
  <c r="D25" i="166"/>
  <c r="C25" i="166"/>
  <c r="N24" i="166"/>
  <c r="M24" i="166"/>
  <c r="L24" i="166"/>
  <c r="K24" i="166"/>
  <c r="J24" i="166"/>
  <c r="I24" i="166"/>
  <c r="H24" i="166"/>
  <c r="G24" i="166"/>
  <c r="F24" i="166"/>
  <c r="E24" i="166"/>
  <c r="D24" i="166"/>
  <c r="C24" i="166"/>
  <c r="N23" i="166"/>
  <c r="M23" i="166"/>
  <c r="L23" i="166"/>
  <c r="K23" i="166"/>
  <c r="J23" i="166"/>
  <c r="I23" i="166"/>
  <c r="H23" i="166"/>
  <c r="G23" i="166"/>
  <c r="F23" i="166"/>
  <c r="E23" i="166"/>
  <c r="D23" i="166"/>
  <c r="C23" i="166"/>
  <c r="N22" i="166"/>
  <c r="M22" i="166"/>
  <c r="L22" i="166"/>
  <c r="K22" i="166"/>
  <c r="J22" i="166"/>
  <c r="I22" i="166"/>
  <c r="H22" i="166"/>
  <c r="G22" i="166"/>
  <c r="F22" i="166"/>
  <c r="E22" i="166"/>
  <c r="D22" i="166"/>
  <c r="C22" i="166"/>
  <c r="N21" i="166"/>
  <c r="M21" i="166"/>
  <c r="L21" i="166"/>
  <c r="K21" i="166"/>
  <c r="J21" i="166"/>
  <c r="I21" i="166"/>
  <c r="H21" i="166"/>
  <c r="G21" i="166"/>
  <c r="F21" i="166"/>
  <c r="E21" i="166"/>
  <c r="D21" i="166"/>
  <c r="C21" i="166"/>
  <c r="N20" i="166"/>
  <c r="M20" i="166"/>
  <c r="L20" i="166"/>
  <c r="K20" i="166"/>
  <c r="J20" i="166"/>
  <c r="I20" i="166"/>
  <c r="H20" i="166"/>
  <c r="G20" i="166"/>
  <c r="F20" i="166"/>
  <c r="E20" i="166"/>
  <c r="D20" i="166"/>
  <c r="C20" i="166"/>
  <c r="N19" i="166"/>
  <c r="M19" i="166"/>
  <c r="L19" i="166"/>
  <c r="K19" i="166"/>
  <c r="J19" i="166"/>
  <c r="I19" i="166"/>
  <c r="H19" i="166"/>
  <c r="G19" i="166"/>
  <c r="F19" i="166"/>
  <c r="E19" i="166"/>
  <c r="D19" i="166"/>
  <c r="C19" i="166"/>
  <c r="N18" i="166"/>
  <c r="M18" i="166"/>
  <c r="L18" i="166"/>
  <c r="K18" i="166"/>
  <c r="J18" i="166"/>
  <c r="I18" i="166"/>
  <c r="H18" i="166"/>
  <c r="G18" i="166"/>
  <c r="F18" i="166"/>
  <c r="E18" i="166"/>
  <c r="D18" i="166"/>
  <c r="C18" i="166"/>
  <c r="N17" i="166"/>
  <c r="M17" i="166"/>
  <c r="L17" i="166"/>
  <c r="K17" i="166"/>
  <c r="J17" i="166"/>
  <c r="I17" i="166"/>
  <c r="H17" i="166"/>
  <c r="G17" i="166"/>
  <c r="F17" i="166"/>
  <c r="E17" i="166"/>
  <c r="D17" i="166"/>
  <c r="C17" i="166"/>
  <c r="N16" i="166"/>
  <c r="M16" i="166"/>
  <c r="L16" i="166"/>
  <c r="K16" i="166"/>
  <c r="J16" i="166"/>
  <c r="I16" i="166"/>
  <c r="H16" i="166"/>
  <c r="G16" i="166"/>
  <c r="F16" i="166"/>
  <c r="E16" i="166"/>
  <c r="D16" i="166"/>
  <c r="C16" i="166"/>
  <c r="N15" i="166"/>
  <c r="M15" i="166"/>
  <c r="L15" i="166"/>
  <c r="K15" i="166"/>
  <c r="J15" i="166"/>
  <c r="I15" i="166"/>
  <c r="H15" i="166"/>
  <c r="G15" i="166"/>
  <c r="F15" i="166"/>
  <c r="E15" i="166"/>
  <c r="D15" i="166"/>
  <c r="C15" i="166"/>
  <c r="N14" i="166"/>
  <c r="M14" i="166"/>
  <c r="L14" i="166"/>
  <c r="K14" i="166"/>
  <c r="J14" i="166"/>
  <c r="I14" i="166"/>
  <c r="H14" i="166"/>
  <c r="G14" i="166"/>
  <c r="F14" i="166"/>
  <c r="E14" i="166"/>
  <c r="D14" i="166"/>
  <c r="C14" i="166"/>
  <c r="N13" i="166"/>
  <c r="M13" i="166"/>
  <c r="L13" i="166"/>
  <c r="K13" i="166"/>
  <c r="J13" i="166"/>
  <c r="I13" i="166"/>
  <c r="H13" i="166"/>
  <c r="G13" i="166"/>
  <c r="F13" i="166"/>
  <c r="E13" i="166"/>
  <c r="D13" i="166"/>
  <c r="C13" i="166"/>
  <c r="N12" i="166"/>
  <c r="M12" i="166"/>
  <c r="L12" i="166"/>
  <c r="K12" i="166"/>
  <c r="J12" i="166"/>
  <c r="I12" i="166"/>
  <c r="H12" i="166"/>
  <c r="G12" i="166"/>
  <c r="F12" i="166"/>
  <c r="E12" i="166"/>
  <c r="D12" i="166"/>
  <c r="C12" i="166"/>
  <c r="N11" i="166"/>
  <c r="M11" i="166"/>
  <c r="L11" i="166"/>
  <c r="K11" i="166"/>
  <c r="J11" i="166"/>
  <c r="I11" i="166"/>
  <c r="H11" i="166"/>
  <c r="G11" i="166"/>
  <c r="F11" i="166"/>
  <c r="E11" i="166"/>
  <c r="D11" i="166"/>
  <c r="C11" i="166"/>
  <c r="N10" i="166"/>
  <c r="M10" i="166"/>
  <c r="L10" i="166"/>
  <c r="K10" i="166"/>
  <c r="J10" i="166"/>
  <c r="I10" i="166"/>
  <c r="H10" i="166"/>
  <c r="G10" i="166"/>
  <c r="F10" i="166"/>
  <c r="E10" i="166"/>
  <c r="D10" i="166"/>
  <c r="C10" i="166"/>
  <c r="N9" i="166"/>
  <c r="M9" i="166"/>
  <c r="L9" i="166"/>
  <c r="K9" i="166"/>
  <c r="J9" i="166"/>
  <c r="I9" i="166"/>
  <c r="H9" i="166"/>
  <c r="G9" i="166"/>
  <c r="F9" i="166"/>
  <c r="E9" i="166"/>
  <c r="D9" i="166"/>
  <c r="C9" i="166"/>
  <c r="M8" i="166"/>
  <c r="L8" i="166"/>
  <c r="K8" i="166"/>
  <c r="J8" i="166"/>
  <c r="I8" i="166"/>
  <c r="H8" i="166"/>
  <c r="G8" i="166"/>
  <c r="F8" i="166"/>
  <c r="E8" i="166"/>
  <c r="D8" i="166"/>
  <c r="C8" i="166"/>
  <c r="G51" i="168"/>
  <c r="G50" i="168"/>
  <c r="G49" i="168"/>
  <c r="G48" i="168"/>
  <c r="G47" i="168"/>
  <c r="G46" i="168"/>
  <c r="G45" i="168"/>
  <c r="G44" i="168"/>
  <c r="G43" i="168"/>
  <c r="G42" i="168"/>
  <c r="G41" i="168"/>
  <c r="G40" i="168"/>
  <c r="G39" i="168"/>
  <c r="G38" i="168"/>
  <c r="G37" i="168"/>
  <c r="G36" i="168"/>
  <c r="G35" i="168"/>
  <c r="G34" i="168"/>
  <c r="G33" i="168"/>
  <c r="G32" i="168"/>
  <c r="G31" i="168"/>
  <c r="G30" i="168"/>
  <c r="G29" i="168"/>
  <c r="G28" i="168"/>
  <c r="G27" i="168"/>
  <c r="G26" i="168"/>
  <c r="G25" i="168"/>
  <c r="G24" i="168"/>
  <c r="G23" i="168"/>
  <c r="G22" i="168"/>
  <c r="G21" i="168"/>
  <c r="G20" i="168"/>
  <c r="G19" i="168"/>
  <c r="G18" i="168"/>
  <c r="G17" i="168"/>
  <c r="G16" i="168"/>
  <c r="G15" i="168"/>
  <c r="G14" i="168"/>
  <c r="G13" i="168"/>
  <c r="G12" i="168"/>
  <c r="G11" i="168"/>
  <c r="G10" i="168"/>
  <c r="G9" i="168"/>
  <c r="G8" i="168"/>
  <c r="G7" i="168"/>
  <c r="G6" i="168"/>
  <c r="D6" i="167"/>
  <c r="E6" i="167" s="1"/>
  <c r="F6" i="167" s="1"/>
  <c r="G6" i="167" s="1"/>
  <c r="H6" i="167" s="1"/>
  <c r="I6" i="167" s="1"/>
  <c r="J6" i="167" s="1"/>
  <c r="K6" i="167" s="1"/>
  <c r="L6" i="167" s="1"/>
  <c r="M6" i="167" s="1"/>
  <c r="N6" i="167" s="1"/>
  <c r="O6" i="167" s="1"/>
  <c r="P6" i="167" s="1"/>
  <c r="Q6" i="167" s="1"/>
  <c r="R6" i="167" s="1"/>
  <c r="S6" i="167" s="1"/>
  <c r="T6" i="167" s="1"/>
  <c r="U6" i="167" s="1"/>
  <c r="V6" i="167" s="1"/>
  <c r="W6" i="167" s="1"/>
  <c r="X6" i="167" s="1"/>
  <c r="Y6" i="167" s="1"/>
  <c r="Z6" i="167" s="1"/>
  <c r="AA6" i="167" s="1"/>
  <c r="AB6" i="167" s="1"/>
  <c r="AC6" i="167" s="1"/>
  <c r="AD6" i="167" s="1"/>
  <c r="AE6" i="167" s="1"/>
  <c r="AF6" i="167" s="1"/>
  <c r="AG6" i="167" s="1"/>
  <c r="AH6" i="167" s="1"/>
  <c r="AI6" i="167" s="1"/>
  <c r="AJ6" i="167" s="1"/>
  <c r="AK6" i="167" s="1"/>
  <c r="B56" i="127"/>
  <c r="B60" i="127"/>
  <c r="B67" i="127"/>
  <c r="B69" i="127"/>
  <c r="B79" i="127"/>
  <c r="B82" i="127"/>
  <c r="B84" i="127"/>
  <c r="B85" i="127"/>
  <c r="B86" i="127"/>
  <c r="B87" i="127"/>
  <c r="B88" i="127"/>
  <c r="I9" i="160"/>
  <c r="E44" i="155"/>
  <c r="D44" i="155"/>
  <c r="B88" i="155"/>
  <c r="B87" i="155"/>
  <c r="B86" i="155"/>
  <c r="B85" i="155"/>
  <c r="B84" i="155"/>
  <c r="B83" i="155"/>
  <c r="B82" i="155"/>
  <c r="B81" i="155"/>
  <c r="B80" i="155"/>
  <c r="B79" i="155"/>
  <c r="B78" i="155"/>
  <c r="B77" i="155"/>
  <c r="B76" i="155"/>
  <c r="B75" i="155"/>
  <c r="B74" i="155"/>
  <c r="B73" i="155"/>
  <c r="B72" i="155"/>
  <c r="B71" i="155"/>
  <c r="B70" i="155"/>
  <c r="B69" i="155"/>
  <c r="B68" i="155"/>
  <c r="B67" i="155"/>
  <c r="B66" i="155"/>
  <c r="B65" i="155"/>
  <c r="B64" i="155"/>
  <c r="B63" i="155"/>
  <c r="B62" i="155"/>
  <c r="B61" i="155"/>
  <c r="B60" i="155"/>
  <c r="B59" i="155"/>
  <c r="B58" i="155"/>
  <c r="B57" i="155"/>
  <c r="B56" i="155"/>
  <c r="B55" i="155"/>
  <c r="B54" i="155"/>
  <c r="B53" i="155"/>
  <c r="D92" i="154"/>
  <c r="D54" i="154"/>
  <c r="D53" i="154"/>
  <c r="D52" i="154"/>
  <c r="D51" i="154"/>
  <c r="D50" i="154"/>
  <c r="D49" i="154"/>
  <c r="D48" i="154"/>
  <c r="B93" i="154"/>
  <c r="B90" i="154"/>
  <c r="B89" i="154"/>
  <c r="B88" i="154"/>
  <c r="B87" i="154"/>
  <c r="B86" i="154"/>
  <c r="B84" i="154"/>
  <c r="B81" i="154"/>
  <c r="B71" i="154"/>
  <c r="B69" i="154"/>
  <c r="B62" i="154"/>
  <c r="B58" i="154"/>
  <c r="L38" i="54"/>
  <c r="L96" i="54"/>
  <c r="L95" i="54"/>
  <c r="L90" i="54"/>
  <c r="L89" i="54"/>
  <c r="L88" i="54"/>
  <c r="L85" i="54"/>
  <c r="L82" i="54"/>
  <c r="L81" i="54"/>
  <c r="L79" i="54"/>
  <c r="L78" i="54"/>
  <c r="L69" i="54"/>
  <c r="L63" i="54"/>
  <c r="L62" i="54"/>
  <c r="L60" i="54"/>
  <c r="L56" i="54"/>
  <c r="L54" i="54"/>
  <c r="L50" i="54"/>
  <c r="L49" i="54"/>
  <c r="L48" i="54"/>
  <c r="L47" i="54"/>
  <c r="L44" i="54"/>
  <c r="L42" i="54"/>
  <c r="L40" i="54"/>
  <c r="L37" i="54"/>
  <c r="L36" i="54"/>
  <c r="L35" i="54"/>
  <c r="L34" i="54"/>
  <c r="L33" i="54"/>
  <c r="L31" i="54"/>
  <c r="L30" i="54"/>
  <c r="L27" i="54"/>
  <c r="L26" i="54"/>
  <c r="L25" i="54"/>
  <c r="L24" i="54"/>
  <c r="L22" i="54"/>
  <c r="L19" i="54"/>
  <c r="L18" i="54"/>
  <c r="L17" i="54"/>
  <c r="L16" i="54"/>
  <c r="L15" i="54"/>
  <c r="L13" i="54"/>
  <c r="L11" i="54"/>
  <c r="L9" i="54"/>
  <c r="G46" i="21"/>
  <c r="I91" i="60"/>
  <c r="M90" i="21"/>
  <c r="K90" i="21" s="1"/>
  <c r="O90" i="21"/>
  <c r="P90" i="21"/>
  <c r="F72" i="60"/>
  <c r="F89" i="60"/>
  <c r="G93" i="60"/>
  <c r="M11" i="21"/>
  <c r="W11" i="21" s="1"/>
  <c r="K12" i="21"/>
  <c r="M13" i="21"/>
  <c r="W13" i="21"/>
  <c r="M16" i="21"/>
  <c r="W16" i="21" s="1"/>
  <c r="M19" i="21"/>
  <c r="W19" i="21" s="1"/>
  <c r="K22" i="21"/>
  <c r="K24" i="21"/>
  <c r="K25" i="21"/>
  <c r="B26" i="24"/>
  <c r="M29" i="21"/>
  <c r="W29" i="21" s="1"/>
  <c r="K30" i="21"/>
  <c r="K31" i="21"/>
  <c r="M31" i="21" s="1"/>
  <c r="W31" i="21" s="1"/>
  <c r="K32" i="21"/>
  <c r="W32" i="21" s="1"/>
  <c r="M32" i="21"/>
  <c r="M33" i="21"/>
  <c r="W33" i="21" s="1"/>
  <c r="M36" i="21"/>
  <c r="D36" i="24" s="1"/>
  <c r="M39" i="21"/>
  <c r="W39" i="21" s="1"/>
  <c r="M40" i="21"/>
  <c r="W40" i="21" s="1"/>
  <c r="K41" i="21"/>
  <c r="M43" i="21"/>
  <c r="W43" i="21" s="1"/>
  <c r="M49" i="21"/>
  <c r="W49" i="21" s="1"/>
  <c r="M51" i="21"/>
  <c r="M52" i="21"/>
  <c r="W52" i="21" s="1"/>
  <c r="K54" i="21"/>
  <c r="K55" i="21"/>
  <c r="M55" i="21" s="1"/>
  <c r="D55" i="24" s="1"/>
  <c r="N55" i="21"/>
  <c r="O55" i="21"/>
  <c r="K56" i="21"/>
  <c r="K57" i="21"/>
  <c r="M57" i="21" s="1"/>
  <c r="K58" i="21"/>
  <c r="M58" i="21" s="1"/>
  <c r="W58" i="21" s="1"/>
  <c r="K59" i="21"/>
  <c r="M59" i="21" s="1"/>
  <c r="D59" i="24" s="1"/>
  <c r="K60" i="21"/>
  <c r="K61" i="21"/>
  <c r="M61" i="21" s="1"/>
  <c r="N61" i="21"/>
  <c r="O61" i="21"/>
  <c r="K62" i="21"/>
  <c r="K64" i="21"/>
  <c r="M64" i="21" s="1"/>
  <c r="W64" i="21" s="1"/>
  <c r="K65" i="21"/>
  <c r="M65" i="21" s="1"/>
  <c r="K66" i="21"/>
  <c r="K67" i="21"/>
  <c r="K68" i="21"/>
  <c r="K70" i="21"/>
  <c r="M70" i="21" s="1"/>
  <c r="D70" i="24" s="1"/>
  <c r="K71" i="21"/>
  <c r="K72" i="21"/>
  <c r="K73" i="21"/>
  <c r="K74" i="21"/>
  <c r="M74" i="21" s="1"/>
  <c r="D74" i="24" s="1"/>
  <c r="K75" i="21"/>
  <c r="M75" i="21"/>
  <c r="K76" i="21"/>
  <c r="K77" i="21"/>
  <c r="M77" i="21" s="1"/>
  <c r="D77" i="24" s="1"/>
  <c r="K78" i="21"/>
  <c r="M78" i="21" s="1"/>
  <c r="W78" i="21"/>
  <c r="K79" i="21"/>
  <c r="K80" i="21"/>
  <c r="M80" i="21" s="1"/>
  <c r="W80" i="21" s="1"/>
  <c r="K81" i="21"/>
  <c r="K82" i="21"/>
  <c r="M82" i="21" s="1"/>
  <c r="D82" i="24" s="1"/>
  <c r="K83" i="21"/>
  <c r="M83" i="21" s="1"/>
  <c r="K84" i="21"/>
  <c r="K85" i="21"/>
  <c r="M85" i="21" s="1"/>
  <c r="D85" i="24" s="1"/>
  <c r="K86" i="21"/>
  <c r="K87" i="21"/>
  <c r="M87" i="21" s="1"/>
  <c r="D87" i="24" s="1"/>
  <c r="K88" i="21"/>
  <c r="M88" i="21" s="1"/>
  <c r="D88" i="24" s="1"/>
  <c r="M12" i="21"/>
  <c r="M50" i="21"/>
  <c r="W50" i="21" s="1"/>
  <c r="M15" i="21"/>
  <c r="W15" i="21" s="1"/>
  <c r="M17" i="21"/>
  <c r="M20" i="21"/>
  <c r="W20" i="21" s="1"/>
  <c r="M21" i="21"/>
  <c r="M22" i="21"/>
  <c r="M23" i="21"/>
  <c r="W23" i="21" s="1"/>
  <c r="M24" i="21"/>
  <c r="M26" i="21"/>
  <c r="M28" i="21"/>
  <c r="W28" i="21" s="1"/>
  <c r="M30" i="21"/>
  <c r="M34" i="21"/>
  <c r="M35" i="21"/>
  <c r="W35" i="21"/>
  <c r="M37" i="21"/>
  <c r="W37" i="21" s="1"/>
  <c r="M38" i="21"/>
  <c r="W38" i="21" s="1"/>
  <c r="M41" i="21"/>
  <c r="D41" i="24"/>
  <c r="M42" i="21"/>
  <c r="M44" i="21"/>
  <c r="M46" i="21"/>
  <c r="D46" i="24"/>
  <c r="N10" i="21"/>
  <c r="N11" i="21"/>
  <c r="N12" i="21"/>
  <c r="O12" i="21"/>
  <c r="P12" i="21"/>
  <c r="N13" i="21"/>
  <c r="E13" i="24" s="1"/>
  <c r="N14" i="21"/>
  <c r="X14" i="21" s="1"/>
  <c r="O14" i="21"/>
  <c r="P14" i="21"/>
  <c r="N15" i="21"/>
  <c r="N16" i="21"/>
  <c r="O16" i="21"/>
  <c r="P16" i="21"/>
  <c r="N17" i="21"/>
  <c r="O17" i="21"/>
  <c r="P17" i="21"/>
  <c r="N18" i="21"/>
  <c r="N19" i="21"/>
  <c r="N20" i="21"/>
  <c r="O20" i="21"/>
  <c r="P20" i="21"/>
  <c r="N21" i="21"/>
  <c r="N22" i="21"/>
  <c r="O22" i="21"/>
  <c r="P22" i="21"/>
  <c r="N23" i="21"/>
  <c r="N24" i="21"/>
  <c r="O24" i="21"/>
  <c r="P24" i="21"/>
  <c r="N25" i="21"/>
  <c r="N26" i="21"/>
  <c r="N28" i="21"/>
  <c r="O28" i="21"/>
  <c r="P28" i="21"/>
  <c r="N29" i="21"/>
  <c r="O29" i="21"/>
  <c r="P29" i="21"/>
  <c r="N30" i="21"/>
  <c r="N31" i="21"/>
  <c r="O31" i="21"/>
  <c r="N32" i="21"/>
  <c r="O32" i="21"/>
  <c r="P32" i="21"/>
  <c r="G32" i="24" s="1"/>
  <c r="N33" i="21"/>
  <c r="N34" i="21"/>
  <c r="N35" i="21"/>
  <c r="O35" i="21"/>
  <c r="P35" i="21"/>
  <c r="N36" i="21"/>
  <c r="O36" i="21"/>
  <c r="P36" i="21"/>
  <c r="N37" i="21"/>
  <c r="N38" i="21"/>
  <c r="O38" i="21"/>
  <c r="P38" i="21"/>
  <c r="N39" i="21"/>
  <c r="N40" i="21"/>
  <c r="O40" i="21"/>
  <c r="P40" i="21"/>
  <c r="N41" i="21"/>
  <c r="N42" i="21"/>
  <c r="O42" i="21"/>
  <c r="P42" i="21"/>
  <c r="N43" i="21"/>
  <c r="N44" i="21"/>
  <c r="O44" i="21"/>
  <c r="P44" i="21"/>
  <c r="N46" i="21"/>
  <c r="N47" i="21"/>
  <c r="N48" i="21"/>
  <c r="N49" i="21"/>
  <c r="N50" i="21"/>
  <c r="N51" i="21"/>
  <c r="N52" i="21"/>
  <c r="N54" i="21"/>
  <c r="N56" i="21"/>
  <c r="N57" i="21"/>
  <c r="P57" i="21" s="1"/>
  <c r="O57" i="21"/>
  <c r="N58" i="21"/>
  <c r="N59" i="21"/>
  <c r="O59" i="21"/>
  <c r="N60" i="21"/>
  <c r="N62" i="21"/>
  <c r="N64" i="21"/>
  <c r="N65" i="21"/>
  <c r="N66" i="21"/>
  <c r="N67" i="21"/>
  <c r="N68" i="21"/>
  <c r="O68" i="21"/>
  <c r="N69" i="21"/>
  <c r="N70" i="21"/>
  <c r="O70" i="21"/>
  <c r="N71" i="21"/>
  <c r="N72" i="21"/>
  <c r="O72" i="21"/>
  <c r="N73" i="21"/>
  <c r="N74" i="21"/>
  <c r="N75" i="21"/>
  <c r="N76" i="21"/>
  <c r="O76" i="21"/>
  <c r="N77" i="21"/>
  <c r="N78" i="21"/>
  <c r="O78" i="21"/>
  <c r="N79" i="21"/>
  <c r="N80" i="21"/>
  <c r="O80" i="21"/>
  <c r="N81" i="21"/>
  <c r="N82" i="21"/>
  <c r="N83" i="21"/>
  <c r="N84" i="21"/>
  <c r="N85" i="21"/>
  <c r="N86" i="21"/>
  <c r="O86" i="21"/>
  <c r="N87" i="21"/>
  <c r="N88" i="21"/>
  <c r="O10" i="21"/>
  <c r="O11" i="21"/>
  <c r="P11" i="21"/>
  <c r="O25" i="21"/>
  <c r="O43" i="21"/>
  <c r="O46" i="21"/>
  <c r="P46" i="21" s="1"/>
  <c r="O47" i="21"/>
  <c r="O48" i="21"/>
  <c r="P48" i="21" s="1"/>
  <c r="G48" i="24" s="1"/>
  <c r="O49" i="21"/>
  <c r="O50" i="21"/>
  <c r="O51" i="21"/>
  <c r="O52" i="21"/>
  <c r="P52" i="21" s="1"/>
  <c r="G52" i="24" s="1"/>
  <c r="O54" i="21"/>
  <c r="O56" i="21"/>
  <c r="O58" i="21"/>
  <c r="O60" i="21"/>
  <c r="O62" i="21"/>
  <c r="O64" i="21"/>
  <c r="D64" i="24"/>
  <c r="O65" i="21"/>
  <c r="O66" i="21"/>
  <c r="O67" i="21"/>
  <c r="O69" i="21"/>
  <c r="O71" i="21"/>
  <c r="O73" i="21"/>
  <c r="O74" i="21"/>
  <c r="O75" i="21"/>
  <c r="O77" i="21"/>
  <c r="O79" i="21"/>
  <c r="O81" i="21"/>
  <c r="O82" i="21"/>
  <c r="P82" i="21" s="1"/>
  <c r="O83" i="21"/>
  <c r="O84" i="21"/>
  <c r="O85" i="21"/>
  <c r="O87" i="21"/>
  <c r="P87" i="21" s="1"/>
  <c r="X87" i="21" s="1"/>
  <c r="O88" i="21"/>
  <c r="O13" i="21"/>
  <c r="P13" i="21"/>
  <c r="X13" i="21"/>
  <c r="O15" i="21"/>
  <c r="P15" i="21"/>
  <c r="O18" i="21"/>
  <c r="O19" i="21"/>
  <c r="O21" i="21"/>
  <c r="P21" i="21"/>
  <c r="X21" i="21" s="1"/>
  <c r="O23" i="21"/>
  <c r="F23" i="24" s="1"/>
  <c r="O26" i="21"/>
  <c r="X27" i="21"/>
  <c r="O30" i="21"/>
  <c r="P30" i="21"/>
  <c r="O33" i="21"/>
  <c r="O34" i="21"/>
  <c r="F34" i="24" s="1"/>
  <c r="P34" i="21"/>
  <c r="O37" i="21"/>
  <c r="O39" i="21"/>
  <c r="O41" i="21"/>
  <c r="P10" i="21"/>
  <c r="P18" i="21"/>
  <c r="P19" i="21"/>
  <c r="P23" i="21"/>
  <c r="G23" i="24" s="1"/>
  <c r="P26" i="21"/>
  <c r="P33" i="21"/>
  <c r="P37" i="21"/>
  <c r="P39" i="21"/>
  <c r="P41" i="21"/>
  <c r="I56" i="60"/>
  <c r="I57" i="60"/>
  <c r="I58" i="60"/>
  <c r="I59" i="60"/>
  <c r="I60" i="60"/>
  <c r="I61" i="60"/>
  <c r="I62" i="60"/>
  <c r="I63" i="60"/>
  <c r="I64" i="60"/>
  <c r="I65" i="60"/>
  <c r="I66" i="60"/>
  <c r="I67" i="60"/>
  <c r="I68" i="60"/>
  <c r="I69" i="60"/>
  <c r="I70" i="60"/>
  <c r="I71" i="60"/>
  <c r="I72" i="60"/>
  <c r="I73" i="60"/>
  <c r="I74" i="60"/>
  <c r="I75" i="60"/>
  <c r="I76" i="60"/>
  <c r="I77" i="60"/>
  <c r="I78" i="60"/>
  <c r="I79" i="60"/>
  <c r="I80" i="60"/>
  <c r="I81" i="60"/>
  <c r="I82" i="60"/>
  <c r="I83" i="60"/>
  <c r="I84" i="60"/>
  <c r="I85" i="60"/>
  <c r="I86" i="60"/>
  <c r="I87" i="60"/>
  <c r="I88" i="60"/>
  <c r="I89" i="60"/>
  <c r="I90" i="60"/>
  <c r="H93" i="60"/>
  <c r="F59" i="60"/>
  <c r="F60" i="60"/>
  <c r="F61" i="60"/>
  <c r="F63" i="60"/>
  <c r="F64" i="60"/>
  <c r="F67" i="60"/>
  <c r="F68" i="60"/>
  <c r="F70" i="60"/>
  <c r="F71" i="60"/>
  <c r="F74" i="60"/>
  <c r="F75" i="60"/>
  <c r="F79" i="60"/>
  <c r="F80" i="60"/>
  <c r="F83" i="60"/>
  <c r="F86" i="60"/>
  <c r="F87" i="60"/>
  <c r="F88" i="60"/>
  <c r="F90" i="60"/>
  <c r="F56" i="60"/>
  <c r="F93" i="60"/>
  <c r="J61" i="60"/>
  <c r="H47" i="140"/>
  <c r="I47" i="140"/>
  <c r="H55" i="140"/>
  <c r="G55" i="140" s="1"/>
  <c r="I55" i="140"/>
  <c r="J47" i="140"/>
  <c r="J55" i="140"/>
  <c r="E55" i="60"/>
  <c r="E93" i="60"/>
  <c r="AG45" i="98"/>
  <c r="AG46" i="98"/>
  <c r="AG49" i="98"/>
  <c r="AG50" i="98"/>
  <c r="AG51" i="98"/>
  <c r="AD10" i="98"/>
  <c r="AD11" i="98"/>
  <c r="AD14" i="98"/>
  <c r="AD15" i="98"/>
  <c r="AD16" i="98"/>
  <c r="AD17" i="98"/>
  <c r="AD18" i="98"/>
  <c r="AD19" i="98"/>
  <c r="AD20" i="98"/>
  <c r="AD21" i="98"/>
  <c r="AD23" i="98"/>
  <c r="AD25" i="98"/>
  <c r="AD28" i="98"/>
  <c r="AD29" i="98"/>
  <c r="AD34" i="98"/>
  <c r="AD35" i="98"/>
  <c r="AD36" i="98"/>
  <c r="AD37" i="98"/>
  <c r="AD38" i="98"/>
  <c r="AD39" i="98"/>
  <c r="AD40" i="98"/>
  <c r="AD42" i="98"/>
  <c r="U53" i="21"/>
  <c r="H54" i="15"/>
  <c r="H55" i="15"/>
  <c r="H56" i="15"/>
  <c r="H57" i="15"/>
  <c r="H58" i="15"/>
  <c r="H59" i="15"/>
  <c r="H60" i="15"/>
  <c r="H61" i="15"/>
  <c r="H62" i="15"/>
  <c r="H63" i="15"/>
  <c r="H64" i="15"/>
  <c r="H65" i="15"/>
  <c r="H66" i="15"/>
  <c r="H67" i="15"/>
  <c r="H68" i="15"/>
  <c r="H69" i="15"/>
  <c r="H70" i="15"/>
  <c r="H71" i="15"/>
  <c r="H72" i="15"/>
  <c r="H73" i="15"/>
  <c r="H74" i="15"/>
  <c r="H75" i="15"/>
  <c r="H76" i="15"/>
  <c r="H77" i="15"/>
  <c r="H78" i="15"/>
  <c r="B79" i="15"/>
  <c r="H79" i="15"/>
  <c r="M79" i="15"/>
  <c r="H80" i="15"/>
  <c r="H81" i="15"/>
  <c r="H82" i="15"/>
  <c r="H83" i="15"/>
  <c r="B84" i="15"/>
  <c r="H84" i="15"/>
  <c r="H85" i="15"/>
  <c r="H86" i="15"/>
  <c r="B87" i="15"/>
  <c r="H87" i="15"/>
  <c r="H88" i="15"/>
  <c r="H89" i="15"/>
  <c r="I42" i="14"/>
  <c r="L42" i="14"/>
  <c r="I44" i="14"/>
  <c r="H44" i="14"/>
  <c r="J44" i="14"/>
  <c r="D44" i="23"/>
  <c r="R12" i="8"/>
  <c r="R15" i="8"/>
  <c r="N16" i="8"/>
  <c r="N20" i="8"/>
  <c r="N42" i="8"/>
  <c r="B58" i="126"/>
  <c r="B62" i="126"/>
  <c r="B69" i="126"/>
  <c r="B71" i="126"/>
  <c r="B81" i="126"/>
  <c r="B84" i="126"/>
  <c r="B86" i="126"/>
  <c r="B87" i="126"/>
  <c r="B88" i="126"/>
  <c r="B89" i="126"/>
  <c r="B90" i="126"/>
  <c r="B94" i="126"/>
  <c r="B57" i="128"/>
  <c r="B61" i="128"/>
  <c r="B68" i="128"/>
  <c r="B70" i="128"/>
  <c r="B80" i="128"/>
  <c r="B83" i="128"/>
  <c r="B85" i="128"/>
  <c r="B86" i="128"/>
  <c r="B87" i="128"/>
  <c r="B88" i="128"/>
  <c r="B89" i="128"/>
  <c r="B93" i="128"/>
  <c r="B92" i="127"/>
  <c r="Q48" i="9"/>
  <c r="Q33" i="9"/>
  <c r="Q24" i="9"/>
  <c r="Q11" i="9"/>
  <c r="D101" i="26"/>
  <c r="D99" i="26"/>
  <c r="D101" i="54"/>
  <c r="D99" i="54"/>
  <c r="T54" i="28"/>
  <c r="B43" i="24"/>
  <c r="S54" i="28"/>
  <c r="V53" i="21"/>
  <c r="W24" i="21"/>
  <c r="W27" i="21"/>
  <c r="W45" i="21"/>
  <c r="X45" i="21"/>
  <c r="W53" i="21"/>
  <c r="X53" i="21"/>
  <c r="W63" i="21"/>
  <c r="X63" i="21"/>
  <c r="W89" i="21"/>
  <c r="X89" i="21"/>
  <c r="U45" i="21"/>
  <c r="B46" i="15"/>
  <c r="B48" i="14"/>
  <c r="B49" i="14"/>
  <c r="B50" i="14"/>
  <c r="V45" i="21"/>
  <c r="S53" i="21"/>
  <c r="T53" i="21"/>
  <c r="U54" i="27"/>
  <c r="U54" i="29"/>
  <c r="C93" i="60"/>
  <c r="K93" i="60" s="1"/>
  <c r="Q17" i="98"/>
  <c r="Q37" i="98"/>
  <c r="T26" i="98"/>
  <c r="T43" i="98"/>
  <c r="B50" i="99"/>
  <c r="A27" i="99"/>
  <c r="H27" i="98"/>
  <c r="F33" i="98"/>
  <c r="H20" i="98"/>
  <c r="I38" i="98"/>
  <c r="N42" i="98"/>
  <c r="M8" i="102"/>
  <c r="M11" i="102"/>
  <c r="M12" i="102"/>
  <c r="M16" i="102"/>
  <c r="M17" i="102"/>
  <c r="M19" i="102"/>
  <c r="M24" i="102"/>
  <c r="I40" i="102"/>
  <c r="J40" i="102"/>
  <c r="K40" i="102"/>
  <c r="L40" i="102"/>
  <c r="C40" i="102"/>
  <c r="D40" i="102"/>
  <c r="E40" i="102"/>
  <c r="F40" i="102"/>
  <c r="G8" i="102"/>
  <c r="G9" i="102"/>
  <c r="G10" i="102"/>
  <c r="G11" i="102"/>
  <c r="G12" i="102"/>
  <c r="G13" i="102"/>
  <c r="G14" i="102"/>
  <c r="G15" i="102"/>
  <c r="G16" i="102"/>
  <c r="G17" i="102"/>
  <c r="G18" i="102"/>
  <c r="G19" i="102"/>
  <c r="G20" i="102"/>
  <c r="G21" i="102"/>
  <c r="G22" i="102"/>
  <c r="G23" i="102"/>
  <c r="G24" i="102"/>
  <c r="G25" i="102"/>
  <c r="G27" i="102"/>
  <c r="G28" i="102"/>
  <c r="G29" i="102"/>
  <c r="G30" i="102"/>
  <c r="G31" i="102"/>
  <c r="G32" i="102"/>
  <c r="G33" i="102"/>
  <c r="G34" i="102"/>
  <c r="B40" i="102"/>
  <c r="H87" i="59"/>
  <c r="J87" i="59" s="1"/>
  <c r="K87" i="59" s="1"/>
  <c r="J90" i="59"/>
  <c r="J71" i="59"/>
  <c r="J75" i="59"/>
  <c r="J84" i="59"/>
  <c r="J45" i="59"/>
  <c r="J9" i="59"/>
  <c r="K90" i="59"/>
  <c r="K45" i="59"/>
  <c r="P91" i="59"/>
  <c r="P92" i="59"/>
  <c r="P93" i="59"/>
  <c r="P94" i="59"/>
  <c r="Q94" i="59" s="1"/>
  <c r="P95" i="59"/>
  <c r="P96" i="59"/>
  <c r="P97" i="59"/>
  <c r="Q97" i="59" s="1"/>
  <c r="P98" i="59"/>
  <c r="Q98" i="59" s="1"/>
  <c r="P99" i="59"/>
  <c r="P100" i="59"/>
  <c r="P101" i="59"/>
  <c r="P102" i="59"/>
  <c r="Q102" i="59" s="1"/>
  <c r="P103" i="59"/>
  <c r="P105" i="59"/>
  <c r="P106" i="59"/>
  <c r="P107" i="59"/>
  <c r="P108" i="59"/>
  <c r="Q108" i="59" s="1"/>
  <c r="P109" i="59"/>
  <c r="P110" i="59"/>
  <c r="Q110" i="59" s="1"/>
  <c r="P111" i="59"/>
  <c r="Q111" i="59" s="1"/>
  <c r="P112" i="59"/>
  <c r="P113" i="59"/>
  <c r="Q113" i="59" s="1"/>
  <c r="P114" i="59"/>
  <c r="Q114" i="59" s="1"/>
  <c r="P115" i="59"/>
  <c r="Q115" i="59" s="1"/>
  <c r="P116" i="59"/>
  <c r="Q116" i="59" s="1"/>
  <c r="P117" i="59"/>
  <c r="P118" i="59"/>
  <c r="P119" i="59"/>
  <c r="Q119" i="59" s="1"/>
  <c r="P120" i="59"/>
  <c r="P121" i="59"/>
  <c r="P122" i="59"/>
  <c r="P123" i="59"/>
  <c r="Q123" i="59" s="1"/>
  <c r="P124" i="59"/>
  <c r="Q124" i="59" s="1"/>
  <c r="P125" i="59"/>
  <c r="P126" i="59"/>
  <c r="P127" i="59"/>
  <c r="Q127" i="59" s="1"/>
  <c r="P129" i="59"/>
  <c r="P130" i="59"/>
  <c r="P131" i="59"/>
  <c r="P132" i="59"/>
  <c r="Q132" i="59" s="1"/>
  <c r="P133" i="59"/>
  <c r="Q133" i="59" s="1"/>
  <c r="P134" i="59"/>
  <c r="P135" i="59"/>
  <c r="Q135" i="59" s="1"/>
  <c r="P137" i="59"/>
  <c r="Q137" i="59" s="1"/>
  <c r="P138" i="59"/>
  <c r="P139" i="59"/>
  <c r="P140" i="59"/>
  <c r="P141" i="59"/>
  <c r="P142" i="59"/>
  <c r="P143" i="59"/>
  <c r="Q143" i="59" s="1"/>
  <c r="P144" i="59"/>
  <c r="Q144" i="59" s="1"/>
  <c r="P145" i="59"/>
  <c r="Q145" i="59" s="1"/>
  <c r="P146" i="59"/>
  <c r="Q146" i="59" s="1"/>
  <c r="P147" i="59"/>
  <c r="Q147" i="59" s="1"/>
  <c r="P148" i="59"/>
  <c r="Q148" i="59" s="1"/>
  <c r="P149" i="59"/>
  <c r="Q149" i="59" s="1"/>
  <c r="P152" i="59"/>
  <c r="P153" i="59"/>
  <c r="Q153" i="59" s="1"/>
  <c r="P155" i="59"/>
  <c r="Q155" i="59" s="1"/>
  <c r="P156" i="59"/>
  <c r="Q156" i="59" s="1"/>
  <c r="P158" i="59"/>
  <c r="P160" i="59"/>
  <c r="Q160" i="59" s="1"/>
  <c r="P161" i="59"/>
  <c r="Q161" i="59" s="1"/>
  <c r="P162" i="59"/>
  <c r="P163" i="59"/>
  <c r="Q163" i="59" s="1"/>
  <c r="P164" i="59"/>
  <c r="Q164" i="59" s="1"/>
  <c r="P165" i="59"/>
  <c r="Q165" i="59" s="1"/>
  <c r="P166" i="59"/>
  <c r="P168" i="59"/>
  <c r="Q168" i="59" s="1"/>
  <c r="P169" i="59"/>
  <c r="Q169" i="59" s="1"/>
  <c r="P172" i="59"/>
  <c r="P173" i="59"/>
  <c r="P174" i="59"/>
  <c r="Q174" i="59" s="1"/>
  <c r="P176" i="59"/>
  <c r="Q176" i="59" s="1"/>
  <c r="P177" i="59"/>
  <c r="Q177" i="59" s="1"/>
  <c r="P178" i="59"/>
  <c r="Q178" i="59" s="1"/>
  <c r="P180" i="59"/>
  <c r="Q180" i="59" s="1"/>
  <c r="P182" i="59"/>
  <c r="Q182" i="59" s="1"/>
  <c r="P184" i="59"/>
  <c r="Q184" i="59" s="1"/>
  <c r="P187" i="59"/>
  <c r="Q187" i="59" s="1"/>
  <c r="P188" i="59"/>
  <c r="Q188" i="59" s="1"/>
  <c r="P191" i="59"/>
  <c r="P192" i="59"/>
  <c r="Q192" i="59" s="1"/>
  <c r="P193" i="59"/>
  <c r="Q193" i="59" s="1"/>
  <c r="P195" i="59"/>
  <c r="Q195" i="59" s="1"/>
  <c r="P196" i="59"/>
  <c r="P197" i="59"/>
  <c r="Q197" i="59" s="1"/>
  <c r="P198" i="59"/>
  <c r="Q198" i="59" s="1"/>
  <c r="P199" i="59"/>
  <c r="Q199" i="59" s="1"/>
  <c r="P200" i="59"/>
  <c r="Q200" i="59" s="1"/>
  <c r="P201" i="59"/>
  <c r="Q201" i="59" s="1"/>
  <c r="P203" i="59"/>
  <c r="Q203" i="59" s="1"/>
  <c r="P204" i="59"/>
  <c r="Q204" i="59" s="1"/>
  <c r="P205" i="59"/>
  <c r="Q205" i="59" s="1"/>
  <c r="P206" i="59"/>
  <c r="Q206" i="59" s="1"/>
  <c r="P207" i="59"/>
  <c r="Q207" i="59" s="1"/>
  <c r="P208" i="59"/>
  <c r="Q208" i="59" s="1"/>
  <c r="P209" i="59"/>
  <c r="Q209" i="59" s="1"/>
  <c r="P211" i="59"/>
  <c r="Q211" i="59" s="1"/>
  <c r="P212" i="59"/>
  <c r="Q212" i="59" s="1"/>
  <c r="P213" i="59"/>
  <c r="P216" i="59"/>
  <c r="Q216" i="59" s="1"/>
  <c r="P217" i="59"/>
  <c r="Q217" i="59" s="1"/>
  <c r="P219" i="59"/>
  <c r="Q219" i="59" s="1"/>
  <c r="Q96" i="59"/>
  <c r="Q100" i="59"/>
  <c r="Q112" i="59"/>
  <c r="Q120" i="59"/>
  <c r="Q140" i="59"/>
  <c r="Q103" i="59"/>
  <c r="Q107" i="59"/>
  <c r="Q172" i="59"/>
  <c r="Q173" i="59"/>
  <c r="Q196" i="59"/>
  <c r="P45" i="59"/>
  <c r="Q93" i="59"/>
  <c r="Q101" i="59"/>
  <c r="Q106" i="59"/>
  <c r="Q117" i="59"/>
  <c r="Q118" i="59"/>
  <c r="Q122" i="59"/>
  <c r="Q126" i="59"/>
  <c r="Q129" i="59"/>
  <c r="Q131" i="59"/>
  <c r="Q141" i="59"/>
  <c r="Q162" i="59"/>
  <c r="Q181" i="59"/>
  <c r="Q56" i="59"/>
  <c r="Q69" i="59"/>
  <c r="Q82" i="59"/>
  <c r="Q84" i="59"/>
  <c r="Q86" i="59"/>
  <c r="Q87" i="59"/>
  <c r="G91" i="59"/>
  <c r="G92" i="59"/>
  <c r="G93" i="59"/>
  <c r="H93" i="59" s="1"/>
  <c r="G94" i="59"/>
  <c r="H94" i="59" s="1"/>
  <c r="G95" i="59"/>
  <c r="H95" i="59"/>
  <c r="G97" i="59"/>
  <c r="H97" i="59" s="1"/>
  <c r="G98" i="59"/>
  <c r="H98" i="59" s="1"/>
  <c r="G99" i="59"/>
  <c r="G101" i="59"/>
  <c r="H101" i="59" s="1"/>
  <c r="G102" i="59"/>
  <c r="G103" i="59"/>
  <c r="G105" i="59"/>
  <c r="H105" i="59" s="1"/>
  <c r="G106" i="59"/>
  <c r="H106" i="59" s="1"/>
  <c r="G107" i="59"/>
  <c r="H107" i="59" s="1"/>
  <c r="G109" i="59"/>
  <c r="G110" i="59"/>
  <c r="H110" i="59" s="1"/>
  <c r="G111" i="59"/>
  <c r="H111" i="59" s="1"/>
  <c r="G113" i="59"/>
  <c r="G114" i="59"/>
  <c r="H114" i="59" s="1"/>
  <c r="G115" i="59"/>
  <c r="H115" i="59" s="1"/>
  <c r="G117" i="59"/>
  <c r="G118" i="59"/>
  <c r="H118" i="59" s="1"/>
  <c r="G119" i="59"/>
  <c r="H119" i="59" s="1"/>
  <c r="G121" i="59"/>
  <c r="H121" i="59" s="1"/>
  <c r="G122" i="59"/>
  <c r="H122" i="59" s="1"/>
  <c r="G123" i="59"/>
  <c r="H123" i="59" s="1"/>
  <c r="G125" i="59"/>
  <c r="G126" i="59"/>
  <c r="H126" i="59" s="1"/>
  <c r="G127" i="59"/>
  <c r="H127" i="59" s="1"/>
  <c r="G129" i="59"/>
  <c r="G130" i="59"/>
  <c r="G131" i="59"/>
  <c r="H131" i="59" s="1"/>
  <c r="G133" i="59"/>
  <c r="H133" i="59" s="1"/>
  <c r="G134" i="59"/>
  <c r="H134" i="59" s="1"/>
  <c r="G135" i="59"/>
  <c r="H135" i="59" s="1"/>
  <c r="G137" i="59"/>
  <c r="H137" i="59" s="1"/>
  <c r="G138" i="59"/>
  <c r="H138" i="59" s="1"/>
  <c r="G139" i="59"/>
  <c r="H139" i="59" s="1"/>
  <c r="G141" i="59"/>
  <c r="G142" i="59"/>
  <c r="H142" i="59" s="1"/>
  <c r="G143" i="59"/>
  <c r="H143" i="59" s="1"/>
  <c r="G145" i="59"/>
  <c r="H145" i="59" s="1"/>
  <c r="G146" i="59"/>
  <c r="H146" i="59" s="1"/>
  <c r="G147" i="59"/>
  <c r="H147" i="59" s="1"/>
  <c r="G149" i="59"/>
  <c r="H149" i="59" s="1"/>
  <c r="G151" i="59"/>
  <c r="H151" i="59" s="1"/>
  <c r="G153" i="59"/>
  <c r="H153" i="59" s="1"/>
  <c r="G154" i="59"/>
  <c r="H154" i="59" s="1"/>
  <c r="G155" i="59"/>
  <c r="H155" i="59" s="1"/>
  <c r="G158" i="59"/>
  <c r="H158" i="59" s="1"/>
  <c r="G159" i="59"/>
  <c r="H159" i="59" s="1"/>
  <c r="G161" i="59"/>
  <c r="G162" i="59"/>
  <c r="H162" i="59" s="1"/>
  <c r="G163" i="59"/>
  <c r="H163" i="59" s="1"/>
  <c r="G165" i="59"/>
  <c r="G166" i="59"/>
  <c r="H166" i="59" s="1"/>
  <c r="G167" i="59"/>
  <c r="H167" i="59" s="1"/>
  <c r="G168" i="59"/>
  <c r="G169" i="59"/>
  <c r="H169" i="59" s="1"/>
  <c r="G170" i="59"/>
  <c r="H170" i="59" s="1"/>
  <c r="G171" i="59"/>
  <c r="H171" i="59" s="1"/>
  <c r="G173" i="59"/>
  <c r="H173" i="59" s="1"/>
  <c r="G174" i="59"/>
  <c r="H174" i="59" s="1"/>
  <c r="G175" i="59"/>
  <c r="H175" i="59" s="1"/>
  <c r="G177" i="59"/>
  <c r="H177" i="59" s="1"/>
  <c r="G178" i="59"/>
  <c r="H178" i="59" s="1"/>
  <c r="G179" i="59"/>
  <c r="H179" i="59"/>
  <c r="G180" i="59"/>
  <c r="H180" i="59" s="1"/>
  <c r="G182" i="59"/>
  <c r="H182" i="59" s="1"/>
  <c r="G183" i="59"/>
  <c r="H183" i="59" s="1"/>
  <c r="G186" i="59"/>
  <c r="H186" i="59" s="1"/>
  <c r="G187" i="59"/>
  <c r="H187" i="59" s="1"/>
  <c r="G188" i="59"/>
  <c r="H188" i="59" s="1"/>
  <c r="G190" i="59"/>
  <c r="H190" i="59" s="1"/>
  <c r="G191" i="59"/>
  <c r="H191" i="59" s="1"/>
  <c r="G193" i="59"/>
  <c r="G194" i="59"/>
  <c r="H194" i="59" s="1"/>
  <c r="G195" i="59"/>
  <c r="G196" i="59"/>
  <c r="G197" i="59"/>
  <c r="G198" i="59"/>
  <c r="H198" i="59" s="1"/>
  <c r="G199" i="59"/>
  <c r="H199" i="59" s="1"/>
  <c r="G200" i="59"/>
  <c r="G201" i="59"/>
  <c r="G202" i="59"/>
  <c r="H202" i="59" s="1"/>
  <c r="G203" i="59"/>
  <c r="H203" i="59" s="1"/>
  <c r="G204" i="59"/>
  <c r="H204" i="59" s="1"/>
  <c r="G205" i="59"/>
  <c r="H205" i="59" s="1"/>
  <c r="G206" i="59"/>
  <c r="H206" i="59" s="1"/>
  <c r="G207" i="59"/>
  <c r="H207" i="59" s="1"/>
  <c r="G208" i="59"/>
  <c r="H208" i="59" s="1"/>
  <c r="G209" i="59"/>
  <c r="H209" i="59" s="1"/>
  <c r="G210" i="59"/>
  <c r="H210" i="59" s="1"/>
  <c r="G211" i="59"/>
  <c r="H211" i="59" s="1"/>
  <c r="G213" i="59"/>
  <c r="H213" i="59" s="1"/>
  <c r="G214" i="59"/>
  <c r="H214" i="59" s="1"/>
  <c r="G216" i="59"/>
  <c r="H216" i="59" s="1"/>
  <c r="G217" i="59"/>
  <c r="H217" i="59" s="1"/>
  <c r="G218" i="59"/>
  <c r="H218" i="59" s="1"/>
  <c r="G219" i="59"/>
  <c r="H219" i="59" s="1"/>
  <c r="H99" i="59"/>
  <c r="H165" i="59"/>
  <c r="H193" i="59"/>
  <c r="H195" i="59"/>
  <c r="G9" i="59"/>
  <c r="H102" i="59"/>
  <c r="H103" i="59"/>
  <c r="H150" i="59"/>
  <c r="H161" i="59"/>
  <c r="H181" i="59"/>
  <c r="H215" i="59"/>
  <c r="H82" i="59"/>
  <c r="B93" i="101"/>
  <c r="B89" i="101"/>
  <c r="B88" i="101"/>
  <c r="B87" i="101"/>
  <c r="B86" i="101"/>
  <c r="B85" i="101"/>
  <c r="B83" i="101"/>
  <c r="B80" i="101"/>
  <c r="B70" i="101"/>
  <c r="B68" i="101"/>
  <c r="B61" i="101"/>
  <c r="B57" i="101"/>
  <c r="B86" i="100"/>
  <c r="C87" i="99"/>
  <c r="C86" i="99"/>
  <c r="C85" i="99"/>
  <c r="C84" i="99"/>
  <c r="C83" i="99"/>
  <c r="C81" i="99"/>
  <c r="C78" i="99"/>
  <c r="C68" i="99"/>
  <c r="C66" i="99"/>
  <c r="C59" i="99"/>
  <c r="C55" i="99"/>
  <c r="C87" i="98"/>
  <c r="C86" i="98"/>
  <c r="C85" i="98"/>
  <c r="C84" i="98"/>
  <c r="C83" i="98"/>
  <c r="C81" i="98"/>
  <c r="C78" i="98"/>
  <c r="C68" i="98"/>
  <c r="C66" i="98"/>
  <c r="C59" i="98"/>
  <c r="C55" i="98"/>
  <c r="N25" i="13"/>
  <c r="N26" i="13"/>
  <c r="N64" i="13"/>
  <c r="N62" i="13"/>
  <c r="N65" i="13"/>
  <c r="N83" i="13"/>
  <c r="N72" i="13"/>
  <c r="N91" i="13"/>
  <c r="F30" i="36"/>
  <c r="L30" i="36" s="1"/>
  <c r="G49" i="8"/>
  <c r="F100" i="8"/>
  <c r="G102" i="8"/>
  <c r="E26" i="24"/>
  <c r="P11" i="12"/>
  <c r="P15" i="12"/>
  <c r="P18" i="12"/>
  <c r="P19" i="12"/>
  <c r="P27" i="12"/>
  <c r="P33" i="12"/>
  <c r="P34" i="12"/>
  <c r="P35" i="12"/>
  <c r="P38" i="12"/>
  <c r="P42" i="12"/>
  <c r="P43" i="12"/>
  <c r="P47" i="12"/>
  <c r="D80" i="24"/>
  <c r="E48" i="24"/>
  <c r="H89" i="14"/>
  <c r="I89" i="14" s="1"/>
  <c r="H88" i="14"/>
  <c r="I88" i="14" s="1"/>
  <c r="H87" i="14"/>
  <c r="I87" i="14" s="1"/>
  <c r="H86" i="14"/>
  <c r="I86" i="14" s="1"/>
  <c r="H85" i="14"/>
  <c r="I85" i="14" s="1"/>
  <c r="H84" i="14"/>
  <c r="I84" i="14"/>
  <c r="H83" i="14"/>
  <c r="I83" i="14" s="1"/>
  <c r="H82" i="14"/>
  <c r="I82" i="14" s="1"/>
  <c r="H81" i="14"/>
  <c r="I81" i="14" s="1"/>
  <c r="H80" i="14"/>
  <c r="I80" i="14" s="1"/>
  <c r="H79" i="14"/>
  <c r="I79" i="14" s="1"/>
  <c r="H78" i="14"/>
  <c r="I78" i="14"/>
  <c r="H77" i="14"/>
  <c r="I77" i="14" s="1"/>
  <c r="H76" i="14"/>
  <c r="I76" i="14"/>
  <c r="H75" i="14"/>
  <c r="I75" i="14" s="1"/>
  <c r="H74" i="14"/>
  <c r="I74" i="14" s="1"/>
  <c r="H73" i="14"/>
  <c r="I73" i="14" s="1"/>
  <c r="H72" i="14"/>
  <c r="I72" i="14"/>
  <c r="H71" i="14"/>
  <c r="I71" i="14" s="1"/>
  <c r="H70" i="14"/>
  <c r="I70" i="14"/>
  <c r="H69" i="14"/>
  <c r="I69" i="14" s="1"/>
  <c r="H68" i="14"/>
  <c r="I68" i="14"/>
  <c r="H67" i="14"/>
  <c r="I67" i="14" s="1"/>
  <c r="H66" i="14"/>
  <c r="I66" i="14" s="1"/>
  <c r="H65" i="14"/>
  <c r="I65" i="14" s="1"/>
  <c r="H64" i="14"/>
  <c r="I64" i="14"/>
  <c r="H63" i="14"/>
  <c r="I63" i="14" s="1"/>
  <c r="H62" i="14"/>
  <c r="I62" i="14" s="1"/>
  <c r="H61" i="14"/>
  <c r="I61" i="14" s="1"/>
  <c r="H60" i="14"/>
  <c r="I60" i="14"/>
  <c r="H59" i="14"/>
  <c r="I59" i="14" s="1"/>
  <c r="H58" i="14"/>
  <c r="I58" i="14" s="1"/>
  <c r="H57" i="14"/>
  <c r="I57" i="14" s="1"/>
  <c r="H56" i="14"/>
  <c r="I56" i="14" s="1"/>
  <c r="H55" i="14"/>
  <c r="I55" i="14" s="1"/>
  <c r="H54" i="14"/>
  <c r="I54" i="14"/>
  <c r="M45" i="14"/>
  <c r="B39" i="14"/>
  <c r="H39" i="14"/>
  <c r="I39" i="14"/>
  <c r="J39" i="14"/>
  <c r="B43" i="14"/>
  <c r="H47" i="15"/>
  <c r="D2" i="60"/>
  <c r="M26" i="15"/>
  <c r="M31" i="14"/>
  <c r="C51" i="15"/>
  <c r="H48" i="15"/>
  <c r="B19" i="25"/>
  <c r="F19" i="25" s="1"/>
  <c r="H19" i="25"/>
  <c r="O19" i="25" s="1"/>
  <c r="B44" i="24"/>
  <c r="E44" i="24"/>
  <c r="H43" i="25"/>
  <c r="M32" i="15"/>
  <c r="H10" i="25"/>
  <c r="H11" i="25"/>
  <c r="H12" i="25"/>
  <c r="H13" i="25"/>
  <c r="C18" i="25"/>
  <c r="H21" i="25"/>
  <c r="B21" i="25"/>
  <c r="H36" i="25"/>
  <c r="C37" i="25"/>
  <c r="C41" i="25"/>
  <c r="H44" i="25"/>
  <c r="B16" i="25"/>
  <c r="F16" i="25" s="1"/>
  <c r="B35" i="25"/>
  <c r="F35" i="25" s="1"/>
  <c r="D44" i="24"/>
  <c r="N43" i="13"/>
  <c r="M44" i="15"/>
  <c r="N27" i="13"/>
  <c r="G23" i="13"/>
  <c r="H23" i="13" s="1"/>
  <c r="I23" i="14"/>
  <c r="L23" i="14"/>
  <c r="G14" i="13"/>
  <c r="H14" i="13" s="1"/>
  <c r="I14" i="14"/>
  <c r="H14" i="14"/>
  <c r="J14" i="14"/>
  <c r="M13" i="14"/>
  <c r="K101" i="54"/>
  <c r="E101" i="54"/>
  <c r="J101" i="54"/>
  <c r="H101" i="54"/>
  <c r="G101" i="54"/>
  <c r="F101" i="54"/>
  <c r="C101" i="54"/>
  <c r="B101" i="54"/>
  <c r="I100" i="54"/>
  <c r="K100" i="54"/>
  <c r="D100" i="54"/>
  <c r="E100" i="54"/>
  <c r="J100" i="54"/>
  <c r="H100" i="54"/>
  <c r="G100" i="54"/>
  <c r="F100" i="54"/>
  <c r="C100" i="54"/>
  <c r="B100" i="54"/>
  <c r="K99" i="54"/>
  <c r="E99" i="54"/>
  <c r="J99" i="54"/>
  <c r="H99" i="54"/>
  <c r="G99" i="54"/>
  <c r="F99" i="54"/>
  <c r="C99" i="54"/>
  <c r="B99" i="54"/>
  <c r="G41" i="13"/>
  <c r="H41" i="13" s="1"/>
  <c r="M24" i="14"/>
  <c r="M11" i="14"/>
  <c r="C12" i="24"/>
  <c r="F12" i="24"/>
  <c r="M16" i="14"/>
  <c r="S17" i="23"/>
  <c r="M18" i="14"/>
  <c r="M28" i="14"/>
  <c r="M29" i="14"/>
  <c r="F33" i="23"/>
  <c r="S33" i="23" s="1"/>
  <c r="H33" i="23"/>
  <c r="M35" i="14"/>
  <c r="C36" i="24"/>
  <c r="M36" i="14"/>
  <c r="F37" i="23"/>
  <c r="H37" i="23"/>
  <c r="M40" i="14"/>
  <c r="G46" i="13"/>
  <c r="H46" i="13" s="1"/>
  <c r="C103" i="9"/>
  <c r="D103" i="9"/>
  <c r="D62" i="36"/>
  <c r="E87" i="24"/>
  <c r="A88" i="24"/>
  <c r="A87" i="24"/>
  <c r="A86" i="24"/>
  <c r="A85" i="24"/>
  <c r="A84" i="24"/>
  <c r="A82" i="24"/>
  <c r="A79" i="24"/>
  <c r="A69" i="24"/>
  <c r="A67" i="24"/>
  <c r="A60" i="24"/>
  <c r="A56" i="24"/>
  <c r="A88" i="23"/>
  <c r="A87" i="23"/>
  <c r="A86" i="23"/>
  <c r="A85" i="23"/>
  <c r="A84" i="23"/>
  <c r="A82" i="23"/>
  <c r="A79" i="23"/>
  <c r="A69" i="23"/>
  <c r="A67" i="23"/>
  <c r="A60" i="23"/>
  <c r="A56" i="23"/>
  <c r="A88" i="14"/>
  <c r="A87" i="14"/>
  <c r="A86" i="14"/>
  <c r="A85" i="14"/>
  <c r="A84" i="14"/>
  <c r="A82" i="14"/>
  <c r="A79" i="14"/>
  <c r="A69" i="14"/>
  <c r="A67" i="14"/>
  <c r="A60" i="14"/>
  <c r="A56" i="14"/>
  <c r="A88" i="15"/>
  <c r="A87" i="15"/>
  <c r="A86" i="15"/>
  <c r="A85" i="15"/>
  <c r="A84" i="15"/>
  <c r="A82" i="15"/>
  <c r="A79" i="15"/>
  <c r="A69" i="15"/>
  <c r="A67" i="15"/>
  <c r="A60" i="15"/>
  <c r="A56" i="15"/>
  <c r="B87" i="21"/>
  <c r="A88" i="25"/>
  <c r="A87" i="25"/>
  <c r="A86" i="25"/>
  <c r="A85" i="25"/>
  <c r="A84" i="25"/>
  <c r="A82" i="25"/>
  <c r="A79" i="25"/>
  <c r="A69" i="25"/>
  <c r="A67" i="25"/>
  <c r="A60" i="25"/>
  <c r="A56" i="25"/>
  <c r="A88" i="13"/>
  <c r="N88" i="13" s="1"/>
  <c r="A87" i="13"/>
  <c r="A86" i="13"/>
  <c r="A85" i="13"/>
  <c r="A84" i="13"/>
  <c r="A82" i="13"/>
  <c r="A79" i="13"/>
  <c r="A69" i="13"/>
  <c r="A67" i="13"/>
  <c r="A60" i="13"/>
  <c r="N60" i="13"/>
  <c r="A56" i="13"/>
  <c r="A88" i="12"/>
  <c r="A87" i="12"/>
  <c r="A86" i="12"/>
  <c r="A85" i="12"/>
  <c r="A84" i="12"/>
  <c r="A82" i="12"/>
  <c r="A79" i="12"/>
  <c r="A69" i="12"/>
  <c r="A67" i="12"/>
  <c r="A60" i="12"/>
  <c r="A57" i="12"/>
  <c r="G38" i="24"/>
  <c r="D38" i="24"/>
  <c r="G36" i="24"/>
  <c r="J36" i="24"/>
  <c r="D33" i="24"/>
  <c r="G30" i="24"/>
  <c r="G29" i="24"/>
  <c r="G26" i="24"/>
  <c r="D26" i="24"/>
  <c r="G24" i="24"/>
  <c r="D24" i="24"/>
  <c r="G17" i="24"/>
  <c r="G15" i="24"/>
  <c r="D15" i="24"/>
  <c r="D14" i="24"/>
  <c r="D12" i="24"/>
  <c r="G12" i="24"/>
  <c r="U15" i="29"/>
  <c r="U15" i="27"/>
  <c r="U16" i="29"/>
  <c r="U16" i="27"/>
  <c r="U17" i="29"/>
  <c r="U17" i="27"/>
  <c r="U18" i="29"/>
  <c r="U19" i="29"/>
  <c r="U19" i="27"/>
  <c r="U19" i="28" s="1"/>
  <c r="U20" i="29"/>
  <c r="U21" i="29"/>
  <c r="U21" i="27"/>
  <c r="U21" i="28" s="1"/>
  <c r="U22" i="29"/>
  <c r="U23" i="29"/>
  <c r="U23" i="27"/>
  <c r="U23" i="28"/>
  <c r="U24" i="29"/>
  <c r="U24" i="28" s="1"/>
  <c r="U24" i="27"/>
  <c r="U25" i="29"/>
  <c r="U25" i="27"/>
  <c r="U26" i="29"/>
  <c r="U27" i="29"/>
  <c r="U28" i="29"/>
  <c r="U28" i="27"/>
  <c r="U29" i="29"/>
  <c r="U30" i="29"/>
  <c r="U31" i="29"/>
  <c r="U32" i="29"/>
  <c r="U33" i="29"/>
  <c r="U34" i="29"/>
  <c r="U35" i="29"/>
  <c r="U35" i="27"/>
  <c r="U35" i="28"/>
  <c r="U36" i="29"/>
  <c r="U37" i="29"/>
  <c r="U37" i="28" s="1"/>
  <c r="U38" i="29"/>
  <c r="U39" i="29"/>
  <c r="U39" i="27"/>
  <c r="U40" i="29"/>
  <c r="U41" i="29"/>
  <c r="U41" i="27"/>
  <c r="U41" i="28" s="1"/>
  <c r="U42" i="29"/>
  <c r="U42" i="27"/>
  <c r="U43" i="29"/>
  <c r="U44" i="29"/>
  <c r="U45" i="29"/>
  <c r="U45" i="27"/>
  <c r="U46" i="29"/>
  <c r="U47" i="29"/>
  <c r="U48" i="29"/>
  <c r="U48" i="27"/>
  <c r="U48" i="28" s="1"/>
  <c r="U49" i="29"/>
  <c r="U50" i="29"/>
  <c r="U51" i="29"/>
  <c r="U51" i="27"/>
  <c r="U51" i="28"/>
  <c r="U52" i="29"/>
  <c r="U52" i="28" s="1"/>
  <c r="U52" i="27"/>
  <c r="U53" i="29"/>
  <c r="U53" i="27"/>
  <c r="U14" i="29"/>
  <c r="B17" i="25"/>
  <c r="F17" i="25" s="1"/>
  <c r="B20" i="25"/>
  <c r="B39" i="25"/>
  <c r="F39" i="25" s="1"/>
  <c r="L14" i="26"/>
  <c r="R48" i="28"/>
  <c r="W48" i="28"/>
  <c r="S49" i="28"/>
  <c r="W49" i="28"/>
  <c r="T50" i="28"/>
  <c r="W50" i="28"/>
  <c r="S51" i="28"/>
  <c r="W51" i="28"/>
  <c r="R52" i="28"/>
  <c r="T52" i="28"/>
  <c r="W52" i="28"/>
  <c r="R53" i="28"/>
  <c r="V53" i="27"/>
  <c r="V53" i="28"/>
  <c r="T53" i="28"/>
  <c r="W53" i="28"/>
  <c r="R54" i="28"/>
  <c r="W54" i="28"/>
  <c r="R15" i="28"/>
  <c r="T15" i="28"/>
  <c r="V15" i="29"/>
  <c r="W15" i="29"/>
  <c r="W15" i="27"/>
  <c r="W15" i="28" s="1"/>
  <c r="R16" i="28"/>
  <c r="T16" i="28"/>
  <c r="V16" i="29"/>
  <c r="W16" i="29"/>
  <c r="W16" i="27"/>
  <c r="W16" i="28" s="1"/>
  <c r="R17" i="28"/>
  <c r="S17" i="28"/>
  <c r="T17" i="28"/>
  <c r="V17" i="29"/>
  <c r="V17" i="27"/>
  <c r="V17" i="28" s="1"/>
  <c r="W17" i="29"/>
  <c r="W17" i="27"/>
  <c r="W17" i="28" s="1"/>
  <c r="S18" i="28"/>
  <c r="T18" i="28"/>
  <c r="U18" i="27"/>
  <c r="U18" i="28" s="1"/>
  <c r="V18" i="29"/>
  <c r="W18" i="29"/>
  <c r="W18" i="27"/>
  <c r="W18" i="28" s="1"/>
  <c r="R19" i="28"/>
  <c r="T19" i="28"/>
  <c r="V19" i="29"/>
  <c r="W19" i="29"/>
  <c r="W19" i="27"/>
  <c r="R20" i="28"/>
  <c r="T20" i="28"/>
  <c r="V20" i="29"/>
  <c r="W20" i="29"/>
  <c r="W20" i="28" s="1"/>
  <c r="W20" i="27"/>
  <c r="R21" i="28"/>
  <c r="V21" i="27"/>
  <c r="T21" i="28"/>
  <c r="V21" i="29"/>
  <c r="W21" i="29"/>
  <c r="W21" i="27"/>
  <c r="R22" i="28"/>
  <c r="V22" i="27"/>
  <c r="T22" i="28"/>
  <c r="V22" i="29"/>
  <c r="W22" i="29"/>
  <c r="W22" i="27"/>
  <c r="W22" i="28"/>
  <c r="R23" i="28"/>
  <c r="T23" i="28"/>
  <c r="V23" i="29"/>
  <c r="W23" i="29"/>
  <c r="W23" i="28" s="1"/>
  <c r="W23" i="27"/>
  <c r="R24" i="28"/>
  <c r="T24" i="28"/>
  <c r="V24" i="29"/>
  <c r="V24" i="28" s="1"/>
  <c r="V24" i="27"/>
  <c r="W24" i="29"/>
  <c r="W24" i="27"/>
  <c r="R25" i="28"/>
  <c r="S25" i="28"/>
  <c r="V25" i="27"/>
  <c r="V25" i="29"/>
  <c r="V25" i="28" s="1"/>
  <c r="T25" i="28"/>
  <c r="W25" i="29"/>
  <c r="W25" i="27"/>
  <c r="W25" i="28" s="1"/>
  <c r="S26" i="28"/>
  <c r="T26" i="28"/>
  <c r="V26" i="29"/>
  <c r="V26" i="27"/>
  <c r="W26" i="29"/>
  <c r="W26" i="27"/>
  <c r="W26" i="28"/>
  <c r="R27" i="28"/>
  <c r="S27" i="28"/>
  <c r="V27" i="29"/>
  <c r="W27" i="29"/>
  <c r="W27" i="27"/>
  <c r="R28" i="28"/>
  <c r="T28" i="28"/>
  <c r="V28" i="29"/>
  <c r="V28" i="28" s="1"/>
  <c r="V28" i="27"/>
  <c r="W28" i="29"/>
  <c r="W28" i="27"/>
  <c r="R29" i="28"/>
  <c r="T29" i="28"/>
  <c r="W29" i="29"/>
  <c r="W29" i="27"/>
  <c r="W29" i="28"/>
  <c r="T30" i="28"/>
  <c r="W30" i="29"/>
  <c r="W30" i="27"/>
  <c r="W30" i="28"/>
  <c r="R31" i="28"/>
  <c r="W31" i="29"/>
  <c r="W31" i="27"/>
  <c r="W31" i="28"/>
  <c r="R32" i="28"/>
  <c r="T32" i="28"/>
  <c r="W32" i="29"/>
  <c r="W32" i="27"/>
  <c r="W32" i="28" s="1"/>
  <c r="R33" i="28"/>
  <c r="T33" i="28"/>
  <c r="W33" i="28"/>
  <c r="S34" i="28"/>
  <c r="T34" i="28"/>
  <c r="W34" i="28"/>
  <c r="R35" i="28"/>
  <c r="T35" i="28"/>
  <c r="W35" i="28"/>
  <c r="R36" i="28"/>
  <c r="S36" i="28"/>
  <c r="T36" i="28"/>
  <c r="U36" i="27"/>
  <c r="U36" i="28" s="1"/>
  <c r="W36" i="28"/>
  <c r="V37" i="27"/>
  <c r="V37" i="28" s="1"/>
  <c r="R37" i="28"/>
  <c r="S37" i="28"/>
  <c r="T37" i="28"/>
  <c r="W37" i="28"/>
  <c r="R38" i="28"/>
  <c r="S38" i="28"/>
  <c r="W38" i="28"/>
  <c r="R39" i="28"/>
  <c r="T39" i="28"/>
  <c r="W39" i="28"/>
  <c r="R40" i="28"/>
  <c r="U40" i="27"/>
  <c r="S40" i="28"/>
  <c r="T40" i="28"/>
  <c r="W40" i="28"/>
  <c r="R41" i="28"/>
  <c r="S41" i="28"/>
  <c r="W41" i="28"/>
  <c r="R42" i="28"/>
  <c r="T42" i="28"/>
  <c r="W42" i="28"/>
  <c r="S43" i="28"/>
  <c r="T43" i="28"/>
  <c r="W43" i="28"/>
  <c r="V44" i="27"/>
  <c r="V44" i="28" s="1"/>
  <c r="T44" i="28"/>
  <c r="W44" i="28"/>
  <c r="R45" i="28"/>
  <c r="S45" i="28"/>
  <c r="T45" i="28"/>
  <c r="W45" i="28"/>
  <c r="S46" i="28"/>
  <c r="T46" i="28"/>
  <c r="W46" i="28"/>
  <c r="R47" i="28"/>
  <c r="T47" i="28"/>
  <c r="W47" i="28"/>
  <c r="V14" i="27"/>
  <c r="V14" i="28" s="1"/>
  <c r="V14" i="29"/>
  <c r="T14" i="28"/>
  <c r="R14" i="28"/>
  <c r="W14" i="29"/>
  <c r="W14" i="28" s="1"/>
  <c r="W14" i="27"/>
  <c r="Q48" i="28"/>
  <c r="Q49" i="28"/>
  <c r="Q50" i="28"/>
  <c r="Q51" i="28"/>
  <c r="Q52" i="28"/>
  <c r="Q53" i="28"/>
  <c r="Q54" i="28"/>
  <c r="P15" i="28"/>
  <c r="Q15" i="28"/>
  <c r="P16" i="28"/>
  <c r="Q16" i="28"/>
  <c r="P17" i="28"/>
  <c r="Q17" i="28"/>
  <c r="P18" i="28"/>
  <c r="Q18" i="28"/>
  <c r="P19" i="28"/>
  <c r="Q19" i="28"/>
  <c r="P20" i="28"/>
  <c r="Q20" i="28"/>
  <c r="P21" i="28"/>
  <c r="Q21" i="28"/>
  <c r="P22" i="28"/>
  <c r="Q22" i="28"/>
  <c r="P23" i="28"/>
  <c r="Q23" i="28"/>
  <c r="P24" i="28"/>
  <c r="Q24" i="28"/>
  <c r="P25" i="28"/>
  <c r="Q25" i="28"/>
  <c r="P26" i="28"/>
  <c r="Q26" i="28"/>
  <c r="P27" i="28"/>
  <c r="Q27" i="28"/>
  <c r="P28" i="28"/>
  <c r="Q28" i="28"/>
  <c r="P29" i="28"/>
  <c r="Q29" i="28"/>
  <c r="P30" i="28"/>
  <c r="Q30" i="28"/>
  <c r="P31" i="28"/>
  <c r="Q31" i="28"/>
  <c r="P32" i="28"/>
  <c r="Q32" i="28"/>
  <c r="P33" i="28"/>
  <c r="Q33" i="28"/>
  <c r="P34" i="28"/>
  <c r="Q34" i="28"/>
  <c r="P35" i="28"/>
  <c r="Q35" i="28"/>
  <c r="P36" i="28"/>
  <c r="Q36" i="28"/>
  <c r="P37" i="28"/>
  <c r="Q37" i="28"/>
  <c r="P38" i="28"/>
  <c r="Q38" i="28"/>
  <c r="P39" i="28"/>
  <c r="Q39" i="28"/>
  <c r="P40" i="28"/>
  <c r="Q40" i="28"/>
  <c r="P41" i="28"/>
  <c r="Q41" i="28"/>
  <c r="P42" i="28"/>
  <c r="Q42" i="28"/>
  <c r="P43" i="28"/>
  <c r="Q43" i="28"/>
  <c r="P44" i="28"/>
  <c r="Q44" i="28"/>
  <c r="P45" i="28"/>
  <c r="Q45" i="28"/>
  <c r="P46" i="28"/>
  <c r="Q46" i="28"/>
  <c r="P47" i="28"/>
  <c r="Q47" i="28"/>
  <c r="Q14" i="28"/>
  <c r="P48" i="28"/>
  <c r="P49" i="28"/>
  <c r="P50" i="28"/>
  <c r="P51" i="28"/>
  <c r="P52" i="28"/>
  <c r="P53" i="28"/>
  <c r="P54" i="28"/>
  <c r="P14" i="28"/>
  <c r="O15" i="28"/>
  <c r="O16" i="28"/>
  <c r="O17" i="28"/>
  <c r="O18" i="28"/>
  <c r="O19" i="28"/>
  <c r="O20" i="28"/>
  <c r="O21" i="28"/>
  <c r="O22" i="28"/>
  <c r="O23" i="28"/>
  <c r="O24" i="28"/>
  <c r="O25" i="28"/>
  <c r="O26" i="28"/>
  <c r="O27" i="28"/>
  <c r="O28" i="28"/>
  <c r="O29" i="28"/>
  <c r="O30" i="28"/>
  <c r="O31" i="28"/>
  <c r="O32" i="28"/>
  <c r="O33" i="28"/>
  <c r="O34" i="28"/>
  <c r="O35" i="28"/>
  <c r="O36" i="28"/>
  <c r="O37" i="28"/>
  <c r="O38" i="28"/>
  <c r="O39" i="28"/>
  <c r="O40" i="28"/>
  <c r="O41" i="28"/>
  <c r="O42" i="28"/>
  <c r="O43" i="28"/>
  <c r="O44" i="28"/>
  <c r="O45" i="28"/>
  <c r="O46" i="28"/>
  <c r="O47" i="28"/>
  <c r="O48" i="28"/>
  <c r="O49" i="28"/>
  <c r="O50" i="28"/>
  <c r="O51" i="28"/>
  <c r="O52" i="28"/>
  <c r="O53" i="28"/>
  <c r="O54" i="28"/>
  <c r="O14" i="28"/>
  <c r="N15" i="28"/>
  <c r="N16" i="28"/>
  <c r="N17" i="28"/>
  <c r="N18" i="28"/>
  <c r="N19" i="28"/>
  <c r="N20" i="28"/>
  <c r="N21" i="28"/>
  <c r="N22" i="28"/>
  <c r="N23" i="28"/>
  <c r="N24" i="28"/>
  <c r="N25" i="28"/>
  <c r="N26" i="28"/>
  <c r="N27" i="28"/>
  <c r="N28" i="28"/>
  <c r="N29" i="28"/>
  <c r="N30" i="28"/>
  <c r="N31" i="28"/>
  <c r="N32" i="28"/>
  <c r="N33" i="28"/>
  <c r="N34" i="28"/>
  <c r="N35" i="28"/>
  <c r="N36" i="28"/>
  <c r="N37" i="28"/>
  <c r="N38" i="28"/>
  <c r="N39" i="28"/>
  <c r="N40" i="28"/>
  <c r="N41" i="28"/>
  <c r="N42" i="28"/>
  <c r="N43" i="28"/>
  <c r="N44" i="28"/>
  <c r="N45" i="28"/>
  <c r="N46" i="28"/>
  <c r="N47" i="28"/>
  <c r="N48" i="28"/>
  <c r="N49" i="28"/>
  <c r="N50" i="28"/>
  <c r="N51" i="28"/>
  <c r="N52" i="28"/>
  <c r="N53" i="28"/>
  <c r="N54" i="28"/>
  <c r="N14" i="28"/>
  <c r="D32" i="24"/>
  <c r="M32" i="14"/>
  <c r="M11" i="15"/>
  <c r="M12" i="15"/>
  <c r="F13" i="24"/>
  <c r="C13" i="24"/>
  <c r="E14" i="24"/>
  <c r="M14" i="15"/>
  <c r="B15" i="24"/>
  <c r="F15" i="24"/>
  <c r="C15" i="24"/>
  <c r="T16" i="21"/>
  <c r="M16" i="15"/>
  <c r="M17" i="15"/>
  <c r="E18" i="24"/>
  <c r="B18" i="24"/>
  <c r="M18" i="15"/>
  <c r="E19" i="24"/>
  <c r="B19" i="24"/>
  <c r="E21" i="24"/>
  <c r="H21" i="24" s="1"/>
  <c r="B21" i="24"/>
  <c r="M21" i="15"/>
  <c r="M22" i="15"/>
  <c r="G22" i="24"/>
  <c r="B23" i="24"/>
  <c r="E23" i="24"/>
  <c r="M23" i="15"/>
  <c r="B24" i="24"/>
  <c r="M24" i="15"/>
  <c r="M25" i="15"/>
  <c r="M28" i="15"/>
  <c r="M29" i="15"/>
  <c r="F30" i="24"/>
  <c r="B33" i="24"/>
  <c r="E33" i="24"/>
  <c r="M33" i="15"/>
  <c r="M35" i="15"/>
  <c r="E36" i="24"/>
  <c r="B36" i="24"/>
  <c r="H36" i="24" s="1"/>
  <c r="M36" i="15"/>
  <c r="D37" i="24"/>
  <c r="G37" i="24"/>
  <c r="J37" i="24" s="1"/>
  <c r="B40" i="24"/>
  <c r="F40" i="24"/>
  <c r="M40" i="15"/>
  <c r="M41" i="15"/>
  <c r="T42" i="21"/>
  <c r="G42" i="24"/>
  <c r="M10" i="15"/>
  <c r="B10" i="15"/>
  <c r="B10" i="14"/>
  <c r="L96" i="26"/>
  <c r="L95" i="26"/>
  <c r="L79" i="26"/>
  <c r="L80" i="26"/>
  <c r="L82" i="26"/>
  <c r="L83" i="26"/>
  <c r="L84" i="26"/>
  <c r="L85" i="26"/>
  <c r="L86" i="26"/>
  <c r="L88" i="26"/>
  <c r="L90" i="26"/>
  <c r="L91" i="26"/>
  <c r="L92" i="26"/>
  <c r="L78" i="26"/>
  <c r="L73" i="26"/>
  <c r="L74" i="26"/>
  <c r="L72" i="26"/>
  <c r="L67" i="26"/>
  <c r="L69" i="26"/>
  <c r="L66" i="26"/>
  <c r="L60" i="26"/>
  <c r="L61" i="26"/>
  <c r="L62" i="26"/>
  <c r="L63" i="26"/>
  <c r="L64" i="26"/>
  <c r="L53" i="26"/>
  <c r="L54" i="26"/>
  <c r="L56" i="26"/>
  <c r="L57" i="26"/>
  <c r="L52" i="26"/>
  <c r="L43" i="26"/>
  <c r="L44" i="26"/>
  <c r="L45" i="26"/>
  <c r="L46" i="26"/>
  <c r="L47" i="26"/>
  <c r="L48" i="26"/>
  <c r="L49" i="26"/>
  <c r="L50" i="26"/>
  <c r="L42" i="26"/>
  <c r="L40" i="26"/>
  <c r="L31" i="26"/>
  <c r="L32" i="26"/>
  <c r="L33" i="26"/>
  <c r="L34" i="26"/>
  <c r="L36" i="26"/>
  <c r="L37" i="26"/>
  <c r="L22" i="26"/>
  <c r="L25" i="26"/>
  <c r="L16" i="26"/>
  <c r="L17" i="26"/>
  <c r="L18" i="26"/>
  <c r="L19" i="26"/>
  <c r="L15" i="26"/>
  <c r="L13" i="26"/>
  <c r="L11" i="26"/>
  <c r="L9" i="26"/>
  <c r="Q91" i="13" s="1"/>
  <c r="I99" i="26"/>
  <c r="K99" i="26"/>
  <c r="E99" i="26"/>
  <c r="I100" i="26"/>
  <c r="K100" i="26"/>
  <c r="D100" i="26"/>
  <c r="E100" i="26"/>
  <c r="C100" i="26"/>
  <c r="F100" i="26"/>
  <c r="G100" i="26"/>
  <c r="H100" i="26"/>
  <c r="J100" i="26"/>
  <c r="B100" i="26"/>
  <c r="J99" i="26"/>
  <c r="B99" i="26"/>
  <c r="C99" i="26"/>
  <c r="F99" i="26"/>
  <c r="G99" i="26"/>
  <c r="I101" i="26"/>
  <c r="K101" i="26"/>
  <c r="E101" i="26"/>
  <c r="J101" i="26"/>
  <c r="B101" i="26"/>
  <c r="C101" i="26"/>
  <c r="F101" i="26"/>
  <c r="G101" i="26"/>
  <c r="H101" i="26"/>
  <c r="H14" i="25"/>
  <c r="H16" i="25"/>
  <c r="H17" i="25"/>
  <c r="H18" i="25"/>
  <c r="H20" i="25"/>
  <c r="H22" i="25"/>
  <c r="H25" i="25"/>
  <c r="H27" i="25"/>
  <c r="H28" i="25"/>
  <c r="H29" i="25"/>
  <c r="E30" i="25"/>
  <c r="J30" i="25"/>
  <c r="H30" i="25"/>
  <c r="H31" i="25"/>
  <c r="H32" i="25"/>
  <c r="H33" i="25"/>
  <c r="H34" i="25"/>
  <c r="H35" i="25"/>
  <c r="H37" i="25"/>
  <c r="H38" i="25"/>
  <c r="H39" i="25"/>
  <c r="H41" i="25"/>
  <c r="H42" i="25"/>
  <c r="L10" i="29"/>
  <c r="L11" i="29" s="1"/>
  <c r="L12" i="29" s="1"/>
  <c r="L13" i="29" s="1"/>
  <c r="L14" i="29" s="1"/>
  <c r="L15" i="29" s="1"/>
  <c r="L16" i="29" s="1"/>
  <c r="L17" i="29" s="1"/>
  <c r="L18" i="29" s="1"/>
  <c r="L19" i="29" s="1"/>
  <c r="L20" i="29" s="1"/>
  <c r="L21" i="29" s="1"/>
  <c r="L22" i="29" s="1"/>
  <c r="L23" i="29" s="1"/>
  <c r="L24" i="29" s="1"/>
  <c r="L25" i="29" s="1"/>
  <c r="L26" i="29" s="1"/>
  <c r="L27" i="29" s="1"/>
  <c r="L28" i="29" s="1"/>
  <c r="L29" i="29" s="1"/>
  <c r="L30" i="29" s="1"/>
  <c r="L31" i="29" s="1"/>
  <c r="L32" i="29" s="1"/>
  <c r="L33" i="29" s="1"/>
  <c r="L34" i="29" s="1"/>
  <c r="L35" i="29" s="1"/>
  <c r="L36" i="29" s="1"/>
  <c r="L37" i="29" s="1"/>
  <c r="L38" i="29" s="1"/>
  <c r="L39" i="29" s="1"/>
  <c r="L40" i="29" s="1"/>
  <c r="L41" i="29" s="1"/>
  <c r="L42" i="29" s="1"/>
  <c r="L43" i="29" s="1"/>
  <c r="L44" i="29" s="1"/>
  <c r="L45" i="29" s="1"/>
  <c r="L46" i="29" s="1"/>
  <c r="L47" i="29" s="1"/>
  <c r="L48" i="29" s="1"/>
  <c r="L49" i="29" s="1"/>
  <c r="L50" i="29" s="1"/>
  <c r="L51" i="29" s="1"/>
  <c r="L52" i="29" s="1"/>
  <c r="L53" i="29" s="1"/>
  <c r="L54" i="29" s="1"/>
  <c r="AH47" i="20"/>
  <c r="L47" i="20" s="1"/>
  <c r="K47" i="20" s="1"/>
  <c r="M47" i="20"/>
  <c r="AK47" i="20"/>
  <c r="O47" i="20" s="1"/>
  <c r="P47" i="20"/>
  <c r="AB47" i="20"/>
  <c r="F47" i="20" s="1"/>
  <c r="G47" i="20"/>
  <c r="Y47" i="20"/>
  <c r="C47" i="20" s="1"/>
  <c r="D47" i="20"/>
  <c r="L10" i="28"/>
  <c r="L11" i="28" s="1"/>
  <c r="L12" i="28" s="1"/>
  <c r="L13" i="28" s="1"/>
  <c r="L14" i="28" s="1"/>
  <c r="L15" i="28" s="1"/>
  <c r="L16" i="28" s="1"/>
  <c r="L17" i="28" s="1"/>
  <c r="L18" i="28" s="1"/>
  <c r="L19" i="28" s="1"/>
  <c r="L20" i="28" s="1"/>
  <c r="L21" i="28" s="1"/>
  <c r="L22" i="28" s="1"/>
  <c r="L23" i="28" s="1"/>
  <c r="L24" i="28" s="1"/>
  <c r="L25" i="28" s="1"/>
  <c r="L26" i="28" s="1"/>
  <c r="L27" i="28" s="1"/>
  <c r="L28" i="28" s="1"/>
  <c r="L29" i="28" s="1"/>
  <c r="L30" i="28" s="1"/>
  <c r="L31" i="28" s="1"/>
  <c r="L32" i="28" s="1"/>
  <c r="L33" i="28" s="1"/>
  <c r="L34" i="28" s="1"/>
  <c r="L35" i="28" s="1"/>
  <c r="L36" i="28" s="1"/>
  <c r="L37" i="28" s="1"/>
  <c r="L38" i="28" s="1"/>
  <c r="L39" i="28" s="1"/>
  <c r="L40" i="28" s="1"/>
  <c r="L41" i="28" s="1"/>
  <c r="L42" i="28" s="1"/>
  <c r="L43" i="28" s="1"/>
  <c r="L44" i="28" s="1"/>
  <c r="L45" i="28" s="1"/>
  <c r="L46" i="28" s="1"/>
  <c r="L47" i="28" s="1"/>
  <c r="L48" i="28" s="1"/>
  <c r="L49" i="28" s="1"/>
  <c r="L50" i="28" s="1"/>
  <c r="L51" i="28" s="1"/>
  <c r="L52" i="28" s="1"/>
  <c r="L53" i="28" s="1"/>
  <c r="L54" i="28" s="1"/>
  <c r="L10" i="27"/>
  <c r="L11" i="27" s="1"/>
  <c r="L12" i="27" s="1"/>
  <c r="L13" i="27" s="1"/>
  <c r="L14" i="27" s="1"/>
  <c r="L15" i="27" s="1"/>
  <c r="L16" i="27" s="1"/>
  <c r="L17" i="27" s="1"/>
  <c r="L18" i="27" s="1"/>
  <c r="L19" i="27" s="1"/>
  <c r="L20" i="27" s="1"/>
  <c r="L21" i="27" s="1"/>
  <c r="L22" i="27" s="1"/>
  <c r="L23" i="27" s="1"/>
  <c r="L24" i="27" s="1"/>
  <c r="L25" i="27" s="1"/>
  <c r="L26" i="27" s="1"/>
  <c r="L27" i="27" s="1"/>
  <c r="L28" i="27" s="1"/>
  <c r="L29" i="27" s="1"/>
  <c r="L30" i="27" s="1"/>
  <c r="L31" i="27" s="1"/>
  <c r="L32" i="27" s="1"/>
  <c r="L33" i="27" s="1"/>
  <c r="L34" i="27" s="1"/>
  <c r="L35" i="27" s="1"/>
  <c r="L36" i="27" s="1"/>
  <c r="L37" i="27" s="1"/>
  <c r="L38" i="27" s="1"/>
  <c r="L39" i="27" s="1"/>
  <c r="L40" i="27" s="1"/>
  <c r="L41" i="27" s="1"/>
  <c r="L42" i="27" s="1"/>
  <c r="L43" i="27" s="1"/>
  <c r="L44" i="27" s="1"/>
  <c r="L45" i="27" s="1"/>
  <c r="L46" i="27" s="1"/>
  <c r="L47" i="27" s="1"/>
  <c r="L48" i="27" s="1"/>
  <c r="L49" i="27" s="1"/>
  <c r="L50" i="27" s="1"/>
  <c r="L51" i="27" s="1"/>
  <c r="L52" i="27" s="1"/>
  <c r="L53" i="27" s="1"/>
  <c r="L54" i="27" s="1"/>
  <c r="V9" i="29"/>
  <c r="W9" i="29"/>
  <c r="V10" i="29"/>
  <c r="W10" i="29"/>
  <c r="V11" i="29"/>
  <c r="W11" i="29"/>
  <c r="V12" i="29"/>
  <c r="W12" i="29"/>
  <c r="V13" i="29"/>
  <c r="W13" i="29"/>
  <c r="H99" i="26"/>
  <c r="AH60" i="20"/>
  <c r="L60" i="20" s="1"/>
  <c r="M60" i="20"/>
  <c r="AK60" i="20"/>
  <c r="O60" i="20" s="1"/>
  <c r="P60" i="20"/>
  <c r="B42" i="23"/>
  <c r="R42" i="23" s="1"/>
  <c r="R43" i="23"/>
  <c r="I11" i="14"/>
  <c r="L11" i="14"/>
  <c r="I12" i="14"/>
  <c r="L12" i="14"/>
  <c r="I15" i="14"/>
  <c r="L15" i="14"/>
  <c r="I16" i="14"/>
  <c r="L16" i="14"/>
  <c r="I17" i="14"/>
  <c r="L17" i="14"/>
  <c r="I19" i="14"/>
  <c r="L19" i="14"/>
  <c r="I20" i="14"/>
  <c r="L20" i="14"/>
  <c r="I21" i="14"/>
  <c r="L21" i="14"/>
  <c r="I22" i="14"/>
  <c r="L22" i="14"/>
  <c r="I24" i="14"/>
  <c r="H24" i="14"/>
  <c r="J24" i="14"/>
  <c r="I26" i="14"/>
  <c r="L26" i="14"/>
  <c r="I29" i="14"/>
  <c r="L29" i="14"/>
  <c r="I33" i="14"/>
  <c r="L33" i="14"/>
  <c r="I34" i="14"/>
  <c r="H34" i="14"/>
  <c r="L34" i="14" s="1"/>
  <c r="D34" i="13" s="1"/>
  <c r="J34" i="14"/>
  <c r="B34" i="23"/>
  <c r="R34" i="23" s="1"/>
  <c r="I35" i="14"/>
  <c r="L35" i="14"/>
  <c r="I36" i="14"/>
  <c r="L36" i="14"/>
  <c r="I37" i="14"/>
  <c r="L37" i="14"/>
  <c r="I38" i="14"/>
  <c r="L38" i="14"/>
  <c r="I40" i="14"/>
  <c r="L40" i="14"/>
  <c r="I10" i="14"/>
  <c r="H10" i="14"/>
  <c r="J10" i="14"/>
  <c r="G30" i="13"/>
  <c r="G11" i="13"/>
  <c r="H11" i="13" s="1"/>
  <c r="G16" i="13"/>
  <c r="H16" i="13" s="1"/>
  <c r="G17" i="13"/>
  <c r="H17" i="13" s="1"/>
  <c r="G18" i="13"/>
  <c r="H18" i="13" s="1"/>
  <c r="G19" i="13"/>
  <c r="H19" i="13" s="1"/>
  <c r="G21" i="13"/>
  <c r="H21" i="13" s="1"/>
  <c r="G22" i="13"/>
  <c r="H22" i="13" s="1"/>
  <c r="G24" i="13"/>
  <c r="H24" i="13" s="1"/>
  <c r="G28" i="13"/>
  <c r="H28" i="13" s="1"/>
  <c r="G33" i="13"/>
  <c r="H33" i="13" s="1"/>
  <c r="G34" i="13"/>
  <c r="H34" i="13" s="1"/>
  <c r="G37" i="13"/>
  <c r="G38" i="13"/>
  <c r="H38" i="13" s="1"/>
  <c r="G44" i="13"/>
  <c r="H44" i="13" s="1"/>
  <c r="G10" i="13"/>
  <c r="H10" i="13" s="1"/>
  <c r="N11" i="13"/>
  <c r="N12" i="13"/>
  <c r="N15" i="13"/>
  <c r="N16" i="13"/>
  <c r="N18" i="13"/>
  <c r="N19" i="13"/>
  <c r="N20" i="13"/>
  <c r="N24" i="13"/>
  <c r="N28" i="13"/>
  <c r="N30" i="13"/>
  <c r="N32" i="13"/>
  <c r="N34" i="13"/>
  <c r="N35" i="13"/>
  <c r="N39" i="13"/>
  <c r="N40" i="13"/>
  <c r="E24" i="14"/>
  <c r="Y19" i="20"/>
  <c r="Z19" i="20"/>
  <c r="D19" i="20" s="1"/>
  <c r="AB19" i="20"/>
  <c r="F19" i="20" s="1"/>
  <c r="AC19" i="20"/>
  <c r="AE19" i="20"/>
  <c r="I19" i="20" s="1"/>
  <c r="AF19" i="20"/>
  <c r="J19" i="20" s="1"/>
  <c r="AH19" i="20"/>
  <c r="L19" i="20" s="1"/>
  <c r="AI19" i="20"/>
  <c r="AK19" i="20"/>
  <c r="O19" i="20" s="1"/>
  <c r="AL19" i="20"/>
  <c r="P19" i="20" s="1"/>
  <c r="Y18" i="20"/>
  <c r="Z18" i="20"/>
  <c r="D18" i="20" s="1"/>
  <c r="AB18" i="20"/>
  <c r="F18" i="20" s="1"/>
  <c r="AC18" i="20"/>
  <c r="AH18" i="20"/>
  <c r="AI18" i="20"/>
  <c r="M18" i="20" s="1"/>
  <c r="AK18" i="20"/>
  <c r="O18" i="20" s="1"/>
  <c r="N18" i="20" s="1"/>
  <c r="Y17" i="20"/>
  <c r="C17" i="20" s="1"/>
  <c r="Z17" i="20"/>
  <c r="AB17" i="20"/>
  <c r="F17" i="20" s="1"/>
  <c r="AC17" i="20"/>
  <c r="G17" i="20" s="1"/>
  <c r="AE17" i="20"/>
  <c r="I17" i="20" s="1"/>
  <c r="AF17" i="20"/>
  <c r="AH17" i="20"/>
  <c r="L17" i="20" s="1"/>
  <c r="AI17" i="20"/>
  <c r="M17" i="20" s="1"/>
  <c r="AK17" i="20"/>
  <c r="O17" i="20" s="1"/>
  <c r="AL17" i="20"/>
  <c r="Y16" i="20"/>
  <c r="C16" i="20" s="1"/>
  <c r="Z16" i="20"/>
  <c r="AB16" i="20"/>
  <c r="F16" i="20" s="1"/>
  <c r="AC16" i="20"/>
  <c r="AE16" i="20"/>
  <c r="I16" i="20" s="1"/>
  <c r="AF16" i="20"/>
  <c r="J16" i="20" s="1"/>
  <c r="AH16" i="20"/>
  <c r="L16" i="20" s="1"/>
  <c r="AI16" i="20"/>
  <c r="AK16" i="20"/>
  <c r="O16" i="20" s="1"/>
  <c r="AL16" i="20"/>
  <c r="P16" i="20" s="1"/>
  <c r="AK14" i="20"/>
  <c r="O14" i="20" s="1"/>
  <c r="AL14" i="20"/>
  <c r="P14" i="20" s="1"/>
  <c r="Y13" i="20"/>
  <c r="C13" i="20" s="1"/>
  <c r="Z13" i="20"/>
  <c r="D13" i="20" s="1"/>
  <c r="AH13" i="20"/>
  <c r="L13" i="20" s="1"/>
  <c r="AI13" i="20"/>
  <c r="M13" i="20" s="1"/>
  <c r="AK13" i="20"/>
  <c r="O13" i="20" s="1"/>
  <c r="AL13" i="20"/>
  <c r="P13" i="20" s="1"/>
  <c r="AB12" i="20"/>
  <c r="AC12" i="20"/>
  <c r="G12" i="20" s="1"/>
  <c r="AH12" i="20"/>
  <c r="L12" i="20" s="1"/>
  <c r="AI12" i="20"/>
  <c r="AK12" i="20"/>
  <c r="O12" i="20" s="1"/>
  <c r="AK11" i="20"/>
  <c r="AL12" i="20"/>
  <c r="P12" i="20" s="1"/>
  <c r="I11" i="25"/>
  <c r="I12" i="25"/>
  <c r="I13" i="25"/>
  <c r="I14" i="25"/>
  <c r="I15" i="25"/>
  <c r="I16" i="25"/>
  <c r="I17" i="25"/>
  <c r="I18" i="25"/>
  <c r="I19" i="25"/>
  <c r="I20" i="25"/>
  <c r="I21" i="25"/>
  <c r="I22" i="25"/>
  <c r="I24" i="25"/>
  <c r="I25" i="25"/>
  <c r="I26" i="25"/>
  <c r="I27" i="25"/>
  <c r="I28" i="25"/>
  <c r="I29" i="25"/>
  <c r="I31" i="25"/>
  <c r="I32" i="25"/>
  <c r="I33" i="25"/>
  <c r="I34" i="25"/>
  <c r="I35" i="25"/>
  <c r="I36" i="25"/>
  <c r="I37" i="25"/>
  <c r="I38" i="25"/>
  <c r="I39" i="25"/>
  <c r="I40" i="25"/>
  <c r="I41" i="25"/>
  <c r="I42" i="25"/>
  <c r="I43" i="25"/>
  <c r="I44" i="25"/>
  <c r="J17" i="15"/>
  <c r="L17" i="15"/>
  <c r="O36" i="23"/>
  <c r="O12" i="23"/>
  <c r="O44" i="23"/>
  <c r="N44" i="23"/>
  <c r="M44" i="23"/>
  <c r="O42" i="23"/>
  <c r="N42" i="23"/>
  <c r="M42" i="23"/>
  <c r="O41" i="23"/>
  <c r="N41" i="23"/>
  <c r="M41" i="23"/>
  <c r="O40" i="23"/>
  <c r="N40" i="23"/>
  <c r="O38" i="23"/>
  <c r="N38" i="23"/>
  <c r="M38" i="23"/>
  <c r="O37" i="23"/>
  <c r="N37" i="23"/>
  <c r="M37" i="23"/>
  <c r="M36" i="23"/>
  <c r="O34" i="23"/>
  <c r="N34" i="23"/>
  <c r="M34" i="23"/>
  <c r="O33" i="23"/>
  <c r="N33" i="23"/>
  <c r="M33" i="23"/>
  <c r="O30" i="23"/>
  <c r="N30" i="23"/>
  <c r="M30" i="23"/>
  <c r="O29" i="23"/>
  <c r="N29" i="23"/>
  <c r="M29" i="23"/>
  <c r="O28" i="23"/>
  <c r="N28" i="23"/>
  <c r="M28" i="23"/>
  <c r="M27" i="23"/>
  <c r="O26" i="23"/>
  <c r="N26" i="23"/>
  <c r="M26" i="23"/>
  <c r="O23" i="23"/>
  <c r="N23" i="23"/>
  <c r="M23" i="23"/>
  <c r="O22" i="23"/>
  <c r="N22" i="23"/>
  <c r="M22" i="23"/>
  <c r="O21" i="23"/>
  <c r="N21" i="23"/>
  <c r="M21" i="23"/>
  <c r="O20" i="23"/>
  <c r="N20" i="23"/>
  <c r="M20" i="23"/>
  <c r="O19" i="23"/>
  <c r="N19" i="23"/>
  <c r="M19" i="23"/>
  <c r="O18" i="23"/>
  <c r="N18" i="23"/>
  <c r="M18" i="23"/>
  <c r="O17" i="23"/>
  <c r="N17" i="23"/>
  <c r="M17" i="23"/>
  <c r="O16" i="23"/>
  <c r="N16" i="23"/>
  <c r="M16" i="23"/>
  <c r="O15" i="23"/>
  <c r="N15" i="23"/>
  <c r="M15" i="23"/>
  <c r="O14" i="23"/>
  <c r="N14" i="23"/>
  <c r="M14" i="23"/>
  <c r="M12" i="23"/>
  <c r="O11" i="23"/>
  <c r="N11" i="23"/>
  <c r="M11" i="23"/>
  <c r="J11" i="23"/>
  <c r="K11" i="23"/>
  <c r="L11" i="23"/>
  <c r="J12" i="23"/>
  <c r="J14" i="23"/>
  <c r="K14" i="23"/>
  <c r="L14" i="23"/>
  <c r="J15" i="23"/>
  <c r="K15" i="23"/>
  <c r="L15" i="23"/>
  <c r="J16" i="23"/>
  <c r="K16" i="23"/>
  <c r="L16" i="23"/>
  <c r="J17" i="23"/>
  <c r="K17" i="23"/>
  <c r="L17" i="23"/>
  <c r="J18" i="23"/>
  <c r="K18" i="23"/>
  <c r="L18" i="23"/>
  <c r="J19" i="23"/>
  <c r="K19" i="23"/>
  <c r="L19" i="23"/>
  <c r="J20" i="23"/>
  <c r="K20" i="23"/>
  <c r="L20" i="23"/>
  <c r="J21" i="23"/>
  <c r="K21" i="23"/>
  <c r="L21" i="23"/>
  <c r="J22" i="23"/>
  <c r="K22" i="23"/>
  <c r="L22" i="23"/>
  <c r="J23" i="23"/>
  <c r="K23" i="23"/>
  <c r="L23" i="23"/>
  <c r="J26" i="23"/>
  <c r="K26" i="23"/>
  <c r="L26" i="23"/>
  <c r="J27" i="23"/>
  <c r="J28" i="23"/>
  <c r="K28" i="23"/>
  <c r="L28" i="23"/>
  <c r="J29" i="23"/>
  <c r="K29" i="23"/>
  <c r="L29" i="23"/>
  <c r="J30" i="23"/>
  <c r="K30" i="23"/>
  <c r="L30" i="23"/>
  <c r="J33" i="23"/>
  <c r="K33" i="23"/>
  <c r="L33" i="23"/>
  <c r="J34" i="23"/>
  <c r="K34" i="23"/>
  <c r="L34" i="23"/>
  <c r="J36" i="23"/>
  <c r="J37" i="23"/>
  <c r="K37" i="23"/>
  <c r="L37" i="23"/>
  <c r="J38" i="23"/>
  <c r="K38" i="23"/>
  <c r="L38" i="23"/>
  <c r="J40" i="23"/>
  <c r="L40" i="23"/>
  <c r="J41" i="23"/>
  <c r="K41" i="23"/>
  <c r="L41" i="23"/>
  <c r="J42" i="23"/>
  <c r="K42" i="23"/>
  <c r="L42" i="23"/>
  <c r="J44" i="23"/>
  <c r="K44" i="23"/>
  <c r="L44" i="23"/>
  <c r="H44" i="23"/>
  <c r="H42" i="23"/>
  <c r="F42" i="23"/>
  <c r="S42" i="23" s="1"/>
  <c r="H41" i="23"/>
  <c r="H40" i="23"/>
  <c r="F40" i="23"/>
  <c r="S40" i="23" s="1"/>
  <c r="H38" i="23"/>
  <c r="F38" i="23"/>
  <c r="H34" i="23"/>
  <c r="F34" i="23"/>
  <c r="H30" i="23"/>
  <c r="H29" i="23"/>
  <c r="F29" i="23"/>
  <c r="S29" i="23" s="1"/>
  <c r="H28" i="23"/>
  <c r="F28" i="23"/>
  <c r="H26" i="23"/>
  <c r="F26" i="23"/>
  <c r="H23" i="23"/>
  <c r="F23" i="23"/>
  <c r="H22" i="23"/>
  <c r="F22" i="23"/>
  <c r="S22" i="23" s="1"/>
  <c r="H21" i="23"/>
  <c r="F21" i="23"/>
  <c r="H20" i="23"/>
  <c r="F20" i="23"/>
  <c r="H19" i="23"/>
  <c r="H18" i="23"/>
  <c r="F18" i="23"/>
  <c r="H16" i="23"/>
  <c r="H15" i="23"/>
  <c r="H14" i="23"/>
  <c r="F14" i="23"/>
  <c r="H11" i="23"/>
  <c r="F11" i="23"/>
  <c r="S11" i="23" s="1"/>
  <c r="F15" i="23"/>
  <c r="F16" i="23"/>
  <c r="F19" i="23"/>
  <c r="F30" i="23"/>
  <c r="S30" i="23" s="1"/>
  <c r="F41" i="23"/>
  <c r="F44" i="23"/>
  <c r="D30" i="23"/>
  <c r="B30" i="23"/>
  <c r="R30" i="23" s="1"/>
  <c r="R47" i="23"/>
  <c r="R46" i="23"/>
  <c r="B11" i="23"/>
  <c r="R11" i="23" s="1"/>
  <c r="B14" i="23"/>
  <c r="R14" i="23" s="1"/>
  <c r="B15" i="23"/>
  <c r="R15" i="23" s="1"/>
  <c r="B16" i="23"/>
  <c r="R16" i="23" s="1"/>
  <c r="B18" i="23"/>
  <c r="R18" i="23" s="1"/>
  <c r="B19" i="23"/>
  <c r="R19" i="23" s="1"/>
  <c r="B20" i="23"/>
  <c r="R20" i="23" s="1"/>
  <c r="B21" i="23"/>
  <c r="R21" i="23" s="1"/>
  <c r="B22" i="23"/>
  <c r="R22" i="23" s="1"/>
  <c r="B23" i="23"/>
  <c r="R23" i="23" s="1"/>
  <c r="B26" i="23"/>
  <c r="R26" i="23"/>
  <c r="B28" i="23"/>
  <c r="R28" i="23" s="1"/>
  <c r="B29" i="23"/>
  <c r="R29" i="23"/>
  <c r="B33" i="23"/>
  <c r="R33" i="23" s="1"/>
  <c r="B37" i="23"/>
  <c r="R37" i="23" s="1"/>
  <c r="B38" i="23"/>
  <c r="R38" i="23" s="1"/>
  <c r="B41" i="23"/>
  <c r="R41" i="23"/>
  <c r="B44" i="23"/>
  <c r="R44" i="23" s="1"/>
  <c r="R76" i="23"/>
  <c r="S80" i="23"/>
  <c r="R80" i="23"/>
  <c r="S76" i="23"/>
  <c r="S47" i="23"/>
  <c r="S46" i="23"/>
  <c r="S45" i="23"/>
  <c r="R45" i="23"/>
  <c r="S31" i="23"/>
  <c r="R31" i="23"/>
  <c r="S27" i="23"/>
  <c r="R27" i="23"/>
  <c r="S24" i="23"/>
  <c r="R24" i="23"/>
  <c r="R17" i="23"/>
  <c r="S13" i="23"/>
  <c r="R13" i="23"/>
  <c r="S10" i="23"/>
  <c r="R10" i="23"/>
  <c r="H39" i="15"/>
  <c r="I39" i="15"/>
  <c r="J39" i="15"/>
  <c r="J24" i="15"/>
  <c r="J26" i="15"/>
  <c r="L26" i="15"/>
  <c r="J29" i="15"/>
  <c r="L29" i="15"/>
  <c r="J33" i="15"/>
  <c r="L33" i="15"/>
  <c r="J34" i="15"/>
  <c r="J35" i="15"/>
  <c r="L35" i="15"/>
  <c r="J36" i="15"/>
  <c r="L36" i="15"/>
  <c r="J37" i="15"/>
  <c r="L37" i="15"/>
  <c r="J38" i="15"/>
  <c r="L38" i="15"/>
  <c r="J40" i="15"/>
  <c r="L40" i="15"/>
  <c r="J42" i="15"/>
  <c r="L42" i="15"/>
  <c r="J44" i="15"/>
  <c r="I34" i="15"/>
  <c r="C41" i="15"/>
  <c r="D41" i="15"/>
  <c r="S45" i="21"/>
  <c r="T45" i="21"/>
  <c r="B26" i="14"/>
  <c r="B26" i="15"/>
  <c r="B28" i="14"/>
  <c r="B28" i="15"/>
  <c r="B29" i="14"/>
  <c r="B29" i="15"/>
  <c r="U29" i="21"/>
  <c r="B30" i="14"/>
  <c r="U30" i="21" s="1"/>
  <c r="B30" i="15"/>
  <c r="B32" i="14"/>
  <c r="B32" i="15"/>
  <c r="B33" i="14"/>
  <c r="B33" i="15"/>
  <c r="U33" i="21" s="1"/>
  <c r="B34" i="14"/>
  <c r="B34" i="15"/>
  <c r="B35" i="14"/>
  <c r="B35" i="15"/>
  <c r="U35" i="21"/>
  <c r="B36" i="14"/>
  <c r="U36" i="21" s="1"/>
  <c r="B36" i="15"/>
  <c r="B37" i="14"/>
  <c r="B37" i="15"/>
  <c r="B38" i="14"/>
  <c r="B38" i="15"/>
  <c r="U38" i="21" s="1"/>
  <c r="B39" i="15"/>
  <c r="U39" i="21" s="1"/>
  <c r="B40" i="14"/>
  <c r="U40" i="21" s="1"/>
  <c r="B40" i="15"/>
  <c r="B41" i="14"/>
  <c r="B41" i="15"/>
  <c r="B42" i="14"/>
  <c r="B42" i="15"/>
  <c r="B43" i="15"/>
  <c r="U43" i="21" s="1"/>
  <c r="B44" i="14"/>
  <c r="B44" i="15"/>
  <c r="B11" i="14"/>
  <c r="B11" i="15"/>
  <c r="U11" i="21" s="1"/>
  <c r="B12" i="14"/>
  <c r="B12" i="15"/>
  <c r="B14" i="14"/>
  <c r="B14" i="15"/>
  <c r="U14" i="21" s="1"/>
  <c r="B15" i="14"/>
  <c r="B15" i="15"/>
  <c r="B16" i="14"/>
  <c r="B16" i="15"/>
  <c r="B17" i="14"/>
  <c r="B17" i="15"/>
  <c r="U17" i="21" s="1"/>
  <c r="B18" i="14"/>
  <c r="B18" i="15"/>
  <c r="B19" i="14"/>
  <c r="B19" i="15"/>
  <c r="B20" i="14"/>
  <c r="B20" i="15"/>
  <c r="B21" i="14"/>
  <c r="B21" i="15"/>
  <c r="B22" i="14"/>
  <c r="B22" i="15"/>
  <c r="U22" i="21" s="1"/>
  <c r="B23" i="14"/>
  <c r="B23" i="15"/>
  <c r="B24" i="14"/>
  <c r="B24" i="15"/>
  <c r="H30" i="15"/>
  <c r="H30" i="14"/>
  <c r="E11" i="15"/>
  <c r="G11" i="15"/>
  <c r="E12" i="15"/>
  <c r="G12" i="15"/>
  <c r="E14" i="15"/>
  <c r="E15" i="15"/>
  <c r="G15" i="15"/>
  <c r="E16" i="15"/>
  <c r="G16" i="15"/>
  <c r="E17" i="15"/>
  <c r="E18" i="15"/>
  <c r="G18" i="15"/>
  <c r="E19" i="15"/>
  <c r="G19" i="15"/>
  <c r="E20" i="15"/>
  <c r="G20" i="15"/>
  <c r="E21" i="15"/>
  <c r="G21" i="15"/>
  <c r="E22" i="15"/>
  <c r="G22" i="15"/>
  <c r="E23" i="15"/>
  <c r="G23" i="15"/>
  <c r="E24" i="15"/>
  <c r="E26" i="15"/>
  <c r="G26" i="15"/>
  <c r="E29" i="15"/>
  <c r="G29" i="15"/>
  <c r="E33" i="15"/>
  <c r="G33" i="15"/>
  <c r="E34" i="15"/>
  <c r="E35" i="15"/>
  <c r="G35" i="15"/>
  <c r="E36" i="15"/>
  <c r="G36" i="15"/>
  <c r="E37" i="15"/>
  <c r="G37" i="15"/>
  <c r="E38" i="15"/>
  <c r="G38" i="15"/>
  <c r="E40" i="15"/>
  <c r="G40" i="15"/>
  <c r="E42" i="15"/>
  <c r="G42" i="15"/>
  <c r="E10" i="15"/>
  <c r="J11" i="15"/>
  <c r="L11" i="15"/>
  <c r="J12" i="15"/>
  <c r="L12" i="15"/>
  <c r="J14" i="15"/>
  <c r="J15" i="15"/>
  <c r="L15" i="15"/>
  <c r="J16" i="15"/>
  <c r="L16" i="15"/>
  <c r="H18" i="14"/>
  <c r="J19" i="15"/>
  <c r="L19" i="15"/>
  <c r="J20" i="15"/>
  <c r="L20" i="15"/>
  <c r="J21" i="15"/>
  <c r="L21" i="15"/>
  <c r="J22" i="15"/>
  <c r="L22" i="15"/>
  <c r="J23" i="15"/>
  <c r="L23" i="15"/>
  <c r="H28" i="14"/>
  <c r="H32" i="14"/>
  <c r="H41" i="14"/>
  <c r="M10" i="14"/>
  <c r="C44" i="15"/>
  <c r="D44" i="15" s="1"/>
  <c r="H41" i="15"/>
  <c r="C34" i="15"/>
  <c r="D34" i="15" s="1"/>
  <c r="H32" i="15"/>
  <c r="C32" i="15"/>
  <c r="D32" i="15" s="1"/>
  <c r="C30" i="15"/>
  <c r="D30" i="15" s="1"/>
  <c r="H28" i="15"/>
  <c r="C28" i="15"/>
  <c r="D28" i="15" s="1"/>
  <c r="D27" i="15"/>
  <c r="H18" i="15"/>
  <c r="C18" i="15"/>
  <c r="D18" i="15" s="1"/>
  <c r="H10" i="15"/>
  <c r="I10" i="15" s="1"/>
  <c r="J40" i="14"/>
  <c r="K40" i="14"/>
  <c r="I11" i="15"/>
  <c r="I12" i="15"/>
  <c r="I14" i="15"/>
  <c r="I15" i="15"/>
  <c r="I16" i="15"/>
  <c r="I17" i="15"/>
  <c r="I19" i="15"/>
  <c r="I20" i="15"/>
  <c r="I21" i="15"/>
  <c r="I22" i="15"/>
  <c r="I23" i="15"/>
  <c r="I24" i="15"/>
  <c r="I26" i="15"/>
  <c r="I29" i="15"/>
  <c r="I33" i="15"/>
  <c r="I35" i="15"/>
  <c r="I36" i="15"/>
  <c r="I37" i="15"/>
  <c r="I38" i="15"/>
  <c r="I40" i="15"/>
  <c r="I42" i="15"/>
  <c r="I44" i="15"/>
  <c r="AK55" i="20"/>
  <c r="O55" i="20" s="1"/>
  <c r="AL55" i="20"/>
  <c r="P55" i="20" s="1"/>
  <c r="AH55" i="20"/>
  <c r="L55" i="20" s="1"/>
  <c r="AI55" i="20"/>
  <c r="M55" i="20" s="1"/>
  <c r="AE55" i="20"/>
  <c r="AF55" i="20"/>
  <c r="J55" i="20" s="1"/>
  <c r="AB60" i="20"/>
  <c r="G60" i="20"/>
  <c r="AB55" i="20"/>
  <c r="F55" i="20" s="1"/>
  <c r="AC55" i="20"/>
  <c r="G55" i="20" s="1"/>
  <c r="Z55" i="20"/>
  <c r="Y55" i="20"/>
  <c r="C55" i="20" s="1"/>
  <c r="Y60" i="20"/>
  <c r="C60" i="20" s="1"/>
  <c r="D60" i="20"/>
  <c r="AK34" i="20"/>
  <c r="O34" i="20" s="1"/>
  <c r="N34" i="20" s="1"/>
  <c r="AL32" i="20"/>
  <c r="AK32" i="20"/>
  <c r="O32" i="20" s="1"/>
  <c r="AL30" i="20"/>
  <c r="P30" i="20" s="1"/>
  <c r="AK30" i="20"/>
  <c r="AL29" i="20"/>
  <c r="P29" i="20" s="1"/>
  <c r="AK29" i="20"/>
  <c r="O29" i="20" s="1"/>
  <c r="AL26" i="20"/>
  <c r="AK26" i="20"/>
  <c r="O26" i="20" s="1"/>
  <c r="AH34" i="20"/>
  <c r="AI32" i="20"/>
  <c r="AH32" i="20"/>
  <c r="L32" i="20" s="1"/>
  <c r="AI31" i="20"/>
  <c r="AH31" i="20"/>
  <c r="L31" i="20" s="1"/>
  <c r="AI30" i="20"/>
  <c r="AH30" i="20"/>
  <c r="L30" i="20" s="1"/>
  <c r="AI29" i="20"/>
  <c r="M29" i="20" s="1"/>
  <c r="AH29" i="20"/>
  <c r="L29" i="20" s="1"/>
  <c r="AI26" i="20"/>
  <c r="AH26" i="20"/>
  <c r="L26" i="20" s="1"/>
  <c r="AE32" i="20"/>
  <c r="I32" i="20" s="1"/>
  <c r="AF32" i="20"/>
  <c r="J32" i="20" s="1"/>
  <c r="AE30" i="20"/>
  <c r="I30" i="20" s="1"/>
  <c r="AF30" i="20"/>
  <c r="J30" i="20" s="1"/>
  <c r="AE29" i="20"/>
  <c r="I29" i="20" s="1"/>
  <c r="AF29" i="20"/>
  <c r="AB34" i="20"/>
  <c r="F34" i="20" s="1"/>
  <c r="E34" i="20" s="1"/>
  <c r="AB32" i="20"/>
  <c r="F32" i="20" s="1"/>
  <c r="AC32" i="20"/>
  <c r="G32" i="20" s="1"/>
  <c r="AB31" i="20"/>
  <c r="AC31" i="20"/>
  <c r="G31" i="20" s="1"/>
  <c r="AB30" i="20"/>
  <c r="F30" i="20" s="1"/>
  <c r="AC30" i="20"/>
  <c r="AB29" i="20"/>
  <c r="F29" i="20" s="1"/>
  <c r="AC29" i="20"/>
  <c r="G29" i="20" s="1"/>
  <c r="AB25" i="20"/>
  <c r="AC25" i="20"/>
  <c r="G25" i="20" s="1"/>
  <c r="Y34" i="20"/>
  <c r="X34" i="20" s="1"/>
  <c r="Y32" i="20"/>
  <c r="C32" i="20" s="1"/>
  <c r="Z32" i="20"/>
  <c r="D32" i="20" s="1"/>
  <c r="Y31" i="20"/>
  <c r="C31" i="20" s="1"/>
  <c r="Z31" i="20"/>
  <c r="D31" i="20" s="1"/>
  <c r="Y30" i="20"/>
  <c r="C30" i="20" s="1"/>
  <c r="Z30" i="20"/>
  <c r="Y29" i="20"/>
  <c r="C29" i="20" s="1"/>
  <c r="Z29" i="20"/>
  <c r="D29" i="20" s="1"/>
  <c r="Y26" i="20"/>
  <c r="C26" i="20" s="1"/>
  <c r="Z26" i="20"/>
  <c r="D26" i="20" s="1"/>
  <c r="O11" i="20"/>
  <c r="AK21" i="20"/>
  <c r="AH21" i="20"/>
  <c r="AG21" i="20" s="1"/>
  <c r="AB21" i="20"/>
  <c r="F21" i="20" s="1"/>
  <c r="E21" i="20" s="1"/>
  <c r="Y21" i="20"/>
  <c r="C21" i="20" s="1"/>
  <c r="B21" i="20" s="1"/>
  <c r="AK24" i="20"/>
  <c r="O24" i="20" s="1"/>
  <c r="AK25" i="20"/>
  <c r="AK27" i="20"/>
  <c r="O27" i="20" s="1"/>
  <c r="AL27" i="20"/>
  <c r="P27" i="20" s="1"/>
  <c r="AK31" i="20"/>
  <c r="O31" i="20" s="1"/>
  <c r="AL25" i="20"/>
  <c r="P25" i="20" s="1"/>
  <c r="AK23" i="20"/>
  <c r="O23" i="20" s="1"/>
  <c r="AH24" i="20"/>
  <c r="L24" i="20" s="1"/>
  <c r="AH25" i="20"/>
  <c r="L25" i="20" s="1"/>
  <c r="AH28" i="20"/>
  <c r="AH23" i="20"/>
  <c r="L23" i="20" s="1"/>
  <c r="AE34" i="20"/>
  <c r="AD34" i="20" s="1"/>
  <c r="AE24" i="20"/>
  <c r="I24" i="20" s="1"/>
  <c r="AE25" i="20"/>
  <c r="AE26" i="20"/>
  <c r="I26" i="20" s="1"/>
  <c r="AE27" i="20"/>
  <c r="I27" i="20" s="1"/>
  <c r="AE28" i="20"/>
  <c r="I28" i="20" s="1"/>
  <c r="AF31" i="20"/>
  <c r="J31" i="20" s="1"/>
  <c r="AE23" i="20"/>
  <c r="I23" i="20" s="1"/>
  <c r="AB24" i="20"/>
  <c r="F24" i="20" s="1"/>
  <c r="AB27" i="20"/>
  <c r="F27" i="20" s="1"/>
  <c r="AB28" i="20"/>
  <c r="F28" i="20" s="1"/>
  <c r="AB23" i="20"/>
  <c r="F23" i="20" s="1"/>
  <c r="Y24" i="20"/>
  <c r="C24" i="20" s="1"/>
  <c r="Y27" i="20"/>
  <c r="C27" i="20" s="1"/>
  <c r="Y28" i="20"/>
  <c r="C28" i="20" s="1"/>
  <c r="Y23" i="20"/>
  <c r="C23" i="20" s="1"/>
  <c r="AE60" i="20"/>
  <c r="I60" i="20" s="1"/>
  <c r="AK50" i="20"/>
  <c r="AK51" i="20"/>
  <c r="O51" i="20" s="1"/>
  <c r="AK52" i="20"/>
  <c r="O52" i="20" s="1"/>
  <c r="AK53" i="20"/>
  <c r="O53" i="20" s="1"/>
  <c r="AK56" i="20"/>
  <c r="O56" i="20" s="1"/>
  <c r="AK57" i="20"/>
  <c r="O57" i="20" s="1"/>
  <c r="AK58" i="20"/>
  <c r="O58" i="20" s="1"/>
  <c r="AH50" i="20"/>
  <c r="AH51" i="20"/>
  <c r="L51" i="20" s="1"/>
  <c r="AH52" i="20"/>
  <c r="L52" i="20" s="1"/>
  <c r="AH54" i="20"/>
  <c r="L54" i="20" s="1"/>
  <c r="AH56" i="20"/>
  <c r="L56" i="20" s="1"/>
  <c r="AH57" i="20"/>
  <c r="L57" i="20" s="1"/>
  <c r="AH58" i="20"/>
  <c r="L58" i="20" s="1"/>
  <c r="AE50" i="20"/>
  <c r="I50" i="20" s="1"/>
  <c r="AE51" i="20"/>
  <c r="I51" i="20" s="1"/>
  <c r="AE52" i="20"/>
  <c r="I52" i="20" s="1"/>
  <c r="AE53" i="20"/>
  <c r="I53" i="20" s="1"/>
  <c r="AE54" i="20"/>
  <c r="I54" i="20" s="1"/>
  <c r="AE56" i="20"/>
  <c r="I56" i="20" s="1"/>
  <c r="AE58" i="20"/>
  <c r="I58" i="20" s="1"/>
  <c r="AB50" i="20"/>
  <c r="F50" i="20" s="1"/>
  <c r="AB49" i="20"/>
  <c r="F49" i="20" s="1"/>
  <c r="AB51" i="20"/>
  <c r="F51" i="20" s="1"/>
  <c r="AB53" i="20"/>
  <c r="F53" i="20" s="1"/>
  <c r="AB54" i="20"/>
  <c r="F54" i="20" s="1"/>
  <c r="AB56" i="20"/>
  <c r="F56" i="20" s="1"/>
  <c r="AB57" i="20"/>
  <c r="F57" i="20" s="1"/>
  <c r="AB58" i="20"/>
  <c r="F58" i="20" s="1"/>
  <c r="Y50" i="20"/>
  <c r="Y52" i="20"/>
  <c r="C52" i="20" s="1"/>
  <c r="Y53" i="20"/>
  <c r="C53" i="20" s="1"/>
  <c r="Y54" i="20"/>
  <c r="C54" i="20" s="1"/>
  <c r="Y56" i="20"/>
  <c r="C56" i="20" s="1"/>
  <c r="Y57" i="20"/>
  <c r="C57" i="20" s="1"/>
  <c r="Y58" i="20"/>
  <c r="C58" i="20" s="1"/>
  <c r="AK49" i="20"/>
  <c r="O49" i="20" s="1"/>
  <c r="AH49" i="20"/>
  <c r="L49" i="20" s="1"/>
  <c r="AE49" i="20"/>
  <c r="I49" i="20" s="1"/>
  <c r="Y49" i="20"/>
  <c r="AE47" i="20"/>
  <c r="I47" i="20" s="1"/>
  <c r="AK37" i="20"/>
  <c r="AK38" i="20"/>
  <c r="O38" i="20" s="1"/>
  <c r="AK39" i="20"/>
  <c r="O39" i="20" s="1"/>
  <c r="AK40" i="20"/>
  <c r="O40" i="20" s="1"/>
  <c r="AK42" i="20"/>
  <c r="O42" i="20" s="1"/>
  <c r="AK43" i="20"/>
  <c r="O43" i="20" s="1"/>
  <c r="AK44" i="20"/>
  <c r="O44" i="20" s="1"/>
  <c r="AK45" i="20"/>
  <c r="O45" i="20" s="1"/>
  <c r="AH37" i="20"/>
  <c r="AH38" i="20"/>
  <c r="L38" i="20" s="1"/>
  <c r="AH39" i="20"/>
  <c r="L39" i="20" s="1"/>
  <c r="AH41" i="20"/>
  <c r="L41" i="20" s="1"/>
  <c r="AH42" i="20"/>
  <c r="L42" i="20" s="1"/>
  <c r="AH43" i="20"/>
  <c r="L43" i="20" s="1"/>
  <c r="AH44" i="20"/>
  <c r="L44" i="20" s="1"/>
  <c r="AH45" i="20"/>
  <c r="L45" i="20" s="1"/>
  <c r="AE37" i="20"/>
  <c r="I37" i="20" s="1"/>
  <c r="AE38" i="20"/>
  <c r="I38" i="20" s="1"/>
  <c r="AE39" i="20"/>
  <c r="I39" i="20" s="1"/>
  <c r="AE40" i="20"/>
  <c r="I40" i="20" s="1"/>
  <c r="AE41" i="20"/>
  <c r="I41" i="20" s="1"/>
  <c r="AE42" i="20"/>
  <c r="I42" i="20" s="1"/>
  <c r="AE43" i="20"/>
  <c r="I43" i="20" s="1"/>
  <c r="AE45" i="20"/>
  <c r="I45" i="20" s="1"/>
  <c r="AB37" i="20"/>
  <c r="F37" i="20" s="1"/>
  <c r="AB38" i="20"/>
  <c r="F38" i="20" s="1"/>
  <c r="AB40" i="20"/>
  <c r="AB41" i="20"/>
  <c r="F41" i="20" s="1"/>
  <c r="AB42" i="20"/>
  <c r="F42" i="20" s="1"/>
  <c r="AB43" i="20"/>
  <c r="F43" i="20" s="1"/>
  <c r="AB44" i="20"/>
  <c r="F44" i="20" s="1"/>
  <c r="AB45" i="20"/>
  <c r="F45" i="20" s="1"/>
  <c r="Y37" i="20"/>
  <c r="Y39" i="20"/>
  <c r="Y40" i="20"/>
  <c r="C40" i="20" s="1"/>
  <c r="Y41" i="20"/>
  <c r="C41" i="20" s="1"/>
  <c r="Y42" i="20"/>
  <c r="C42" i="20" s="1"/>
  <c r="Y43" i="20"/>
  <c r="C43" i="20" s="1"/>
  <c r="Y44" i="20"/>
  <c r="C44" i="20" s="1"/>
  <c r="Y45" i="20"/>
  <c r="C45" i="20" s="1"/>
  <c r="AK36" i="20"/>
  <c r="O36" i="20" s="1"/>
  <c r="AH36" i="20"/>
  <c r="L36" i="20" s="1"/>
  <c r="AE36" i="20"/>
  <c r="I36" i="20" s="1"/>
  <c r="AB36" i="20"/>
  <c r="F36" i="20" s="1"/>
  <c r="Y36" i="20"/>
  <c r="C36" i="20" s="1"/>
  <c r="AK10" i="20"/>
  <c r="O10" i="20"/>
  <c r="AH11" i="20"/>
  <c r="L11" i="20" s="1"/>
  <c r="AH15" i="20"/>
  <c r="AH10" i="20"/>
  <c r="L10" i="20" s="1"/>
  <c r="AE21" i="20"/>
  <c r="AD21" i="20" s="1"/>
  <c r="AE11" i="20"/>
  <c r="I11" i="20" s="1"/>
  <c r="AE12" i="20"/>
  <c r="AE13" i="20"/>
  <c r="I13" i="20"/>
  <c r="AE14" i="20"/>
  <c r="I14" i="20" s="1"/>
  <c r="AE15" i="20"/>
  <c r="I15" i="20" s="1"/>
  <c r="AF18" i="20"/>
  <c r="J18" i="20" s="1"/>
  <c r="AE10" i="20"/>
  <c r="I10" i="20" s="1"/>
  <c r="AB11" i="20"/>
  <c r="F11" i="20" s="1"/>
  <c r="AB14" i="20"/>
  <c r="F14" i="20" s="1"/>
  <c r="AB15" i="20"/>
  <c r="F15" i="20" s="1"/>
  <c r="AB10" i="20"/>
  <c r="F10" i="20" s="1"/>
  <c r="Y11" i="20"/>
  <c r="C11" i="20" s="1"/>
  <c r="Y14" i="20"/>
  <c r="C14" i="20" s="1"/>
  <c r="Y15" i="20"/>
  <c r="C15" i="20" s="1"/>
  <c r="Y10" i="20"/>
  <c r="C10" i="20" s="1"/>
  <c r="Z25" i="20"/>
  <c r="AL18" i="20"/>
  <c r="Z12" i="20"/>
  <c r="AI14" i="20"/>
  <c r="H44" i="15"/>
  <c r="K42" i="15"/>
  <c r="H42" i="15"/>
  <c r="F42" i="15"/>
  <c r="D42" i="15"/>
  <c r="K40" i="15"/>
  <c r="H40" i="15"/>
  <c r="F40" i="15"/>
  <c r="D40" i="15"/>
  <c r="K38" i="15"/>
  <c r="H38" i="15"/>
  <c r="F38" i="15"/>
  <c r="D38" i="15"/>
  <c r="K37" i="15"/>
  <c r="H37" i="15"/>
  <c r="F37" i="15"/>
  <c r="D37" i="15"/>
  <c r="K36" i="15"/>
  <c r="H36" i="15"/>
  <c r="F36" i="15"/>
  <c r="D36" i="15"/>
  <c r="K35" i="15"/>
  <c r="H35" i="15"/>
  <c r="F35" i="15"/>
  <c r="D35" i="15"/>
  <c r="H34" i="15"/>
  <c r="K33" i="15"/>
  <c r="H33" i="15"/>
  <c r="F33" i="15"/>
  <c r="D33" i="15"/>
  <c r="K29" i="15"/>
  <c r="H29" i="15"/>
  <c r="F29" i="15"/>
  <c r="D29" i="15"/>
  <c r="K26" i="15"/>
  <c r="H26" i="15"/>
  <c r="F26" i="15"/>
  <c r="D26" i="15"/>
  <c r="H24" i="15"/>
  <c r="D24" i="15"/>
  <c r="K23" i="15"/>
  <c r="H23" i="15"/>
  <c r="F23" i="15"/>
  <c r="D23" i="15"/>
  <c r="K22" i="15"/>
  <c r="H22" i="15"/>
  <c r="F22" i="15"/>
  <c r="D22" i="15"/>
  <c r="K21" i="15"/>
  <c r="H21" i="15"/>
  <c r="F21" i="15"/>
  <c r="D21" i="15"/>
  <c r="K20" i="15"/>
  <c r="H20" i="15"/>
  <c r="F20" i="15"/>
  <c r="D20" i="15"/>
  <c r="K19" i="15"/>
  <c r="H19" i="15"/>
  <c r="F19" i="15"/>
  <c r="D19" i="15"/>
  <c r="F18" i="15"/>
  <c r="K17" i="15"/>
  <c r="H17" i="15"/>
  <c r="F17" i="15"/>
  <c r="D17" i="15"/>
  <c r="K16" i="15"/>
  <c r="H16" i="15"/>
  <c r="F16" i="15"/>
  <c r="D16" i="15"/>
  <c r="K15" i="15"/>
  <c r="H15" i="15"/>
  <c r="F15" i="15"/>
  <c r="D15" i="15"/>
  <c r="H14" i="15"/>
  <c r="D14" i="15"/>
  <c r="K12" i="15"/>
  <c r="H12" i="15"/>
  <c r="F12" i="15"/>
  <c r="D12" i="15"/>
  <c r="K11" i="15"/>
  <c r="H11" i="15"/>
  <c r="F11" i="15"/>
  <c r="D11" i="15"/>
  <c r="C42" i="15"/>
  <c r="C40" i="15"/>
  <c r="C38" i="15"/>
  <c r="C37" i="15"/>
  <c r="C36" i="15"/>
  <c r="C35" i="15"/>
  <c r="C33" i="15"/>
  <c r="C29" i="15"/>
  <c r="C26" i="15"/>
  <c r="C24" i="15"/>
  <c r="C23" i="15"/>
  <c r="C22" i="15"/>
  <c r="C21" i="15"/>
  <c r="C20" i="15"/>
  <c r="C19" i="15"/>
  <c r="C17" i="15"/>
  <c r="C16" i="15"/>
  <c r="C15" i="15"/>
  <c r="C14" i="15"/>
  <c r="C12" i="15"/>
  <c r="C11" i="15"/>
  <c r="C42" i="14"/>
  <c r="C40" i="14"/>
  <c r="C38" i="14"/>
  <c r="C37" i="14"/>
  <c r="C36" i="14"/>
  <c r="C35" i="14"/>
  <c r="C33" i="14"/>
  <c r="C29" i="14"/>
  <c r="C26" i="14"/>
  <c r="C24" i="14"/>
  <c r="C23" i="14"/>
  <c r="C22" i="14"/>
  <c r="C21" i="14"/>
  <c r="C20" i="14"/>
  <c r="C19" i="14"/>
  <c r="C17" i="14"/>
  <c r="C16" i="14"/>
  <c r="C15" i="14"/>
  <c r="C14" i="14"/>
  <c r="C12" i="14"/>
  <c r="C11" i="14"/>
  <c r="C10" i="15"/>
  <c r="D10" i="15"/>
  <c r="H42" i="14"/>
  <c r="H40" i="14"/>
  <c r="H38" i="14"/>
  <c r="H37" i="14"/>
  <c r="H36" i="14"/>
  <c r="H35" i="14"/>
  <c r="H33" i="14"/>
  <c r="H29" i="14"/>
  <c r="H26" i="14"/>
  <c r="H23" i="14"/>
  <c r="H22" i="14"/>
  <c r="H21" i="14"/>
  <c r="H20" i="14"/>
  <c r="H19" i="14"/>
  <c r="H17" i="14"/>
  <c r="H16" i="14"/>
  <c r="H15" i="14"/>
  <c r="H12" i="14"/>
  <c r="H11" i="14"/>
  <c r="K42" i="14"/>
  <c r="J42" i="14"/>
  <c r="F42" i="14"/>
  <c r="E42" i="14"/>
  <c r="F40" i="14"/>
  <c r="E40" i="14"/>
  <c r="K38" i="14"/>
  <c r="J38" i="14"/>
  <c r="F38" i="14"/>
  <c r="E38" i="14"/>
  <c r="K37" i="14"/>
  <c r="J37" i="14"/>
  <c r="F37" i="14"/>
  <c r="E37" i="14"/>
  <c r="K36" i="14"/>
  <c r="J36" i="14"/>
  <c r="F36" i="14"/>
  <c r="E36" i="14"/>
  <c r="K35" i="14"/>
  <c r="J35" i="14"/>
  <c r="F35" i="14"/>
  <c r="E35" i="14"/>
  <c r="E34" i="14"/>
  <c r="K33" i="14"/>
  <c r="J33" i="14"/>
  <c r="F33" i="14"/>
  <c r="E33" i="14"/>
  <c r="K29" i="14"/>
  <c r="J29" i="14"/>
  <c r="F29" i="14"/>
  <c r="E29" i="14"/>
  <c r="K26" i="14"/>
  <c r="J26" i="14"/>
  <c r="F26" i="14"/>
  <c r="E26" i="14"/>
  <c r="K23" i="14"/>
  <c r="J23" i="14"/>
  <c r="F23" i="14"/>
  <c r="E23" i="14"/>
  <c r="K22" i="14"/>
  <c r="J22" i="14"/>
  <c r="F22" i="14"/>
  <c r="E22" i="14"/>
  <c r="K21" i="14"/>
  <c r="J21" i="14"/>
  <c r="F21" i="14"/>
  <c r="E21" i="14"/>
  <c r="K20" i="14"/>
  <c r="J20" i="14"/>
  <c r="F20" i="14"/>
  <c r="E20" i="14"/>
  <c r="K19" i="14"/>
  <c r="J19" i="14"/>
  <c r="F19" i="14"/>
  <c r="E19" i="14"/>
  <c r="F18" i="14"/>
  <c r="E18" i="14"/>
  <c r="K17" i="14"/>
  <c r="J17" i="14"/>
  <c r="F17" i="14"/>
  <c r="E17" i="14"/>
  <c r="K16" i="14"/>
  <c r="J16" i="14"/>
  <c r="F16" i="14"/>
  <c r="E16" i="14"/>
  <c r="K15" i="14"/>
  <c r="J15" i="14"/>
  <c r="F15" i="14"/>
  <c r="E15" i="14"/>
  <c r="E14" i="14"/>
  <c r="K12" i="14"/>
  <c r="J12" i="14"/>
  <c r="F12" i="14"/>
  <c r="E12" i="14"/>
  <c r="K11" i="14"/>
  <c r="J11" i="14"/>
  <c r="F11" i="14"/>
  <c r="E11" i="14"/>
  <c r="V39" i="27"/>
  <c r="V39" i="28"/>
  <c r="V31" i="27"/>
  <c r="V31" i="28"/>
  <c r="V41" i="27"/>
  <c r="V41" i="28"/>
  <c r="V38" i="27"/>
  <c r="V38" i="28"/>
  <c r="V32" i="27"/>
  <c r="V32" i="28"/>
  <c r="U22" i="27"/>
  <c r="U22" i="28"/>
  <c r="V45" i="27"/>
  <c r="V45" i="28"/>
  <c r="R44" i="28"/>
  <c r="U43" i="27"/>
  <c r="S23" i="28"/>
  <c r="S22" i="28"/>
  <c r="S21" i="28"/>
  <c r="S53" i="28"/>
  <c r="R34" i="28"/>
  <c r="V34" i="27"/>
  <c r="V34" i="28" s="1"/>
  <c r="S19" i="28"/>
  <c r="V16" i="27"/>
  <c r="V16" i="28" s="1"/>
  <c r="S16" i="28"/>
  <c r="V35" i="27"/>
  <c r="V35" i="28"/>
  <c r="T51" i="28"/>
  <c r="V29" i="27"/>
  <c r="V29" i="28" s="1"/>
  <c r="S29" i="28"/>
  <c r="U29" i="27"/>
  <c r="U29" i="28" s="1"/>
  <c r="S28" i="28"/>
  <c r="R18" i="28"/>
  <c r="V18" i="27"/>
  <c r="G18" i="24"/>
  <c r="D18" i="24"/>
  <c r="U14" i="27"/>
  <c r="S14" i="28"/>
  <c r="T41" i="28"/>
  <c r="R43" i="28"/>
  <c r="V43" i="27"/>
  <c r="V43" i="28"/>
  <c r="V40" i="27"/>
  <c r="V40" i="28" s="1"/>
  <c r="S39" i="28"/>
  <c r="R30" i="28"/>
  <c r="V30" i="27"/>
  <c r="V30" i="28" s="1"/>
  <c r="S50" i="28"/>
  <c r="S48" i="28"/>
  <c r="V48" i="27"/>
  <c r="V48" i="28" s="1"/>
  <c r="U37" i="27"/>
  <c r="U47" i="27"/>
  <c r="S47" i="28"/>
  <c r="V47" i="27"/>
  <c r="V47" i="28" s="1"/>
  <c r="S33" i="28"/>
  <c r="V33" i="27"/>
  <c r="V33" i="28" s="1"/>
  <c r="S31" i="28"/>
  <c r="U50" i="27"/>
  <c r="U34" i="27"/>
  <c r="U34" i="28" s="1"/>
  <c r="U26" i="27"/>
  <c r="U26" i="28"/>
  <c r="U44" i="27"/>
  <c r="S42" i="28"/>
  <c r="V42" i="27"/>
  <c r="V42" i="28"/>
  <c r="S24" i="28"/>
  <c r="R51" i="28"/>
  <c r="V51" i="27"/>
  <c r="V51" i="28"/>
  <c r="U33" i="27"/>
  <c r="V36" i="27"/>
  <c r="V36" i="28" s="1"/>
  <c r="S35" i="28"/>
  <c r="V27" i="27"/>
  <c r="V23" i="27"/>
  <c r="V23" i="28" s="1"/>
  <c r="V19" i="27"/>
  <c r="V19" i="28" s="1"/>
  <c r="V15" i="27"/>
  <c r="V15" i="28" s="1"/>
  <c r="S52" i="28"/>
  <c r="S43" i="23"/>
  <c r="T31" i="28"/>
  <c r="U31" i="27"/>
  <c r="U38" i="27"/>
  <c r="U38" i="28" s="1"/>
  <c r="T38" i="28"/>
  <c r="U32" i="27"/>
  <c r="U32" i="28" s="1"/>
  <c r="S32" i="28"/>
  <c r="T48" i="28"/>
  <c r="U27" i="27"/>
  <c r="U27" i="28" s="1"/>
  <c r="T27" i="28"/>
  <c r="S20" i="28"/>
  <c r="V20" i="27"/>
  <c r="V20" i="28" s="1"/>
  <c r="U20" i="27"/>
  <c r="U20" i="28" s="1"/>
  <c r="R50" i="28"/>
  <c r="V50" i="27"/>
  <c r="V50" i="28" s="1"/>
  <c r="T49" i="28"/>
  <c r="U49" i="27"/>
  <c r="U49" i="28"/>
  <c r="S30" i="28"/>
  <c r="U30" i="27"/>
  <c r="U30" i="28" s="1"/>
  <c r="R26" i="28"/>
  <c r="S44" i="28"/>
  <c r="U46" i="27"/>
  <c r="R49" i="28"/>
  <c r="V49" i="27"/>
  <c r="V49" i="28"/>
  <c r="R46" i="28"/>
  <c r="V46" i="27"/>
  <c r="V46" i="28" s="1"/>
  <c r="S15" i="28"/>
  <c r="V52" i="27"/>
  <c r="V52" i="28"/>
  <c r="M15" i="15"/>
  <c r="G27" i="13"/>
  <c r="H27" i="13" s="1"/>
  <c r="G34" i="24"/>
  <c r="D34" i="24"/>
  <c r="I27" i="15"/>
  <c r="B32" i="25"/>
  <c r="F32" i="25" s="1"/>
  <c r="U31" i="21"/>
  <c r="L37" i="25"/>
  <c r="B40" i="25"/>
  <c r="L29" i="25"/>
  <c r="B13" i="24"/>
  <c r="E40" i="24"/>
  <c r="H40" i="24" s="1"/>
  <c r="E37" i="24"/>
  <c r="B37" i="24"/>
  <c r="H37" i="24" s="1"/>
  <c r="C46" i="15"/>
  <c r="H46" i="14"/>
  <c r="I46" i="14" s="1"/>
  <c r="F22" i="24"/>
  <c r="C22" i="24"/>
  <c r="D21" i="24"/>
  <c r="B28" i="24"/>
  <c r="B35" i="24"/>
  <c r="E15" i="24"/>
  <c r="C28" i="24"/>
  <c r="F28" i="24"/>
  <c r="I28" i="24" s="1"/>
  <c r="E16" i="24"/>
  <c r="G16" i="24"/>
  <c r="D16" i="24"/>
  <c r="B30" i="24"/>
  <c r="B22" i="24"/>
  <c r="B34" i="24"/>
  <c r="E34" i="24"/>
  <c r="D39" i="24"/>
  <c r="G39" i="24"/>
  <c r="B29" i="24"/>
  <c r="M19" i="14"/>
  <c r="B11" i="24"/>
  <c r="E11" i="24"/>
  <c r="E39" i="24"/>
  <c r="B39" i="24"/>
  <c r="F32" i="24"/>
  <c r="C32" i="24"/>
  <c r="K44" i="14"/>
  <c r="T10" i="21"/>
  <c r="D28" i="24"/>
  <c r="C24" i="24"/>
  <c r="G20" i="24"/>
  <c r="F17" i="24"/>
  <c r="C17" i="24"/>
  <c r="D10" i="24"/>
  <c r="E42" i="24"/>
  <c r="G35" i="24"/>
  <c r="G28" i="24"/>
  <c r="G14" i="24"/>
  <c r="J14" i="24" s="1"/>
  <c r="B42" i="24"/>
  <c r="C29" i="24"/>
  <c r="F19" i="24"/>
  <c r="C19" i="24"/>
  <c r="H47" i="14"/>
  <c r="I47" i="14" s="1"/>
  <c r="T18" i="21"/>
  <c r="C30" i="24"/>
  <c r="I30" i="24" s="1"/>
  <c r="S19" i="21"/>
  <c r="U13" i="21"/>
  <c r="B52" i="24"/>
  <c r="T26" i="21"/>
  <c r="S40" i="21"/>
  <c r="T36" i="21"/>
  <c r="S34" i="21"/>
  <c r="T34" i="21"/>
  <c r="D29" i="24"/>
  <c r="S29" i="21"/>
  <c r="M30" i="15"/>
  <c r="G42" i="13"/>
  <c r="H42" i="13" s="1"/>
  <c r="C16" i="24"/>
  <c r="F16" i="24"/>
  <c r="I16" i="24" s="1"/>
  <c r="S32" i="21"/>
  <c r="M20" i="14"/>
  <c r="M37" i="14"/>
  <c r="C37" i="24"/>
  <c r="F37" i="24"/>
  <c r="C41" i="24"/>
  <c r="F41" i="24"/>
  <c r="M41" i="14"/>
  <c r="S44" i="21"/>
  <c r="H46" i="15"/>
  <c r="I46" i="15" s="1"/>
  <c r="D13" i="24"/>
  <c r="S38" i="21"/>
  <c r="T30" i="21"/>
  <c r="B20" i="24"/>
  <c r="E20" i="24"/>
  <c r="E17" i="24"/>
  <c r="B17" i="24"/>
  <c r="T17" i="21"/>
  <c r="E41" i="24"/>
  <c r="F26" i="24"/>
  <c r="C26" i="24"/>
  <c r="F14" i="24"/>
  <c r="C14" i="24"/>
  <c r="B32" i="24"/>
  <c r="D35" i="24"/>
  <c r="B38" i="24"/>
  <c r="E38" i="24"/>
  <c r="F33" i="24"/>
  <c r="C33" i="24"/>
  <c r="F10" i="24"/>
  <c r="F18" i="24"/>
  <c r="E22" i="24"/>
  <c r="H22" i="24" s="1"/>
  <c r="E30" i="24"/>
  <c r="F44" i="24"/>
  <c r="C44" i="24"/>
  <c r="S36" i="21"/>
  <c r="M34" i="15"/>
  <c r="C34" i="24"/>
  <c r="L36" i="25"/>
  <c r="M37" i="15"/>
  <c r="T14" i="21"/>
  <c r="T38" i="21"/>
  <c r="M42" i="15"/>
  <c r="F42" i="24"/>
  <c r="C42" i="24"/>
  <c r="G40" i="24"/>
  <c r="T40" i="21"/>
  <c r="M38" i="15"/>
  <c r="F38" i="24"/>
  <c r="C38" i="24"/>
  <c r="F21" i="24"/>
  <c r="C21" i="24"/>
  <c r="T21" i="21"/>
  <c r="T20" i="21"/>
  <c r="M19" i="15"/>
  <c r="T19" i="21"/>
  <c r="S18" i="21"/>
  <c r="S16" i="21"/>
  <c r="S24" i="21"/>
  <c r="D22" i="24"/>
  <c r="M20" i="15"/>
  <c r="F20" i="24"/>
  <c r="S13" i="21"/>
  <c r="M38" i="14"/>
  <c r="M17" i="14"/>
  <c r="U27" i="21"/>
  <c r="M44" i="14"/>
  <c r="C35" i="24"/>
  <c r="T35" i="21"/>
  <c r="T11" i="21"/>
  <c r="F11" i="24"/>
  <c r="C11" i="24"/>
  <c r="S41" i="21"/>
  <c r="D42" i="24"/>
  <c r="F36" i="24"/>
  <c r="D30" i="24"/>
  <c r="G13" i="24"/>
  <c r="S12" i="21"/>
  <c r="S14" i="21"/>
  <c r="S33" i="21"/>
  <c r="C40" i="24"/>
  <c r="S35" i="21"/>
  <c r="E28" i="24"/>
  <c r="E24" i="24"/>
  <c r="D19" i="24"/>
  <c r="C46" i="24"/>
  <c r="E10" i="24"/>
  <c r="E35" i="24"/>
  <c r="E32" i="24"/>
  <c r="B36" i="25"/>
  <c r="B43" i="25"/>
  <c r="B26" i="25"/>
  <c r="M48" i="13"/>
  <c r="O35" i="23"/>
  <c r="I27" i="14"/>
  <c r="D27" i="13"/>
  <c r="E27" i="13" s="1"/>
  <c r="B49" i="24"/>
  <c r="B12" i="25"/>
  <c r="F12" i="25" s="1"/>
  <c r="D75" i="24"/>
  <c r="P75" i="21"/>
  <c r="H50" i="15"/>
  <c r="M31" i="15"/>
  <c r="C52" i="15"/>
  <c r="H51" i="15"/>
  <c r="H49" i="15"/>
  <c r="C48" i="15"/>
  <c r="C50" i="15"/>
  <c r="H52" i="15"/>
  <c r="B50" i="24"/>
  <c r="E50" i="24"/>
  <c r="H50" i="24" s="1"/>
  <c r="T12" i="21"/>
  <c r="S17" i="21"/>
  <c r="M22" i="14"/>
  <c r="S22" i="21"/>
  <c r="L16" i="25"/>
  <c r="S10" i="21"/>
  <c r="T32" i="21"/>
  <c r="M12" i="14"/>
  <c r="M21" i="14"/>
  <c r="M15" i="14"/>
  <c r="T46" i="21"/>
  <c r="M34" i="14"/>
  <c r="C20" i="24"/>
  <c r="I20" i="24" s="1"/>
  <c r="T13" i="21"/>
  <c r="D23" i="24"/>
  <c r="T23" i="21"/>
  <c r="M26" i="14"/>
  <c r="C49" i="15"/>
  <c r="S15" i="21"/>
  <c r="M46" i="15"/>
  <c r="F46" i="24"/>
  <c r="I46" i="24" s="1"/>
  <c r="G41" i="24"/>
  <c r="J41" i="24" s="1"/>
  <c r="T41" i="21"/>
  <c r="M42" i="14"/>
  <c r="S42" i="21"/>
  <c r="M14" i="14"/>
  <c r="S23" i="21"/>
  <c r="C23" i="24"/>
  <c r="I23" i="24" s="1"/>
  <c r="L44" i="25"/>
  <c r="T28" i="21"/>
  <c r="G21" i="24"/>
  <c r="J21" i="24"/>
  <c r="S21" i="21"/>
  <c r="S11" i="21"/>
  <c r="D11" i="24"/>
  <c r="M30" i="14"/>
  <c r="C10" i="24"/>
  <c r="I10" i="24" s="1"/>
  <c r="S37" i="21"/>
  <c r="S26" i="21"/>
  <c r="G19" i="24"/>
  <c r="J19" i="24" s="1"/>
  <c r="T15" i="21"/>
  <c r="E79" i="24"/>
  <c r="M46" i="14"/>
  <c r="T44" i="21"/>
  <c r="M23" i="14"/>
  <c r="D40" i="24"/>
  <c r="F29" i="24"/>
  <c r="S28" i="21"/>
  <c r="T22" i="21"/>
  <c r="D20" i="24"/>
  <c r="S20" i="21"/>
  <c r="M33" i="14"/>
  <c r="C18" i="24"/>
  <c r="I18" i="24" s="1"/>
  <c r="P51" i="12"/>
  <c r="F37" i="36"/>
  <c r="P37" i="36" s="1"/>
  <c r="P52" i="9"/>
  <c r="M19" i="13"/>
  <c r="M15" i="13"/>
  <c r="M24" i="13"/>
  <c r="G24" i="25"/>
  <c r="E69" i="24"/>
  <c r="M10" i="13"/>
  <c r="M34" i="13"/>
  <c r="G34" i="25"/>
  <c r="K34" i="25" s="1"/>
  <c r="G38" i="25"/>
  <c r="K38" i="25" s="1"/>
  <c r="G36" i="25"/>
  <c r="K36" i="25" s="1"/>
  <c r="M31" i="13"/>
  <c r="Q91" i="59"/>
  <c r="B8" i="185"/>
  <c r="S16" i="23"/>
  <c r="F43" i="36"/>
  <c r="L43" i="36" s="1"/>
  <c r="H43" i="36"/>
  <c r="U54" i="28"/>
  <c r="P79" i="21"/>
  <c r="P67" i="21"/>
  <c r="P58" i="21"/>
  <c r="X58" i="21" s="1"/>
  <c r="P54" i="21"/>
  <c r="G54" i="24" s="1"/>
  <c r="C29" i="188"/>
  <c r="D29" i="188" s="1"/>
  <c r="C27" i="188"/>
  <c r="C32" i="188"/>
  <c r="D32" i="188" s="1"/>
  <c r="C14" i="188"/>
  <c r="D14" i="188"/>
  <c r="M25" i="14"/>
  <c r="D21" i="188"/>
  <c r="F12" i="187" s="1"/>
  <c r="F13" i="187"/>
  <c r="D23" i="188"/>
  <c r="D50" i="24"/>
  <c r="C30" i="188"/>
  <c r="D30" i="188" s="1"/>
  <c r="C28" i="188"/>
  <c r="D28" i="188" s="1"/>
  <c r="F14" i="187"/>
  <c r="C31" i="188"/>
  <c r="D31" i="188" s="1"/>
  <c r="C8" i="188"/>
  <c r="D8" i="188"/>
  <c r="D126" i="184"/>
  <c r="D52" i="24"/>
  <c r="J52" i="24" s="1"/>
  <c r="H52" i="14"/>
  <c r="I52" i="14" s="1"/>
  <c r="C46" i="154"/>
  <c r="H51" i="59"/>
  <c r="B49" i="15"/>
  <c r="U49" i="21" s="1"/>
  <c r="E49" i="24"/>
  <c r="G51" i="60"/>
  <c r="G52" i="60"/>
  <c r="V50" i="21" s="1"/>
  <c r="E86" i="24"/>
  <c r="B86" i="15"/>
  <c r="S27" i="21"/>
  <c r="G27" i="60"/>
  <c r="Q27" i="60" s="1"/>
  <c r="V25" i="21"/>
  <c r="U25" i="21"/>
  <c r="E47" i="24"/>
  <c r="B47" i="15"/>
  <c r="H51" i="14"/>
  <c r="I51" i="14" s="1"/>
  <c r="S37" i="23"/>
  <c r="H91" i="59"/>
  <c r="Q191" i="59"/>
  <c r="Q138" i="59"/>
  <c r="Q134" i="59"/>
  <c r="Q130" i="59"/>
  <c r="V11" i="21"/>
  <c r="B79" i="14"/>
  <c r="U79" i="21"/>
  <c r="B69" i="15"/>
  <c r="G47" i="140"/>
  <c r="X41" i="21"/>
  <c r="X32" i="21"/>
  <c r="E45" i="59"/>
  <c r="E92" i="59"/>
  <c r="C24" i="13"/>
  <c r="H11" i="59"/>
  <c r="H22" i="59"/>
  <c r="H17" i="59"/>
  <c r="H38" i="59"/>
  <c r="H34" i="59"/>
  <c r="Q32" i="59"/>
  <c r="Q10" i="59"/>
  <c r="Q20" i="59"/>
  <c r="Q25" i="59"/>
  <c r="B85" i="140"/>
  <c r="G36" i="60"/>
  <c r="V34" i="21"/>
  <c r="T31" i="21"/>
  <c r="J42" i="24"/>
  <c r="G29" i="13"/>
  <c r="H29" i="13" s="1"/>
  <c r="H30" i="13"/>
  <c r="G46" i="24"/>
  <c r="H200" i="59"/>
  <c r="H168" i="59"/>
  <c r="H141" i="59"/>
  <c r="H129" i="59"/>
  <c r="H125" i="59"/>
  <c r="H117" i="59"/>
  <c r="H113" i="59"/>
  <c r="H109" i="59"/>
  <c r="V19" i="21"/>
  <c r="W82" i="21"/>
  <c r="G81" i="60"/>
  <c r="V79" i="21" s="1"/>
  <c r="H59" i="257"/>
  <c r="P73" i="21"/>
  <c r="G73" i="24" s="1"/>
  <c r="M73" i="21"/>
  <c r="W73" i="21" s="1"/>
  <c r="P69" i="21"/>
  <c r="P65" i="21"/>
  <c r="P60" i="21"/>
  <c r="P47" i="21"/>
  <c r="W44" i="21"/>
  <c r="W30" i="21"/>
  <c r="W26" i="21"/>
  <c r="W21" i="21"/>
  <c r="W88" i="21"/>
  <c r="W85" i="21"/>
  <c r="M62" i="21"/>
  <c r="W59" i="21"/>
  <c r="M47" i="21"/>
  <c r="W47" i="21" s="1"/>
  <c r="W42" i="21"/>
  <c r="C46" i="21"/>
  <c r="C18" i="13"/>
  <c r="H35" i="59"/>
  <c r="G45" i="60"/>
  <c r="V43" i="21" s="1"/>
  <c r="G31" i="60"/>
  <c r="V14" i="21"/>
  <c r="G58" i="24"/>
  <c r="J58" i="24" s="1"/>
  <c r="D58" i="24"/>
  <c r="G11" i="24"/>
  <c r="J11" i="24" s="1"/>
  <c r="M68" i="21"/>
  <c r="W55" i="21"/>
  <c r="C31" i="24"/>
  <c r="X23" i="21"/>
  <c r="W34" i="21"/>
  <c r="N45" i="59"/>
  <c r="H52" i="59"/>
  <c r="H157" i="59"/>
  <c r="H16" i="59"/>
  <c r="Q21" i="59"/>
  <c r="Q74" i="59"/>
  <c r="Q17" i="59"/>
  <c r="Q42" i="59"/>
  <c r="Q11" i="59"/>
  <c r="G12" i="60"/>
  <c r="G39" i="60"/>
  <c r="G28" i="60"/>
  <c r="G22" i="60"/>
  <c r="G14" i="60"/>
  <c r="W43" i="98"/>
  <c r="K89" i="17"/>
  <c r="I29" i="10"/>
  <c r="F12" i="36"/>
  <c r="H29" i="36"/>
  <c r="J89" i="17"/>
  <c r="I30" i="10"/>
  <c r="I89" i="17"/>
  <c r="B89" i="14"/>
  <c r="Q25" i="9"/>
  <c r="G91" i="60"/>
  <c r="B89" i="15"/>
  <c r="C17" i="25"/>
  <c r="N15" i="8"/>
  <c r="D19" i="25"/>
  <c r="K47" i="17"/>
  <c r="C45" i="9"/>
  <c r="O43" i="36"/>
  <c r="K48" i="17"/>
  <c r="I48" i="17" s="1"/>
  <c r="W70" i="21"/>
  <c r="U17" i="28"/>
  <c r="H26" i="24"/>
  <c r="G47" i="24"/>
  <c r="D69" i="24"/>
  <c r="X73" i="21"/>
  <c r="X52" i="21"/>
  <c r="I93" i="60"/>
  <c r="Q93" i="60" s="1"/>
  <c r="N90" i="21"/>
  <c r="N91" i="21" s="1"/>
  <c r="D12" i="187"/>
  <c r="P77" i="21"/>
  <c r="P56" i="21"/>
  <c r="G56" i="24" s="1"/>
  <c r="P85" i="21"/>
  <c r="P81" i="21"/>
  <c r="G81" i="24" s="1"/>
  <c r="X28" i="21"/>
  <c r="X16" i="21"/>
  <c r="K91" i="21"/>
  <c r="M81" i="21"/>
  <c r="D81" i="24" s="1"/>
  <c r="M60" i="21"/>
  <c r="D60" i="24" s="1"/>
  <c r="G37" i="184"/>
  <c r="K25" i="256"/>
  <c r="L25" i="256"/>
  <c r="K24" i="256"/>
  <c r="L24" i="256" s="1"/>
  <c r="K22" i="256"/>
  <c r="L22" i="256" s="1"/>
  <c r="K20" i="256"/>
  <c r="L20" i="256" s="1"/>
  <c r="K18" i="256"/>
  <c r="L18" i="256"/>
  <c r="K16" i="256"/>
  <c r="L16" i="256" s="1"/>
  <c r="K14" i="256"/>
  <c r="L14" i="256" s="1"/>
  <c r="K12" i="256"/>
  <c r="L12" i="256" s="1"/>
  <c r="K10" i="256"/>
  <c r="L10" i="256" s="1"/>
  <c r="K6" i="256"/>
  <c r="L6" i="256" s="1"/>
  <c r="D12" i="188"/>
  <c r="P101" i="184"/>
  <c r="K7" i="256"/>
  <c r="L7" i="256" s="1"/>
  <c r="C78" i="13"/>
  <c r="C56" i="13"/>
  <c r="C66" i="13"/>
  <c r="C72" i="13"/>
  <c r="C87" i="13"/>
  <c r="G101" i="184"/>
  <c r="V101" i="184"/>
  <c r="H91" i="100"/>
  <c r="H13" i="59"/>
  <c r="H43" i="59"/>
  <c r="Q44" i="59"/>
  <c r="Q29" i="59"/>
  <c r="Q36" i="59"/>
  <c r="G33" i="60"/>
  <c r="H32" i="59"/>
  <c r="H20" i="59"/>
  <c r="H23" i="59"/>
  <c r="H28" i="59"/>
  <c r="K50" i="17"/>
  <c r="J47" i="17"/>
  <c r="Q52" i="59"/>
  <c r="I77" i="257"/>
  <c r="I73" i="257"/>
  <c r="I84" i="257"/>
  <c r="I64" i="257"/>
  <c r="G20" i="60"/>
  <c r="V18" i="21" s="1"/>
  <c r="I87" i="257"/>
  <c r="I83" i="257"/>
  <c r="I79" i="257"/>
  <c r="I75" i="257"/>
  <c r="I71" i="257"/>
  <c r="I67" i="257"/>
  <c r="I63" i="257"/>
  <c r="I59" i="257"/>
  <c r="I55" i="257"/>
  <c r="G43" i="60"/>
  <c r="D92" i="60"/>
  <c r="I86" i="257"/>
  <c r="I70" i="257"/>
  <c r="I54" i="257"/>
  <c r="G46" i="60"/>
  <c r="G37" i="60"/>
  <c r="V35" i="21" s="1"/>
  <c r="G24" i="60"/>
  <c r="V22" i="21" s="1"/>
  <c r="F11" i="60"/>
  <c r="D11" i="60"/>
  <c r="H47" i="59"/>
  <c r="B51" i="24"/>
  <c r="G53" i="60"/>
  <c r="B51" i="14"/>
  <c r="B51" i="15"/>
  <c r="V26" i="21"/>
  <c r="E80" i="24"/>
  <c r="B80" i="15"/>
  <c r="M51" i="13"/>
  <c r="F38" i="36"/>
  <c r="F87" i="24"/>
  <c r="C87" i="15"/>
  <c r="T87" i="21"/>
  <c r="G49" i="60"/>
  <c r="V47" i="21" s="1"/>
  <c r="B47" i="24"/>
  <c r="H47" i="24" s="1"/>
  <c r="B47" i="14"/>
  <c r="U47" i="21" s="1"/>
  <c r="F52" i="24"/>
  <c r="T52" i="21"/>
  <c r="G54" i="60"/>
  <c r="V52" i="21" s="1"/>
  <c r="B52" i="15"/>
  <c r="U52" i="21" s="1"/>
  <c r="E52" i="24"/>
  <c r="H52" i="24" s="1"/>
  <c r="M88" i="15"/>
  <c r="W81" i="21"/>
  <c r="M52" i="15"/>
  <c r="Q34" i="60"/>
  <c r="V44" i="21"/>
  <c r="D15" i="188"/>
  <c r="C18" i="188"/>
  <c r="H49" i="24"/>
  <c r="F92" i="60"/>
  <c r="D78" i="24"/>
  <c r="W74" i="21"/>
  <c r="M67" i="21"/>
  <c r="E51" i="24"/>
  <c r="B50" i="15"/>
  <c r="U50" i="21" s="1"/>
  <c r="N22" i="13"/>
  <c r="M79" i="21"/>
  <c r="M56" i="21"/>
  <c r="D56" i="24" s="1"/>
  <c r="W77" i="21"/>
  <c r="B48" i="15"/>
  <c r="U48" i="21"/>
  <c r="G50" i="60"/>
  <c r="D37" i="184"/>
  <c r="U37" i="184"/>
  <c r="E13" i="187"/>
  <c r="D13" i="187" s="1"/>
  <c r="K4" i="256"/>
  <c r="L4" i="256"/>
  <c r="V37" i="184"/>
  <c r="AE37" i="184"/>
  <c r="K9" i="256"/>
  <c r="L9" i="256" s="1"/>
  <c r="K8" i="256"/>
  <c r="L8" i="256" s="1"/>
  <c r="J89" i="9"/>
  <c r="G44" i="60"/>
  <c r="T50" i="21"/>
  <c r="F50" i="24"/>
  <c r="E9" i="187"/>
  <c r="D9" i="187"/>
  <c r="R25" i="8"/>
  <c r="N30" i="8"/>
  <c r="R30" i="8"/>
  <c r="C37" i="154"/>
  <c r="K38" i="17"/>
  <c r="G77" i="8"/>
  <c r="P77" i="8" s="1"/>
  <c r="C16" i="25"/>
  <c r="H31" i="36"/>
  <c r="B55" i="12"/>
  <c r="C27" i="154"/>
  <c r="Q10" i="9"/>
  <c r="G10" i="25"/>
  <c r="Q46" i="9"/>
  <c r="I27" i="10"/>
  <c r="C29" i="154"/>
  <c r="C15" i="154"/>
  <c r="C21" i="154"/>
  <c r="C31" i="154"/>
  <c r="H16" i="17"/>
  <c r="L24" i="25"/>
  <c r="B15" i="25"/>
  <c r="H15" i="17"/>
  <c r="H37" i="17"/>
  <c r="J37" i="17"/>
  <c r="H11" i="17"/>
  <c r="B11" i="25"/>
  <c r="J11" i="17"/>
  <c r="I11" i="17" s="1"/>
  <c r="G19" i="25"/>
  <c r="K19" i="25" s="1"/>
  <c r="I15" i="17"/>
  <c r="G71" i="8"/>
  <c r="I76" i="257"/>
  <c r="R16" i="8"/>
  <c r="H36" i="36"/>
  <c r="R44" i="8"/>
  <c r="N44" i="8"/>
  <c r="B72" i="12"/>
  <c r="G54" i="8"/>
  <c r="I24" i="10"/>
  <c r="L39" i="25"/>
  <c r="G56" i="8"/>
  <c r="P56" i="8" s="1"/>
  <c r="L34" i="25"/>
  <c r="G85" i="8"/>
  <c r="I39" i="17"/>
  <c r="I32" i="10"/>
  <c r="F39" i="36"/>
  <c r="I19" i="10"/>
  <c r="I41" i="10"/>
  <c r="B24" i="25"/>
  <c r="F44" i="36"/>
  <c r="L44" i="36" s="1"/>
  <c r="B60" i="12"/>
  <c r="P49" i="21"/>
  <c r="G49" i="24" s="1"/>
  <c r="E84" i="24"/>
  <c r="P84" i="21"/>
  <c r="X84" i="21" s="1"/>
  <c r="G84" i="24"/>
  <c r="W56" i="21"/>
  <c r="D20" i="25"/>
  <c r="L18" i="20"/>
  <c r="G10" i="24"/>
  <c r="P80" i="21"/>
  <c r="X12" i="21"/>
  <c r="E12" i="24"/>
  <c r="H12" i="24" s="1"/>
  <c r="D17" i="24"/>
  <c r="J17" i="24" s="1"/>
  <c r="W17" i="21"/>
  <c r="C39" i="20"/>
  <c r="J30" i="24"/>
  <c r="E49" i="60"/>
  <c r="O91" i="21"/>
  <c r="J46" i="24"/>
  <c r="G87" i="24"/>
  <c r="J87" i="24" s="1"/>
  <c r="K39" i="14"/>
  <c r="L39" i="14" s="1"/>
  <c r="D57" i="24"/>
  <c r="W57" i="21"/>
  <c r="AH48" i="167"/>
  <c r="AG48" i="167"/>
  <c r="AA49" i="167"/>
  <c r="AA43" i="167"/>
  <c r="W60" i="21"/>
  <c r="U45" i="28"/>
  <c r="M71" i="21"/>
  <c r="W51" i="21"/>
  <c r="D51" i="24"/>
  <c r="M48" i="21"/>
  <c r="B48" i="24"/>
  <c r="H48" i="24"/>
  <c r="P48" i="12"/>
  <c r="G67" i="24"/>
  <c r="X67" i="21"/>
  <c r="V27" i="28"/>
  <c r="V22" i="28"/>
  <c r="J29" i="24"/>
  <c r="L14" i="14"/>
  <c r="W43" i="167"/>
  <c r="K43" i="167"/>
  <c r="F43" i="167"/>
  <c r="D18" i="188"/>
  <c r="F9" i="187"/>
  <c r="G75" i="24"/>
  <c r="X75" i="21"/>
  <c r="V18" i="28"/>
  <c r="G20" i="13"/>
  <c r="H20" i="13" s="1"/>
  <c r="H33" i="24"/>
  <c r="V21" i="28"/>
  <c r="U15" i="28"/>
  <c r="O93" i="60"/>
  <c r="M84" i="21"/>
  <c r="W84" i="21" s="1"/>
  <c r="P61" i="21"/>
  <c r="M54" i="21"/>
  <c r="W54" i="21" s="1"/>
  <c r="P31" i="21"/>
  <c r="X31" i="21" s="1"/>
  <c r="M86" i="21"/>
  <c r="C11" i="187"/>
  <c r="D101" i="184"/>
  <c r="C8" i="185"/>
  <c r="D20" i="188"/>
  <c r="F11" i="187" s="1"/>
  <c r="C19" i="188"/>
  <c r="C9" i="188"/>
  <c r="D19" i="188"/>
  <c r="F10" i="187"/>
  <c r="P37" i="184"/>
  <c r="N90" i="59"/>
  <c r="Q92" i="59"/>
  <c r="H197" i="59"/>
  <c r="H196" i="59"/>
  <c r="P9" i="59"/>
  <c r="G32" i="60"/>
  <c r="S30" i="21"/>
  <c r="G26" i="60"/>
  <c r="T24" i="21"/>
  <c r="B16" i="24"/>
  <c r="G18" i="60"/>
  <c r="W14" i="21"/>
  <c r="P14" i="12"/>
  <c r="B14" i="24"/>
  <c r="G40" i="102"/>
  <c r="X34" i="21"/>
  <c r="B79" i="24"/>
  <c r="H79" i="24" s="1"/>
  <c r="W46" i="21"/>
  <c r="W36" i="21"/>
  <c r="E46" i="24"/>
  <c r="E91" i="155"/>
  <c r="Q158" i="59"/>
  <c r="G66" i="8"/>
  <c r="P66" i="8" s="1"/>
  <c r="F35" i="30"/>
  <c r="E21" i="30"/>
  <c r="D47" i="24"/>
  <c r="U26" i="21"/>
  <c r="G26" i="13"/>
  <c r="H26" i="13" s="1"/>
  <c r="G15" i="13"/>
  <c r="H15" i="13" s="1"/>
  <c r="X33" i="21"/>
  <c r="G33" i="24"/>
  <c r="J33" i="24" s="1"/>
  <c r="P25" i="21"/>
  <c r="P62" i="21"/>
  <c r="G57" i="24"/>
  <c r="X57" i="21"/>
  <c r="G44" i="24"/>
  <c r="X44" i="21"/>
  <c r="X10" i="21"/>
  <c r="W75" i="21"/>
  <c r="W41" i="21"/>
  <c r="M50" i="15"/>
  <c r="M66" i="21"/>
  <c r="M25" i="21"/>
  <c r="F8" i="162"/>
  <c r="AE100" i="184"/>
  <c r="AE101" i="184" s="1"/>
  <c r="D8" i="185"/>
  <c r="D10" i="185" s="1"/>
  <c r="E7" i="187" s="1"/>
  <c r="C22" i="188"/>
  <c r="D22" i="188" s="1"/>
  <c r="G73" i="8"/>
  <c r="P73" i="8" s="1"/>
  <c r="C81" i="13"/>
  <c r="C54" i="13"/>
  <c r="H46" i="59"/>
  <c r="Q38" i="59"/>
  <c r="Q34" i="59"/>
  <c r="Q22" i="59"/>
  <c r="K11" i="60"/>
  <c r="X43" i="167"/>
  <c r="R43" i="167"/>
  <c r="I43" i="167"/>
  <c r="G43" i="167"/>
  <c r="U101" i="184"/>
  <c r="C14" i="187"/>
  <c r="D14" i="187" s="1"/>
  <c r="Q13" i="59"/>
  <c r="F91" i="100"/>
  <c r="S43" i="167"/>
  <c r="N43" i="167"/>
  <c r="C43" i="167"/>
  <c r="G60" i="8"/>
  <c r="P60" i="8" s="1"/>
  <c r="C86" i="13"/>
  <c r="C89" i="13"/>
  <c r="H30" i="59"/>
  <c r="Q157" i="59"/>
  <c r="G38" i="60"/>
  <c r="Q43" i="167"/>
  <c r="O43" i="167"/>
  <c r="J43" i="167"/>
  <c r="G35" i="30"/>
  <c r="M87" i="15"/>
  <c r="M69" i="15"/>
  <c r="J80" i="60"/>
  <c r="H78" i="257" s="1"/>
  <c r="M85" i="15"/>
  <c r="J63" i="60"/>
  <c r="H61" i="257" s="1"/>
  <c r="J82" i="60"/>
  <c r="H80" i="257" s="1"/>
  <c r="AM43" i="167"/>
  <c r="AK49" i="167"/>
  <c r="AF43" i="167"/>
  <c r="AB43" i="167"/>
  <c r="AD43" i="167"/>
  <c r="AH43" i="167"/>
  <c r="AI43" i="167"/>
  <c r="AL43" i="167"/>
  <c r="AM49" i="167"/>
  <c r="AP25" i="167"/>
  <c r="V48" i="167"/>
  <c r="V43" i="167"/>
  <c r="AP16" i="167"/>
  <c r="AP14" i="167"/>
  <c r="AP12" i="167"/>
  <c r="AM48" i="167"/>
  <c r="AJ49" i="167"/>
  <c r="AE48" i="167"/>
  <c r="AB49" i="167"/>
  <c r="Z49" i="167"/>
  <c r="W49" i="167"/>
  <c r="AK48" i="167"/>
  <c r="AH49" i="167"/>
  <c r="AC48" i="167"/>
  <c r="AA48" i="167"/>
  <c r="X49" i="167"/>
  <c r="AP28" i="167"/>
  <c r="AP15" i="167"/>
  <c r="AP13" i="167"/>
  <c r="AI48" i="167"/>
  <c r="AF49" i="167"/>
  <c r="Y48" i="167"/>
  <c r="W48" i="167"/>
  <c r="G26" i="25"/>
  <c r="K26" i="25" s="1"/>
  <c r="G16" i="25"/>
  <c r="K16" i="25" s="1"/>
  <c r="Q16" i="9"/>
  <c r="B77" i="12"/>
  <c r="F19" i="36"/>
  <c r="L19" i="36" s="1"/>
  <c r="F31" i="36"/>
  <c r="P31" i="36" s="1"/>
  <c r="B35" i="13"/>
  <c r="B68" i="15"/>
  <c r="E68" i="24"/>
  <c r="E88" i="24"/>
  <c r="B88" i="15"/>
  <c r="B78" i="15"/>
  <c r="E78" i="24"/>
  <c r="T79" i="21"/>
  <c r="F79" i="24"/>
  <c r="C79" i="15"/>
  <c r="C43" i="13"/>
  <c r="M51" i="15"/>
  <c r="T51" i="21"/>
  <c r="F51" i="24"/>
  <c r="H49" i="14"/>
  <c r="I49" i="14" s="1"/>
  <c r="J57" i="24"/>
  <c r="B80" i="12"/>
  <c r="H37" i="13"/>
  <c r="M48" i="15"/>
  <c r="T48" i="21"/>
  <c r="M80" i="15"/>
  <c r="F48" i="24"/>
  <c r="H48" i="14"/>
  <c r="I48" i="14" s="1"/>
  <c r="M49" i="15"/>
  <c r="F49" i="24"/>
  <c r="T49" i="21"/>
  <c r="G52" i="13"/>
  <c r="H52" i="13" s="1"/>
  <c r="M58" i="15"/>
  <c r="E58" i="24"/>
  <c r="B58" i="15"/>
  <c r="C32" i="13"/>
  <c r="H57" i="59"/>
  <c r="M54" i="15"/>
  <c r="B54" i="15"/>
  <c r="E54" i="24"/>
  <c r="T89" i="13"/>
  <c r="D45" i="19"/>
  <c r="N21" i="13"/>
  <c r="C12" i="13"/>
  <c r="Q37" i="60"/>
  <c r="N54" i="12"/>
  <c r="B82" i="24"/>
  <c r="B82" i="14"/>
  <c r="X62" i="21" l="1"/>
  <c r="G62" i="24"/>
  <c r="X49" i="21"/>
  <c r="G85" i="24"/>
  <c r="J85" i="24" s="1"/>
  <c r="X85" i="21"/>
  <c r="U28" i="21"/>
  <c r="U32" i="21"/>
  <c r="F51" i="140"/>
  <c r="I51" i="60" s="1"/>
  <c r="D49" i="24"/>
  <c r="C49" i="13"/>
  <c r="C49" i="60"/>
  <c r="P49" i="60"/>
  <c r="V42" i="21"/>
  <c r="Q44" i="60"/>
  <c r="U15" i="21"/>
  <c r="U44" i="21"/>
  <c r="U37" i="21"/>
  <c r="H50" i="14"/>
  <c r="I50" i="14" s="1"/>
  <c r="F52" i="140"/>
  <c r="I52" i="60" s="1"/>
  <c r="C50" i="13"/>
  <c r="W48" i="21"/>
  <c r="D48" i="24"/>
  <c r="J48" i="24" s="1"/>
  <c r="E43" i="60"/>
  <c r="V41" i="21"/>
  <c r="H20" i="24"/>
  <c r="D17" i="13"/>
  <c r="E17" i="13" s="1"/>
  <c r="I79" i="13"/>
  <c r="M79" i="14"/>
  <c r="AP29" i="167"/>
  <c r="E31" i="140"/>
  <c r="K39" i="15"/>
  <c r="L39" i="15" s="1"/>
  <c r="S19" i="23"/>
  <c r="U10" i="21"/>
  <c r="X37" i="21"/>
  <c r="P78" i="21"/>
  <c r="P72" i="21"/>
  <c r="Q210" i="59"/>
  <c r="Q202" i="59"/>
  <c r="Q186" i="59"/>
  <c r="Q183" i="59"/>
  <c r="Q33" i="59"/>
  <c r="Q14" i="59"/>
  <c r="H96" i="59"/>
  <c r="G72" i="140"/>
  <c r="J72" i="60" s="1"/>
  <c r="H70" i="257" s="1"/>
  <c r="G77" i="140"/>
  <c r="J77" i="60" s="1"/>
  <c r="H75" i="257" s="1"/>
  <c r="G41" i="140"/>
  <c r="J41" i="60" s="1"/>
  <c r="E12" i="140"/>
  <c r="G21" i="140"/>
  <c r="J21" i="60" s="1"/>
  <c r="E21" i="60" s="1"/>
  <c r="P21" i="60" s="1"/>
  <c r="E21" i="140"/>
  <c r="E18" i="140"/>
  <c r="H18" i="60" s="1"/>
  <c r="Q18" i="60" s="1"/>
  <c r="E15" i="140"/>
  <c r="H15" i="60" s="1"/>
  <c r="J34" i="13"/>
  <c r="F34" i="19" s="1"/>
  <c r="E34" i="19" s="1"/>
  <c r="C34" i="261" s="1"/>
  <c r="I32" i="24"/>
  <c r="H28" i="24"/>
  <c r="J13" i="24"/>
  <c r="I33" i="24"/>
  <c r="H34" i="24"/>
  <c r="U42" i="21"/>
  <c r="S18" i="23"/>
  <c r="D26" i="13"/>
  <c r="D22" i="13"/>
  <c r="D12" i="13"/>
  <c r="D23" i="13"/>
  <c r="X42" i="21"/>
  <c r="X40" i="21"/>
  <c r="H136" i="59"/>
  <c r="J56" i="60"/>
  <c r="H54" i="257" s="1"/>
  <c r="G74" i="140"/>
  <c r="J74" i="60" s="1"/>
  <c r="E32" i="140"/>
  <c r="H32" i="60" s="1"/>
  <c r="G26" i="140"/>
  <c r="J26" i="60" s="1"/>
  <c r="G35" i="140"/>
  <c r="J35" i="60" s="1"/>
  <c r="H33" i="257" s="1"/>
  <c r="E28" i="140"/>
  <c r="H28" i="60" s="1"/>
  <c r="Q28" i="60" s="1"/>
  <c r="G34" i="140"/>
  <c r="J34" i="60" s="1"/>
  <c r="H55" i="59"/>
  <c r="I55" i="59" s="1"/>
  <c r="Q83" i="59"/>
  <c r="R61" i="59"/>
  <c r="G61" i="21" s="1"/>
  <c r="R56" i="59"/>
  <c r="G56" i="21" s="1"/>
  <c r="D42" i="13"/>
  <c r="P86" i="21"/>
  <c r="Q104" i="59"/>
  <c r="H37" i="59"/>
  <c r="H55" i="257"/>
  <c r="G23" i="60"/>
  <c r="AP36" i="167"/>
  <c r="G79" i="140"/>
  <c r="J79" i="60" s="1"/>
  <c r="H77" i="257" s="1"/>
  <c r="G67" i="140"/>
  <c r="J67" i="60" s="1"/>
  <c r="H65" i="257" s="1"/>
  <c r="G91" i="140"/>
  <c r="J91" i="60" s="1"/>
  <c r="H89" i="257" s="1"/>
  <c r="G87" i="140"/>
  <c r="J87" i="60" s="1"/>
  <c r="H85" i="257" s="1"/>
  <c r="E48" i="140"/>
  <c r="H48" i="60" s="1"/>
  <c r="H76" i="59"/>
  <c r="G82" i="24"/>
  <c r="J82" i="24" s="1"/>
  <c r="X82" i="21"/>
  <c r="D65" i="24"/>
  <c r="W65" i="21"/>
  <c r="E23" i="13"/>
  <c r="T23" i="13" s="1"/>
  <c r="W83" i="21"/>
  <c r="D83" i="24"/>
  <c r="X86" i="21"/>
  <c r="G86" i="24"/>
  <c r="H24" i="24"/>
  <c r="J22" i="24"/>
  <c r="H18" i="24"/>
  <c r="J12" i="24"/>
  <c r="P71" i="21"/>
  <c r="D31" i="140"/>
  <c r="H31" i="60"/>
  <c r="Q31" i="60" s="1"/>
  <c r="E40" i="23"/>
  <c r="I40" i="13" s="1"/>
  <c r="I32" i="13"/>
  <c r="V49" i="21"/>
  <c r="I17" i="24"/>
  <c r="U24" i="21"/>
  <c r="U18" i="21"/>
  <c r="E12" i="13"/>
  <c r="T12" i="13" s="1"/>
  <c r="J44" i="24"/>
  <c r="J75" i="24"/>
  <c r="X54" i="21"/>
  <c r="X81" i="21"/>
  <c r="J56" i="24"/>
  <c r="I29" i="24"/>
  <c r="J23" i="24"/>
  <c r="I36" i="24"/>
  <c r="H42" i="24"/>
  <c r="J34" i="24"/>
  <c r="H19" i="24"/>
  <c r="X30" i="21"/>
  <c r="P74" i="21"/>
  <c r="C48" i="14"/>
  <c r="D48" i="14" s="1"/>
  <c r="G48" i="13" s="1"/>
  <c r="H48" i="13" s="1"/>
  <c r="F48" i="13"/>
  <c r="J28" i="24"/>
  <c r="J47" i="24"/>
  <c r="I26" i="24"/>
  <c r="U20" i="21"/>
  <c r="C21" i="60"/>
  <c r="O19" i="257" s="1"/>
  <c r="U51" i="21"/>
  <c r="H32" i="24"/>
  <c r="I19" i="24"/>
  <c r="H35" i="24"/>
  <c r="U12" i="21"/>
  <c r="S14" i="23"/>
  <c r="S20" i="23"/>
  <c r="S34" i="23"/>
  <c r="L24" i="14"/>
  <c r="D24" i="13" s="1"/>
  <c r="D21" i="13"/>
  <c r="D15" i="13"/>
  <c r="E15" i="13" s="1"/>
  <c r="D11" i="13"/>
  <c r="E11" i="13" s="1"/>
  <c r="T11" i="13" s="1"/>
  <c r="H23" i="24"/>
  <c r="H15" i="24"/>
  <c r="I13" i="24"/>
  <c r="J24" i="24"/>
  <c r="I12" i="24"/>
  <c r="P66" i="21"/>
  <c r="X36" i="21"/>
  <c r="X17" i="21"/>
  <c r="X15" i="21"/>
  <c r="C49" i="14"/>
  <c r="D49" i="14" s="1"/>
  <c r="G49" i="13" s="1"/>
  <c r="F49" i="13"/>
  <c r="AF48" i="167"/>
  <c r="J50" i="60"/>
  <c r="H48" i="257" s="1"/>
  <c r="H59" i="59"/>
  <c r="Q99" i="59"/>
  <c r="H15" i="59"/>
  <c r="G40" i="60"/>
  <c r="V38" i="21" s="1"/>
  <c r="H184" i="59"/>
  <c r="AP40" i="167"/>
  <c r="AP37" i="167"/>
  <c r="H40" i="257"/>
  <c r="H41" i="257"/>
  <c r="G71" i="140"/>
  <c r="J71" i="60" s="1"/>
  <c r="H69" i="257" s="1"/>
  <c r="G75" i="140"/>
  <c r="J75" i="60" s="1"/>
  <c r="H73" i="257" s="1"/>
  <c r="G73" i="140"/>
  <c r="J73" i="60" s="1"/>
  <c r="H71" i="257" s="1"/>
  <c r="G51" i="140"/>
  <c r="J51" i="60" s="1"/>
  <c r="E51" i="60" s="1"/>
  <c r="G33" i="140"/>
  <c r="J33" i="60" s="1"/>
  <c r="E43" i="140"/>
  <c r="H43" i="60" s="1"/>
  <c r="E20" i="140"/>
  <c r="G32" i="140"/>
  <c r="J32" i="60" s="1"/>
  <c r="H30" i="257" s="1"/>
  <c r="E14" i="140"/>
  <c r="H14" i="60" s="1"/>
  <c r="Q14" i="60" s="1"/>
  <c r="E46" i="140"/>
  <c r="H46" i="60" s="1"/>
  <c r="Q46" i="60" s="1"/>
  <c r="E40" i="140"/>
  <c r="H40" i="60" s="1"/>
  <c r="E22" i="140"/>
  <c r="H22" i="60" s="1"/>
  <c r="Q22" i="60" s="1"/>
  <c r="D19" i="140"/>
  <c r="G17" i="140"/>
  <c r="J17" i="60" s="1"/>
  <c r="H15" i="257" s="1"/>
  <c r="I38" i="10"/>
  <c r="J20" i="13"/>
  <c r="K38" i="9"/>
  <c r="F43" i="21"/>
  <c r="X29" i="21"/>
  <c r="P55" i="21"/>
  <c r="Q179" i="59"/>
  <c r="Q151" i="59"/>
  <c r="Q136" i="59"/>
  <c r="Q125" i="59"/>
  <c r="Q105" i="59"/>
  <c r="H44" i="59"/>
  <c r="G45" i="59"/>
  <c r="H39" i="59"/>
  <c r="H36" i="59"/>
  <c r="H21" i="59"/>
  <c r="Q27" i="59"/>
  <c r="G25" i="60"/>
  <c r="H160" i="59"/>
  <c r="E43" i="167"/>
  <c r="AP42" i="167"/>
  <c r="V49" i="167"/>
  <c r="G68" i="140"/>
  <c r="J68" i="60" s="1"/>
  <c r="H66" i="257" s="1"/>
  <c r="G59" i="140"/>
  <c r="J59" i="60" s="1"/>
  <c r="H57" i="257" s="1"/>
  <c r="G40" i="140"/>
  <c r="J40" i="60" s="1"/>
  <c r="J29" i="60"/>
  <c r="H27" i="257" s="1"/>
  <c r="D48" i="140"/>
  <c r="G22" i="140"/>
  <c r="J22" i="60" s="1"/>
  <c r="H20" i="257" s="1"/>
  <c r="J41" i="13"/>
  <c r="F41" i="19" s="1"/>
  <c r="F9" i="59"/>
  <c r="I32" i="23"/>
  <c r="I12" i="23" s="1"/>
  <c r="H72" i="257"/>
  <c r="X26" i="21"/>
  <c r="P88" i="21"/>
  <c r="P83" i="21"/>
  <c r="P50" i="21"/>
  <c r="W22" i="21"/>
  <c r="Q214" i="59"/>
  <c r="Q190" i="59"/>
  <c r="Q167" i="59"/>
  <c r="H33" i="59"/>
  <c r="H12" i="59"/>
  <c r="B41" i="24"/>
  <c r="H41" i="24" s="1"/>
  <c r="G17" i="60"/>
  <c r="H176" i="59"/>
  <c r="H156" i="59"/>
  <c r="H124" i="59"/>
  <c r="H148" i="59"/>
  <c r="L43" i="167"/>
  <c r="AP32" i="167"/>
  <c r="AP26" i="167"/>
  <c r="AP23" i="167"/>
  <c r="AP21" i="167"/>
  <c r="AP19" i="167"/>
  <c r="AP9" i="167"/>
  <c r="H47" i="257"/>
  <c r="H32" i="257"/>
  <c r="G60" i="140"/>
  <c r="J60" i="60" s="1"/>
  <c r="H58" i="257" s="1"/>
  <c r="G54" i="140"/>
  <c r="J54" i="60" s="1"/>
  <c r="G78" i="140"/>
  <c r="J78" i="60" s="1"/>
  <c r="H76" i="257" s="1"/>
  <c r="J43" i="21"/>
  <c r="M43" i="15" s="1"/>
  <c r="G89" i="140"/>
  <c r="J89" i="60" s="1"/>
  <c r="H87" i="257" s="1"/>
  <c r="F32" i="140"/>
  <c r="E42" i="140"/>
  <c r="H42" i="60" s="1"/>
  <c r="G28" i="140"/>
  <c r="J28" i="60" s="1"/>
  <c r="H26" i="257" s="1"/>
  <c r="E17" i="140"/>
  <c r="H17" i="60" s="1"/>
  <c r="I36" i="10"/>
  <c r="G52" i="140"/>
  <c r="J52" i="60" s="1"/>
  <c r="P29" i="12"/>
  <c r="R74" i="59"/>
  <c r="G74" i="21" s="1"/>
  <c r="J34" i="12"/>
  <c r="J16" i="12"/>
  <c r="J12" i="12"/>
  <c r="D12" i="12" s="1"/>
  <c r="V36" i="21"/>
  <c r="E10" i="187"/>
  <c r="E8" i="187" s="1"/>
  <c r="F8" i="187" s="1"/>
  <c r="C24" i="188"/>
  <c r="D24" i="188" s="1"/>
  <c r="X61" i="21"/>
  <c r="G61" i="24"/>
  <c r="D9" i="185"/>
  <c r="D11" i="185" s="1"/>
  <c r="C35" i="188"/>
  <c r="V16" i="21"/>
  <c r="V30" i="21"/>
  <c r="D54" i="24"/>
  <c r="J54" i="24" s="1"/>
  <c r="D84" i="24"/>
  <c r="W71" i="21"/>
  <c r="D71" i="24"/>
  <c r="J49" i="24"/>
  <c r="H45" i="59"/>
  <c r="J81" i="24"/>
  <c r="X60" i="21"/>
  <c r="G60" i="24"/>
  <c r="J60" i="24" s="1"/>
  <c r="J20" i="24"/>
  <c r="U41" i="21"/>
  <c r="S15" i="23"/>
  <c r="D62" i="24"/>
  <c r="J62" i="24" s="1"/>
  <c r="W62" i="21"/>
  <c r="E22" i="13"/>
  <c r="T22" i="13" s="1"/>
  <c r="X56" i="21"/>
  <c r="X69" i="21"/>
  <c r="G69" i="24"/>
  <c r="J69" i="24" s="1"/>
  <c r="J10" i="24"/>
  <c r="J39" i="24"/>
  <c r="I22" i="24"/>
  <c r="J18" i="24"/>
  <c r="S28" i="23"/>
  <c r="S41" i="23"/>
  <c r="P90" i="59"/>
  <c r="I34" i="24"/>
  <c r="P59" i="21"/>
  <c r="G59" i="24" s="1"/>
  <c r="J59" i="24" s="1"/>
  <c r="F24" i="24"/>
  <c r="X24" i="21"/>
  <c r="H13" i="24"/>
  <c r="Q121" i="59"/>
  <c r="X35" i="21"/>
  <c r="F35" i="24"/>
  <c r="I35" i="24" s="1"/>
  <c r="J32" i="24"/>
  <c r="Q142" i="59"/>
  <c r="J15" i="24"/>
  <c r="J38" i="24"/>
  <c r="Q139" i="59"/>
  <c r="W87" i="21"/>
  <c r="Q166" i="59"/>
  <c r="AE68" i="184"/>
  <c r="K13" i="256"/>
  <c r="L13" i="256" s="1"/>
  <c r="K5" i="256"/>
  <c r="L5" i="256" s="1"/>
  <c r="K15" i="256"/>
  <c r="L15" i="256" s="1"/>
  <c r="K23" i="256"/>
  <c r="L23" i="256" s="1"/>
  <c r="K11" i="256"/>
  <c r="L11" i="256" s="1"/>
  <c r="K19" i="256"/>
  <c r="L19" i="256" s="1"/>
  <c r="H14" i="59"/>
  <c r="H51" i="24"/>
  <c r="I38" i="24"/>
  <c r="J40" i="24"/>
  <c r="I41" i="24"/>
  <c r="U47" i="28"/>
  <c r="D29" i="13"/>
  <c r="D20" i="13"/>
  <c r="B47" i="20"/>
  <c r="N47" i="20"/>
  <c r="V26" i="28"/>
  <c r="U28" i="28"/>
  <c r="U16" i="28"/>
  <c r="J26" i="24"/>
  <c r="J93" i="60"/>
  <c r="P93" i="60"/>
  <c r="P51" i="21"/>
  <c r="X47" i="21"/>
  <c r="X18" i="21"/>
  <c r="H201" i="59"/>
  <c r="H130" i="59"/>
  <c r="B10" i="24"/>
  <c r="H10" i="24" s="1"/>
  <c r="V10" i="21"/>
  <c r="G35" i="60"/>
  <c r="T33" i="21"/>
  <c r="E29" i="24"/>
  <c r="H29" i="24" s="1"/>
  <c r="T29" i="21"/>
  <c r="U89" i="21"/>
  <c r="I42" i="24"/>
  <c r="I44" i="24"/>
  <c r="H38" i="24"/>
  <c r="I14" i="24"/>
  <c r="H17" i="24"/>
  <c r="I37" i="24"/>
  <c r="H11" i="24"/>
  <c r="H16" i="24"/>
  <c r="U46" i="28"/>
  <c r="U31" i="28"/>
  <c r="U33" i="28"/>
  <c r="U44" i="28"/>
  <c r="U50" i="28"/>
  <c r="U14" i="28"/>
  <c r="S21" i="23"/>
  <c r="S23" i="23"/>
  <c r="D37" i="13"/>
  <c r="K34" i="14"/>
  <c r="D16" i="13"/>
  <c r="E16" i="13" s="1"/>
  <c r="N60" i="20"/>
  <c r="I15" i="24"/>
  <c r="U40" i="28"/>
  <c r="W28" i="28"/>
  <c r="W24" i="28"/>
  <c r="U42" i="28"/>
  <c r="U39" i="28"/>
  <c r="Q213" i="59"/>
  <c r="Q152" i="59"/>
  <c r="Q109" i="59"/>
  <c r="L44" i="14"/>
  <c r="D44" i="13" s="1"/>
  <c r="X39" i="21"/>
  <c r="X48" i="21"/>
  <c r="X46" i="21"/>
  <c r="X22" i="21"/>
  <c r="X20" i="21"/>
  <c r="X11" i="21"/>
  <c r="W12" i="21"/>
  <c r="Q175" i="59"/>
  <c r="Q128" i="59"/>
  <c r="C64" i="13"/>
  <c r="C57" i="13"/>
  <c r="C55" i="13"/>
  <c r="C67" i="13"/>
  <c r="E91" i="100"/>
  <c r="P64" i="21"/>
  <c r="Q28" i="59"/>
  <c r="N22" i="261"/>
  <c r="N22" i="17"/>
  <c r="H140" i="59"/>
  <c r="Q95" i="59"/>
  <c r="M40" i="102"/>
  <c r="X19" i="21"/>
  <c r="P76" i="21"/>
  <c r="P70" i="21"/>
  <c r="X38" i="21"/>
  <c r="Q194" i="59"/>
  <c r="B9" i="185"/>
  <c r="C63" i="13"/>
  <c r="C58" i="13"/>
  <c r="L91" i="100"/>
  <c r="I91" i="100"/>
  <c r="H27" i="59"/>
  <c r="N9" i="59"/>
  <c r="N220" i="59" s="1"/>
  <c r="Q16" i="59"/>
  <c r="Q41" i="59"/>
  <c r="Q37" i="59"/>
  <c r="Q12" i="59"/>
  <c r="I40" i="17"/>
  <c r="J91" i="100"/>
  <c r="G42" i="60"/>
  <c r="G29" i="60"/>
  <c r="H132" i="59"/>
  <c r="H108" i="59"/>
  <c r="H172" i="59"/>
  <c r="H104" i="59"/>
  <c r="T43" i="167"/>
  <c r="P43" i="167"/>
  <c r="I59" i="54"/>
  <c r="AC43" i="167"/>
  <c r="Y43" i="167"/>
  <c r="AP17" i="167"/>
  <c r="AE49" i="167"/>
  <c r="C48" i="100"/>
  <c r="D89" i="100"/>
  <c r="G66" i="140"/>
  <c r="J66" i="60" s="1"/>
  <c r="H64" i="257" s="1"/>
  <c r="G62" i="140"/>
  <c r="J62" i="60" s="1"/>
  <c r="H60" i="257" s="1"/>
  <c r="G69" i="140"/>
  <c r="J69" i="60" s="1"/>
  <c r="H67" i="257" s="1"/>
  <c r="G90" i="140"/>
  <c r="J90" i="60" s="1"/>
  <c r="G64" i="140"/>
  <c r="J64" i="60" s="1"/>
  <c r="H62" i="257" s="1"/>
  <c r="G65" i="140"/>
  <c r="J65" i="60" s="1"/>
  <c r="H63" i="257" s="1"/>
  <c r="J56" i="21"/>
  <c r="M56" i="15" s="1"/>
  <c r="H43" i="167"/>
  <c r="D43" i="167"/>
  <c r="AJ43" i="167"/>
  <c r="Z43" i="167"/>
  <c r="AI49" i="167"/>
  <c r="D44" i="100"/>
  <c r="H31" i="257"/>
  <c r="C51" i="14"/>
  <c r="D51" i="14" s="1"/>
  <c r="G51" i="13" s="1"/>
  <c r="F51" i="13"/>
  <c r="F50" i="13"/>
  <c r="C50" i="14"/>
  <c r="D50" i="14" s="1"/>
  <c r="G50" i="13" s="1"/>
  <c r="C32" i="23"/>
  <c r="Q46" i="59"/>
  <c r="Q45" i="59" s="1"/>
  <c r="Q19" i="59"/>
  <c r="V54" i="28"/>
  <c r="G15" i="60"/>
  <c r="H212" i="59"/>
  <c r="H152" i="59"/>
  <c r="H128" i="59"/>
  <c r="H112" i="59"/>
  <c r="H164" i="59"/>
  <c r="H120" i="59"/>
  <c r="U43" i="167"/>
  <c r="M43" i="167"/>
  <c r="AG43" i="167"/>
  <c r="AP38" i="167"/>
  <c r="AP34" i="167"/>
  <c r="AP30" i="167"/>
  <c r="AP18" i="167"/>
  <c r="Y49" i="167"/>
  <c r="X48" i="167"/>
  <c r="K8" i="100"/>
  <c r="D8" i="100"/>
  <c r="H19" i="257"/>
  <c r="H49" i="257"/>
  <c r="G88" i="140"/>
  <c r="J88" i="60" s="1"/>
  <c r="H86" i="257" s="1"/>
  <c r="G70" i="140"/>
  <c r="J70" i="60" s="1"/>
  <c r="H68" i="257" s="1"/>
  <c r="G83" i="140"/>
  <c r="J83" i="60" s="1"/>
  <c r="H81" i="257" s="1"/>
  <c r="Q62" i="59"/>
  <c r="E35" i="23"/>
  <c r="I35" i="13" s="1"/>
  <c r="L35" i="23"/>
  <c r="D35" i="23" s="1"/>
  <c r="AP39" i="167"/>
  <c r="AP35" i="167"/>
  <c r="AP31" i="167"/>
  <c r="AP24" i="167"/>
  <c r="AP22" i="167"/>
  <c r="AP20" i="167"/>
  <c r="AC49" i="167"/>
  <c r="AB48" i="167"/>
  <c r="C90" i="100"/>
  <c r="C50" i="100"/>
  <c r="C46" i="100"/>
  <c r="C10" i="100"/>
  <c r="C8" i="100" s="1"/>
  <c r="H51" i="257"/>
  <c r="D42" i="140"/>
  <c r="C42" i="140" s="1"/>
  <c r="B42" i="140" s="1"/>
  <c r="J78" i="21"/>
  <c r="M78" i="15" s="1"/>
  <c r="F47" i="13"/>
  <c r="C47" i="14"/>
  <c r="D47" i="14" s="1"/>
  <c r="G47" i="13" s="1"/>
  <c r="I82" i="257"/>
  <c r="I78" i="257"/>
  <c r="I74" i="257"/>
  <c r="I66" i="257"/>
  <c r="I62" i="257"/>
  <c r="I58" i="257"/>
  <c r="I18" i="257"/>
  <c r="I10" i="257"/>
  <c r="H89" i="261"/>
  <c r="K89" i="261"/>
  <c r="J89" i="261"/>
  <c r="R73" i="59"/>
  <c r="G73" i="21" s="1"/>
  <c r="R60" i="59"/>
  <c r="G60" i="21" s="1"/>
  <c r="G58" i="140"/>
  <c r="J58" i="60" s="1"/>
  <c r="H56" i="257" s="1"/>
  <c r="G76" i="140"/>
  <c r="J76" i="60" s="1"/>
  <c r="H74" i="257" s="1"/>
  <c r="I43" i="21"/>
  <c r="G37" i="140"/>
  <c r="J37" i="60" s="1"/>
  <c r="G16" i="140"/>
  <c r="J16" i="60" s="1"/>
  <c r="E16" i="60" s="1"/>
  <c r="E16" i="140"/>
  <c r="H16" i="60" s="1"/>
  <c r="Q16" i="60" s="1"/>
  <c r="G81" i="140"/>
  <c r="J81" i="60" s="1"/>
  <c r="G25" i="140"/>
  <c r="J25" i="60" s="1"/>
  <c r="H23" i="257" s="1"/>
  <c r="E26" i="140"/>
  <c r="G30" i="140"/>
  <c r="J30" i="60" s="1"/>
  <c r="H28" i="257" s="1"/>
  <c r="G48" i="140"/>
  <c r="J48" i="60" s="1"/>
  <c r="H46" i="257" s="1"/>
  <c r="G31" i="140"/>
  <c r="J31" i="60" s="1"/>
  <c r="H29" i="257" s="1"/>
  <c r="G19" i="140"/>
  <c r="J19" i="60" s="1"/>
  <c r="H17" i="257" s="1"/>
  <c r="E38" i="140"/>
  <c r="H38" i="60" s="1"/>
  <c r="Q38" i="60" s="1"/>
  <c r="G13" i="140"/>
  <c r="J13" i="60" s="1"/>
  <c r="H11" i="8"/>
  <c r="J11" i="8" s="1"/>
  <c r="G23" i="140"/>
  <c r="J23" i="60" s="1"/>
  <c r="E23" i="60" s="1"/>
  <c r="W22" i="99"/>
  <c r="L22" i="99"/>
  <c r="I89" i="257"/>
  <c r="I85" i="257"/>
  <c r="I81" i="257"/>
  <c r="I69" i="257"/>
  <c r="I65" i="257"/>
  <c r="I61" i="257"/>
  <c r="I57" i="257"/>
  <c r="I52" i="257"/>
  <c r="B89" i="25"/>
  <c r="P28" i="12"/>
  <c r="E15" i="8"/>
  <c r="B15" i="9" s="1"/>
  <c r="H15" i="9" s="1"/>
  <c r="H86" i="21"/>
  <c r="I88" i="59"/>
  <c r="C88" i="21" s="1"/>
  <c r="F88" i="21" s="1"/>
  <c r="I77" i="59"/>
  <c r="I74" i="59"/>
  <c r="R63" i="59"/>
  <c r="G63" i="21" s="1"/>
  <c r="F47" i="21"/>
  <c r="J31" i="13"/>
  <c r="F31" i="19" s="1"/>
  <c r="E31" i="19" s="1"/>
  <c r="C31" i="261" s="1"/>
  <c r="I88" i="257"/>
  <c r="I80" i="257"/>
  <c r="I72" i="257"/>
  <c r="I68" i="257"/>
  <c r="I31" i="257"/>
  <c r="E31" i="21"/>
  <c r="F33" i="140" s="1"/>
  <c r="I33" i="60" s="1"/>
  <c r="Q33" i="60" s="1"/>
  <c r="H58" i="21"/>
  <c r="O45" i="59"/>
  <c r="F51" i="21"/>
  <c r="H43" i="21"/>
  <c r="G24" i="140"/>
  <c r="J24" i="60" s="1"/>
  <c r="E24" i="140"/>
  <c r="E25" i="140"/>
  <c r="E36" i="140"/>
  <c r="H36" i="60" s="1"/>
  <c r="Q36" i="60" s="1"/>
  <c r="G18" i="140"/>
  <c r="J18" i="60" s="1"/>
  <c r="E18" i="60" s="1"/>
  <c r="G38" i="140"/>
  <c r="J38" i="60" s="1"/>
  <c r="H36" i="257" s="1"/>
  <c r="E13" i="140"/>
  <c r="H13" i="60" s="1"/>
  <c r="Q13" i="60" s="1"/>
  <c r="H15" i="8"/>
  <c r="J15" i="8" s="1"/>
  <c r="I44" i="10"/>
  <c r="W43" i="99"/>
  <c r="W18" i="99"/>
  <c r="L220" i="59"/>
  <c r="I50" i="257"/>
  <c r="P47" i="9"/>
  <c r="H88" i="59"/>
  <c r="P65" i="59"/>
  <c r="Q65" i="59" s="1"/>
  <c r="R65" i="59" s="1"/>
  <c r="G65" i="21" s="1"/>
  <c r="O60" i="59"/>
  <c r="F50" i="21"/>
  <c r="E52" i="140" s="1"/>
  <c r="O18" i="25"/>
  <c r="C37" i="128"/>
  <c r="K29" i="20"/>
  <c r="C35" i="10"/>
  <c r="F27" i="36"/>
  <c r="P27" i="36" s="1"/>
  <c r="O36" i="36"/>
  <c r="N19" i="20"/>
  <c r="O34" i="25"/>
  <c r="F20" i="36"/>
  <c r="O32" i="25"/>
  <c r="C10" i="10"/>
  <c r="O22" i="25"/>
  <c r="J80" i="8"/>
  <c r="O19" i="36"/>
  <c r="P15" i="9"/>
  <c r="AG55" i="20"/>
  <c r="AJ34" i="20"/>
  <c r="F24" i="36"/>
  <c r="L24" i="36" s="1"/>
  <c r="R32" i="8"/>
  <c r="O16" i="25"/>
  <c r="P19" i="36"/>
  <c r="I47" i="17"/>
  <c r="Q39" i="9"/>
  <c r="G39" i="25"/>
  <c r="K39" i="25" s="1"/>
  <c r="F18" i="25"/>
  <c r="D18" i="25"/>
  <c r="H44" i="36"/>
  <c r="I13" i="10"/>
  <c r="F11" i="36"/>
  <c r="L11" i="36" s="1"/>
  <c r="Q26" i="9"/>
  <c r="AJ13" i="20"/>
  <c r="G81" i="8"/>
  <c r="P81" i="8" s="1"/>
  <c r="O31" i="36"/>
  <c r="C53" i="154"/>
  <c r="L38" i="36"/>
  <c r="C22" i="154"/>
  <c r="G15" i="25"/>
  <c r="K15" i="25" s="1"/>
  <c r="AG18" i="20"/>
  <c r="P10" i="12"/>
  <c r="K52" i="17"/>
  <c r="I52" i="17" s="1"/>
  <c r="E52" i="116"/>
  <c r="O25" i="36"/>
  <c r="H39" i="36"/>
  <c r="O16" i="36"/>
  <c r="B49" i="12"/>
  <c r="C34" i="10"/>
  <c r="N41" i="8"/>
  <c r="N18" i="8"/>
  <c r="I41" i="257"/>
  <c r="D41" i="8"/>
  <c r="J41" i="8" s="1"/>
  <c r="D29" i="8"/>
  <c r="F34" i="36"/>
  <c r="L34" i="36" s="1"/>
  <c r="F16" i="36"/>
  <c r="L16" i="36" s="1"/>
  <c r="D84" i="8"/>
  <c r="K84" i="8" s="1"/>
  <c r="F36" i="36"/>
  <c r="P36" i="36" s="1"/>
  <c r="X11" i="99"/>
  <c r="D83" i="12"/>
  <c r="D20" i="9"/>
  <c r="K20" i="9" s="1"/>
  <c r="D21" i="25"/>
  <c r="P50" i="12"/>
  <c r="R34" i="8"/>
  <c r="H83" i="17"/>
  <c r="I46" i="17"/>
  <c r="I20" i="17"/>
  <c r="I31" i="116"/>
  <c r="H11" i="36"/>
  <c r="R31" i="8"/>
  <c r="N37" i="8"/>
  <c r="I33" i="257"/>
  <c r="D37" i="8"/>
  <c r="D18" i="8"/>
  <c r="J18" i="8" s="1"/>
  <c r="I28" i="9"/>
  <c r="J28" i="9" s="1"/>
  <c r="I12" i="10"/>
  <c r="D32" i="8"/>
  <c r="I47" i="8"/>
  <c r="L47" i="8" s="1"/>
  <c r="E22" i="8"/>
  <c r="O38" i="36"/>
  <c r="K37" i="12"/>
  <c r="K26" i="12"/>
  <c r="E26" i="12" s="1"/>
  <c r="L43" i="25"/>
  <c r="L32" i="25"/>
  <c r="O29" i="25"/>
  <c r="J26" i="12"/>
  <c r="D26" i="12" s="1"/>
  <c r="J22" i="12"/>
  <c r="J20" i="12"/>
  <c r="L18" i="25"/>
  <c r="N10" i="8"/>
  <c r="I20" i="10"/>
  <c r="O29" i="36"/>
  <c r="Q31" i="9"/>
  <c r="G61" i="8"/>
  <c r="P61" i="8" s="1"/>
  <c r="C45" i="154"/>
  <c r="N29" i="8"/>
  <c r="D74" i="8"/>
  <c r="P30" i="36"/>
  <c r="N25" i="8"/>
  <c r="M39" i="13"/>
  <c r="M26" i="13"/>
  <c r="C22" i="128"/>
  <c r="I21" i="10"/>
  <c r="I34" i="20"/>
  <c r="H45" i="17"/>
  <c r="K45" i="261"/>
  <c r="J45" i="261"/>
  <c r="H45" i="261"/>
  <c r="B65" i="9"/>
  <c r="B65" i="12" s="1"/>
  <c r="G65" i="8"/>
  <c r="P65" i="8" s="1"/>
  <c r="P71" i="8"/>
  <c r="D18" i="36"/>
  <c r="O18" i="36" s="1"/>
  <c r="I11" i="9"/>
  <c r="J11" i="9" s="1"/>
  <c r="G11" i="25"/>
  <c r="K11" i="25" s="1"/>
  <c r="D40" i="9"/>
  <c r="R36" i="8"/>
  <c r="Q36" i="9"/>
  <c r="I36" i="116"/>
  <c r="M36" i="13"/>
  <c r="D29" i="9"/>
  <c r="M29" i="13" s="1"/>
  <c r="I29" i="116"/>
  <c r="R29" i="8"/>
  <c r="D21" i="9"/>
  <c r="K21" i="9" s="1"/>
  <c r="I21" i="116"/>
  <c r="I17" i="116"/>
  <c r="D17" i="9"/>
  <c r="M17" i="13" s="1"/>
  <c r="D12" i="9"/>
  <c r="Q12" i="9" s="1"/>
  <c r="I12" i="116"/>
  <c r="D35" i="36"/>
  <c r="O35" i="36" s="1"/>
  <c r="D49" i="36"/>
  <c r="H49" i="36" s="1"/>
  <c r="C34" i="128"/>
  <c r="G33" i="10"/>
  <c r="I33" i="10" s="1"/>
  <c r="C48" i="128"/>
  <c r="C49" i="154"/>
  <c r="C24" i="128"/>
  <c r="C25" i="154"/>
  <c r="D27" i="9"/>
  <c r="M27" i="13" s="1"/>
  <c r="I27" i="116"/>
  <c r="G86" i="8"/>
  <c r="P86" i="8" s="1"/>
  <c r="F21" i="25"/>
  <c r="X32" i="20"/>
  <c r="O11" i="36"/>
  <c r="R39" i="8"/>
  <c r="R23" i="8"/>
  <c r="J17" i="20"/>
  <c r="H17" i="20" s="1"/>
  <c r="AD17" i="20"/>
  <c r="D17" i="20"/>
  <c r="X17" i="20"/>
  <c r="N51" i="8"/>
  <c r="C54" i="154"/>
  <c r="N31" i="8"/>
  <c r="C23" i="154"/>
  <c r="I23" i="10"/>
  <c r="I19" i="9"/>
  <c r="J19" i="9" s="1"/>
  <c r="Q19" i="9"/>
  <c r="C18" i="128"/>
  <c r="I17" i="10"/>
  <c r="C19" i="154"/>
  <c r="F35" i="9"/>
  <c r="B35" i="10" s="1"/>
  <c r="F35" i="10" s="1"/>
  <c r="K35" i="10" s="1"/>
  <c r="K35" i="9"/>
  <c r="G35" i="25"/>
  <c r="K35" i="25" s="1"/>
  <c r="I35" i="9"/>
  <c r="J35" i="9" s="1"/>
  <c r="M16" i="13"/>
  <c r="M11" i="13"/>
  <c r="B83" i="9"/>
  <c r="K83" i="8"/>
  <c r="M83" i="8" s="1"/>
  <c r="H77" i="261"/>
  <c r="B49" i="25"/>
  <c r="K49" i="261"/>
  <c r="J49" i="261"/>
  <c r="H49" i="261"/>
  <c r="J49" i="17"/>
  <c r="I49" i="17" s="1"/>
  <c r="E49" i="116"/>
  <c r="H49" i="17"/>
  <c r="D42" i="9"/>
  <c r="F42" i="9" s="1"/>
  <c r="L42" i="9" s="1"/>
  <c r="I42" i="116"/>
  <c r="R42" i="8"/>
  <c r="K42" i="261"/>
  <c r="J42" i="261"/>
  <c r="H42" i="261"/>
  <c r="E38" i="116"/>
  <c r="K38" i="261"/>
  <c r="H38" i="261"/>
  <c r="J38" i="261"/>
  <c r="K34" i="261"/>
  <c r="H34" i="261"/>
  <c r="J34" i="261"/>
  <c r="K29" i="261"/>
  <c r="J29" i="261"/>
  <c r="H29" i="261"/>
  <c r="K22" i="261"/>
  <c r="H22" i="261"/>
  <c r="J22" i="261"/>
  <c r="K18" i="261"/>
  <c r="H18" i="261"/>
  <c r="J18" i="261"/>
  <c r="J14" i="261"/>
  <c r="K14" i="261"/>
  <c r="H14" i="261"/>
  <c r="H51" i="261"/>
  <c r="K51" i="261"/>
  <c r="J51" i="261"/>
  <c r="C44" i="10"/>
  <c r="F21" i="36"/>
  <c r="L21" i="36" s="1"/>
  <c r="I51" i="9"/>
  <c r="J51" i="9" s="1"/>
  <c r="B15" i="36"/>
  <c r="H15" i="36" s="1"/>
  <c r="N13" i="8"/>
  <c r="I44" i="36"/>
  <c r="J44" i="36" s="1"/>
  <c r="D36" i="8"/>
  <c r="J36" i="8" s="1"/>
  <c r="B54" i="25"/>
  <c r="J54" i="12" s="1"/>
  <c r="H54" i="261"/>
  <c r="K50" i="261"/>
  <c r="J50" i="261"/>
  <c r="H50" i="261"/>
  <c r="B41" i="25"/>
  <c r="D41" i="25" s="1"/>
  <c r="J41" i="261"/>
  <c r="H41" i="261"/>
  <c r="K41" i="261"/>
  <c r="B33" i="25"/>
  <c r="H33" i="261"/>
  <c r="K33" i="261"/>
  <c r="J33" i="261"/>
  <c r="K21" i="261"/>
  <c r="J21" i="261"/>
  <c r="H21" i="261"/>
  <c r="J17" i="261"/>
  <c r="H17" i="261"/>
  <c r="K17" i="261"/>
  <c r="O34" i="36"/>
  <c r="Q14" i="9"/>
  <c r="M14" i="13"/>
  <c r="D24" i="25"/>
  <c r="R35" i="8"/>
  <c r="M46" i="13"/>
  <c r="H19" i="36"/>
  <c r="L20" i="25"/>
  <c r="Q28" i="9"/>
  <c r="J38" i="17"/>
  <c r="I38" i="17" s="1"/>
  <c r="P15" i="8"/>
  <c r="Q51" i="9"/>
  <c r="D17" i="25"/>
  <c r="M20" i="13"/>
  <c r="K24" i="25"/>
  <c r="M35" i="13"/>
  <c r="P20" i="36"/>
  <c r="L22" i="25"/>
  <c r="B34" i="25"/>
  <c r="B14" i="25"/>
  <c r="D14" i="25" s="1"/>
  <c r="L26" i="25"/>
  <c r="H19" i="20"/>
  <c r="O12" i="25"/>
  <c r="P52" i="12"/>
  <c r="K14" i="98"/>
  <c r="F19" i="98"/>
  <c r="Y23" i="98"/>
  <c r="V40" i="98"/>
  <c r="S15" i="98"/>
  <c r="G69" i="8"/>
  <c r="P69" i="8" s="1"/>
  <c r="C33" i="154"/>
  <c r="J33" i="17"/>
  <c r="I33" i="17" s="1"/>
  <c r="K28" i="17"/>
  <c r="H22" i="17"/>
  <c r="H21" i="17"/>
  <c r="K18" i="17"/>
  <c r="H50" i="17"/>
  <c r="H12" i="17"/>
  <c r="H26" i="17"/>
  <c r="H41" i="17"/>
  <c r="E54" i="116"/>
  <c r="E21" i="116"/>
  <c r="I11" i="116"/>
  <c r="I39" i="116"/>
  <c r="I51" i="116"/>
  <c r="E41" i="116"/>
  <c r="O24" i="36"/>
  <c r="N49" i="8"/>
  <c r="C32" i="10"/>
  <c r="C37" i="10"/>
  <c r="I38" i="36"/>
  <c r="J38" i="36" s="1"/>
  <c r="F52" i="8"/>
  <c r="B52" i="36" s="1"/>
  <c r="D52" i="36" s="1"/>
  <c r="K52" i="36" s="1"/>
  <c r="C14" i="10"/>
  <c r="R20" i="8"/>
  <c r="I25" i="257"/>
  <c r="N32" i="8"/>
  <c r="I48" i="257"/>
  <c r="D72" i="8"/>
  <c r="J72" i="8" s="1"/>
  <c r="Q29" i="99"/>
  <c r="B83" i="25"/>
  <c r="J83" i="12" s="1"/>
  <c r="H83" i="261"/>
  <c r="B52" i="25"/>
  <c r="J52" i="261"/>
  <c r="H52" i="261"/>
  <c r="K52" i="261"/>
  <c r="H47" i="261"/>
  <c r="K47" i="261"/>
  <c r="J47" i="261"/>
  <c r="J40" i="261"/>
  <c r="H40" i="261"/>
  <c r="K40" i="261"/>
  <c r="H36" i="261"/>
  <c r="K36" i="261"/>
  <c r="J36" i="261"/>
  <c r="B25" i="25"/>
  <c r="D25" i="25" s="1"/>
  <c r="K25" i="261"/>
  <c r="J25" i="261"/>
  <c r="H25" i="261"/>
  <c r="J20" i="261"/>
  <c r="H20" i="261"/>
  <c r="K20" i="261"/>
  <c r="J16" i="261"/>
  <c r="H16" i="261"/>
  <c r="K16" i="261"/>
  <c r="K11" i="261"/>
  <c r="H11" i="261"/>
  <c r="J11" i="261"/>
  <c r="K43" i="12"/>
  <c r="K11" i="12"/>
  <c r="E11" i="12" s="1"/>
  <c r="K48" i="261"/>
  <c r="J48" i="261"/>
  <c r="H48" i="261"/>
  <c r="J35" i="12"/>
  <c r="J29" i="12"/>
  <c r="D29" i="12" s="1"/>
  <c r="C21" i="10"/>
  <c r="D44" i="8"/>
  <c r="L20" i="36"/>
  <c r="F28" i="9"/>
  <c r="J37" i="261"/>
  <c r="H37" i="261"/>
  <c r="K37" i="261"/>
  <c r="H26" i="261"/>
  <c r="J26" i="261"/>
  <c r="K26" i="261"/>
  <c r="H46" i="261"/>
  <c r="J46" i="261"/>
  <c r="K46" i="261"/>
  <c r="K28" i="261"/>
  <c r="J28" i="261"/>
  <c r="H28" i="261"/>
  <c r="G59" i="8"/>
  <c r="P59" i="8" s="1"/>
  <c r="H38" i="17"/>
  <c r="B38" i="25"/>
  <c r="D38" i="25" s="1"/>
  <c r="H25" i="36"/>
  <c r="C28" i="154"/>
  <c r="P55" i="8"/>
  <c r="H20" i="36"/>
  <c r="J50" i="17"/>
  <c r="I50" i="17" s="1"/>
  <c r="G47" i="8"/>
  <c r="P47" i="8" s="1"/>
  <c r="B37" i="25"/>
  <c r="B22" i="25"/>
  <c r="D22" i="25" s="1"/>
  <c r="N14" i="20"/>
  <c r="AG16" i="20"/>
  <c r="E47" i="20"/>
  <c r="J39" i="98"/>
  <c r="F51" i="98"/>
  <c r="X10" i="98"/>
  <c r="V18" i="98"/>
  <c r="Q35" i="9"/>
  <c r="G88" i="8"/>
  <c r="P88" i="8" s="1"/>
  <c r="C16" i="154"/>
  <c r="H33" i="17"/>
  <c r="J28" i="17"/>
  <c r="K17" i="17"/>
  <c r="I17" i="17" s="1"/>
  <c r="O43" i="25"/>
  <c r="F41" i="36"/>
  <c r="D33" i="25"/>
  <c r="J41" i="17"/>
  <c r="I41" i="17" s="1"/>
  <c r="I14" i="116"/>
  <c r="E12" i="116"/>
  <c r="N43" i="8"/>
  <c r="R40" i="8"/>
  <c r="N12" i="8"/>
  <c r="N28" i="8"/>
  <c r="C15" i="10"/>
  <c r="K78" i="8"/>
  <c r="M78" i="8" s="1"/>
  <c r="I12" i="257"/>
  <c r="I28" i="257"/>
  <c r="I13" i="257"/>
  <c r="R11" i="8"/>
  <c r="I46" i="257"/>
  <c r="J58" i="8"/>
  <c r="D31" i="8"/>
  <c r="D56" i="8"/>
  <c r="K56" i="8" s="1"/>
  <c r="D39" i="8"/>
  <c r="J39" i="8" s="1"/>
  <c r="D68" i="8"/>
  <c r="D12" i="8"/>
  <c r="J12" i="8" s="1"/>
  <c r="D62" i="8"/>
  <c r="K62" i="8" s="1"/>
  <c r="L62" i="8" s="1"/>
  <c r="I28" i="36"/>
  <c r="J28" i="36" s="1"/>
  <c r="B78" i="25"/>
  <c r="H78" i="261"/>
  <c r="B28" i="25"/>
  <c r="D28" i="25" s="1"/>
  <c r="E41" i="8"/>
  <c r="P41" i="8" s="1"/>
  <c r="K43" i="261"/>
  <c r="J43" i="261"/>
  <c r="H43" i="261"/>
  <c r="J39" i="261"/>
  <c r="H39" i="261"/>
  <c r="K39" i="261"/>
  <c r="K35" i="261"/>
  <c r="H35" i="261"/>
  <c r="J35" i="261"/>
  <c r="K31" i="261"/>
  <c r="J31" i="261"/>
  <c r="H31" i="261"/>
  <c r="H19" i="261"/>
  <c r="K19" i="261"/>
  <c r="J19" i="261"/>
  <c r="K15" i="261"/>
  <c r="J15" i="261"/>
  <c r="H15" i="261"/>
  <c r="H44" i="261"/>
  <c r="J44" i="261"/>
  <c r="K44" i="261"/>
  <c r="O35" i="25"/>
  <c r="R19" i="8"/>
  <c r="N19" i="8"/>
  <c r="L37" i="36"/>
  <c r="P75" i="8"/>
  <c r="D15" i="25"/>
  <c r="R28" i="8"/>
  <c r="P83" i="8"/>
  <c r="O21" i="20"/>
  <c r="N21" i="20" s="1"/>
  <c r="AJ21" i="20"/>
  <c r="AD55" i="20"/>
  <c r="O17" i="25"/>
  <c r="F10" i="36"/>
  <c r="P10" i="36" s="1"/>
  <c r="R41" i="8"/>
  <c r="I24" i="19"/>
  <c r="J24" i="19"/>
  <c r="K17" i="20"/>
  <c r="F24" i="25"/>
  <c r="I21" i="20"/>
  <c r="AG29" i="20"/>
  <c r="AA29" i="20"/>
  <c r="X26" i="20"/>
  <c r="L21" i="20"/>
  <c r="K21" i="20" s="1"/>
  <c r="AA21" i="20"/>
  <c r="AD32" i="20"/>
  <c r="I78" i="8"/>
  <c r="L78" i="8" s="1"/>
  <c r="J78" i="8"/>
  <c r="I40" i="36"/>
  <c r="F40" i="36"/>
  <c r="E29" i="20"/>
  <c r="G33" i="25"/>
  <c r="I33" i="9"/>
  <c r="M33" i="13"/>
  <c r="C16" i="10"/>
  <c r="C11" i="10"/>
  <c r="J79" i="8"/>
  <c r="K40" i="36"/>
  <c r="K19" i="36"/>
  <c r="D10" i="8"/>
  <c r="E10" i="8" s="1"/>
  <c r="D73" i="8"/>
  <c r="J73" i="8" s="1"/>
  <c r="E16" i="8"/>
  <c r="I16" i="8" s="1"/>
  <c r="L16" i="8" s="1"/>
  <c r="E42" i="8"/>
  <c r="J24" i="12"/>
  <c r="D24" i="12" s="1"/>
  <c r="J40" i="12"/>
  <c r="D40" i="12" s="1"/>
  <c r="J21" i="12"/>
  <c r="J19" i="12"/>
  <c r="J15" i="12"/>
  <c r="J11" i="12"/>
  <c r="D43" i="25"/>
  <c r="H16" i="20"/>
  <c r="O26" i="25"/>
  <c r="C17" i="10"/>
  <c r="C36" i="10"/>
  <c r="D70" i="8"/>
  <c r="J70" i="8" s="1"/>
  <c r="O41" i="36"/>
  <c r="O11" i="25"/>
  <c r="D22" i="8"/>
  <c r="K22" i="8" s="1"/>
  <c r="D82" i="8"/>
  <c r="J82" i="8" s="1"/>
  <c r="J42" i="8"/>
  <c r="M25" i="13"/>
  <c r="F29" i="9"/>
  <c r="K31" i="9"/>
  <c r="E19" i="8"/>
  <c r="K19" i="8" s="1"/>
  <c r="E34" i="8"/>
  <c r="P34" i="8" s="1"/>
  <c r="K40" i="12"/>
  <c r="K36" i="12"/>
  <c r="E36" i="12" s="1"/>
  <c r="K34" i="12"/>
  <c r="E34" i="12" s="1"/>
  <c r="B34" i="13" s="1"/>
  <c r="K32" i="12"/>
  <c r="K29" i="12"/>
  <c r="K24" i="12"/>
  <c r="E24" i="12" s="1"/>
  <c r="K22" i="12"/>
  <c r="K20" i="12"/>
  <c r="K18" i="12"/>
  <c r="K16" i="12"/>
  <c r="J43" i="12"/>
  <c r="D43" i="12" s="1"/>
  <c r="J38" i="12"/>
  <c r="J36" i="12"/>
  <c r="J32" i="12"/>
  <c r="D32" i="12" s="1"/>
  <c r="H16" i="36"/>
  <c r="J33" i="8"/>
  <c r="D39" i="25"/>
  <c r="D66" i="8"/>
  <c r="K66" i="8" s="1"/>
  <c r="K24" i="9"/>
  <c r="O37" i="36"/>
  <c r="I36" i="9"/>
  <c r="K34" i="9"/>
  <c r="K26" i="9"/>
  <c r="K16" i="9"/>
  <c r="E39" i="8"/>
  <c r="D49" i="9"/>
  <c r="I49" i="116"/>
  <c r="B44" i="25"/>
  <c r="J44" i="17"/>
  <c r="E44" i="116"/>
  <c r="K44" i="17"/>
  <c r="D44" i="9"/>
  <c r="I44" i="116"/>
  <c r="L31" i="36"/>
  <c r="I55" i="20"/>
  <c r="H55" i="20" s="1"/>
  <c r="L21" i="25"/>
  <c r="L40" i="25"/>
  <c r="X18" i="20"/>
  <c r="C18" i="20"/>
  <c r="B18" i="20" s="1"/>
  <c r="I15" i="36"/>
  <c r="F15" i="36"/>
  <c r="L15" i="36" s="1"/>
  <c r="J29" i="8"/>
  <c r="C35" i="128"/>
  <c r="I34" i="10"/>
  <c r="H13" i="99"/>
  <c r="K22" i="99"/>
  <c r="H39" i="99"/>
  <c r="N36" i="99"/>
  <c r="R15" i="99"/>
  <c r="R34" i="99"/>
  <c r="Y29" i="99"/>
  <c r="N20" i="98"/>
  <c r="M37" i="98"/>
  <c r="Q22" i="98"/>
  <c r="Q49" i="98"/>
  <c r="Q23" i="98"/>
  <c r="Q41" i="98"/>
  <c r="R11" i="98"/>
  <c r="R26" i="98"/>
  <c r="R43" i="98"/>
  <c r="S20" i="98"/>
  <c r="S34" i="98"/>
  <c r="T46" i="98"/>
  <c r="T31" i="98"/>
  <c r="U49" i="98"/>
  <c r="U26" i="98"/>
  <c r="U27" i="98"/>
  <c r="V26" i="98"/>
  <c r="V19" i="98"/>
  <c r="Y15" i="98"/>
  <c r="Y28" i="98"/>
  <c r="X42" i="98"/>
  <c r="H13" i="98"/>
  <c r="F30" i="98"/>
  <c r="J33" i="98"/>
  <c r="H43" i="98"/>
  <c r="F49" i="98"/>
  <c r="J51" i="98"/>
  <c r="J19" i="98"/>
  <c r="F39" i="98"/>
  <c r="G35" i="98"/>
  <c r="H28" i="98"/>
  <c r="H39" i="98"/>
  <c r="I36" i="98"/>
  <c r="J25" i="98"/>
  <c r="K21" i="98"/>
  <c r="N21" i="98"/>
  <c r="J46" i="99"/>
  <c r="M20" i="99"/>
  <c r="Q46" i="99"/>
  <c r="V17" i="99"/>
  <c r="U36" i="99"/>
  <c r="X36" i="99"/>
  <c r="M25" i="98"/>
  <c r="Q9" i="98"/>
  <c r="Q29" i="98"/>
  <c r="Q27" i="98"/>
  <c r="S14" i="98"/>
  <c r="R31" i="98"/>
  <c r="S49" i="98"/>
  <c r="V21" i="98"/>
  <c r="S38" i="98"/>
  <c r="T13" i="98"/>
  <c r="T35" i="98"/>
  <c r="U9" i="98"/>
  <c r="U31" i="98"/>
  <c r="V51" i="98"/>
  <c r="V31" i="98"/>
  <c r="Y17" i="98"/>
  <c r="Y34" i="98"/>
  <c r="H9" i="98"/>
  <c r="F26" i="98"/>
  <c r="J30" i="98"/>
  <c r="H40" i="98"/>
  <c r="F45" i="98"/>
  <c r="J49" i="98"/>
  <c r="F14" i="98"/>
  <c r="F20" i="98"/>
  <c r="G14" i="98"/>
  <c r="G39" i="98"/>
  <c r="I34" i="98"/>
  <c r="I14" i="98"/>
  <c r="J10" i="98"/>
  <c r="J31" i="98"/>
  <c r="K31" i="98"/>
  <c r="N31" i="98"/>
  <c r="K10" i="99"/>
  <c r="J31" i="99"/>
  <c r="T50" i="99"/>
  <c r="T26" i="99"/>
  <c r="R39" i="99"/>
  <c r="M11" i="98"/>
  <c r="N28" i="98"/>
  <c r="I22" i="98"/>
  <c r="Q13" i="98"/>
  <c r="Q33" i="98"/>
  <c r="R51" i="98"/>
  <c r="R15" i="98"/>
  <c r="R35" i="98"/>
  <c r="S9" i="98"/>
  <c r="S25" i="98"/>
  <c r="S42" i="98"/>
  <c r="T18" i="98"/>
  <c r="T39" i="98"/>
  <c r="U15" i="98"/>
  <c r="U37" i="98"/>
  <c r="V12" i="98"/>
  <c r="V36" i="98"/>
  <c r="Y19" i="98"/>
  <c r="Y36" i="98"/>
  <c r="F12" i="98"/>
  <c r="J26" i="98"/>
  <c r="H32" i="98"/>
  <c r="F41" i="98"/>
  <c r="J45" i="98"/>
  <c r="H50" i="98"/>
  <c r="I15" i="98"/>
  <c r="F28" i="98"/>
  <c r="G20" i="98"/>
  <c r="H14" i="98"/>
  <c r="H35" i="98"/>
  <c r="I20" i="98"/>
  <c r="J17" i="98"/>
  <c r="C44" i="154"/>
  <c r="C43" i="128"/>
  <c r="I42" i="10"/>
  <c r="I38" i="9"/>
  <c r="F38" i="9"/>
  <c r="Q38" i="9"/>
  <c r="C17" i="128"/>
  <c r="C18" i="154"/>
  <c r="I16" i="10"/>
  <c r="K15" i="9"/>
  <c r="I15" i="9"/>
  <c r="E15" i="12"/>
  <c r="H15" i="12" s="1"/>
  <c r="O15" i="12" s="1"/>
  <c r="B75" i="9"/>
  <c r="B75" i="12" s="1"/>
  <c r="K75" i="8"/>
  <c r="E77" i="116"/>
  <c r="H77" i="17"/>
  <c r="D77" i="12"/>
  <c r="B15" i="12"/>
  <c r="O15" i="9"/>
  <c r="B41" i="9"/>
  <c r="P41" i="9" s="1"/>
  <c r="E40" i="8"/>
  <c r="B40" i="36"/>
  <c r="B34" i="9"/>
  <c r="I34" i="8"/>
  <c r="L34" i="8" s="1"/>
  <c r="E32" i="8"/>
  <c r="K32" i="8" s="1"/>
  <c r="B32" i="36"/>
  <c r="O32" i="36" s="1"/>
  <c r="E30" i="8"/>
  <c r="K30" i="8" s="1"/>
  <c r="B30" i="36"/>
  <c r="E12" i="8"/>
  <c r="B12" i="36"/>
  <c r="B42" i="25"/>
  <c r="D42" i="25" s="1"/>
  <c r="H42" i="17"/>
  <c r="E42" i="116"/>
  <c r="J42" i="17"/>
  <c r="I42" i="17" s="1"/>
  <c r="E34" i="116"/>
  <c r="J34" i="17"/>
  <c r="K34" i="17"/>
  <c r="I29" i="9"/>
  <c r="E29" i="116"/>
  <c r="H29" i="17"/>
  <c r="B29" i="25"/>
  <c r="J29" i="17"/>
  <c r="K29" i="17"/>
  <c r="J22" i="17"/>
  <c r="K22" i="17"/>
  <c r="E22" i="116"/>
  <c r="E18" i="116"/>
  <c r="H18" i="17"/>
  <c r="J18" i="17"/>
  <c r="H14" i="17"/>
  <c r="E14" i="116"/>
  <c r="J14" i="17"/>
  <c r="I14" i="17" s="1"/>
  <c r="I23" i="257"/>
  <c r="N23" i="8"/>
  <c r="P23" i="12"/>
  <c r="L38" i="25"/>
  <c r="K38" i="12"/>
  <c r="E29" i="12"/>
  <c r="B29" i="13" s="1"/>
  <c r="E20" i="12"/>
  <c r="L12" i="25"/>
  <c r="K12" i="12"/>
  <c r="B51" i="25"/>
  <c r="H51" i="17"/>
  <c r="E51" i="8"/>
  <c r="E51" i="116"/>
  <c r="J51" i="17"/>
  <c r="K51" i="17"/>
  <c r="B50" i="9"/>
  <c r="G50" i="8"/>
  <c r="P50" i="8" s="1"/>
  <c r="B30" i="25"/>
  <c r="E30" i="116"/>
  <c r="H30" i="17"/>
  <c r="L17" i="25"/>
  <c r="J17" i="12"/>
  <c r="D30" i="9"/>
  <c r="M30" i="13" s="1"/>
  <c r="I30" i="116"/>
  <c r="R49" i="8"/>
  <c r="L11" i="25"/>
  <c r="N24" i="8"/>
  <c r="H30" i="20"/>
  <c r="AB20" i="20"/>
  <c r="F20" i="20" s="1"/>
  <c r="K45" i="17"/>
  <c r="H38" i="36"/>
  <c r="AA32" i="20"/>
  <c r="N38" i="8"/>
  <c r="D37" i="25"/>
  <c r="N14" i="98"/>
  <c r="J18" i="98"/>
  <c r="G28" i="98"/>
  <c r="H46" i="98"/>
  <c r="J12" i="98"/>
  <c r="U41" i="98"/>
  <c r="T45" i="98"/>
  <c r="R20" i="98"/>
  <c r="U22" i="98"/>
  <c r="P15" i="36"/>
  <c r="C42" i="10"/>
  <c r="K15" i="36"/>
  <c r="F49" i="36"/>
  <c r="P49" i="36" s="1"/>
  <c r="D17" i="36"/>
  <c r="H17" i="36" s="1"/>
  <c r="I43" i="10"/>
  <c r="I39" i="10"/>
  <c r="I35" i="10"/>
  <c r="I31" i="10"/>
  <c r="I26" i="10"/>
  <c r="U12" i="99"/>
  <c r="H10" i="8"/>
  <c r="J10" i="8" s="1"/>
  <c r="G45" i="10"/>
  <c r="C50" i="154"/>
  <c r="K39" i="9"/>
  <c r="I39" i="9"/>
  <c r="J32" i="19"/>
  <c r="I32" i="19"/>
  <c r="J32" i="261" s="1"/>
  <c r="C29" i="128"/>
  <c r="I28" i="10"/>
  <c r="C30" i="154"/>
  <c r="D43" i="9"/>
  <c r="Q43" i="9" s="1"/>
  <c r="I43" i="116"/>
  <c r="R43" i="8"/>
  <c r="D37" i="9"/>
  <c r="F37" i="9" s="1"/>
  <c r="I37" i="116"/>
  <c r="R37" i="8"/>
  <c r="D32" i="9"/>
  <c r="I32" i="116"/>
  <c r="D22" i="9"/>
  <c r="M22" i="13" s="1"/>
  <c r="D18" i="9"/>
  <c r="E18" i="12" s="1"/>
  <c r="B18" i="13" s="1"/>
  <c r="I18" i="116"/>
  <c r="R18" i="8"/>
  <c r="G9" i="9"/>
  <c r="R13" i="8"/>
  <c r="I13" i="116"/>
  <c r="B77" i="25"/>
  <c r="B64" i="9"/>
  <c r="B64" i="12" s="1"/>
  <c r="K64" i="8"/>
  <c r="D41" i="9"/>
  <c r="I41" i="116"/>
  <c r="E21" i="8"/>
  <c r="B21" i="36"/>
  <c r="E19" i="12"/>
  <c r="K12" i="9"/>
  <c r="F12" i="9"/>
  <c r="B12" i="10" s="1"/>
  <c r="I12" i="9"/>
  <c r="H54" i="17"/>
  <c r="F38" i="25"/>
  <c r="AA55" i="20"/>
  <c r="L36" i="36"/>
  <c r="O39" i="36"/>
  <c r="C102" i="8"/>
  <c r="I37" i="17"/>
  <c r="J16" i="9"/>
  <c r="P28" i="36"/>
  <c r="AJ27" i="20"/>
  <c r="E55" i="20"/>
  <c r="P44" i="36"/>
  <c r="AJ14" i="20"/>
  <c r="H9" i="10"/>
  <c r="G97" i="9"/>
  <c r="J45" i="17"/>
  <c r="AD19" i="20"/>
  <c r="G12" i="25"/>
  <c r="K12" i="25" s="1"/>
  <c r="M44" i="13"/>
  <c r="M38" i="13"/>
  <c r="L19" i="25"/>
  <c r="L15" i="25"/>
  <c r="K39" i="98"/>
  <c r="I28" i="98"/>
  <c r="F35" i="98"/>
  <c r="J41" i="98"/>
  <c r="X38" i="98"/>
  <c r="U18" i="98"/>
  <c r="S30" i="98"/>
  <c r="S10" i="98"/>
  <c r="M34" i="98"/>
  <c r="P85" i="8"/>
  <c r="G62" i="8"/>
  <c r="P62" i="8" s="1"/>
  <c r="H44" i="17"/>
  <c r="R21" i="8"/>
  <c r="N21" i="8"/>
  <c r="R26" i="8"/>
  <c r="N26" i="8"/>
  <c r="K28" i="36"/>
  <c r="P43" i="36"/>
  <c r="K34" i="36"/>
  <c r="K82" i="8"/>
  <c r="I29" i="36"/>
  <c r="F29" i="36"/>
  <c r="K68" i="8"/>
  <c r="D22" i="36"/>
  <c r="K22" i="36" s="1"/>
  <c r="C49" i="128"/>
  <c r="G78" i="12"/>
  <c r="N78" i="12" s="1"/>
  <c r="J78" i="12"/>
  <c r="D89" i="8"/>
  <c r="J89" i="8" s="1"/>
  <c r="D85" i="8"/>
  <c r="K85" i="8" s="1"/>
  <c r="P36" i="12"/>
  <c r="N36" i="8"/>
  <c r="P26" i="12"/>
  <c r="I26" i="257"/>
  <c r="N17" i="8"/>
  <c r="P17" i="12"/>
  <c r="K47" i="8"/>
  <c r="J47" i="8"/>
  <c r="P49" i="12"/>
  <c r="I49" i="257"/>
  <c r="B47" i="25"/>
  <c r="H47" i="17"/>
  <c r="I31" i="17"/>
  <c r="O40" i="25"/>
  <c r="H37" i="36"/>
  <c r="C49" i="10"/>
  <c r="C40" i="10"/>
  <c r="C20" i="10"/>
  <c r="C46" i="10"/>
  <c r="C18" i="10"/>
  <c r="D77" i="8"/>
  <c r="J77" i="8" s="1"/>
  <c r="I17" i="257"/>
  <c r="K29" i="36"/>
  <c r="D57" i="8"/>
  <c r="J57" i="8" s="1"/>
  <c r="I82" i="8"/>
  <c r="L82" i="8" s="1"/>
  <c r="K88" i="8"/>
  <c r="D61" i="8"/>
  <c r="J61" i="8" s="1"/>
  <c r="D50" i="36"/>
  <c r="F26" i="9"/>
  <c r="B26" i="10" s="1"/>
  <c r="P26" i="13" s="1"/>
  <c r="O26" i="13" s="1"/>
  <c r="J26" i="13" s="1"/>
  <c r="F26" i="19" s="1"/>
  <c r="E26" i="19" s="1"/>
  <c r="C26" i="261" s="1"/>
  <c r="D13" i="8"/>
  <c r="K19" i="9"/>
  <c r="D52" i="8"/>
  <c r="D48" i="8"/>
  <c r="H48" i="8" s="1"/>
  <c r="J48" i="8" s="1"/>
  <c r="D50" i="8"/>
  <c r="I50" i="8" s="1"/>
  <c r="L50" i="8" s="1"/>
  <c r="D27" i="8"/>
  <c r="H27" i="8" s="1"/>
  <c r="J27" i="8" s="1"/>
  <c r="E17" i="8"/>
  <c r="E24" i="8"/>
  <c r="I24" i="8" s="1"/>
  <c r="L24" i="8" s="1"/>
  <c r="E43" i="8"/>
  <c r="I43" i="8" s="1"/>
  <c r="L43" i="8" s="1"/>
  <c r="K55" i="20"/>
  <c r="B13" i="20"/>
  <c r="X16" i="20"/>
  <c r="O38" i="25"/>
  <c r="O36" i="25"/>
  <c r="G68" i="8"/>
  <c r="P68" i="8" s="1"/>
  <c r="C45" i="36"/>
  <c r="I21" i="257"/>
  <c r="K13" i="36"/>
  <c r="I25" i="36"/>
  <c r="J40" i="8"/>
  <c r="D69" i="8"/>
  <c r="D21" i="8"/>
  <c r="J20" i="8"/>
  <c r="K31" i="36"/>
  <c r="D9" i="17"/>
  <c r="D91" i="17" s="1"/>
  <c r="K44" i="9"/>
  <c r="K36" i="9"/>
  <c r="D51" i="8"/>
  <c r="H51" i="8" s="1"/>
  <c r="J51" i="8" s="1"/>
  <c r="D77" i="9"/>
  <c r="G77" i="25" s="1"/>
  <c r="E20" i="8"/>
  <c r="K20" i="8" s="1"/>
  <c r="E18" i="8"/>
  <c r="E25" i="8"/>
  <c r="E37" i="8"/>
  <c r="P37" i="8" s="1"/>
  <c r="D32" i="25"/>
  <c r="AE20" i="20"/>
  <c r="I20" i="20" s="1"/>
  <c r="X29" i="20"/>
  <c r="AJ55" i="20"/>
  <c r="O30" i="25"/>
  <c r="O20" i="25"/>
  <c r="G79" i="8"/>
  <c r="P79" i="8" s="1"/>
  <c r="I36" i="17"/>
  <c r="I35" i="17"/>
  <c r="I21" i="17"/>
  <c r="D65" i="8"/>
  <c r="K65" i="8" s="1"/>
  <c r="C28" i="10"/>
  <c r="I44" i="257"/>
  <c r="J43" i="8"/>
  <c r="D12" i="25"/>
  <c r="D81" i="8"/>
  <c r="J81" i="8" s="1"/>
  <c r="D26" i="8"/>
  <c r="D28" i="8"/>
  <c r="E38" i="8"/>
  <c r="I38" i="8" s="1"/>
  <c r="L38" i="8" s="1"/>
  <c r="N55" i="20"/>
  <c r="E39" i="12"/>
  <c r="I80" i="8"/>
  <c r="L80" i="8" s="1"/>
  <c r="K80" i="8"/>
  <c r="AE46" i="20"/>
  <c r="I46" i="20" s="1"/>
  <c r="AJ16" i="20"/>
  <c r="AB33" i="20"/>
  <c r="F33" i="20" s="1"/>
  <c r="F15" i="25"/>
  <c r="AJ29" i="20"/>
  <c r="H24" i="36"/>
  <c r="I43" i="17"/>
  <c r="R27" i="8"/>
  <c r="J29" i="20"/>
  <c r="H29" i="20" s="1"/>
  <c r="AD29" i="20"/>
  <c r="K13" i="20"/>
  <c r="E17" i="20"/>
  <c r="K60" i="20"/>
  <c r="K15" i="8"/>
  <c r="I15" i="8"/>
  <c r="L15" i="8" s="1"/>
  <c r="K74" i="8"/>
  <c r="I74" i="8"/>
  <c r="L74" i="8" s="1"/>
  <c r="D51" i="36"/>
  <c r="I51" i="36" s="1"/>
  <c r="F62" i="36"/>
  <c r="G48" i="36" s="1"/>
  <c r="G29" i="99"/>
  <c r="H20" i="99"/>
  <c r="F34" i="9"/>
  <c r="I34" i="9"/>
  <c r="Q34" i="9"/>
  <c r="C30" i="128"/>
  <c r="N22" i="8"/>
  <c r="R22" i="8"/>
  <c r="X13" i="20"/>
  <c r="K18" i="20"/>
  <c r="AD30" i="20"/>
  <c r="Y33" i="20"/>
  <c r="C33" i="20" s="1"/>
  <c r="AE66" i="20"/>
  <c r="P82" i="8"/>
  <c r="P16" i="36"/>
  <c r="D16" i="20"/>
  <c r="B16" i="20" s="1"/>
  <c r="N40" i="8"/>
  <c r="AA34" i="20"/>
  <c r="H32" i="20"/>
  <c r="N13" i="20"/>
  <c r="AG17" i="20"/>
  <c r="H29" i="12"/>
  <c r="O29" i="12" s="1"/>
  <c r="J25" i="9"/>
  <c r="C36" i="128"/>
  <c r="F45" i="99"/>
  <c r="J45" i="99"/>
  <c r="G46" i="99"/>
  <c r="K46" i="99"/>
  <c r="I49" i="99"/>
  <c r="F50" i="99"/>
  <c r="J50" i="99"/>
  <c r="H51" i="99"/>
  <c r="F9" i="99"/>
  <c r="J9" i="99"/>
  <c r="H10" i="99"/>
  <c r="F11" i="99"/>
  <c r="J11" i="99"/>
  <c r="G12" i="99"/>
  <c r="K12" i="99"/>
  <c r="I13" i="99"/>
  <c r="G14" i="99"/>
  <c r="K14" i="99"/>
  <c r="I15" i="99"/>
  <c r="F16" i="99"/>
  <c r="J16" i="99"/>
  <c r="H17" i="99"/>
  <c r="F18" i="99"/>
  <c r="J18" i="99"/>
  <c r="G19" i="99"/>
  <c r="K19" i="99"/>
  <c r="I20" i="99"/>
  <c r="F21" i="99"/>
  <c r="J21" i="99"/>
  <c r="H22" i="99"/>
  <c r="F23" i="99"/>
  <c r="J23" i="99"/>
  <c r="H25" i="99"/>
  <c r="F26" i="99"/>
  <c r="J26" i="99"/>
  <c r="F28" i="99"/>
  <c r="J28" i="99"/>
  <c r="H29" i="99"/>
  <c r="F30" i="99"/>
  <c r="J30" i="99"/>
  <c r="G31" i="99"/>
  <c r="K31" i="99"/>
  <c r="I32" i="99"/>
  <c r="G33" i="99"/>
  <c r="K33" i="99"/>
  <c r="H34" i="99"/>
  <c r="F35" i="99"/>
  <c r="J35" i="99"/>
  <c r="H36" i="99"/>
  <c r="F37" i="99"/>
  <c r="J37" i="99"/>
  <c r="H38" i="99"/>
  <c r="I39" i="99"/>
  <c r="G40" i="99"/>
  <c r="K40" i="99"/>
  <c r="I41" i="99"/>
  <c r="F42" i="99"/>
  <c r="J42" i="99"/>
  <c r="H43" i="99"/>
  <c r="M10" i="99"/>
  <c r="N15" i="99"/>
  <c r="M17" i="99"/>
  <c r="N18" i="99"/>
  <c r="N20" i="99"/>
  <c r="M25" i="99"/>
  <c r="N31" i="99"/>
  <c r="N35" i="99"/>
  <c r="M37" i="99"/>
  <c r="M39" i="99"/>
  <c r="N42" i="99"/>
  <c r="T45" i="99"/>
  <c r="R46" i="99"/>
  <c r="V46" i="99"/>
  <c r="S49" i="99"/>
  <c r="Q50" i="99"/>
  <c r="U50" i="99"/>
  <c r="S51" i="99"/>
  <c r="Q9" i="99"/>
  <c r="U9" i="99"/>
  <c r="S10" i="99"/>
  <c r="T11" i="99"/>
  <c r="R12" i="99"/>
  <c r="V12" i="99"/>
  <c r="T13" i="99"/>
  <c r="R14" i="99"/>
  <c r="V14" i="99"/>
  <c r="S15" i="99"/>
  <c r="Q16" i="99"/>
  <c r="U16" i="99"/>
  <c r="S17" i="99"/>
  <c r="Q18" i="99"/>
  <c r="U18" i="99"/>
  <c r="R19" i="99"/>
  <c r="V19" i="99"/>
  <c r="T20" i="99"/>
  <c r="R21" i="99"/>
  <c r="V21" i="99"/>
  <c r="T22" i="99"/>
  <c r="Q23" i="99"/>
  <c r="U23" i="99"/>
  <c r="S25" i="99"/>
  <c r="Q26" i="99"/>
  <c r="U26" i="99"/>
  <c r="R27" i="99"/>
  <c r="V27" i="99"/>
  <c r="T28" i="99"/>
  <c r="R29" i="99"/>
  <c r="V29" i="99"/>
  <c r="T30" i="99"/>
  <c r="Q31" i="99"/>
  <c r="U31" i="99"/>
  <c r="S32" i="99"/>
  <c r="Q33" i="99"/>
  <c r="U33" i="99"/>
  <c r="S34" i="99"/>
  <c r="T35" i="99"/>
  <c r="R36" i="99"/>
  <c r="V36" i="99"/>
  <c r="T37" i="99"/>
  <c r="R38" i="99"/>
  <c r="V38" i="99"/>
  <c r="S39" i="99"/>
  <c r="Q40" i="99"/>
  <c r="U40" i="99"/>
  <c r="S41" i="99"/>
  <c r="Q42" i="99"/>
  <c r="U42" i="99"/>
  <c r="R43" i="99"/>
  <c r="V43" i="99"/>
  <c r="Y11" i="99"/>
  <c r="X15" i="99"/>
  <c r="X17" i="99"/>
  <c r="Y20" i="99"/>
  <c r="X25" i="99"/>
  <c r="Y31" i="99"/>
  <c r="Y35" i="99"/>
  <c r="X37" i="99"/>
  <c r="X39" i="99"/>
  <c r="Y42" i="99"/>
  <c r="G45" i="99"/>
  <c r="K45" i="99"/>
  <c r="H46" i="99"/>
  <c r="F49" i="99"/>
  <c r="J49" i="99"/>
  <c r="G50" i="99"/>
  <c r="K50" i="99"/>
  <c r="I51" i="99"/>
  <c r="G9" i="99"/>
  <c r="K9" i="99"/>
  <c r="I10" i="99"/>
  <c r="G11" i="99"/>
  <c r="K11" i="99"/>
  <c r="H12" i="99"/>
  <c r="F13" i="99"/>
  <c r="J13" i="99"/>
  <c r="H14" i="99"/>
  <c r="F15" i="99"/>
  <c r="J15" i="99"/>
  <c r="G16" i="99"/>
  <c r="K16" i="99"/>
  <c r="I17" i="99"/>
  <c r="G18" i="99"/>
  <c r="K18" i="99"/>
  <c r="H19" i="99"/>
  <c r="F20" i="99"/>
  <c r="J20" i="99"/>
  <c r="G21" i="99"/>
  <c r="K21" i="99"/>
  <c r="I22" i="99"/>
  <c r="G23" i="99"/>
  <c r="K23" i="99"/>
  <c r="I25" i="99"/>
  <c r="G26" i="99"/>
  <c r="K26" i="99"/>
  <c r="G28" i="99"/>
  <c r="K28" i="99"/>
  <c r="I29" i="99"/>
  <c r="G30" i="99"/>
  <c r="K30" i="99"/>
  <c r="H31" i="99"/>
  <c r="F32" i="99"/>
  <c r="J32" i="99"/>
  <c r="H33" i="99"/>
  <c r="I34" i="99"/>
  <c r="G35" i="99"/>
  <c r="K35" i="99"/>
  <c r="I36" i="99"/>
  <c r="G37" i="99"/>
  <c r="K37" i="99"/>
  <c r="I38" i="99"/>
  <c r="F39" i="99"/>
  <c r="J39" i="99"/>
  <c r="H40" i="99"/>
  <c r="F41" i="99"/>
  <c r="J41" i="99"/>
  <c r="G42" i="99"/>
  <c r="K42" i="99"/>
  <c r="I43" i="99"/>
  <c r="N10" i="99"/>
  <c r="M14" i="99"/>
  <c r="M16" i="99"/>
  <c r="N17" i="99"/>
  <c r="M19" i="99"/>
  <c r="M21" i="99"/>
  <c r="N25" i="99"/>
  <c r="L25" i="99" s="1"/>
  <c r="M29" i="99"/>
  <c r="M34" i="99"/>
  <c r="N37" i="99"/>
  <c r="N39" i="99"/>
  <c r="Q45" i="99"/>
  <c r="U45" i="99"/>
  <c r="S46" i="99"/>
  <c r="T49" i="99"/>
  <c r="R50" i="99"/>
  <c r="V50" i="99"/>
  <c r="T51" i="99"/>
  <c r="R9" i="99"/>
  <c r="V9" i="99"/>
  <c r="T10" i="99"/>
  <c r="Q11" i="99"/>
  <c r="U11" i="99"/>
  <c r="S12" i="99"/>
  <c r="Q13" i="99"/>
  <c r="U13" i="99"/>
  <c r="S14" i="99"/>
  <c r="T15" i="99"/>
  <c r="R16" i="99"/>
  <c r="V16" i="99"/>
  <c r="T17" i="99"/>
  <c r="R18" i="99"/>
  <c r="V18" i="99"/>
  <c r="S19" i="99"/>
  <c r="Q20" i="99"/>
  <c r="U20" i="99"/>
  <c r="S21" i="99"/>
  <c r="Q22" i="99"/>
  <c r="U22" i="99"/>
  <c r="R23" i="99"/>
  <c r="V23" i="99"/>
  <c r="T25" i="99"/>
  <c r="R26" i="99"/>
  <c r="V26" i="99"/>
  <c r="S27" i="99"/>
  <c r="Q28" i="99"/>
  <c r="U28" i="99"/>
  <c r="S29" i="99"/>
  <c r="Q30" i="99"/>
  <c r="U30" i="99"/>
  <c r="R31" i="99"/>
  <c r="V31" i="99"/>
  <c r="T32" i="99"/>
  <c r="R33" i="99"/>
  <c r="V33" i="99"/>
  <c r="T34" i="99"/>
  <c r="Q35" i="99"/>
  <c r="U35" i="99"/>
  <c r="S36" i="99"/>
  <c r="Q37" i="99"/>
  <c r="U37" i="99"/>
  <c r="S38" i="99"/>
  <c r="T39" i="99"/>
  <c r="R40" i="99"/>
  <c r="V40" i="99"/>
  <c r="T41" i="99"/>
  <c r="R42" i="99"/>
  <c r="V42" i="99"/>
  <c r="S43" i="99"/>
  <c r="X10" i="99"/>
  <c r="Y15" i="99"/>
  <c r="Y17" i="99"/>
  <c r="X19" i="99"/>
  <c r="X21" i="99"/>
  <c r="Y25" i="99"/>
  <c r="X29" i="99"/>
  <c r="W29" i="99" s="1"/>
  <c r="X34" i="99"/>
  <c r="Y37" i="99"/>
  <c r="Y39" i="99"/>
  <c r="H45" i="99"/>
  <c r="I46" i="99"/>
  <c r="G49" i="99"/>
  <c r="K49" i="99"/>
  <c r="H50" i="99"/>
  <c r="F51" i="99"/>
  <c r="J51" i="99"/>
  <c r="H9" i="99"/>
  <c r="F10" i="99"/>
  <c r="J10" i="99"/>
  <c r="H11" i="99"/>
  <c r="I12" i="99"/>
  <c r="G13" i="99"/>
  <c r="K13" i="99"/>
  <c r="I14" i="99"/>
  <c r="G15" i="99"/>
  <c r="K15" i="99"/>
  <c r="H16" i="99"/>
  <c r="F17" i="99"/>
  <c r="J17" i="99"/>
  <c r="H18" i="99"/>
  <c r="I19" i="99"/>
  <c r="G20" i="99"/>
  <c r="K20" i="99"/>
  <c r="H21" i="99"/>
  <c r="F22" i="99"/>
  <c r="J22" i="99"/>
  <c r="H23" i="99"/>
  <c r="F25" i="99"/>
  <c r="J25" i="99"/>
  <c r="H26" i="99"/>
  <c r="H28" i="99"/>
  <c r="F29" i="99"/>
  <c r="J29" i="99"/>
  <c r="H30" i="99"/>
  <c r="I31" i="99"/>
  <c r="G32" i="99"/>
  <c r="K32" i="99"/>
  <c r="I33" i="99"/>
  <c r="F34" i="99"/>
  <c r="J34" i="99"/>
  <c r="H35" i="99"/>
  <c r="F36" i="99"/>
  <c r="J36" i="99"/>
  <c r="H37" i="99"/>
  <c r="F38" i="99"/>
  <c r="J38" i="99"/>
  <c r="G39" i="99"/>
  <c r="K39" i="99"/>
  <c r="I40" i="99"/>
  <c r="G41" i="99"/>
  <c r="K41" i="99"/>
  <c r="H42" i="99"/>
  <c r="F43" i="99"/>
  <c r="J43" i="99"/>
  <c r="M11" i="99"/>
  <c r="N14" i="99"/>
  <c r="N16" i="99"/>
  <c r="N19" i="99"/>
  <c r="N21" i="99"/>
  <c r="M23" i="99"/>
  <c r="M28" i="99"/>
  <c r="N29" i="99"/>
  <c r="N34" i="99"/>
  <c r="M36" i="99"/>
  <c r="L36" i="99" s="1"/>
  <c r="M38" i="99"/>
  <c r="R45" i="99"/>
  <c r="V45" i="99"/>
  <c r="T46" i="99"/>
  <c r="Q49" i="99"/>
  <c r="U49" i="99"/>
  <c r="S50" i="99"/>
  <c r="Q51" i="99"/>
  <c r="U51" i="99"/>
  <c r="S9" i="99"/>
  <c r="Q10" i="99"/>
  <c r="U10" i="99"/>
  <c r="R11" i="99"/>
  <c r="V11" i="99"/>
  <c r="T12" i="99"/>
  <c r="R13" i="99"/>
  <c r="V13" i="99"/>
  <c r="T14" i="99"/>
  <c r="Q15" i="99"/>
  <c r="U15" i="99"/>
  <c r="S16" i="99"/>
  <c r="Q17" i="99"/>
  <c r="U17" i="99"/>
  <c r="S18" i="99"/>
  <c r="T19" i="99"/>
  <c r="R20" i="99"/>
  <c r="V20" i="99"/>
  <c r="T21" i="99"/>
  <c r="R22" i="99"/>
  <c r="V22" i="99"/>
  <c r="S23" i="99"/>
  <c r="Q25" i="99"/>
  <c r="U25" i="99"/>
  <c r="S26" i="99"/>
  <c r="T27" i="99"/>
  <c r="R28" i="99"/>
  <c r="V28" i="99"/>
  <c r="T29" i="99"/>
  <c r="R30" i="99"/>
  <c r="V30" i="99"/>
  <c r="S31" i="99"/>
  <c r="Q32" i="99"/>
  <c r="U32" i="99"/>
  <c r="S33" i="99"/>
  <c r="Q34" i="99"/>
  <c r="U34" i="99"/>
  <c r="R35" i="99"/>
  <c r="V35" i="99"/>
  <c r="T36" i="99"/>
  <c r="R37" i="99"/>
  <c r="V37" i="99"/>
  <c r="T38" i="99"/>
  <c r="Q39" i="99"/>
  <c r="U39" i="99"/>
  <c r="S40" i="99"/>
  <c r="Q41" i="99"/>
  <c r="U41" i="99"/>
  <c r="S42" i="99"/>
  <c r="T43" i="99"/>
  <c r="Y10" i="99"/>
  <c r="X14" i="99"/>
  <c r="X16" i="99"/>
  <c r="Y19" i="99"/>
  <c r="Y21" i="99"/>
  <c r="X23" i="99"/>
  <c r="I45" i="99"/>
  <c r="H49" i="99"/>
  <c r="K51" i="99"/>
  <c r="I11" i="99"/>
  <c r="F14" i="99"/>
  <c r="I16" i="99"/>
  <c r="I23" i="99"/>
  <c r="K29" i="99"/>
  <c r="H32" i="99"/>
  <c r="K34" i="99"/>
  <c r="I37" i="99"/>
  <c r="F40" i="99"/>
  <c r="I42" i="99"/>
  <c r="M15" i="99"/>
  <c r="N28" i="99"/>
  <c r="N38" i="99"/>
  <c r="L38" i="99" s="1"/>
  <c r="U46" i="99"/>
  <c r="R51" i="99"/>
  <c r="V10" i="99"/>
  <c r="S13" i="99"/>
  <c r="V15" i="99"/>
  <c r="T18" i="99"/>
  <c r="Q21" i="99"/>
  <c r="T23" i="99"/>
  <c r="Q27" i="99"/>
  <c r="U29" i="99"/>
  <c r="R32" i="99"/>
  <c r="V34" i="99"/>
  <c r="S37" i="99"/>
  <c r="V39" i="99"/>
  <c r="T42" i="99"/>
  <c r="Y14" i="99"/>
  <c r="X20" i="99"/>
  <c r="Y23" i="99"/>
  <c r="X31" i="99"/>
  <c r="Y36" i="99"/>
  <c r="W36" i="99" s="1"/>
  <c r="X42" i="99"/>
  <c r="E18" i="59"/>
  <c r="E9" i="59" s="1"/>
  <c r="M14" i="98"/>
  <c r="M18" i="98"/>
  <c r="N25" i="98"/>
  <c r="M35" i="98"/>
  <c r="M38" i="98"/>
  <c r="T22" i="98"/>
  <c r="H22" i="98"/>
  <c r="X29" i="98"/>
  <c r="Q50" i="98"/>
  <c r="Q10" i="98"/>
  <c r="Q14" i="98"/>
  <c r="Q18" i="98"/>
  <c r="Q25" i="98"/>
  <c r="Q30" i="98"/>
  <c r="Q34" i="98"/>
  <c r="Q38" i="98"/>
  <c r="Q42" i="98"/>
  <c r="R45" i="98"/>
  <c r="R46" i="98"/>
  <c r="T10" i="98"/>
  <c r="R12" i="98"/>
  <c r="T14" i="98"/>
  <c r="R16" i="98"/>
  <c r="R21" i="98"/>
  <c r="R28" i="98"/>
  <c r="R32" i="98"/>
  <c r="R36" i="98"/>
  <c r="R40" i="98"/>
  <c r="R19" i="98"/>
  <c r="S50" i="98"/>
  <c r="S11" i="98"/>
  <c r="S16" i="98"/>
  <c r="S21" i="98"/>
  <c r="X21" i="98"/>
  <c r="S26" i="98"/>
  <c r="S31" i="98"/>
  <c r="S35" i="98"/>
  <c r="S39" i="98"/>
  <c r="S43" i="98"/>
  <c r="T49" i="98"/>
  <c r="T9" i="98"/>
  <c r="T15" i="98"/>
  <c r="T20" i="98"/>
  <c r="T28" i="98"/>
  <c r="T32" i="98"/>
  <c r="T36" i="98"/>
  <c r="T40" i="98"/>
  <c r="T19" i="98"/>
  <c r="U50" i="98"/>
  <c r="U11" i="98"/>
  <c r="U16" i="98"/>
  <c r="U20" i="98"/>
  <c r="U28" i="98"/>
  <c r="U32" i="98"/>
  <c r="U34" i="98"/>
  <c r="U38" i="98"/>
  <c r="U42" i="98"/>
  <c r="V45" i="98"/>
  <c r="V46" i="98"/>
  <c r="V13" i="98"/>
  <c r="V20" i="98"/>
  <c r="V28" i="98"/>
  <c r="V32" i="98"/>
  <c r="V37" i="98"/>
  <c r="V41" i="98"/>
  <c r="V27" i="98"/>
  <c r="Y10" i="98"/>
  <c r="W10" i="98" s="1"/>
  <c r="X14" i="98"/>
  <c r="X16" i="98"/>
  <c r="X18" i="98"/>
  <c r="X20" i="98"/>
  <c r="X25" i="98"/>
  <c r="X31" i="98"/>
  <c r="X35" i="98"/>
  <c r="X37" i="98"/>
  <c r="Y38" i="98"/>
  <c r="Y42" i="98"/>
  <c r="W42" i="98" s="1"/>
  <c r="I9" i="98"/>
  <c r="G12" i="98"/>
  <c r="K12" i="98"/>
  <c r="I13" i="98"/>
  <c r="G26" i="98"/>
  <c r="K26" i="98"/>
  <c r="I27" i="98"/>
  <c r="G30" i="98"/>
  <c r="K30" i="98"/>
  <c r="I32" i="98"/>
  <c r="G33" i="98"/>
  <c r="K33" i="98"/>
  <c r="I40" i="98"/>
  <c r="G41" i="98"/>
  <c r="K41" i="98"/>
  <c r="I43" i="98"/>
  <c r="G45" i="98"/>
  <c r="K45" i="98"/>
  <c r="I46" i="98"/>
  <c r="G49" i="98"/>
  <c r="K49" i="98"/>
  <c r="I50" i="98"/>
  <c r="G51" i="98"/>
  <c r="K51" i="98"/>
  <c r="F15" i="98"/>
  <c r="J15" i="98"/>
  <c r="F16" i="98"/>
  <c r="G19" i="98"/>
  <c r="K19" i="98"/>
  <c r="F21" i="98"/>
  <c r="F29" i="98"/>
  <c r="F36" i="98"/>
  <c r="F42" i="98"/>
  <c r="G16" i="98"/>
  <c r="G21" i="98"/>
  <c r="G29" i="98"/>
  <c r="G36" i="98"/>
  <c r="G42" i="98"/>
  <c r="H16" i="98"/>
  <c r="H21" i="98"/>
  <c r="H29" i="98"/>
  <c r="J34" i="98"/>
  <c r="H36" i="98"/>
  <c r="J38" i="98"/>
  <c r="H42" i="98"/>
  <c r="I16" i="98"/>
  <c r="I21" i="98"/>
  <c r="I29" i="98"/>
  <c r="I37" i="98"/>
  <c r="J11" i="98"/>
  <c r="K17" i="98"/>
  <c r="J20" i="98"/>
  <c r="J28" i="98"/>
  <c r="J35" i="98"/>
  <c r="J42" i="98"/>
  <c r="K16" i="98"/>
  <c r="K23" i="98"/>
  <c r="K35" i="98"/>
  <c r="K42" i="98"/>
  <c r="N23" i="98"/>
  <c r="N36" i="98"/>
  <c r="I9" i="99"/>
  <c r="F12" i="99"/>
  <c r="J14" i="99"/>
  <c r="G17" i="99"/>
  <c r="F19" i="99"/>
  <c r="I21" i="99"/>
  <c r="G25" i="99"/>
  <c r="J27" i="99"/>
  <c r="I30" i="99"/>
  <c r="F33" i="99"/>
  <c r="I35" i="99"/>
  <c r="G38" i="99"/>
  <c r="J40" i="99"/>
  <c r="G43" i="99"/>
  <c r="M31" i="99"/>
  <c r="L31" i="99" s="1"/>
  <c r="M42" i="99"/>
  <c r="R49" i="99"/>
  <c r="V51" i="99"/>
  <c r="S11" i="99"/>
  <c r="Q14" i="99"/>
  <c r="T16" i="99"/>
  <c r="Q19" i="99"/>
  <c r="U21" i="99"/>
  <c r="R25" i="99"/>
  <c r="U27" i="99"/>
  <c r="S30" i="99"/>
  <c r="V32" i="99"/>
  <c r="S35" i="99"/>
  <c r="Q38" i="99"/>
  <c r="T40" i="99"/>
  <c r="Q43" i="99"/>
  <c r="Y16" i="99"/>
  <c r="X28" i="99"/>
  <c r="Y34" i="99"/>
  <c r="X38" i="99"/>
  <c r="M15" i="98"/>
  <c r="M19" i="98"/>
  <c r="M21" i="98"/>
  <c r="L21" i="98" s="1"/>
  <c r="M29" i="98"/>
  <c r="N35" i="98"/>
  <c r="M39" i="98"/>
  <c r="S22" i="98"/>
  <c r="K22" i="98"/>
  <c r="G22" i="98"/>
  <c r="Y29" i="98"/>
  <c r="Q51" i="98"/>
  <c r="Q11" i="98"/>
  <c r="Q15" i="98"/>
  <c r="Q20" i="98"/>
  <c r="Q26" i="98"/>
  <c r="Q31" i="98"/>
  <c r="Q35" i="98"/>
  <c r="Q39" i="98"/>
  <c r="Q43" i="98"/>
  <c r="R49" i="98"/>
  <c r="R9" i="98"/>
  <c r="U10" i="98"/>
  <c r="R13" i="98"/>
  <c r="U14" i="98"/>
  <c r="R17" i="98"/>
  <c r="R23" i="98"/>
  <c r="R29" i="98"/>
  <c r="R33" i="98"/>
  <c r="R37" i="98"/>
  <c r="R41" i="98"/>
  <c r="R27" i="98"/>
  <c r="S51" i="98"/>
  <c r="S12" i="98"/>
  <c r="S17" i="98"/>
  <c r="T21" i="98"/>
  <c r="Y21" i="98"/>
  <c r="S28" i="98"/>
  <c r="S32" i="98"/>
  <c r="S36" i="98"/>
  <c r="S40" i="98"/>
  <c r="S19" i="98"/>
  <c r="T50" i="98"/>
  <c r="T11" i="98"/>
  <c r="T16" i="98"/>
  <c r="T23" i="98"/>
  <c r="T29" i="98"/>
  <c r="T33" i="98"/>
  <c r="T37" i="98"/>
  <c r="T41" i="98"/>
  <c r="T27" i="98"/>
  <c r="U51" i="98"/>
  <c r="U12" i="98"/>
  <c r="V16" i="98"/>
  <c r="U23" i="98"/>
  <c r="U29" i="98"/>
  <c r="U33" i="98"/>
  <c r="U35" i="98"/>
  <c r="U39" i="98"/>
  <c r="U43" i="98"/>
  <c r="V49" i="98"/>
  <c r="V9" i="98"/>
  <c r="V15" i="98"/>
  <c r="V23" i="98"/>
  <c r="V29" i="98"/>
  <c r="V34" i="98"/>
  <c r="V38" i="98"/>
  <c r="V42" i="98"/>
  <c r="X11" i="98"/>
  <c r="Y14" i="98"/>
  <c r="Y16" i="98"/>
  <c r="Y18" i="98"/>
  <c r="Y20" i="98"/>
  <c r="Y25" i="98"/>
  <c r="Y31" i="98"/>
  <c r="Y35" i="98"/>
  <c r="Y37" i="98"/>
  <c r="X39" i="98"/>
  <c r="F9" i="98"/>
  <c r="J9" i="98"/>
  <c r="H12" i="98"/>
  <c r="F13" i="98"/>
  <c r="J13" i="98"/>
  <c r="H26" i="98"/>
  <c r="F27" i="98"/>
  <c r="J27" i="98"/>
  <c r="H30" i="98"/>
  <c r="F32" i="98"/>
  <c r="J32" i="98"/>
  <c r="H33" i="98"/>
  <c r="F40" i="98"/>
  <c r="J40" i="98"/>
  <c r="H41" i="98"/>
  <c r="F43" i="98"/>
  <c r="J43" i="98"/>
  <c r="H45" i="98"/>
  <c r="F46" i="98"/>
  <c r="J46" i="98"/>
  <c r="H49" i="98"/>
  <c r="F50" i="98"/>
  <c r="J50" i="98"/>
  <c r="H51" i="98"/>
  <c r="F10" i="98"/>
  <c r="G15" i="98"/>
  <c r="K15" i="98"/>
  <c r="F17" i="98"/>
  <c r="H19" i="98"/>
  <c r="N19" i="98"/>
  <c r="F23" i="98"/>
  <c r="F31" i="98"/>
  <c r="F37" i="98"/>
  <c r="G10" i="98"/>
  <c r="G17" i="98"/>
  <c r="G23" i="98"/>
  <c r="G31" i="98"/>
  <c r="G37" i="98"/>
  <c r="H10" i="98"/>
  <c r="H17" i="98"/>
  <c r="H23" i="98"/>
  <c r="H31" i="98"/>
  <c r="K34" i="98"/>
  <c r="H37" i="98"/>
  <c r="K38" i="98"/>
  <c r="I10" i="98"/>
  <c r="I17" i="98"/>
  <c r="I23" i="98"/>
  <c r="I31" i="98"/>
  <c r="I39" i="98"/>
  <c r="J14" i="98"/>
  <c r="N17" i="98"/>
  <c r="L17" i="98" s="1"/>
  <c r="J21" i="98"/>
  <c r="J29" i="98"/>
  <c r="J36" i="98"/>
  <c r="K10" i="98"/>
  <c r="K18" i="98"/>
  <c r="K25" i="98"/>
  <c r="K36" i="98"/>
  <c r="N10" i="98"/>
  <c r="N16" i="98"/>
  <c r="N37" i="98"/>
  <c r="F46" i="99"/>
  <c r="I50" i="99"/>
  <c r="G10" i="99"/>
  <c r="J12" i="99"/>
  <c r="H15" i="99"/>
  <c r="K17" i="99"/>
  <c r="J19" i="99"/>
  <c r="G22" i="99"/>
  <c r="K25" i="99"/>
  <c r="I28" i="99"/>
  <c r="F31" i="99"/>
  <c r="J33" i="99"/>
  <c r="G36" i="99"/>
  <c r="K38" i="99"/>
  <c r="H41" i="99"/>
  <c r="K43" i="99"/>
  <c r="M18" i="99"/>
  <c r="M35" i="99"/>
  <c r="L35" i="99" s="1"/>
  <c r="S45" i="99"/>
  <c r="V49" i="99"/>
  <c r="T9" i="99"/>
  <c r="Q12" i="99"/>
  <c r="U14" i="99"/>
  <c r="R17" i="99"/>
  <c r="U19" i="99"/>
  <c r="S22" i="99"/>
  <c r="V25" i="99"/>
  <c r="S28" i="99"/>
  <c r="T33" i="99"/>
  <c r="Q36" i="99"/>
  <c r="U38" i="99"/>
  <c r="R41" i="99"/>
  <c r="U43" i="99"/>
  <c r="Y28" i="99"/>
  <c r="X35" i="99"/>
  <c r="W35" i="99" s="1"/>
  <c r="Y38" i="99"/>
  <c r="M10" i="98"/>
  <c r="M16" i="98"/>
  <c r="M20" i="98"/>
  <c r="M23" i="98"/>
  <c r="M28" i="98"/>
  <c r="M31" i="98"/>
  <c r="M36" i="98"/>
  <c r="M42" i="98"/>
  <c r="L42" i="98" s="1"/>
  <c r="V22" i="98"/>
  <c r="R22" i="98"/>
  <c r="J22" i="98"/>
  <c r="F22" i="98"/>
  <c r="Q45" i="98"/>
  <c r="Q46" i="98"/>
  <c r="Q12" i="98"/>
  <c r="Q16" i="98"/>
  <c r="Q21" i="98"/>
  <c r="Q28" i="98"/>
  <c r="Q32" i="98"/>
  <c r="Q36" i="98"/>
  <c r="Q40" i="98"/>
  <c r="Q19" i="98"/>
  <c r="R50" i="98"/>
  <c r="R10" i="98"/>
  <c r="V10" i="98"/>
  <c r="R14" i="98"/>
  <c r="V14" i="98"/>
  <c r="R18" i="98"/>
  <c r="R25" i="98"/>
  <c r="R30" i="98"/>
  <c r="R34" i="98"/>
  <c r="R38" i="98"/>
  <c r="R42" i="98"/>
  <c r="S45" i="98"/>
  <c r="S46" i="98"/>
  <c r="S13" i="98"/>
  <c r="S18" i="98"/>
  <c r="U21" i="98"/>
  <c r="S23" i="98"/>
  <c r="S29" i="98"/>
  <c r="S33" i="98"/>
  <c r="S37" i="98"/>
  <c r="S41" i="98"/>
  <c r="S27" i="98"/>
  <c r="T51" i="98"/>
  <c r="T12" i="98"/>
  <c r="T17" i="98"/>
  <c r="T25" i="98"/>
  <c r="T30" i="98"/>
  <c r="T34" i="98"/>
  <c r="T38" i="98"/>
  <c r="T42" i="98"/>
  <c r="U45" i="98"/>
  <c r="U46" i="98"/>
  <c r="U13" i="98"/>
  <c r="U17" i="98"/>
  <c r="U25" i="98"/>
  <c r="U30" i="98"/>
  <c r="V33" i="98"/>
  <c r="U36" i="98"/>
  <c r="U40" i="98"/>
  <c r="U19" i="98"/>
  <c r="V50" i="98"/>
  <c r="V11" i="98"/>
  <c r="V17" i="98"/>
  <c r="V25" i="98"/>
  <c r="V30" i="98"/>
  <c r="V35" i="98"/>
  <c r="V39" i="98"/>
  <c r="V43" i="98"/>
  <c r="Y11" i="98"/>
  <c r="X15" i="98"/>
  <c r="X17" i="98"/>
  <c r="X19" i="98"/>
  <c r="W19" i="98" s="1"/>
  <c r="X23" i="98"/>
  <c r="W23" i="98" s="1"/>
  <c r="X28" i="98"/>
  <c r="W28" i="98" s="1"/>
  <c r="X34" i="98"/>
  <c r="X36" i="98"/>
  <c r="Y39" i="98"/>
  <c r="G9" i="98"/>
  <c r="K9" i="98"/>
  <c r="I12" i="98"/>
  <c r="G13" i="98"/>
  <c r="K13" i="98"/>
  <c r="I26" i="98"/>
  <c r="G27" i="98"/>
  <c r="K27" i="98"/>
  <c r="I30" i="98"/>
  <c r="G32" i="98"/>
  <c r="K32" i="98"/>
  <c r="I33" i="98"/>
  <c r="G40" i="98"/>
  <c r="K40" i="98"/>
  <c r="I41" i="98"/>
  <c r="G43" i="98"/>
  <c r="K43" i="98"/>
  <c r="I45" i="98"/>
  <c r="G46" i="98"/>
  <c r="K46" i="98"/>
  <c r="I49" i="98"/>
  <c r="G50" i="98"/>
  <c r="K50" i="98"/>
  <c r="I51" i="98"/>
  <c r="F11" i="98"/>
  <c r="H15" i="98"/>
  <c r="N15" i="98"/>
  <c r="F18" i="98"/>
  <c r="I19" i="98"/>
  <c r="F25" i="98"/>
  <c r="F34" i="98"/>
  <c r="F38" i="98"/>
  <c r="G11" i="98"/>
  <c r="G18" i="98"/>
  <c r="G25" i="98"/>
  <c r="G34" i="98"/>
  <c r="G38" i="98"/>
  <c r="H11" i="98"/>
  <c r="H18" i="98"/>
  <c r="H25" i="98"/>
  <c r="H34" i="98"/>
  <c r="N34" i="98"/>
  <c r="H38" i="98"/>
  <c r="N38" i="98"/>
  <c r="I11" i="98"/>
  <c r="I18" i="98"/>
  <c r="I25" i="98"/>
  <c r="I35" i="98"/>
  <c r="I42" i="98"/>
  <c r="J16" i="98"/>
  <c r="J23" i="98"/>
  <c r="K29" i="98"/>
  <c r="J37" i="98"/>
  <c r="K11" i="98"/>
  <c r="K20" i="98"/>
  <c r="K28" i="98"/>
  <c r="K37" i="98"/>
  <c r="N11" i="98"/>
  <c r="L11" i="98" s="1"/>
  <c r="N18" i="98"/>
  <c r="N29" i="98"/>
  <c r="N39" i="98"/>
  <c r="B38" i="10"/>
  <c r="C38" i="127"/>
  <c r="B29" i="20"/>
  <c r="AK59" i="20"/>
  <c r="O59" i="20" s="1"/>
  <c r="Y20" i="20"/>
  <c r="C20" i="20" s="1"/>
  <c r="X21" i="20"/>
  <c r="N12" i="20"/>
  <c r="I12" i="20"/>
  <c r="P38" i="36"/>
  <c r="AE59" i="20"/>
  <c r="I59" i="20" s="1"/>
  <c r="F36" i="25"/>
  <c r="D36" i="25"/>
  <c r="B26" i="20"/>
  <c r="X30" i="20"/>
  <c r="C34" i="20"/>
  <c r="B34" i="20" s="1"/>
  <c r="AJ17" i="20"/>
  <c r="P17" i="20"/>
  <c r="N17" i="20" s="1"/>
  <c r="I19" i="17"/>
  <c r="I26" i="17"/>
  <c r="G52" i="8"/>
  <c r="P52" i="8" s="1"/>
  <c r="I60" i="8"/>
  <c r="L60" i="8" s="1"/>
  <c r="J60" i="8"/>
  <c r="K60" i="8"/>
  <c r="I20" i="36"/>
  <c r="K20" i="36"/>
  <c r="O20" i="36"/>
  <c r="D55" i="8"/>
  <c r="J55" i="8" s="1"/>
  <c r="C53" i="8"/>
  <c r="I32" i="36"/>
  <c r="F32" i="36"/>
  <c r="L32" i="36" s="1"/>
  <c r="V41" i="99"/>
  <c r="T31" i="99"/>
  <c r="S20" i="99"/>
  <c r="R10" i="99"/>
  <c r="N23" i="99"/>
  <c r="N11" i="99"/>
  <c r="G34" i="99"/>
  <c r="I26" i="99"/>
  <c r="I18" i="99"/>
  <c r="G51" i="99"/>
  <c r="I37" i="9"/>
  <c r="I46" i="9"/>
  <c r="K46" i="9"/>
  <c r="G46" i="25"/>
  <c r="G44" i="25"/>
  <c r="F44" i="9"/>
  <c r="I44" i="9"/>
  <c r="N29" i="20"/>
  <c r="O39" i="25"/>
  <c r="Q44" i="9"/>
  <c r="I16" i="17"/>
  <c r="O15" i="25"/>
  <c r="I45" i="116"/>
  <c r="C29" i="10"/>
  <c r="I83" i="8"/>
  <c r="L83" i="8" s="1"/>
  <c r="C22" i="10"/>
  <c r="I39" i="36"/>
  <c r="K32" i="36"/>
  <c r="J34" i="8"/>
  <c r="I58" i="8"/>
  <c r="L58" i="8" s="1"/>
  <c r="K58" i="8"/>
  <c r="I36" i="36"/>
  <c r="K28" i="9"/>
  <c r="K18" i="9"/>
  <c r="C50" i="128"/>
  <c r="F24" i="9"/>
  <c r="G31" i="25"/>
  <c r="F31" i="9"/>
  <c r="Q18" i="9"/>
  <c r="Q41" i="9"/>
  <c r="P70" i="8"/>
  <c r="E12" i="12"/>
  <c r="H18" i="59"/>
  <c r="J32" i="8"/>
  <c r="K73" i="8"/>
  <c r="I16" i="36"/>
  <c r="I11" i="36"/>
  <c r="K41" i="9"/>
  <c r="K37" i="9"/>
  <c r="I41" i="9"/>
  <c r="I18" i="9"/>
  <c r="G9" i="10"/>
  <c r="D35" i="12"/>
  <c r="D18" i="12"/>
  <c r="K11" i="9"/>
  <c r="F11" i="9"/>
  <c r="O21" i="25"/>
  <c r="P49" i="8"/>
  <c r="Q37" i="9"/>
  <c r="I25" i="17"/>
  <c r="O24" i="25"/>
  <c r="C43" i="10"/>
  <c r="K34" i="8"/>
  <c r="J74" i="8"/>
  <c r="J37" i="8"/>
  <c r="H44" i="8"/>
  <c r="J44" i="8" s="1"/>
  <c r="I43" i="36"/>
  <c r="J35" i="8"/>
  <c r="D38" i="12"/>
  <c r="B14" i="9"/>
  <c r="I14" i="9"/>
  <c r="E48" i="8"/>
  <c r="K48" i="9"/>
  <c r="G48" i="25"/>
  <c r="F48" i="9"/>
  <c r="F27" i="99"/>
  <c r="D37" i="12"/>
  <c r="D34" i="12"/>
  <c r="M34" i="261" s="1"/>
  <c r="C34" i="17"/>
  <c r="B29" i="10"/>
  <c r="P29" i="13" s="1"/>
  <c r="O29" i="13" s="1"/>
  <c r="J29" i="13" s="1"/>
  <c r="C19" i="10"/>
  <c r="J88" i="8"/>
  <c r="J86" i="8"/>
  <c r="H28" i="8"/>
  <c r="J28" i="8" s="1"/>
  <c r="K43" i="36"/>
  <c r="E16" i="12"/>
  <c r="I40" i="8"/>
  <c r="L40" i="8" s="1"/>
  <c r="K29" i="9"/>
  <c r="C12" i="128"/>
  <c r="D39" i="12"/>
  <c r="D36" i="12"/>
  <c r="F39" i="9"/>
  <c r="D13" i="9"/>
  <c r="E36" i="8"/>
  <c r="K36" i="8" s="1"/>
  <c r="C24" i="10"/>
  <c r="C41" i="10"/>
  <c r="C27" i="10"/>
  <c r="J69" i="8"/>
  <c r="J19" i="8"/>
  <c r="I42" i="8"/>
  <c r="L42" i="8" s="1"/>
  <c r="C41" i="128"/>
  <c r="D22" i="12"/>
  <c r="D19" i="12"/>
  <c r="D16" i="12"/>
  <c r="D11" i="12"/>
  <c r="F46" i="9"/>
  <c r="F14" i="9"/>
  <c r="F10" i="9"/>
  <c r="D49" i="8"/>
  <c r="J49" i="8" s="1"/>
  <c r="B89" i="9"/>
  <c r="D78" i="9"/>
  <c r="E26" i="8"/>
  <c r="E44" i="8"/>
  <c r="D23" i="8"/>
  <c r="J23" i="8" s="1"/>
  <c r="B28" i="9"/>
  <c r="B53" i="8"/>
  <c r="O53" i="257" s="1"/>
  <c r="Q53" i="257" s="1"/>
  <c r="D52" i="9"/>
  <c r="G45" i="9"/>
  <c r="E35" i="8"/>
  <c r="I35" i="8" s="1"/>
  <c r="L35" i="8" s="1"/>
  <c r="P54" i="8"/>
  <c r="C37" i="20"/>
  <c r="Y46" i="20"/>
  <c r="C46" i="20" s="1"/>
  <c r="F40" i="20"/>
  <c r="AB46" i="20"/>
  <c r="F46" i="20" s="1"/>
  <c r="I25" i="20"/>
  <c r="AE33" i="20"/>
  <c r="I33" i="20" s="1"/>
  <c r="L28" i="20"/>
  <c r="AH33" i="20"/>
  <c r="L33" i="20" s="1"/>
  <c r="AA18" i="20"/>
  <c r="G18" i="20"/>
  <c r="E18" i="20" s="1"/>
  <c r="M19" i="20"/>
  <c r="K19" i="20" s="1"/>
  <c r="AG19" i="20"/>
  <c r="E20" i="13"/>
  <c r="X25" i="21"/>
  <c r="C8" i="187"/>
  <c r="D11" i="187"/>
  <c r="E34" i="13"/>
  <c r="T34" i="13" s="1"/>
  <c r="C49" i="20"/>
  <c r="Y66" i="20"/>
  <c r="AJ25" i="20"/>
  <c r="AK33" i="20"/>
  <c r="O33" i="20" s="1"/>
  <c r="O25" i="20"/>
  <c r="AP43" i="167"/>
  <c r="W25" i="21"/>
  <c r="D43" i="24"/>
  <c r="G80" i="24"/>
  <c r="J80" i="24" s="1"/>
  <c r="X80" i="21"/>
  <c r="E14" i="60"/>
  <c r="V12" i="21"/>
  <c r="AH46" i="20"/>
  <c r="L46" i="20" s="1"/>
  <c r="L37" i="20"/>
  <c r="AK46" i="20"/>
  <c r="O46" i="20" s="1"/>
  <c r="O37" i="20"/>
  <c r="M26" i="20"/>
  <c r="K26" i="20" s="1"/>
  <c r="AG26" i="20"/>
  <c r="M30" i="20"/>
  <c r="K30" i="20" s="1"/>
  <c r="AG30" i="20"/>
  <c r="P32" i="20"/>
  <c r="N32" i="20" s="1"/>
  <c r="AJ32" i="20"/>
  <c r="X55" i="20"/>
  <c r="D55" i="20"/>
  <c r="B55" i="20" s="1"/>
  <c r="F60" i="20"/>
  <c r="E60" i="20" s="1"/>
  <c r="AB66" i="20"/>
  <c r="W66" i="21"/>
  <c r="D66" i="24"/>
  <c r="V51" i="21"/>
  <c r="E53" i="60"/>
  <c r="B46" i="14"/>
  <c r="U46" i="21" s="1"/>
  <c r="S46" i="21"/>
  <c r="B46" i="24"/>
  <c r="H46" i="24" s="1"/>
  <c r="G48" i="60"/>
  <c r="V46" i="21" s="1"/>
  <c r="P32" i="36"/>
  <c r="O50" i="20"/>
  <c r="AK66" i="20"/>
  <c r="H88" i="257"/>
  <c r="E35" i="30"/>
  <c r="N42" i="13"/>
  <c r="E24" i="13"/>
  <c r="T24" i="13" s="1"/>
  <c r="P39" i="36"/>
  <c r="L39" i="36"/>
  <c r="W79" i="21"/>
  <c r="D79" i="24"/>
  <c r="D67" i="24"/>
  <c r="W67" i="21"/>
  <c r="V31" i="21"/>
  <c r="E33" i="60"/>
  <c r="V29" i="21"/>
  <c r="E31" i="60"/>
  <c r="X65" i="21"/>
  <c r="G65" i="24"/>
  <c r="J65" i="24" s="1"/>
  <c r="H92" i="59"/>
  <c r="E90" i="59"/>
  <c r="D34" i="25"/>
  <c r="F34" i="25"/>
  <c r="F22" i="25"/>
  <c r="AH59" i="20"/>
  <c r="L59" i="20" s="1"/>
  <c r="L50" i="20"/>
  <c r="B32" i="20"/>
  <c r="F31" i="20"/>
  <c r="E31" i="20" s="1"/>
  <c r="AA31" i="20"/>
  <c r="AJ26" i="20"/>
  <c r="P26" i="20"/>
  <c r="N26" i="20" s="1"/>
  <c r="AK20" i="20"/>
  <c r="O20" i="20" s="1"/>
  <c r="N20" i="20" s="1"/>
  <c r="G16" i="20"/>
  <c r="E16" i="20" s="1"/>
  <c r="AA16" i="20"/>
  <c r="AA19" i="20"/>
  <c r="G19" i="20"/>
  <c r="E19" i="20" s="1"/>
  <c r="E37" i="13"/>
  <c r="T37" i="13" s="1"/>
  <c r="E29" i="13"/>
  <c r="T29" i="13" s="1"/>
  <c r="H14" i="24"/>
  <c r="D9" i="188"/>
  <c r="C10" i="185"/>
  <c r="C7" i="187" s="1"/>
  <c r="D7" i="187" s="1"/>
  <c r="E37" i="30"/>
  <c r="D37" i="30" s="1"/>
  <c r="AH66" i="20"/>
  <c r="C9" i="185"/>
  <c r="C11" i="185" s="1"/>
  <c r="C53" i="13"/>
  <c r="P12" i="36"/>
  <c r="L12" i="36"/>
  <c r="E52" i="60"/>
  <c r="F25" i="20"/>
  <c r="E25" i="20" s="1"/>
  <c r="AA25" i="20"/>
  <c r="AA30" i="20"/>
  <c r="G30" i="20"/>
  <c r="E30" i="20" s="1"/>
  <c r="M31" i="20"/>
  <c r="K31" i="20" s="1"/>
  <c r="AG31" i="20"/>
  <c r="AG34" i="20"/>
  <c r="L34" i="20"/>
  <c r="K34" i="20" s="1"/>
  <c r="U23" i="21"/>
  <c r="U21" i="21"/>
  <c r="U19" i="21"/>
  <c r="M12" i="20"/>
  <c r="K12" i="20" s="1"/>
  <c r="AG12" i="20"/>
  <c r="AA12" i="20"/>
  <c r="F12" i="20"/>
  <c r="E12" i="20" s="1"/>
  <c r="T17" i="13"/>
  <c r="D16" i="25"/>
  <c r="O37" i="25"/>
  <c r="V24" i="21"/>
  <c r="E26" i="60"/>
  <c r="D35" i="188"/>
  <c r="J67" i="24"/>
  <c r="F11" i="25"/>
  <c r="D11" i="25"/>
  <c r="E50" i="60"/>
  <c r="V48" i="21"/>
  <c r="G77" i="24"/>
  <c r="J77" i="24" s="1"/>
  <c r="X77" i="21"/>
  <c r="V20" i="21"/>
  <c r="E22" i="60"/>
  <c r="D68" i="24"/>
  <c r="W68" i="21"/>
  <c r="D73" i="24"/>
  <c r="J73" i="24" s="1"/>
  <c r="C33" i="188"/>
  <c r="D27" i="188"/>
  <c r="X79" i="21"/>
  <c r="G79" i="24"/>
  <c r="J79" i="24" s="1"/>
  <c r="F43" i="25"/>
  <c r="F37" i="25"/>
  <c r="I21" i="24"/>
  <c r="L15" i="20"/>
  <c r="AH20" i="20"/>
  <c r="L20" i="20" s="1"/>
  <c r="D30" i="20"/>
  <c r="B30" i="20" s="1"/>
  <c r="X31" i="20"/>
  <c r="AJ30" i="20"/>
  <c r="O30" i="20"/>
  <c r="N30" i="20" s="1"/>
  <c r="B60" i="20"/>
  <c r="S44" i="23"/>
  <c r="X19" i="20"/>
  <c r="C19" i="20"/>
  <c r="B19" i="20" s="1"/>
  <c r="E26" i="13"/>
  <c r="T26" i="13" s="1"/>
  <c r="E21" i="13"/>
  <c r="T21" i="13"/>
  <c r="L100" i="26"/>
  <c r="K10" i="14"/>
  <c r="L10" i="14" s="1"/>
  <c r="D10" i="13" s="1"/>
  <c r="W21" i="28"/>
  <c r="U53" i="28"/>
  <c r="U25" i="28"/>
  <c r="G70" i="24"/>
  <c r="J70" i="24" s="1"/>
  <c r="X70" i="21"/>
  <c r="E6" i="174"/>
  <c r="AN43" i="167"/>
  <c r="AN48" i="167"/>
  <c r="D86" i="24"/>
  <c r="J86" i="24" s="1"/>
  <c r="W86" i="21"/>
  <c r="AD16" i="20"/>
  <c r="AJ12" i="20"/>
  <c r="J84" i="24"/>
  <c r="AG13" i="20"/>
  <c r="M16" i="20"/>
  <c r="K16" i="20" s="1"/>
  <c r="T27" i="13"/>
  <c r="I11" i="24"/>
  <c r="H30" i="24"/>
  <c r="F40" i="25"/>
  <c r="D40" i="25"/>
  <c r="U43" i="28"/>
  <c r="AB59" i="20"/>
  <c r="F59" i="20" s="1"/>
  <c r="B31" i="20"/>
  <c r="AA17" i="20"/>
  <c r="B17" i="20"/>
  <c r="D38" i="13"/>
  <c r="L99" i="26"/>
  <c r="D14" i="13"/>
  <c r="D10" i="187"/>
  <c r="D8" i="187" s="1"/>
  <c r="E42" i="60"/>
  <c r="V40" i="21"/>
  <c r="AK43" i="167"/>
  <c r="AP11" i="167"/>
  <c r="AL48" i="167"/>
  <c r="N16" i="20"/>
  <c r="V89" i="21"/>
  <c r="G90" i="59"/>
  <c r="Q39" i="60"/>
  <c r="V37" i="21"/>
  <c r="F26" i="25"/>
  <c r="D26" i="25"/>
  <c r="J35" i="24"/>
  <c r="I24" i="24"/>
  <c r="H39" i="24"/>
  <c r="J16" i="24"/>
  <c r="C50" i="20"/>
  <c r="Y59" i="20"/>
  <c r="C59" i="20" s="1"/>
  <c r="E32" i="20"/>
  <c r="M32" i="20"/>
  <c r="K32" i="20" s="1"/>
  <c r="AG32" i="20"/>
  <c r="U16" i="21"/>
  <c r="U34" i="21"/>
  <c r="S26" i="23"/>
  <c r="S38" i="23"/>
  <c r="AJ19" i="20"/>
  <c r="D40" i="13"/>
  <c r="D19" i="13"/>
  <c r="D35" i="25"/>
  <c r="L101" i="26"/>
  <c r="I40" i="24"/>
  <c r="W27" i="28"/>
  <c r="W19" i="28"/>
  <c r="H44" i="24"/>
  <c r="D61" i="24"/>
  <c r="W61" i="21"/>
  <c r="E35" i="60"/>
  <c r="V33" i="21"/>
  <c r="E25" i="60"/>
  <c r="V23" i="21"/>
  <c r="P43" i="21"/>
  <c r="X43" i="21" s="1"/>
  <c r="P68" i="21"/>
  <c r="G68" i="24" s="1"/>
  <c r="M76" i="21"/>
  <c r="D76" i="24" s="1"/>
  <c r="M72" i="21"/>
  <c r="D72" i="24" s="1"/>
  <c r="K21" i="256"/>
  <c r="L21" i="256" s="1"/>
  <c r="K17" i="256"/>
  <c r="L17" i="256" s="1"/>
  <c r="G84" i="8"/>
  <c r="P84" i="8" s="1"/>
  <c r="G80" i="8"/>
  <c r="P80" i="8" s="1"/>
  <c r="G64" i="8"/>
  <c r="P64" i="8" s="1"/>
  <c r="G58" i="8"/>
  <c r="G30" i="60"/>
  <c r="G19" i="60"/>
  <c r="E34" i="60"/>
  <c r="AE43" i="167"/>
  <c r="K52" i="100"/>
  <c r="C52" i="100" s="1"/>
  <c r="AD49" i="167"/>
  <c r="C47" i="100"/>
  <c r="C44" i="100" s="1"/>
  <c r="AD48" i="167"/>
  <c r="AP41" i="167"/>
  <c r="AJ48" i="167"/>
  <c r="C45" i="13"/>
  <c r="I43" i="60"/>
  <c r="Q43" i="60" s="1"/>
  <c r="E43" i="24"/>
  <c r="H43" i="24" s="1"/>
  <c r="Z48" i="167"/>
  <c r="K44" i="100"/>
  <c r="E45" i="116"/>
  <c r="H24" i="257"/>
  <c r="J39" i="21"/>
  <c r="H39" i="21" s="1"/>
  <c r="D32" i="140"/>
  <c r="C32" i="140" s="1"/>
  <c r="B32" i="140" s="1"/>
  <c r="M42" i="140"/>
  <c r="P42" i="140" s="1"/>
  <c r="L40" i="257"/>
  <c r="D26" i="140"/>
  <c r="C26" i="140" s="1"/>
  <c r="B26" i="140" s="1"/>
  <c r="H26" i="60"/>
  <c r="J87" i="8"/>
  <c r="I87" i="8"/>
  <c r="L87" i="8" s="1"/>
  <c r="D36" i="140"/>
  <c r="D39" i="140"/>
  <c r="D17" i="8"/>
  <c r="C14" i="8"/>
  <c r="K67" i="8"/>
  <c r="J67" i="8"/>
  <c r="H50" i="257"/>
  <c r="H14" i="257"/>
  <c r="G27" i="140"/>
  <c r="J27" i="60" s="1"/>
  <c r="E27" i="60" s="1"/>
  <c r="D37" i="140"/>
  <c r="C37" i="140" s="1"/>
  <c r="B37" i="140" s="1"/>
  <c r="H12" i="60"/>
  <c r="D12" i="140"/>
  <c r="D16" i="140"/>
  <c r="C16" i="140" s="1"/>
  <c r="B16" i="140" s="1"/>
  <c r="D46" i="140"/>
  <c r="I29" i="60"/>
  <c r="C30" i="10"/>
  <c r="K38" i="36"/>
  <c r="K77" i="8"/>
  <c r="I77" i="8"/>
  <c r="L77" i="8" s="1"/>
  <c r="D27" i="140"/>
  <c r="H25" i="60"/>
  <c r="D25" i="140"/>
  <c r="C25" i="140" s="1"/>
  <c r="B25" i="140" s="1"/>
  <c r="M25" i="140" s="1"/>
  <c r="E29" i="140"/>
  <c r="I63" i="8"/>
  <c r="L63" i="8" s="1"/>
  <c r="K63" i="8"/>
  <c r="J63" i="8"/>
  <c r="I67" i="8"/>
  <c r="L67" i="8" s="1"/>
  <c r="I21" i="36"/>
  <c r="I25" i="8"/>
  <c r="L25" i="8" s="1"/>
  <c r="K25" i="8"/>
  <c r="D26" i="36"/>
  <c r="K26" i="36" s="1"/>
  <c r="F61" i="36"/>
  <c r="I37" i="36"/>
  <c r="K37" i="36"/>
  <c r="I32" i="60"/>
  <c r="G84" i="140"/>
  <c r="J84" i="60" s="1"/>
  <c r="H82" i="257" s="1"/>
  <c r="C39" i="10"/>
  <c r="G45" i="140"/>
  <c r="J45" i="60" s="1"/>
  <c r="E45" i="60" s="1"/>
  <c r="G12" i="140"/>
  <c r="J12" i="60" s="1"/>
  <c r="D43" i="140"/>
  <c r="C43" i="140" s="1"/>
  <c r="B43" i="140" s="1"/>
  <c r="J54" i="8"/>
  <c r="K54" i="8"/>
  <c r="I54" i="8"/>
  <c r="D30" i="140"/>
  <c r="C30" i="140" s="1"/>
  <c r="B30" i="140" s="1"/>
  <c r="D22" i="140"/>
  <c r="C22" i="140" s="1"/>
  <c r="B22" i="140" s="1"/>
  <c r="I22" i="257"/>
  <c r="I27" i="257"/>
  <c r="J30" i="8"/>
  <c r="J31" i="8"/>
  <c r="J38" i="8"/>
  <c r="I22" i="8"/>
  <c r="L22" i="8" s="1"/>
  <c r="K86" i="8"/>
  <c r="I86" i="8"/>
  <c r="L86" i="8" s="1"/>
  <c r="C48" i="10"/>
  <c r="D14" i="140"/>
  <c r="C14" i="140" s="1"/>
  <c r="B14" i="140" s="1"/>
  <c r="C31" i="10"/>
  <c r="C13" i="10"/>
  <c r="G36" i="140"/>
  <c r="J36" i="60" s="1"/>
  <c r="D28" i="140"/>
  <c r="C28" i="140" s="1"/>
  <c r="B28" i="140" s="1"/>
  <c r="D38" i="140"/>
  <c r="C38" i="140" s="1"/>
  <c r="B38" i="140" s="1"/>
  <c r="G44" i="140"/>
  <c r="J44" i="60" s="1"/>
  <c r="G15" i="140"/>
  <c r="J15" i="60" s="1"/>
  <c r="E15" i="60" s="1"/>
  <c r="I41" i="36"/>
  <c r="I79" i="8"/>
  <c r="L79" i="8" s="1"/>
  <c r="K79" i="8"/>
  <c r="K76" i="8"/>
  <c r="I76" i="8"/>
  <c r="L76" i="8" s="1"/>
  <c r="I68" i="8"/>
  <c r="L68" i="8" s="1"/>
  <c r="J68" i="8"/>
  <c r="K36" i="36"/>
  <c r="G20" i="140"/>
  <c r="J20" i="60" s="1"/>
  <c r="H18" i="257" s="1"/>
  <c r="G46" i="140"/>
  <c r="J46" i="60" s="1"/>
  <c r="C38" i="10"/>
  <c r="J83" i="8"/>
  <c r="E35" i="140"/>
  <c r="K21" i="36"/>
  <c r="J64" i="8"/>
  <c r="I64" i="8"/>
  <c r="L64" i="8" s="1"/>
  <c r="C26" i="10"/>
  <c r="G39" i="140"/>
  <c r="J39" i="60" s="1"/>
  <c r="E39" i="60" s="1"/>
  <c r="D17" i="140"/>
  <c r="C17" i="140" s="1"/>
  <c r="B17" i="140" s="1"/>
  <c r="D13" i="140"/>
  <c r="C13" i="140" s="1"/>
  <c r="B13" i="140" s="1"/>
  <c r="M13" i="140" s="1"/>
  <c r="D34" i="140"/>
  <c r="C34" i="140" s="1"/>
  <c r="B34" i="140" s="1"/>
  <c r="M34" i="140" s="1"/>
  <c r="I11" i="257"/>
  <c r="I32" i="8"/>
  <c r="L32" i="8" s="1"/>
  <c r="I57" i="8"/>
  <c r="L57" i="8" s="1"/>
  <c r="K44" i="36"/>
  <c r="I88" i="8"/>
  <c r="L88" i="8" s="1"/>
  <c r="I34" i="36"/>
  <c r="K16" i="36"/>
  <c r="J76" i="8"/>
  <c r="K30" i="36"/>
  <c r="I24" i="36"/>
  <c r="K24" i="36"/>
  <c r="J25" i="8"/>
  <c r="I31" i="36"/>
  <c r="K12" i="8"/>
  <c r="D47" i="36"/>
  <c r="C12" i="10"/>
  <c r="I65" i="8"/>
  <c r="L65" i="8" s="1"/>
  <c r="D18" i="140"/>
  <c r="I36" i="257"/>
  <c r="M38" i="140"/>
  <c r="D44" i="140"/>
  <c r="D23" i="140"/>
  <c r="C23" i="140" s="1"/>
  <c r="B23" i="140" s="1"/>
  <c r="J24" i="8"/>
  <c r="K70" i="8"/>
  <c r="I70" i="8"/>
  <c r="L70" i="8" s="1"/>
  <c r="I12" i="36"/>
  <c r="K12" i="36"/>
  <c r="K59" i="8"/>
  <c r="J59" i="8"/>
  <c r="I59" i="8"/>
  <c r="L59" i="8" s="1"/>
  <c r="J16" i="8"/>
  <c r="K27" i="36"/>
  <c r="K71" i="8"/>
  <c r="I71" i="8"/>
  <c r="L71" i="8" s="1"/>
  <c r="J71" i="8"/>
  <c r="K69" i="8"/>
  <c r="I69" i="8"/>
  <c r="L69" i="8" s="1"/>
  <c r="I19" i="36"/>
  <c r="K11" i="36"/>
  <c r="K17" i="36"/>
  <c r="I24" i="257"/>
  <c r="I40" i="257"/>
  <c r="I37" i="257"/>
  <c r="H47" i="21"/>
  <c r="D15" i="140"/>
  <c r="C85" i="9"/>
  <c r="G85" i="9"/>
  <c r="C80" i="9"/>
  <c r="G80" i="9"/>
  <c r="C73" i="9"/>
  <c r="G73" i="9"/>
  <c r="C69" i="9"/>
  <c r="G69" i="9"/>
  <c r="C65" i="9"/>
  <c r="G65" i="9"/>
  <c r="C61" i="9"/>
  <c r="G61" i="9"/>
  <c r="J24" i="13"/>
  <c r="G27" i="99"/>
  <c r="K27" i="99"/>
  <c r="H27" i="99"/>
  <c r="J33" i="13"/>
  <c r="F33" i="19" s="1"/>
  <c r="L15" i="99"/>
  <c r="I27" i="99"/>
  <c r="C86" i="9"/>
  <c r="G86" i="9"/>
  <c r="C81" i="9"/>
  <c r="G81" i="9"/>
  <c r="G75" i="9"/>
  <c r="C75" i="9"/>
  <c r="C70" i="9"/>
  <c r="G70" i="9"/>
  <c r="C66" i="9"/>
  <c r="G66" i="9"/>
  <c r="C62" i="9"/>
  <c r="G62" i="9"/>
  <c r="C58" i="9"/>
  <c r="G58" i="9"/>
  <c r="I30" i="19"/>
  <c r="J30" i="261" s="1"/>
  <c r="J30" i="19"/>
  <c r="L91" i="21"/>
  <c r="C57" i="9"/>
  <c r="G57" i="9"/>
  <c r="C56" i="9"/>
  <c r="G56" i="9"/>
  <c r="C55" i="9"/>
  <c r="G55" i="9"/>
  <c r="C88" i="9"/>
  <c r="G88" i="9"/>
  <c r="C84" i="9"/>
  <c r="G84" i="9"/>
  <c r="G79" i="9"/>
  <c r="C79" i="9"/>
  <c r="C72" i="9"/>
  <c r="G72" i="9"/>
  <c r="C68" i="9"/>
  <c r="G68" i="9"/>
  <c r="C64" i="9"/>
  <c r="G64" i="9"/>
  <c r="C60" i="9"/>
  <c r="G60" i="9"/>
  <c r="F36" i="9"/>
  <c r="H24" i="19"/>
  <c r="F20" i="19"/>
  <c r="E20" i="19" s="1"/>
  <c r="C20" i="261" s="1"/>
  <c r="B9" i="8"/>
  <c r="F19" i="9"/>
  <c r="H86" i="59"/>
  <c r="I86" i="59" s="1"/>
  <c r="H73" i="59"/>
  <c r="I73" i="59" s="1"/>
  <c r="H68" i="59"/>
  <c r="I68" i="59" s="1"/>
  <c r="H56" i="59"/>
  <c r="I56" i="59" s="1"/>
  <c r="R9" i="59"/>
  <c r="H54" i="59"/>
  <c r="B45" i="8"/>
  <c r="B28" i="36"/>
  <c r="K12" i="59"/>
  <c r="K9" i="59" s="1"/>
  <c r="I9" i="59"/>
  <c r="H85" i="59"/>
  <c r="I85" i="59" s="1"/>
  <c r="H71" i="59"/>
  <c r="I71" i="59" s="1"/>
  <c r="H65" i="59"/>
  <c r="I65" i="59"/>
  <c r="C65" i="21" s="1"/>
  <c r="C101" i="8"/>
  <c r="C46" i="8" s="1"/>
  <c r="D66" i="9"/>
  <c r="G87" i="9"/>
  <c r="C87" i="9"/>
  <c r="C82" i="9"/>
  <c r="G82" i="9"/>
  <c r="C76" i="9"/>
  <c r="G76" i="9"/>
  <c r="C71" i="9"/>
  <c r="G71" i="9"/>
  <c r="C67" i="9"/>
  <c r="G67" i="9"/>
  <c r="C63" i="9"/>
  <c r="G63" i="9"/>
  <c r="F16" i="9"/>
  <c r="F15" i="9"/>
  <c r="B33" i="9"/>
  <c r="F82" i="21"/>
  <c r="D82" i="21" s="1"/>
  <c r="C12" i="23"/>
  <c r="E12" i="23"/>
  <c r="I12" i="13" s="1"/>
  <c r="D47" i="9"/>
  <c r="E31" i="8"/>
  <c r="E29" i="8"/>
  <c r="E11" i="8"/>
  <c r="D36" i="23"/>
  <c r="C36" i="13" s="1"/>
  <c r="H61" i="59"/>
  <c r="I61" i="59" s="1"/>
  <c r="J80" i="21"/>
  <c r="M81" i="15" s="1"/>
  <c r="P72" i="59"/>
  <c r="R72" i="59" s="1"/>
  <c r="G72" i="21" s="1"/>
  <c r="G72" i="59"/>
  <c r="I72" i="59" s="1"/>
  <c r="H84" i="59"/>
  <c r="I84" i="59" s="1"/>
  <c r="H70" i="59"/>
  <c r="I70" i="59"/>
  <c r="H64" i="59"/>
  <c r="I64" i="59" s="1"/>
  <c r="C87" i="21"/>
  <c r="J68" i="21"/>
  <c r="M68" i="15" s="1"/>
  <c r="H75" i="59"/>
  <c r="I75" i="59" s="1"/>
  <c r="C75" i="21" s="1"/>
  <c r="H69" i="59"/>
  <c r="I69" i="59" s="1"/>
  <c r="H63" i="59"/>
  <c r="I63" i="59" s="1"/>
  <c r="G54" i="9"/>
  <c r="D54" i="9" s="1"/>
  <c r="H84" i="21"/>
  <c r="J61" i="21"/>
  <c r="M61" i="15" s="1"/>
  <c r="F89" i="21"/>
  <c r="I89" i="13" s="1"/>
  <c r="H83" i="59"/>
  <c r="I83" i="59" s="1"/>
  <c r="I81" i="59"/>
  <c r="C81" i="21"/>
  <c r="H78" i="59"/>
  <c r="I78" i="59" s="1"/>
  <c r="H67" i="59"/>
  <c r="I67" i="59" s="1"/>
  <c r="J88" i="21"/>
  <c r="M89" i="15" s="1"/>
  <c r="I57" i="59"/>
  <c r="C57" i="21" s="1"/>
  <c r="F90" i="59"/>
  <c r="R82" i="59"/>
  <c r="G82" i="21" s="1"/>
  <c r="Q77" i="59"/>
  <c r="R77" i="59" s="1"/>
  <c r="G77" i="21" s="1"/>
  <c r="D39" i="23"/>
  <c r="H80" i="59"/>
  <c r="I80" i="59" s="1"/>
  <c r="H60" i="59"/>
  <c r="I60" i="59" s="1"/>
  <c r="J88" i="59"/>
  <c r="J53" i="59" s="1"/>
  <c r="J220" i="59" s="1"/>
  <c r="I62" i="59"/>
  <c r="F53" i="59"/>
  <c r="E58" i="59"/>
  <c r="Q85" i="59"/>
  <c r="R85" i="59" s="1"/>
  <c r="G85" i="21" s="1"/>
  <c r="R83" i="59"/>
  <c r="G83" i="21" s="1"/>
  <c r="O9" i="59"/>
  <c r="D79" i="21"/>
  <c r="E81" i="140" s="1"/>
  <c r="B46" i="9"/>
  <c r="H69" i="21"/>
  <c r="H54" i="21"/>
  <c r="H89" i="21"/>
  <c r="F45" i="59"/>
  <c r="Q75" i="59"/>
  <c r="R75" i="59" s="1"/>
  <c r="G75" i="21" s="1"/>
  <c r="I76" i="59"/>
  <c r="R62" i="59"/>
  <c r="G62" i="21" s="1"/>
  <c r="Q59" i="59"/>
  <c r="R59" i="59" s="1"/>
  <c r="G59" i="21" s="1"/>
  <c r="Q57" i="59"/>
  <c r="R57" i="59" s="1"/>
  <c r="G57" i="21" s="1"/>
  <c r="F49" i="21"/>
  <c r="C40" i="23"/>
  <c r="E39" i="23"/>
  <c r="C39" i="23"/>
  <c r="I36" i="23"/>
  <c r="I35" i="23"/>
  <c r="H66" i="59"/>
  <c r="I66" i="59" s="1"/>
  <c r="I59" i="59"/>
  <c r="R76" i="59"/>
  <c r="G76" i="21" s="1"/>
  <c r="R70" i="59"/>
  <c r="G70" i="21" s="1"/>
  <c r="Q66" i="59"/>
  <c r="R66" i="59" s="1"/>
  <c r="G66" i="21" s="1"/>
  <c r="F52" i="21"/>
  <c r="E54" i="140" s="1"/>
  <c r="F48" i="21"/>
  <c r="H32" i="23"/>
  <c r="H36" i="23" s="1"/>
  <c r="R81" i="59"/>
  <c r="G81" i="21" s="1"/>
  <c r="R71" i="59"/>
  <c r="G71" i="21" s="1"/>
  <c r="R64" i="59"/>
  <c r="G64" i="21" s="1"/>
  <c r="Q55" i="59"/>
  <c r="R55" i="59" s="1"/>
  <c r="G55" i="21" s="1"/>
  <c r="O67" i="59"/>
  <c r="O53" i="59" s="1"/>
  <c r="R67" i="59"/>
  <c r="G67" i="21" s="1"/>
  <c r="O90" i="59"/>
  <c r="D43" i="21"/>
  <c r="I39" i="23"/>
  <c r="E36" i="23"/>
  <c r="I36" i="13" s="1"/>
  <c r="C36" i="23"/>
  <c r="F39" i="21"/>
  <c r="H52" i="60" l="1"/>
  <c r="Q52" i="60" s="1"/>
  <c r="D52" i="140"/>
  <c r="C52" i="140" s="1"/>
  <c r="B52" i="140" s="1"/>
  <c r="B56" i="15"/>
  <c r="E56" i="24"/>
  <c r="H39" i="257"/>
  <c r="E41" i="60"/>
  <c r="C43" i="60"/>
  <c r="P43" i="60"/>
  <c r="O49" i="60"/>
  <c r="O47" i="257"/>
  <c r="E13" i="99"/>
  <c r="C29" i="12"/>
  <c r="E61" i="24"/>
  <c r="B61" i="15"/>
  <c r="D21" i="140"/>
  <c r="C21" i="140" s="1"/>
  <c r="B21" i="140" s="1"/>
  <c r="H21" i="60"/>
  <c r="Q21" i="60" s="1"/>
  <c r="V21" i="21"/>
  <c r="Q23" i="60"/>
  <c r="G72" i="24"/>
  <c r="J72" i="24" s="1"/>
  <c r="X72" i="21"/>
  <c r="E91" i="60"/>
  <c r="Q42" i="60"/>
  <c r="E42" i="13"/>
  <c r="T42" i="13" s="1"/>
  <c r="C55" i="21"/>
  <c r="K55" i="59"/>
  <c r="G78" i="24"/>
  <c r="J78" i="24" s="1"/>
  <c r="X78" i="21"/>
  <c r="C51" i="60"/>
  <c r="P51" i="60"/>
  <c r="L14" i="98"/>
  <c r="O15" i="36"/>
  <c r="I39" i="8"/>
  <c r="L39" i="8" s="1"/>
  <c r="Q90" i="59"/>
  <c r="Q17" i="60"/>
  <c r="V15" i="21"/>
  <c r="E17" i="60"/>
  <c r="G50" i="24"/>
  <c r="J50" i="24" s="1"/>
  <c r="X50" i="21"/>
  <c r="I43" i="13"/>
  <c r="M43" i="14"/>
  <c r="H49" i="13"/>
  <c r="G66" i="24"/>
  <c r="X66" i="21"/>
  <c r="X74" i="21"/>
  <c r="G74" i="24"/>
  <c r="J74" i="24" s="1"/>
  <c r="E32" i="60"/>
  <c r="I84" i="8"/>
  <c r="L84" i="8" s="1"/>
  <c r="C48" i="140"/>
  <c r="B48" i="140" s="1"/>
  <c r="J61" i="24"/>
  <c r="H90" i="59"/>
  <c r="J66" i="24"/>
  <c r="G45" i="13"/>
  <c r="E17" i="12"/>
  <c r="I20" i="9"/>
  <c r="D31" i="12"/>
  <c r="G31" i="12" s="1"/>
  <c r="N31" i="12" s="1"/>
  <c r="T43" i="21"/>
  <c r="K41" i="13"/>
  <c r="H56" i="21"/>
  <c r="C56" i="15" s="1"/>
  <c r="H52" i="257"/>
  <c r="H45" i="257" s="1"/>
  <c r="E54" i="60"/>
  <c r="X83" i="21"/>
  <c r="G83" i="24"/>
  <c r="J83" i="24" s="1"/>
  <c r="G71" i="24"/>
  <c r="J71" i="24" s="1"/>
  <c r="X71" i="21"/>
  <c r="Q9" i="59"/>
  <c r="D20" i="140"/>
  <c r="H20" i="60"/>
  <c r="Q20" i="60" s="1"/>
  <c r="E45" i="140"/>
  <c r="K57" i="8"/>
  <c r="B41" i="13"/>
  <c r="D40" i="140"/>
  <c r="C40" i="140" s="1"/>
  <c r="B40" i="140" s="1"/>
  <c r="M40" i="140" s="1"/>
  <c r="N40" i="140" s="1"/>
  <c r="I18" i="36"/>
  <c r="J18" i="36" s="1"/>
  <c r="L34" i="98"/>
  <c r="F17" i="9"/>
  <c r="F20" i="9"/>
  <c r="C18" i="140"/>
  <c r="B18" i="140" s="1"/>
  <c r="L16" i="257" s="1"/>
  <c r="I56" i="8"/>
  <c r="L56" i="8" s="1"/>
  <c r="H16" i="257"/>
  <c r="V44" i="167"/>
  <c r="T16" i="13"/>
  <c r="H9" i="59"/>
  <c r="P24" i="36"/>
  <c r="J84" i="8"/>
  <c r="F45" i="13"/>
  <c r="H50" i="13"/>
  <c r="X59" i="21"/>
  <c r="T15" i="13"/>
  <c r="O21" i="60"/>
  <c r="J74" i="21"/>
  <c r="M74" i="15" s="1"/>
  <c r="B74" i="15"/>
  <c r="E74" i="24"/>
  <c r="G88" i="24"/>
  <c r="J88" i="24" s="1"/>
  <c r="X88" i="21"/>
  <c r="G55" i="24"/>
  <c r="J55" i="24" s="1"/>
  <c r="X55" i="21"/>
  <c r="P18" i="60"/>
  <c r="C18" i="60"/>
  <c r="C35" i="13"/>
  <c r="D35" i="13"/>
  <c r="P16" i="60"/>
  <c r="C16" i="60"/>
  <c r="C89" i="100"/>
  <c r="E28" i="60"/>
  <c r="I50" i="13"/>
  <c r="M50" i="14"/>
  <c r="C50" i="24"/>
  <c r="I50" i="24" s="1"/>
  <c r="S50" i="21"/>
  <c r="C31" i="13"/>
  <c r="K31" i="13" s="1"/>
  <c r="E91" i="21"/>
  <c r="S31" i="21"/>
  <c r="H38" i="257"/>
  <c r="E40" i="60"/>
  <c r="C77" i="21"/>
  <c r="G79" i="60" s="1"/>
  <c r="V77" i="21" s="1"/>
  <c r="K77" i="59"/>
  <c r="C23" i="60"/>
  <c r="P23" i="60"/>
  <c r="H78" i="21"/>
  <c r="X76" i="21"/>
  <c r="G76" i="24"/>
  <c r="J76" i="24" s="1"/>
  <c r="E38" i="60"/>
  <c r="H80" i="21"/>
  <c r="H80" i="13" s="1"/>
  <c r="F7" i="187"/>
  <c r="N70" i="261"/>
  <c r="N73" i="261"/>
  <c r="N69" i="261"/>
  <c r="N75" i="261"/>
  <c r="N71" i="261"/>
  <c r="N68" i="261"/>
  <c r="N54" i="261"/>
  <c r="D24" i="140"/>
  <c r="C24" i="140" s="1"/>
  <c r="B24" i="140" s="1"/>
  <c r="H24" i="60"/>
  <c r="Q24" i="60" s="1"/>
  <c r="I51" i="13"/>
  <c r="C51" i="24"/>
  <c r="I51" i="24" s="1"/>
  <c r="S51" i="21"/>
  <c r="M51" i="14"/>
  <c r="I47" i="13"/>
  <c r="C47" i="24"/>
  <c r="S47" i="21"/>
  <c r="M47" i="14"/>
  <c r="H35" i="257"/>
  <c r="E37" i="60"/>
  <c r="C31" i="140"/>
  <c r="B31" i="140" s="1"/>
  <c r="Q15" i="60"/>
  <c r="V13" i="21"/>
  <c r="C35" i="23"/>
  <c r="F32" i="13"/>
  <c r="J32" i="13" s="1"/>
  <c r="F32" i="19" s="1"/>
  <c r="R32" i="23"/>
  <c r="G32" i="13"/>
  <c r="H32" i="13" s="1"/>
  <c r="D33" i="140"/>
  <c r="C33" i="140" s="1"/>
  <c r="B33" i="140" s="1"/>
  <c r="M33" i="140" s="1"/>
  <c r="P33" i="140" s="1"/>
  <c r="D91" i="100"/>
  <c r="H22" i="257"/>
  <c r="E24" i="60"/>
  <c r="J63" i="21"/>
  <c r="M63" i="15" s="1"/>
  <c r="B63" i="15"/>
  <c r="H86" i="13"/>
  <c r="C86" i="15"/>
  <c r="T86" i="21"/>
  <c r="F86" i="24"/>
  <c r="H11" i="257"/>
  <c r="E13" i="60"/>
  <c r="E81" i="60"/>
  <c r="C81" i="60" s="1"/>
  <c r="O79" i="257" s="1"/>
  <c r="Q79" i="257" s="1"/>
  <c r="H79" i="257"/>
  <c r="F45" i="140"/>
  <c r="I45" i="60" s="1"/>
  <c r="I91" i="21"/>
  <c r="J60" i="21"/>
  <c r="M60" i="15" s="1"/>
  <c r="B60" i="15"/>
  <c r="E60" i="24"/>
  <c r="H47" i="13"/>
  <c r="H45" i="13" s="1"/>
  <c r="H21" i="257"/>
  <c r="H51" i="13"/>
  <c r="E29" i="60"/>
  <c r="V27" i="21"/>
  <c r="G64" i="24"/>
  <c r="J64" i="24" s="1"/>
  <c r="X64" i="21"/>
  <c r="X51" i="21"/>
  <c r="G51" i="24"/>
  <c r="J51" i="24" s="1"/>
  <c r="AE69" i="184"/>
  <c r="B11" i="185" s="1"/>
  <c r="B10" i="185"/>
  <c r="C27" i="140"/>
  <c r="B27" i="140" s="1"/>
  <c r="H37" i="257"/>
  <c r="X68" i="21"/>
  <c r="R44" i="167"/>
  <c r="D36" i="13"/>
  <c r="E36" i="13" s="1"/>
  <c r="O49" i="36"/>
  <c r="K18" i="36"/>
  <c r="G90" i="60"/>
  <c r="E90" i="60" s="1"/>
  <c r="B88" i="24"/>
  <c r="H88" i="24" s="1"/>
  <c r="B88" i="14"/>
  <c r="U88" i="21" s="1"/>
  <c r="H58" i="13"/>
  <c r="F58" i="24"/>
  <c r="T58" i="21"/>
  <c r="C58" i="15"/>
  <c r="C74" i="21"/>
  <c r="K74" i="59"/>
  <c r="J73" i="21"/>
  <c r="E73" i="24"/>
  <c r="B73" i="15"/>
  <c r="E53" i="140"/>
  <c r="C19" i="140"/>
  <c r="B19" i="140" s="1"/>
  <c r="H56" i="13"/>
  <c r="F56" i="24"/>
  <c r="L59" i="54"/>
  <c r="I99" i="54"/>
  <c r="L99" i="54" s="1"/>
  <c r="E44" i="13"/>
  <c r="T44" i="13"/>
  <c r="I44" i="17"/>
  <c r="D69" i="9"/>
  <c r="I21" i="8"/>
  <c r="L21" i="8" s="1"/>
  <c r="Q17" i="9"/>
  <c r="E31" i="99"/>
  <c r="D31" i="99" s="1"/>
  <c r="E14" i="99"/>
  <c r="P19" i="99"/>
  <c r="E28" i="99"/>
  <c r="K17" i="9"/>
  <c r="D72" i="9"/>
  <c r="Q42" i="140"/>
  <c r="K26" i="8"/>
  <c r="I34" i="17"/>
  <c r="E40" i="12"/>
  <c r="P11" i="36"/>
  <c r="K21" i="8"/>
  <c r="K37" i="8"/>
  <c r="I22" i="36"/>
  <c r="J22" i="36" s="1"/>
  <c r="M43" i="13"/>
  <c r="C18" i="12"/>
  <c r="K43" i="9"/>
  <c r="I30" i="9"/>
  <c r="J30" i="9" s="1"/>
  <c r="P31" i="98"/>
  <c r="F21" i="9"/>
  <c r="C21" i="127" s="1"/>
  <c r="D62" i="9"/>
  <c r="J26" i="8"/>
  <c r="I30" i="8"/>
  <c r="L30" i="8" s="1"/>
  <c r="I26" i="8"/>
  <c r="L26" i="8" s="1"/>
  <c r="C26" i="127"/>
  <c r="F30" i="9"/>
  <c r="B30" i="10" s="1"/>
  <c r="F30" i="10" s="1"/>
  <c r="K30" i="10" s="1"/>
  <c r="K30" i="9"/>
  <c r="G30" i="25"/>
  <c r="K30" i="12" s="1"/>
  <c r="E30" i="12" s="1"/>
  <c r="I43" i="9"/>
  <c r="I35" i="36"/>
  <c r="J85" i="8"/>
  <c r="H22" i="36"/>
  <c r="G10" i="8"/>
  <c r="F10" i="8" s="1"/>
  <c r="E101" i="8"/>
  <c r="E21" i="12"/>
  <c r="E43" i="12"/>
  <c r="B43" i="13" s="1"/>
  <c r="H35" i="36"/>
  <c r="B22" i="9"/>
  <c r="P22" i="8"/>
  <c r="G83" i="12"/>
  <c r="N83" i="12" s="1"/>
  <c r="P21" i="36"/>
  <c r="C10" i="128"/>
  <c r="Q30" i="9"/>
  <c r="W16" i="99"/>
  <c r="P27" i="99"/>
  <c r="L10" i="99"/>
  <c r="P9" i="99"/>
  <c r="J62" i="8"/>
  <c r="Q62" i="8" s="1"/>
  <c r="F35" i="36"/>
  <c r="L35" i="36" s="1"/>
  <c r="C47" i="154"/>
  <c r="P34" i="36"/>
  <c r="I97" i="116"/>
  <c r="C31" i="17"/>
  <c r="B37" i="9"/>
  <c r="W34" i="98"/>
  <c r="P21" i="99"/>
  <c r="W10" i="99"/>
  <c r="E32" i="99"/>
  <c r="E10" i="99"/>
  <c r="D10" i="99" s="1"/>
  <c r="W11" i="99"/>
  <c r="I18" i="8"/>
  <c r="L18" i="8" s="1"/>
  <c r="K35" i="36"/>
  <c r="I45" i="17"/>
  <c r="I18" i="17"/>
  <c r="Q20" i="9"/>
  <c r="G20" i="25"/>
  <c r="K20" i="25" s="1"/>
  <c r="I25" i="261"/>
  <c r="I51" i="261"/>
  <c r="I49" i="261"/>
  <c r="I26" i="261"/>
  <c r="I15" i="261"/>
  <c r="I35" i="261"/>
  <c r="I33" i="261"/>
  <c r="I28" i="261"/>
  <c r="I45" i="261"/>
  <c r="I48" i="261"/>
  <c r="I39" i="261"/>
  <c r="I40" i="261"/>
  <c r="I52" i="261"/>
  <c r="I41" i="261"/>
  <c r="I43" i="261"/>
  <c r="I46" i="261"/>
  <c r="I19" i="261"/>
  <c r="I31" i="261"/>
  <c r="I47" i="261"/>
  <c r="I22" i="261"/>
  <c r="I29" i="261"/>
  <c r="M26" i="261"/>
  <c r="R78" i="8"/>
  <c r="N78" i="8"/>
  <c r="H67" i="261"/>
  <c r="H72" i="261"/>
  <c r="H55" i="261"/>
  <c r="J24" i="17"/>
  <c r="J24" i="261"/>
  <c r="L28" i="9"/>
  <c r="C28" i="127"/>
  <c r="G42" i="25"/>
  <c r="Q42" i="9"/>
  <c r="K42" i="9"/>
  <c r="F22" i="9"/>
  <c r="B22" i="10" s="1"/>
  <c r="K79" i="261"/>
  <c r="J79" i="261"/>
  <c r="H79" i="261"/>
  <c r="H81" i="261"/>
  <c r="H85" i="261"/>
  <c r="J66" i="8"/>
  <c r="Q66" i="8" s="1"/>
  <c r="K72" i="8"/>
  <c r="M72" i="8" s="1"/>
  <c r="R72" i="8" s="1"/>
  <c r="I73" i="8"/>
  <c r="L73" i="8" s="1"/>
  <c r="E51" i="99"/>
  <c r="W17" i="98"/>
  <c r="L28" i="98"/>
  <c r="L18" i="99"/>
  <c r="E46" i="99"/>
  <c r="W31" i="99"/>
  <c r="E39" i="99"/>
  <c r="F18" i="36"/>
  <c r="L18" i="36" s="1"/>
  <c r="I28" i="17"/>
  <c r="I14" i="261"/>
  <c r="M40" i="13"/>
  <c r="I31" i="8"/>
  <c r="L31" i="8" s="1"/>
  <c r="H63" i="261"/>
  <c r="H71" i="261"/>
  <c r="H82" i="261"/>
  <c r="D60" i="9"/>
  <c r="H60" i="261"/>
  <c r="H68" i="261"/>
  <c r="H88" i="261"/>
  <c r="H56" i="261"/>
  <c r="K30" i="17"/>
  <c r="K30" i="261"/>
  <c r="I30" i="261" s="1"/>
  <c r="H58" i="261"/>
  <c r="H75" i="261"/>
  <c r="I12" i="8"/>
  <c r="L12" i="8" s="1"/>
  <c r="Q12" i="8" s="1"/>
  <c r="J22" i="8"/>
  <c r="Q22" i="8" s="1"/>
  <c r="I66" i="8"/>
  <c r="L66" i="8" s="1"/>
  <c r="G46" i="36"/>
  <c r="G45" i="36" s="1"/>
  <c r="I36" i="8"/>
  <c r="L36" i="8" s="1"/>
  <c r="K22" i="9"/>
  <c r="I72" i="8"/>
  <c r="L72" i="8" s="1"/>
  <c r="I85" i="8"/>
  <c r="L85" i="8" s="1"/>
  <c r="F77" i="9"/>
  <c r="E37" i="12"/>
  <c r="H37" i="12" s="1"/>
  <c r="O37" i="12" s="1"/>
  <c r="Q22" i="9"/>
  <c r="F43" i="9"/>
  <c r="F40" i="9"/>
  <c r="P17" i="99"/>
  <c r="L37" i="98"/>
  <c r="W34" i="99"/>
  <c r="L34" i="99"/>
  <c r="I51" i="8"/>
  <c r="L51" i="8" s="1"/>
  <c r="H32" i="36"/>
  <c r="E103" i="9"/>
  <c r="E89" i="9" s="1"/>
  <c r="M12" i="13"/>
  <c r="C11" i="154"/>
  <c r="I42" i="9"/>
  <c r="J42" i="9" s="1"/>
  <c r="C42" i="127"/>
  <c r="P41" i="36"/>
  <c r="L41" i="36"/>
  <c r="I11" i="261"/>
  <c r="I20" i="261"/>
  <c r="I17" i="261"/>
  <c r="I18" i="261"/>
  <c r="I38" i="261"/>
  <c r="M42" i="13"/>
  <c r="G27" i="25"/>
  <c r="F27" i="9"/>
  <c r="K27" i="9"/>
  <c r="I17" i="9"/>
  <c r="J17" i="9" s="1"/>
  <c r="G17" i="25"/>
  <c r="K17" i="25" s="1"/>
  <c r="H76" i="261"/>
  <c r="H64" i="261"/>
  <c r="H84" i="261"/>
  <c r="H57" i="261"/>
  <c r="G42" i="17"/>
  <c r="L42" i="17" s="1"/>
  <c r="T42" i="17" s="1"/>
  <c r="G42" i="261"/>
  <c r="I40" i="9"/>
  <c r="J40" i="9" s="1"/>
  <c r="Q40" i="9"/>
  <c r="G40" i="25"/>
  <c r="K40" i="25" s="1"/>
  <c r="H62" i="261"/>
  <c r="H70" i="261"/>
  <c r="H65" i="261"/>
  <c r="H73" i="261"/>
  <c r="I19" i="8"/>
  <c r="L19" i="8" s="1"/>
  <c r="M31" i="17"/>
  <c r="L10" i="98"/>
  <c r="E36" i="99"/>
  <c r="E14" i="98"/>
  <c r="D14" i="98" s="1"/>
  <c r="P11" i="99"/>
  <c r="O11" i="99" s="1"/>
  <c r="E35" i="99"/>
  <c r="I9" i="10"/>
  <c r="K49" i="36"/>
  <c r="I44" i="261"/>
  <c r="I21" i="261"/>
  <c r="C35" i="127"/>
  <c r="L35" i="9"/>
  <c r="M31" i="261"/>
  <c r="H87" i="261"/>
  <c r="K87" i="261"/>
  <c r="J87" i="261"/>
  <c r="I87" i="261"/>
  <c r="M20" i="261"/>
  <c r="D55" i="9"/>
  <c r="H66" i="261"/>
  <c r="D86" i="9"/>
  <c r="G86" i="25" s="1"/>
  <c r="H86" i="261"/>
  <c r="H61" i="261"/>
  <c r="H69" i="261"/>
  <c r="H80" i="261"/>
  <c r="J56" i="8"/>
  <c r="J21" i="8"/>
  <c r="I49" i="36"/>
  <c r="J49" i="36" s="1"/>
  <c r="B28" i="10"/>
  <c r="F28" i="10" s="1"/>
  <c r="K28" i="10" s="1"/>
  <c r="K40" i="9"/>
  <c r="E35" i="98"/>
  <c r="L36" i="98"/>
  <c r="L20" i="98"/>
  <c r="P16" i="99"/>
  <c r="E9" i="99"/>
  <c r="W42" i="99"/>
  <c r="L20" i="99"/>
  <c r="H51" i="36"/>
  <c r="K32" i="17"/>
  <c r="K32" i="261"/>
  <c r="I32" i="261" s="1"/>
  <c r="K41" i="8"/>
  <c r="I41" i="8"/>
  <c r="L41" i="8" s="1"/>
  <c r="B42" i="10"/>
  <c r="C42" i="19" s="1"/>
  <c r="B42" i="19" s="1"/>
  <c r="K39" i="8"/>
  <c r="Q39" i="8" s="1"/>
  <c r="K24" i="17"/>
  <c r="K24" i="261"/>
  <c r="I37" i="261"/>
  <c r="I16" i="261"/>
  <c r="I36" i="261"/>
  <c r="I50" i="261"/>
  <c r="B31" i="13"/>
  <c r="I34" i="261"/>
  <c r="I42" i="261"/>
  <c r="D83" i="9"/>
  <c r="B83" i="12"/>
  <c r="Q27" i="9"/>
  <c r="I21" i="9"/>
  <c r="J21" i="9" s="1"/>
  <c r="G21" i="25"/>
  <c r="K21" i="25" s="1"/>
  <c r="M21" i="13"/>
  <c r="Q21" i="9"/>
  <c r="G29" i="25"/>
  <c r="K29" i="25" s="1"/>
  <c r="Q29" i="9"/>
  <c r="H18" i="36"/>
  <c r="D73" i="9"/>
  <c r="M73" i="13" s="1"/>
  <c r="E25" i="98"/>
  <c r="P21" i="98"/>
  <c r="P49" i="98"/>
  <c r="P43" i="99"/>
  <c r="O43" i="99" s="1"/>
  <c r="E19" i="98"/>
  <c r="E30" i="98"/>
  <c r="P32" i="99"/>
  <c r="P41" i="99"/>
  <c r="P35" i="99"/>
  <c r="O35" i="99" s="1"/>
  <c r="P33" i="99"/>
  <c r="P28" i="99"/>
  <c r="P25" i="99"/>
  <c r="P13" i="99"/>
  <c r="P51" i="99"/>
  <c r="L23" i="99"/>
  <c r="E29" i="99"/>
  <c r="E45" i="99"/>
  <c r="P40" i="99"/>
  <c r="P37" i="99"/>
  <c r="P29" i="99"/>
  <c r="O29" i="99" s="1"/>
  <c r="P20" i="99"/>
  <c r="P50" i="99"/>
  <c r="E43" i="99"/>
  <c r="E23" i="99"/>
  <c r="E18" i="99"/>
  <c r="D18" i="99" s="1"/>
  <c r="P36" i="99"/>
  <c r="O36" i="99" s="1"/>
  <c r="P12" i="99"/>
  <c r="E40" i="99"/>
  <c r="E37" i="99"/>
  <c r="E26" i="99"/>
  <c r="E22" i="99"/>
  <c r="E19" i="99"/>
  <c r="E17" i="99"/>
  <c r="E12" i="99"/>
  <c r="L26" i="9"/>
  <c r="E20" i="98"/>
  <c r="J36" i="9"/>
  <c r="B42" i="9"/>
  <c r="K42" i="8"/>
  <c r="P42" i="8"/>
  <c r="Q78" i="8"/>
  <c r="G26" i="12"/>
  <c r="N26" i="12" s="1"/>
  <c r="I9" i="116"/>
  <c r="L38" i="9"/>
  <c r="G12" i="12"/>
  <c r="N12" i="12" s="1"/>
  <c r="D21" i="12"/>
  <c r="B16" i="9"/>
  <c r="K16" i="8"/>
  <c r="Q16" i="8" s="1"/>
  <c r="P16" i="8"/>
  <c r="I29" i="17"/>
  <c r="J33" i="9"/>
  <c r="L40" i="36"/>
  <c r="P40" i="36"/>
  <c r="D84" i="9"/>
  <c r="G84" i="25" s="1"/>
  <c r="C46" i="128"/>
  <c r="B39" i="9"/>
  <c r="P39" i="8"/>
  <c r="B19" i="9"/>
  <c r="P19" i="8"/>
  <c r="C29" i="127"/>
  <c r="L29" i="9"/>
  <c r="D15" i="12"/>
  <c r="J20" i="9"/>
  <c r="H11" i="12"/>
  <c r="O11" i="12" s="1"/>
  <c r="B11" i="13"/>
  <c r="J40" i="36"/>
  <c r="B38" i="9"/>
  <c r="K38" i="8"/>
  <c r="Q38" i="8" s="1"/>
  <c r="P38" i="8"/>
  <c r="B17" i="9"/>
  <c r="P17" i="8"/>
  <c r="M32" i="13"/>
  <c r="Q32" i="9"/>
  <c r="G32" i="25"/>
  <c r="K32" i="25" s="1"/>
  <c r="D17" i="12"/>
  <c r="D30" i="25"/>
  <c r="J30" i="12" s="1"/>
  <c r="F30" i="25"/>
  <c r="H20" i="12"/>
  <c r="O20" i="12" s="1"/>
  <c r="B20" i="13"/>
  <c r="G77" i="12"/>
  <c r="N77" i="12" s="1"/>
  <c r="J77" i="12"/>
  <c r="K49" i="9"/>
  <c r="O49" i="9"/>
  <c r="M49" i="13"/>
  <c r="K81" i="8"/>
  <c r="M81" i="8" s="1"/>
  <c r="R81" i="8" s="1"/>
  <c r="I44" i="8"/>
  <c r="L44" i="8" s="1"/>
  <c r="L49" i="36"/>
  <c r="F49" i="9"/>
  <c r="L49" i="9" s="1"/>
  <c r="P32" i="98"/>
  <c r="L25" i="98"/>
  <c r="E42" i="99"/>
  <c r="P46" i="99"/>
  <c r="B25" i="9"/>
  <c r="P25" i="8"/>
  <c r="J25" i="36"/>
  <c r="J65" i="8"/>
  <c r="Q65" i="8" s="1"/>
  <c r="B43" i="9"/>
  <c r="K43" i="8"/>
  <c r="P43" i="8"/>
  <c r="E13" i="8"/>
  <c r="H13" i="8"/>
  <c r="I50" i="36"/>
  <c r="H50" i="36"/>
  <c r="O50" i="36"/>
  <c r="Q47" i="8"/>
  <c r="O22" i="36"/>
  <c r="F22" i="36"/>
  <c r="P29" i="36"/>
  <c r="L29" i="36"/>
  <c r="I37" i="8"/>
  <c r="L37" i="8" s="1"/>
  <c r="Q37" i="8" s="1"/>
  <c r="J12" i="9"/>
  <c r="B21" i="9"/>
  <c r="P21" i="8"/>
  <c r="G41" i="25"/>
  <c r="F41" i="9"/>
  <c r="M41" i="13"/>
  <c r="H41" i="9"/>
  <c r="I22" i="9"/>
  <c r="O22" i="9"/>
  <c r="H22" i="9"/>
  <c r="G22" i="25"/>
  <c r="K22" i="25" s="1"/>
  <c r="J39" i="9"/>
  <c r="K50" i="8"/>
  <c r="E22" i="12"/>
  <c r="C22" i="12" s="1"/>
  <c r="H40" i="12"/>
  <c r="O40" i="12" s="1"/>
  <c r="B40" i="13"/>
  <c r="F29" i="25"/>
  <c r="D29" i="25"/>
  <c r="H12" i="36"/>
  <c r="O12" i="36"/>
  <c r="H40" i="36"/>
  <c r="O40" i="36"/>
  <c r="B15" i="13"/>
  <c r="B20" i="9"/>
  <c r="P20" i="8"/>
  <c r="J52" i="8"/>
  <c r="K52" i="8"/>
  <c r="I52" i="8"/>
  <c r="L52" i="8" s="1"/>
  <c r="H17" i="12"/>
  <c r="O17" i="12" s="1"/>
  <c r="B17" i="13"/>
  <c r="Q82" i="8"/>
  <c r="J32" i="17"/>
  <c r="H32" i="19"/>
  <c r="B10" i="9"/>
  <c r="K10" i="8"/>
  <c r="H24" i="12"/>
  <c r="O24" i="12" s="1"/>
  <c r="B24" i="13"/>
  <c r="K24" i="13" s="1"/>
  <c r="L24" i="13" s="1"/>
  <c r="E38" i="12"/>
  <c r="C38" i="12" s="1"/>
  <c r="O30" i="36"/>
  <c r="H30" i="36"/>
  <c r="J38" i="9"/>
  <c r="J15" i="36"/>
  <c r="D64" i="9"/>
  <c r="O64" i="9" s="1"/>
  <c r="I81" i="8"/>
  <c r="L81" i="8" s="1"/>
  <c r="E32" i="12"/>
  <c r="H32" i="12" s="1"/>
  <c r="O32" i="12" s="1"/>
  <c r="I49" i="9"/>
  <c r="W15" i="98"/>
  <c r="P10" i="98"/>
  <c r="O10" i="98" s="1"/>
  <c r="P16" i="98"/>
  <c r="E22" i="98"/>
  <c r="L23" i="98"/>
  <c r="W38" i="99"/>
  <c r="I10" i="8"/>
  <c r="L10" i="8" s="1"/>
  <c r="Q10" i="8" s="1"/>
  <c r="F32" i="9"/>
  <c r="B32" i="10" s="1"/>
  <c r="P20" i="98"/>
  <c r="D56" i="9"/>
  <c r="I56" i="9" s="1"/>
  <c r="D58" i="9"/>
  <c r="G58" i="25" s="1"/>
  <c r="I20" i="8"/>
  <c r="L20" i="8" s="1"/>
  <c r="G49" i="25"/>
  <c r="I32" i="9"/>
  <c r="J32" i="9" s="1"/>
  <c r="W36" i="98"/>
  <c r="P28" i="98"/>
  <c r="O28" i="98" s="1"/>
  <c r="L31" i="98"/>
  <c r="L16" i="98"/>
  <c r="P37" i="98"/>
  <c r="P17" i="98"/>
  <c r="L42" i="99"/>
  <c r="E28" i="98"/>
  <c r="E45" i="98"/>
  <c r="E26" i="98"/>
  <c r="B18" i="9"/>
  <c r="P18" i="8"/>
  <c r="K32" i="9"/>
  <c r="G29" i="12"/>
  <c r="N29" i="12" s="1"/>
  <c r="B24" i="9"/>
  <c r="K24" i="8"/>
  <c r="P24" i="8"/>
  <c r="K61" i="8"/>
  <c r="I61" i="8"/>
  <c r="L61" i="8" s="1"/>
  <c r="N83" i="8"/>
  <c r="R83" i="8"/>
  <c r="M47" i="8"/>
  <c r="J29" i="36"/>
  <c r="H19" i="12"/>
  <c r="O19" i="12" s="1"/>
  <c r="B19" i="13"/>
  <c r="H18" i="12"/>
  <c r="O18" i="12" s="1"/>
  <c r="M18" i="13"/>
  <c r="G18" i="25"/>
  <c r="K18" i="25" s="1"/>
  <c r="G37" i="25"/>
  <c r="K37" i="25" s="1"/>
  <c r="M37" i="13"/>
  <c r="G43" i="25"/>
  <c r="K43" i="25" s="1"/>
  <c r="Q41" i="8"/>
  <c r="H49" i="9"/>
  <c r="D50" i="9"/>
  <c r="O50" i="9" s="1"/>
  <c r="B50" i="12"/>
  <c r="P50" i="9"/>
  <c r="K18" i="8"/>
  <c r="B51" i="9"/>
  <c r="K51" i="8"/>
  <c r="G51" i="8"/>
  <c r="P51" i="8" s="1"/>
  <c r="I22" i="17"/>
  <c r="B12" i="9"/>
  <c r="P12" i="8"/>
  <c r="B32" i="9"/>
  <c r="P32" i="8"/>
  <c r="B40" i="9"/>
  <c r="K40" i="8"/>
  <c r="Q40" i="8" s="1"/>
  <c r="P40" i="8"/>
  <c r="L75" i="8"/>
  <c r="J75" i="8"/>
  <c r="J15" i="9"/>
  <c r="Q49" i="9"/>
  <c r="E39" i="98"/>
  <c r="P26" i="98"/>
  <c r="W38" i="98"/>
  <c r="W25" i="99"/>
  <c r="I77" i="9"/>
  <c r="K77" i="9"/>
  <c r="O77" i="9"/>
  <c r="M77" i="13"/>
  <c r="H77" i="9"/>
  <c r="J35" i="36"/>
  <c r="O21" i="36"/>
  <c r="H21" i="36"/>
  <c r="E68" i="9"/>
  <c r="I17" i="36"/>
  <c r="F17" i="36"/>
  <c r="L17" i="36" s="1"/>
  <c r="O17" i="36"/>
  <c r="I51" i="17"/>
  <c r="J29" i="9"/>
  <c r="B30" i="9"/>
  <c r="P30" i="8"/>
  <c r="B34" i="12"/>
  <c r="H34" i="9"/>
  <c r="P34" i="9"/>
  <c r="O34" i="9"/>
  <c r="B41" i="12"/>
  <c r="O41" i="9"/>
  <c r="H21" i="12"/>
  <c r="O21" i="12" s="1"/>
  <c r="B21" i="13"/>
  <c r="E44" i="25"/>
  <c r="J44" i="12" s="1"/>
  <c r="D44" i="25"/>
  <c r="J50" i="8"/>
  <c r="D24" i="19"/>
  <c r="D71" i="9"/>
  <c r="I71" i="9" s="1"/>
  <c r="D88" i="9"/>
  <c r="G88" i="25" s="1"/>
  <c r="Q57" i="8"/>
  <c r="Q69" i="8"/>
  <c r="Q59" i="8"/>
  <c r="J34" i="36"/>
  <c r="Q68" i="8"/>
  <c r="J41" i="36"/>
  <c r="B26" i="9"/>
  <c r="P26" i="8"/>
  <c r="B10" i="10"/>
  <c r="C10" i="127"/>
  <c r="B46" i="10"/>
  <c r="C46" i="127"/>
  <c r="L46" i="9"/>
  <c r="Q42" i="8"/>
  <c r="Q72" i="8"/>
  <c r="L30" i="9"/>
  <c r="G20" i="12"/>
  <c r="N20" i="12" s="1"/>
  <c r="G36" i="12"/>
  <c r="N36" i="12" s="1"/>
  <c r="C29" i="19"/>
  <c r="B29" i="19" s="1"/>
  <c r="B29" i="261" s="1"/>
  <c r="B14" i="12"/>
  <c r="E14" i="8"/>
  <c r="O14" i="9"/>
  <c r="H14" i="9"/>
  <c r="P14" i="9"/>
  <c r="Q74" i="8"/>
  <c r="B77" i="10"/>
  <c r="L77" i="9"/>
  <c r="G24" i="12"/>
  <c r="N24" i="12" s="1"/>
  <c r="C24" i="12"/>
  <c r="J41" i="9"/>
  <c r="B24" i="10"/>
  <c r="L24" i="9"/>
  <c r="J39" i="36"/>
  <c r="J44" i="9"/>
  <c r="L43" i="9"/>
  <c r="I55" i="8"/>
  <c r="L55" i="8" s="1"/>
  <c r="K55" i="8"/>
  <c r="E102" i="8"/>
  <c r="F48" i="8" s="1"/>
  <c r="B48" i="36" s="1"/>
  <c r="D48" i="36" s="1"/>
  <c r="F48" i="36" s="1"/>
  <c r="L48" i="36" s="1"/>
  <c r="D53" i="8"/>
  <c r="B40" i="10"/>
  <c r="L40" i="9"/>
  <c r="C40" i="127"/>
  <c r="C38" i="19"/>
  <c r="B38" i="19" s="1"/>
  <c r="B38" i="261" s="1"/>
  <c r="J38" i="10"/>
  <c r="P38" i="13"/>
  <c r="O38" i="13" s="1"/>
  <c r="J38" i="13" s="1"/>
  <c r="P40" i="98"/>
  <c r="P45" i="98"/>
  <c r="E17" i="98"/>
  <c r="D17" i="98" s="1"/>
  <c r="E23" i="98"/>
  <c r="E46" i="98"/>
  <c r="E27" i="98"/>
  <c r="W11" i="98"/>
  <c r="P33" i="98"/>
  <c r="P11" i="98"/>
  <c r="L29" i="98"/>
  <c r="E36" i="98"/>
  <c r="E49" i="98"/>
  <c r="W31" i="98"/>
  <c r="O31" i="98" s="1"/>
  <c r="W16" i="98"/>
  <c r="P42" i="98"/>
  <c r="O42" i="98" s="1"/>
  <c r="P25" i="98"/>
  <c r="P50" i="98"/>
  <c r="L38" i="98"/>
  <c r="L29" i="99"/>
  <c r="E41" i="99"/>
  <c r="W39" i="99"/>
  <c r="P42" i="99"/>
  <c r="P31" i="99"/>
  <c r="P26" i="99"/>
  <c r="L17" i="99"/>
  <c r="E50" i="99"/>
  <c r="J35" i="10"/>
  <c r="I62" i="8"/>
  <c r="J29" i="10"/>
  <c r="B34" i="10"/>
  <c r="C34" i="127"/>
  <c r="L34" i="9"/>
  <c r="O51" i="36"/>
  <c r="E27" i="99"/>
  <c r="Q71" i="8"/>
  <c r="M59" i="8"/>
  <c r="J24" i="36"/>
  <c r="Q32" i="8"/>
  <c r="Q83" i="8"/>
  <c r="Q86" i="8"/>
  <c r="P40" i="140"/>
  <c r="B35" i="9"/>
  <c r="K35" i="8"/>
  <c r="Q35" i="8" s="1"/>
  <c r="P35" i="8"/>
  <c r="E28" i="8"/>
  <c r="B28" i="12"/>
  <c r="P28" i="9"/>
  <c r="H28" i="9"/>
  <c r="O28" i="9"/>
  <c r="G78" i="25"/>
  <c r="I78" i="9"/>
  <c r="O78" i="9"/>
  <c r="M78" i="13"/>
  <c r="H78" i="9"/>
  <c r="B14" i="10"/>
  <c r="C14" i="127"/>
  <c r="L14" i="9"/>
  <c r="G16" i="12"/>
  <c r="N16" i="12" s="1"/>
  <c r="C16" i="12"/>
  <c r="G22" i="12"/>
  <c r="N22" i="12" s="1"/>
  <c r="C36" i="12"/>
  <c r="H36" i="12"/>
  <c r="O36" i="12" s="1"/>
  <c r="B36" i="13"/>
  <c r="C39" i="127"/>
  <c r="B39" i="10"/>
  <c r="L39" i="9"/>
  <c r="G39" i="12"/>
  <c r="N39" i="12" s="1"/>
  <c r="C26" i="19"/>
  <c r="B26" i="19" s="1"/>
  <c r="J26" i="10"/>
  <c r="G34" i="12"/>
  <c r="N34" i="12" s="1"/>
  <c r="C34" i="12"/>
  <c r="G38" i="12"/>
  <c r="N38" i="12" s="1"/>
  <c r="B11" i="10"/>
  <c r="C11" i="127"/>
  <c r="L11" i="9"/>
  <c r="J16" i="36"/>
  <c r="Q73" i="8"/>
  <c r="Q34" i="8"/>
  <c r="F29" i="10"/>
  <c r="K29" i="10" s="1"/>
  <c r="B44" i="10"/>
  <c r="C44" i="127"/>
  <c r="L44" i="9"/>
  <c r="AB14" i="101"/>
  <c r="J46" i="9"/>
  <c r="B37" i="10"/>
  <c r="C37" i="127"/>
  <c r="L37" i="9"/>
  <c r="Q60" i="8"/>
  <c r="O52" i="36"/>
  <c r="E11" i="98"/>
  <c r="D11" i="98" s="1"/>
  <c r="P36" i="98"/>
  <c r="E50" i="98"/>
  <c r="E32" i="98"/>
  <c r="P27" i="98"/>
  <c r="P29" i="98"/>
  <c r="P13" i="98"/>
  <c r="P43" i="98"/>
  <c r="O43" i="98" s="1"/>
  <c r="P51" i="98"/>
  <c r="E33" i="99"/>
  <c r="E29" i="98"/>
  <c r="E16" i="98"/>
  <c r="E51" i="98"/>
  <c r="E33" i="98"/>
  <c r="W25" i="98"/>
  <c r="W14" i="98"/>
  <c r="P38" i="98"/>
  <c r="O38" i="98" s="1"/>
  <c r="P18" i="98"/>
  <c r="W29" i="98"/>
  <c r="L35" i="98"/>
  <c r="P15" i="99"/>
  <c r="P10" i="99"/>
  <c r="O10" i="99" s="1"/>
  <c r="L11" i="99"/>
  <c r="P49" i="99"/>
  <c r="L16" i="99"/>
  <c r="E20" i="99"/>
  <c r="E15" i="99"/>
  <c r="W37" i="99"/>
  <c r="O37" i="99" s="1"/>
  <c r="W20" i="99"/>
  <c r="L39" i="99"/>
  <c r="K34" i="13"/>
  <c r="L34" i="13" s="1"/>
  <c r="M74" i="8"/>
  <c r="C20" i="17"/>
  <c r="C74" i="9"/>
  <c r="J19" i="36"/>
  <c r="P38" i="140"/>
  <c r="J31" i="36"/>
  <c r="Q88" i="8"/>
  <c r="Q64" i="8"/>
  <c r="P58" i="8"/>
  <c r="E89" i="8"/>
  <c r="H89" i="9"/>
  <c r="B53" i="9"/>
  <c r="B89" i="12"/>
  <c r="B53" i="12" s="1"/>
  <c r="O89" i="9"/>
  <c r="E23" i="8"/>
  <c r="I23" i="8" s="1"/>
  <c r="L23" i="8" s="1"/>
  <c r="I52" i="36"/>
  <c r="J52" i="36" s="1"/>
  <c r="F52" i="36"/>
  <c r="H52" i="36"/>
  <c r="B36" i="9"/>
  <c r="P36" i="8"/>
  <c r="G40" i="12"/>
  <c r="N40" i="12" s="1"/>
  <c r="C40" i="12"/>
  <c r="G32" i="12"/>
  <c r="N32" i="12" s="1"/>
  <c r="G43" i="12"/>
  <c r="N43" i="12" s="1"/>
  <c r="C26" i="12"/>
  <c r="H26" i="12"/>
  <c r="O26" i="12" s="1"/>
  <c r="B26" i="13"/>
  <c r="M34" i="17"/>
  <c r="B48" i="9"/>
  <c r="K48" i="8"/>
  <c r="I48" i="8"/>
  <c r="L48" i="8" s="1"/>
  <c r="D101" i="8"/>
  <c r="G35" i="12"/>
  <c r="N35" i="12" s="1"/>
  <c r="C35" i="12"/>
  <c r="C35" i="19"/>
  <c r="B35" i="19" s="1"/>
  <c r="B35" i="261" s="1"/>
  <c r="N35" i="10"/>
  <c r="P35" i="13"/>
  <c r="J44" i="25"/>
  <c r="K44" i="25" s="1"/>
  <c r="J49" i="9"/>
  <c r="J37" i="9"/>
  <c r="C28" i="19"/>
  <c r="B28" i="19" s="1"/>
  <c r="B28" i="261" s="1"/>
  <c r="J32" i="36"/>
  <c r="E38" i="98"/>
  <c r="E18" i="98"/>
  <c r="P12" i="98"/>
  <c r="E37" i="98"/>
  <c r="E10" i="98"/>
  <c r="D10" i="98" s="1"/>
  <c r="E40" i="98"/>
  <c r="E9" i="98"/>
  <c r="P41" i="98"/>
  <c r="P23" i="98"/>
  <c r="O23" i="98" s="1"/>
  <c r="P39" i="98"/>
  <c r="L39" i="98"/>
  <c r="L19" i="98"/>
  <c r="W28" i="99"/>
  <c r="O28" i="99" s="1"/>
  <c r="P38" i="99"/>
  <c r="E21" i="98"/>
  <c r="D21" i="98" s="1"/>
  <c r="E41" i="98"/>
  <c r="E12" i="98"/>
  <c r="W37" i="98"/>
  <c r="W20" i="98"/>
  <c r="P34" i="98"/>
  <c r="O34" i="98" s="1"/>
  <c r="P45" i="99"/>
  <c r="W21" i="99"/>
  <c r="O21" i="99" s="1"/>
  <c r="P22" i="99"/>
  <c r="O22" i="99" s="1"/>
  <c r="L21" i="99"/>
  <c r="L14" i="99"/>
  <c r="D14" i="99" s="1"/>
  <c r="E34" i="99"/>
  <c r="D34" i="99" s="1"/>
  <c r="E25" i="99"/>
  <c r="D25" i="99" s="1"/>
  <c r="W17" i="99"/>
  <c r="L37" i="99"/>
  <c r="E21" i="99"/>
  <c r="E16" i="99"/>
  <c r="E11" i="99"/>
  <c r="D11" i="99" s="1"/>
  <c r="H62" i="8"/>
  <c r="H34" i="12"/>
  <c r="O34" i="12" s="1"/>
  <c r="Q80" i="8"/>
  <c r="C39" i="12"/>
  <c r="H39" i="12"/>
  <c r="O39" i="12" s="1"/>
  <c r="B39" i="13"/>
  <c r="F24" i="19"/>
  <c r="E24" i="19" s="1"/>
  <c r="C24" i="261" s="1"/>
  <c r="J12" i="36"/>
  <c r="Q25" i="8"/>
  <c r="Q84" i="8"/>
  <c r="Q19" i="8"/>
  <c r="J37" i="36"/>
  <c r="J21" i="36"/>
  <c r="Q67" i="8"/>
  <c r="G52" i="25"/>
  <c r="F52" i="9"/>
  <c r="K52" i="9"/>
  <c r="I52" i="9"/>
  <c r="Q52" i="9"/>
  <c r="H52" i="9"/>
  <c r="M52" i="13"/>
  <c r="O52" i="9"/>
  <c r="B44" i="9"/>
  <c r="K44" i="8"/>
  <c r="P44" i="8"/>
  <c r="K49" i="8"/>
  <c r="I49" i="8"/>
  <c r="L49" i="8" s="1"/>
  <c r="G11" i="12"/>
  <c r="N11" i="12" s="1"/>
  <c r="C11" i="12"/>
  <c r="G19" i="12"/>
  <c r="N19" i="12" s="1"/>
  <c r="C19" i="12"/>
  <c r="Q18" i="8"/>
  <c r="F13" i="9"/>
  <c r="M13" i="13"/>
  <c r="G13" i="25"/>
  <c r="Q13" i="9"/>
  <c r="H16" i="12"/>
  <c r="O16" i="12" s="1"/>
  <c r="B16" i="13"/>
  <c r="C12" i="19"/>
  <c r="J12" i="10"/>
  <c r="G37" i="12"/>
  <c r="N37" i="12" s="1"/>
  <c r="C37" i="12"/>
  <c r="B48" i="10"/>
  <c r="F48" i="10" s="1"/>
  <c r="K48" i="10" s="1"/>
  <c r="C48" i="127"/>
  <c r="L48" i="9"/>
  <c r="J14" i="9"/>
  <c r="P12" i="13"/>
  <c r="O12" i="13" s="1"/>
  <c r="J43" i="36"/>
  <c r="B37" i="12"/>
  <c r="H37" i="9"/>
  <c r="O37" i="9"/>
  <c r="P37" i="9"/>
  <c r="K13" i="9"/>
  <c r="G18" i="12"/>
  <c r="N18" i="12" s="1"/>
  <c r="J18" i="9"/>
  <c r="J11" i="36"/>
  <c r="C12" i="12"/>
  <c r="H12" i="12"/>
  <c r="O12" i="12" s="1"/>
  <c r="B12" i="13"/>
  <c r="C20" i="12"/>
  <c r="C31" i="127"/>
  <c r="B31" i="10"/>
  <c r="F31" i="10" s="1"/>
  <c r="K31" i="10" s="1"/>
  <c r="L31" i="9"/>
  <c r="J36" i="36"/>
  <c r="Q58" i="8"/>
  <c r="L32" i="9"/>
  <c r="J43" i="9"/>
  <c r="J20" i="36"/>
  <c r="E34" i="98"/>
  <c r="D34" i="98" s="1"/>
  <c r="P14" i="98"/>
  <c r="P19" i="98"/>
  <c r="O19" i="98" s="1"/>
  <c r="P46" i="98"/>
  <c r="P22" i="98"/>
  <c r="E31" i="98"/>
  <c r="D31" i="98" s="1"/>
  <c r="E43" i="98"/>
  <c r="E13" i="98"/>
  <c r="W39" i="98"/>
  <c r="P9" i="98"/>
  <c r="P35" i="98"/>
  <c r="P15" i="98"/>
  <c r="L15" i="98"/>
  <c r="P14" i="99"/>
  <c r="E42" i="98"/>
  <c r="D42" i="98" s="1"/>
  <c r="E15" i="98"/>
  <c r="W35" i="98"/>
  <c r="W18" i="98"/>
  <c r="W21" i="98"/>
  <c r="O21" i="98" s="1"/>
  <c r="P30" i="98"/>
  <c r="L18" i="98"/>
  <c r="W23" i="99"/>
  <c r="W14" i="99"/>
  <c r="P39" i="99"/>
  <c r="P34" i="99"/>
  <c r="L28" i="99"/>
  <c r="E38" i="99"/>
  <c r="D38" i="99" s="1"/>
  <c r="W19" i="99"/>
  <c r="O19" i="99" s="1"/>
  <c r="P30" i="99"/>
  <c r="L19" i="99"/>
  <c r="D19" i="99" s="1"/>
  <c r="E49" i="99"/>
  <c r="W15" i="99"/>
  <c r="P23" i="99"/>
  <c r="P18" i="99"/>
  <c r="O18" i="99" s="1"/>
  <c r="E30" i="99"/>
  <c r="J34" i="9"/>
  <c r="J51" i="36"/>
  <c r="Q15" i="8"/>
  <c r="F65" i="21"/>
  <c r="D65" i="21" s="1"/>
  <c r="B65" i="24"/>
  <c r="B65" i="14"/>
  <c r="K68" i="59"/>
  <c r="C68" i="21"/>
  <c r="K83" i="59"/>
  <c r="M85" i="140"/>
  <c r="C83" i="21"/>
  <c r="D64" i="19"/>
  <c r="I64" i="17" s="1"/>
  <c r="K64" i="59"/>
  <c r="C64" i="21"/>
  <c r="K73" i="59"/>
  <c r="C73" i="21"/>
  <c r="B74" i="25"/>
  <c r="H74" i="17"/>
  <c r="P25" i="140"/>
  <c r="O25" i="140"/>
  <c r="N25" i="140"/>
  <c r="AP44" i="167"/>
  <c r="C78" i="21"/>
  <c r="K78" i="59"/>
  <c r="K63" i="59"/>
  <c r="C63" i="21"/>
  <c r="K61" i="59"/>
  <c r="C61" i="21"/>
  <c r="K71" i="59"/>
  <c r="C71" i="21"/>
  <c r="G73" i="60" s="1"/>
  <c r="K86" i="59"/>
  <c r="C86" i="21"/>
  <c r="G62" i="25"/>
  <c r="K62" i="12" s="1"/>
  <c r="I62" i="9"/>
  <c r="H62" i="12"/>
  <c r="O62" i="12" s="1"/>
  <c r="E33" i="19"/>
  <c r="C33" i="261" s="1"/>
  <c r="D33" i="12"/>
  <c r="J57" i="21"/>
  <c r="M57" i="15" s="1"/>
  <c r="G59" i="60"/>
  <c r="V57" i="21" s="1"/>
  <c r="E57" i="24"/>
  <c r="B57" i="15"/>
  <c r="K60" i="59"/>
  <c r="C60" i="21"/>
  <c r="K69" i="59"/>
  <c r="C69" i="21"/>
  <c r="J72" i="21"/>
  <c r="M72" i="15" s="1"/>
  <c r="B72" i="15"/>
  <c r="E72" i="24"/>
  <c r="G82" i="13"/>
  <c r="C82" i="14"/>
  <c r="D82" i="14" s="1"/>
  <c r="S82" i="21"/>
  <c r="C82" i="24"/>
  <c r="K56" i="59"/>
  <c r="C56" i="21"/>
  <c r="I39" i="13"/>
  <c r="M39" i="14"/>
  <c r="J67" i="21"/>
  <c r="M67" i="15" s="1"/>
  <c r="H67" i="21"/>
  <c r="T67" i="21" s="1"/>
  <c r="E67" i="24"/>
  <c r="B67" i="15"/>
  <c r="J71" i="21"/>
  <c r="M71" i="15" s="1"/>
  <c r="H71" i="21"/>
  <c r="T71" i="21" s="1"/>
  <c r="B71" i="15"/>
  <c r="E71" i="24"/>
  <c r="I48" i="13"/>
  <c r="S48" i="21"/>
  <c r="M89" i="14"/>
  <c r="M48" i="14"/>
  <c r="C48" i="24"/>
  <c r="I48" i="24" s="1"/>
  <c r="J70" i="21"/>
  <c r="M70" i="15" s="1"/>
  <c r="E70" i="24"/>
  <c r="B70" i="15"/>
  <c r="C72" i="21"/>
  <c r="K72" i="59"/>
  <c r="I49" i="13"/>
  <c r="S49" i="21"/>
  <c r="C49" i="24"/>
  <c r="I49" i="24" s="1"/>
  <c r="M49" i="14"/>
  <c r="J62" i="21"/>
  <c r="M62" i="15" s="1"/>
  <c r="B62" i="15"/>
  <c r="E62" i="24"/>
  <c r="J75" i="21"/>
  <c r="M75" i="15" s="1"/>
  <c r="G77" i="60"/>
  <c r="E77" i="60" s="1"/>
  <c r="C77" i="60" s="1"/>
  <c r="O75" i="257" s="1"/>
  <c r="Q75" i="257" s="1"/>
  <c r="B75" i="15"/>
  <c r="E75" i="24"/>
  <c r="H54" i="13"/>
  <c r="C54" i="15"/>
  <c r="T54" i="21"/>
  <c r="F54" i="24"/>
  <c r="E46" i="8"/>
  <c r="B46" i="12"/>
  <c r="P46" i="9"/>
  <c r="H46" i="9"/>
  <c r="O46" i="9"/>
  <c r="J55" i="21"/>
  <c r="M55" i="15" s="1"/>
  <c r="H55" i="21"/>
  <c r="T55" i="21" s="1"/>
  <c r="E55" i="24"/>
  <c r="G57" i="60"/>
  <c r="B55" i="15"/>
  <c r="H58" i="59"/>
  <c r="I58" i="59" s="1"/>
  <c r="E53" i="59"/>
  <c r="C80" i="21"/>
  <c r="K80" i="59"/>
  <c r="J65" i="21"/>
  <c r="M65" i="15" s="1"/>
  <c r="B65" i="15"/>
  <c r="E65" i="24"/>
  <c r="G67" i="60"/>
  <c r="E67" i="60" s="1"/>
  <c r="C67" i="60" s="1"/>
  <c r="O65" i="257" s="1"/>
  <c r="Q65" i="257" s="1"/>
  <c r="U65" i="21"/>
  <c r="F220" i="59"/>
  <c r="C90" i="21"/>
  <c r="F75" i="21"/>
  <c r="D75" i="21" s="1"/>
  <c r="B75" i="14"/>
  <c r="U75" i="21" s="1"/>
  <c r="B75" i="24"/>
  <c r="D84" i="19"/>
  <c r="I84" i="261" s="1"/>
  <c r="K84" i="59"/>
  <c r="B63" i="25"/>
  <c r="D63" i="12"/>
  <c r="G63" i="12" s="1"/>
  <c r="E63" i="116"/>
  <c r="H63" i="17"/>
  <c r="M68" i="8"/>
  <c r="R68" i="8" s="1"/>
  <c r="I68" i="116"/>
  <c r="M88" i="8"/>
  <c r="I88" i="116"/>
  <c r="B57" i="25"/>
  <c r="D57" i="12"/>
  <c r="G57" i="12" s="1"/>
  <c r="E57" i="116"/>
  <c r="H57" i="17"/>
  <c r="E41" i="19"/>
  <c r="C41" i="261" s="1"/>
  <c r="D41" i="12"/>
  <c r="M70" i="8"/>
  <c r="R70" i="8" s="1"/>
  <c r="I70" i="116"/>
  <c r="B69" i="25"/>
  <c r="D69" i="12"/>
  <c r="G69" i="12" s="1"/>
  <c r="E69" i="116"/>
  <c r="O69" i="9"/>
  <c r="H69" i="17"/>
  <c r="I47" i="36"/>
  <c r="H47" i="36"/>
  <c r="O47" i="36"/>
  <c r="F47" i="36"/>
  <c r="L47" i="36" s="1"/>
  <c r="L15" i="257"/>
  <c r="F38" i="10"/>
  <c r="K38" i="10" s="1"/>
  <c r="E44" i="60"/>
  <c r="H42" i="257"/>
  <c r="O13" i="140"/>
  <c r="N13" i="140"/>
  <c r="M21" i="140"/>
  <c r="L19" i="257"/>
  <c r="P45" i="60"/>
  <c r="C45" i="60"/>
  <c r="D54" i="140"/>
  <c r="C54" i="140" s="1"/>
  <c r="B54" i="140" s="1"/>
  <c r="H54" i="60"/>
  <c r="D81" i="140"/>
  <c r="C81" i="140" s="1"/>
  <c r="B81" i="140" s="1"/>
  <c r="E41" i="12"/>
  <c r="L41" i="13"/>
  <c r="U41" i="13"/>
  <c r="Q26" i="60"/>
  <c r="M32" i="140"/>
  <c r="L30" i="257"/>
  <c r="Q19" i="60"/>
  <c r="E19" i="60"/>
  <c r="C25" i="60"/>
  <c r="P25" i="60"/>
  <c r="E40" i="13"/>
  <c r="T40" i="13" s="1"/>
  <c r="F44" i="167"/>
  <c r="V17" i="21"/>
  <c r="N54" i="17"/>
  <c r="N68" i="17"/>
  <c r="N73" i="17"/>
  <c r="N75" i="17"/>
  <c r="N69" i="17"/>
  <c r="N71" i="17"/>
  <c r="N70" i="17"/>
  <c r="P53" i="60"/>
  <c r="C53" i="60"/>
  <c r="J76" i="21"/>
  <c r="M76" i="15" s="1"/>
  <c r="E76" i="24"/>
  <c r="B76" i="15"/>
  <c r="B39" i="23"/>
  <c r="R39" i="23" s="1"/>
  <c r="H69" i="13"/>
  <c r="T69" i="21"/>
  <c r="C69" i="15"/>
  <c r="F69" i="24"/>
  <c r="J83" i="21"/>
  <c r="M84" i="15" s="1"/>
  <c r="B83" i="15"/>
  <c r="G85" i="60"/>
  <c r="E83" i="24"/>
  <c r="C39" i="13"/>
  <c r="D39" i="13"/>
  <c r="F57" i="21"/>
  <c r="D57" i="21" s="1"/>
  <c r="B57" i="24"/>
  <c r="B57" i="14"/>
  <c r="F81" i="21"/>
  <c r="D81" i="21" s="1"/>
  <c r="B81" i="14"/>
  <c r="B81" i="24"/>
  <c r="H61" i="21"/>
  <c r="F87" i="21"/>
  <c r="B87" i="14"/>
  <c r="U87" i="21" s="1"/>
  <c r="G89" i="60"/>
  <c r="E89" i="60" s="1"/>
  <c r="C89" i="60" s="1"/>
  <c r="O87" i="257" s="1"/>
  <c r="Q87" i="257" s="1"/>
  <c r="B87" i="24"/>
  <c r="H87" i="24" s="1"/>
  <c r="M67" i="8"/>
  <c r="R67" i="8" s="1"/>
  <c r="I67" i="116"/>
  <c r="M76" i="8"/>
  <c r="I76" i="116"/>
  <c r="D67" i="9"/>
  <c r="O67" i="9" s="1"/>
  <c r="B60" i="25"/>
  <c r="D60" i="12"/>
  <c r="G60" i="12" s="1"/>
  <c r="E60" i="116"/>
  <c r="H60" i="17"/>
  <c r="O60" i="9"/>
  <c r="M79" i="8"/>
  <c r="R79" i="8" s="1"/>
  <c r="I79" i="116"/>
  <c r="AA9" i="99"/>
  <c r="AA13" i="99"/>
  <c r="AB13" i="99" s="1"/>
  <c r="AA26" i="99"/>
  <c r="AB26" i="99" s="1"/>
  <c r="AA30" i="99"/>
  <c r="AB30" i="99" s="1"/>
  <c r="AA33" i="99"/>
  <c r="AB33" i="99" s="1"/>
  <c r="AA43" i="99"/>
  <c r="AB43" i="99" s="1"/>
  <c r="AA46" i="99"/>
  <c r="AB46" i="99" s="1"/>
  <c r="AA50" i="99"/>
  <c r="AB50" i="99" s="1"/>
  <c r="AA24" i="99"/>
  <c r="AB24" i="99" s="1"/>
  <c r="AA48" i="99"/>
  <c r="AB48" i="99" s="1"/>
  <c r="AA32" i="99"/>
  <c r="AB32" i="99" s="1"/>
  <c r="AA51" i="99"/>
  <c r="AB51" i="99" s="1"/>
  <c r="AA89" i="99"/>
  <c r="AB89" i="99" s="1"/>
  <c r="AA47" i="99"/>
  <c r="AB47" i="99" s="1"/>
  <c r="AA22" i="99"/>
  <c r="AB22" i="99" s="1"/>
  <c r="AA45" i="99"/>
  <c r="AB45" i="99" s="1"/>
  <c r="AA27" i="99"/>
  <c r="AB27" i="99" s="1"/>
  <c r="AA49" i="99"/>
  <c r="AB49" i="99" s="1"/>
  <c r="AA12" i="99"/>
  <c r="AB12" i="99" s="1"/>
  <c r="AA41" i="99"/>
  <c r="AB41" i="99" s="1"/>
  <c r="AA20" i="98"/>
  <c r="AA20" i="99"/>
  <c r="AA16" i="99"/>
  <c r="AA19" i="99"/>
  <c r="AA27" i="98"/>
  <c r="AB27" i="98" s="1"/>
  <c r="AA30" i="98"/>
  <c r="AB30" i="98" s="1"/>
  <c r="AA21" i="98"/>
  <c r="AA51" i="98"/>
  <c r="AB51" i="98" s="1"/>
  <c r="AA45" i="98"/>
  <c r="AB45" i="98" s="1"/>
  <c r="AA38" i="99"/>
  <c r="AA15" i="99"/>
  <c r="AA34" i="98"/>
  <c r="AA9" i="98"/>
  <c r="AA35" i="98"/>
  <c r="AA11" i="99"/>
  <c r="AA18" i="98"/>
  <c r="AA24" i="98"/>
  <c r="AB24" i="98" s="1"/>
  <c r="AA46" i="98"/>
  <c r="AB46" i="98" s="1"/>
  <c r="AA39" i="98"/>
  <c r="AA23" i="99"/>
  <c r="AA43" i="98"/>
  <c r="AB43" i="98" s="1"/>
  <c r="AA13" i="98"/>
  <c r="AB13" i="98" s="1"/>
  <c r="AA40" i="98"/>
  <c r="AA29" i="98"/>
  <c r="AA21" i="99"/>
  <c r="AA40" i="99"/>
  <c r="AA49" i="98"/>
  <c r="AB49" i="98" s="1"/>
  <c r="AA15" i="98"/>
  <c r="AA42" i="99"/>
  <c r="AA12" i="98"/>
  <c r="AB12" i="98" s="1"/>
  <c r="AA41" i="98"/>
  <c r="AB41" i="98" s="1"/>
  <c r="AA28" i="99"/>
  <c r="AA17" i="99"/>
  <c r="AA23" i="98"/>
  <c r="AA42" i="98"/>
  <c r="AA14" i="98"/>
  <c r="AA31" i="98"/>
  <c r="AA29" i="99"/>
  <c r="AA39" i="99"/>
  <c r="AA89" i="98"/>
  <c r="AB89" i="98" s="1"/>
  <c r="AA25" i="98"/>
  <c r="AA17" i="98"/>
  <c r="AA33" i="98"/>
  <c r="AB33" i="98" s="1"/>
  <c r="AA22" i="98"/>
  <c r="AB22" i="98" s="1"/>
  <c r="AA11" i="98"/>
  <c r="AA32" i="98"/>
  <c r="AB32" i="98" s="1"/>
  <c r="AA37" i="98"/>
  <c r="AA36" i="99"/>
  <c r="AA28" i="98"/>
  <c r="AA16" i="98"/>
  <c r="AA10" i="99"/>
  <c r="AA38" i="98"/>
  <c r="AA26" i="98"/>
  <c r="AB26" i="98" s="1"/>
  <c r="AA25" i="99"/>
  <c r="AA19" i="98"/>
  <c r="AA47" i="98"/>
  <c r="AB47" i="98" s="1"/>
  <c r="AA50" i="98"/>
  <c r="AB50" i="98" s="1"/>
  <c r="AA10" i="98"/>
  <c r="AA37" i="99"/>
  <c r="AA35" i="99"/>
  <c r="AA48" i="98"/>
  <c r="AB48" i="98" s="1"/>
  <c r="AA18" i="99"/>
  <c r="AA34" i="99"/>
  <c r="AA36" i="98"/>
  <c r="AA14" i="99"/>
  <c r="AA31" i="99"/>
  <c r="M58" i="8"/>
  <c r="I58" i="116"/>
  <c r="H58" i="9"/>
  <c r="B70" i="25"/>
  <c r="D70" i="12"/>
  <c r="G70" i="12" s="1"/>
  <c r="E70" i="116"/>
  <c r="H70" i="17"/>
  <c r="M65" i="8"/>
  <c r="I65" i="116"/>
  <c r="M73" i="8"/>
  <c r="R73" i="8" s="1"/>
  <c r="I73" i="116"/>
  <c r="O220" i="59"/>
  <c r="G90" i="21"/>
  <c r="J64" i="21"/>
  <c r="M64" i="15" s="1"/>
  <c r="G66" i="60"/>
  <c r="E66" i="60" s="1"/>
  <c r="C66" i="60" s="1"/>
  <c r="O64" i="257" s="1"/>
  <c r="Q64" i="257" s="1"/>
  <c r="E64" i="24"/>
  <c r="B64" i="15"/>
  <c r="G32" i="23"/>
  <c r="H39" i="23"/>
  <c r="J66" i="21"/>
  <c r="M66" i="15" s="1"/>
  <c r="B66" i="15"/>
  <c r="E66" i="24"/>
  <c r="C66" i="21"/>
  <c r="D66" i="19"/>
  <c r="I66" i="261" s="1"/>
  <c r="K66" i="59"/>
  <c r="F40" i="13"/>
  <c r="G40" i="19"/>
  <c r="B40" i="23"/>
  <c r="R40" i="23" s="1"/>
  <c r="G40" i="13"/>
  <c r="J59" i="21"/>
  <c r="M59" i="15" s="1"/>
  <c r="E59" i="24"/>
  <c r="B59" i="15"/>
  <c r="R53" i="59"/>
  <c r="R220" i="59" s="1"/>
  <c r="H89" i="13"/>
  <c r="C89" i="15"/>
  <c r="T89" i="21"/>
  <c r="J85" i="21"/>
  <c r="M86" i="15" s="1"/>
  <c r="E85" i="24"/>
  <c r="B85" i="15"/>
  <c r="J82" i="21"/>
  <c r="M83" i="15" s="1"/>
  <c r="B82" i="15"/>
  <c r="U82" i="21" s="1"/>
  <c r="G84" i="60"/>
  <c r="V82" i="21" s="1"/>
  <c r="E82" i="24"/>
  <c r="H82" i="24" s="1"/>
  <c r="H88" i="21"/>
  <c r="G53" i="9"/>
  <c r="M54" i="8"/>
  <c r="I54" i="116"/>
  <c r="H54" i="9"/>
  <c r="M54" i="13"/>
  <c r="H68" i="21"/>
  <c r="C84" i="21"/>
  <c r="H72" i="59"/>
  <c r="G53" i="59"/>
  <c r="B33" i="12"/>
  <c r="E33" i="8"/>
  <c r="P33" i="9"/>
  <c r="O33" i="9"/>
  <c r="H33" i="9"/>
  <c r="B16" i="10"/>
  <c r="C16" i="127"/>
  <c r="L16" i="9"/>
  <c r="M63" i="8"/>
  <c r="R63" i="8" s="1"/>
  <c r="I63" i="116"/>
  <c r="M71" i="8"/>
  <c r="R71" i="8" s="1"/>
  <c r="I71" i="116"/>
  <c r="M82" i="8"/>
  <c r="I82" i="116"/>
  <c r="G66" i="25"/>
  <c r="I66" i="9"/>
  <c r="I84" i="9"/>
  <c r="F28" i="8"/>
  <c r="O28" i="36"/>
  <c r="H28" i="36"/>
  <c r="B19" i="10"/>
  <c r="C19" i="127"/>
  <c r="L19" i="9"/>
  <c r="D70" i="9"/>
  <c r="H70" i="9" s="1"/>
  <c r="B64" i="25"/>
  <c r="D64" i="12"/>
  <c r="E64" i="116"/>
  <c r="H64" i="17"/>
  <c r="B72" i="25"/>
  <c r="H72" i="17"/>
  <c r="E72" i="116"/>
  <c r="O72" i="9"/>
  <c r="B84" i="25"/>
  <c r="D84" i="12"/>
  <c r="E84" i="116"/>
  <c r="H84" i="17"/>
  <c r="I55" i="116"/>
  <c r="M55" i="13"/>
  <c r="H55" i="9"/>
  <c r="M57" i="8"/>
  <c r="R57" i="8" s="1"/>
  <c r="I57" i="116"/>
  <c r="B66" i="25"/>
  <c r="D66" i="12"/>
  <c r="G66" i="12" s="1"/>
  <c r="H66" i="17"/>
  <c r="E66" i="116"/>
  <c r="O66" i="9"/>
  <c r="M75" i="8"/>
  <c r="I75" i="116"/>
  <c r="B86" i="25"/>
  <c r="D86" i="12"/>
  <c r="G86" i="12" s="1"/>
  <c r="E86" i="116"/>
  <c r="H86" i="17"/>
  <c r="D35" i="99"/>
  <c r="D36" i="99"/>
  <c r="M61" i="8"/>
  <c r="I61" i="116"/>
  <c r="M69" i="8"/>
  <c r="R69" i="8" s="1"/>
  <c r="I69" i="116"/>
  <c r="M69" i="13"/>
  <c r="H69" i="9"/>
  <c r="M80" i="8"/>
  <c r="I80" i="116"/>
  <c r="O16" i="99"/>
  <c r="C44" i="140"/>
  <c r="B44" i="140" s="1"/>
  <c r="P13" i="140"/>
  <c r="P39" i="60"/>
  <c r="C39" i="60"/>
  <c r="L46" i="257"/>
  <c r="E50" i="140"/>
  <c r="I26" i="36"/>
  <c r="F26" i="36"/>
  <c r="L26" i="36" s="1"/>
  <c r="H26" i="36"/>
  <c r="O26" i="36"/>
  <c r="Q63" i="8"/>
  <c r="C20" i="140"/>
  <c r="B20" i="140" s="1"/>
  <c r="M77" i="8"/>
  <c r="Q77" i="8"/>
  <c r="I92" i="60"/>
  <c r="I11" i="60"/>
  <c r="L14" i="257"/>
  <c r="C12" i="140"/>
  <c r="B12" i="140" s="1"/>
  <c r="K17" i="8"/>
  <c r="I17" i="8"/>
  <c r="L17" i="8" s="1"/>
  <c r="J17" i="8"/>
  <c r="C39" i="140"/>
  <c r="B39" i="140" s="1"/>
  <c r="Q40" i="140"/>
  <c r="L38" i="257"/>
  <c r="H43" i="257"/>
  <c r="H25" i="257"/>
  <c r="C34" i="60"/>
  <c r="P34" i="60"/>
  <c r="W72" i="21"/>
  <c r="E19" i="13"/>
  <c r="T19" i="13" s="1"/>
  <c r="X44" i="167"/>
  <c r="E38" i="13"/>
  <c r="T38" i="13" s="1"/>
  <c r="M44" i="167"/>
  <c r="H13" i="257"/>
  <c r="H35" i="23"/>
  <c r="C37" i="188"/>
  <c r="D37" i="188" s="1"/>
  <c r="D33" i="188"/>
  <c r="G11" i="60"/>
  <c r="P50" i="60"/>
  <c r="C50" i="60"/>
  <c r="W44" i="167"/>
  <c r="C33" i="60"/>
  <c r="P33" i="60"/>
  <c r="P91" i="21"/>
  <c r="O51" i="60"/>
  <c r="O49" i="257"/>
  <c r="Q72" i="59"/>
  <c r="Q53" i="59" s="1"/>
  <c r="Q220" i="59" s="1"/>
  <c r="P53" i="59"/>
  <c r="P220" i="59" s="1"/>
  <c r="B11" i="9"/>
  <c r="K11" i="8"/>
  <c r="P11" i="8"/>
  <c r="G47" i="25"/>
  <c r="F47" i="9"/>
  <c r="I47" i="9"/>
  <c r="K47" i="9"/>
  <c r="M47" i="13"/>
  <c r="O47" i="9"/>
  <c r="H47" i="9"/>
  <c r="D45" i="9"/>
  <c r="Q47" i="9"/>
  <c r="I82" i="13"/>
  <c r="M82" i="14"/>
  <c r="G54" i="25"/>
  <c r="I54" i="9"/>
  <c r="O54" i="9"/>
  <c r="G60" i="25"/>
  <c r="I60" i="9"/>
  <c r="B17" i="10"/>
  <c r="C17" i="127"/>
  <c r="L17" i="9"/>
  <c r="B71" i="25"/>
  <c r="D71" i="12"/>
  <c r="G71" i="12" s="1"/>
  <c r="E71" i="116"/>
  <c r="H71" i="17"/>
  <c r="B82" i="25"/>
  <c r="E82" i="116"/>
  <c r="H82" i="17"/>
  <c r="G69" i="25"/>
  <c r="I69" i="9"/>
  <c r="K65" i="59"/>
  <c r="K85" i="59"/>
  <c r="G55" i="25"/>
  <c r="I55" i="9"/>
  <c r="C20" i="127"/>
  <c r="D82" i="9"/>
  <c r="H82" i="9" s="1"/>
  <c r="G73" i="25"/>
  <c r="F29" i="19"/>
  <c r="E29" i="19" s="1"/>
  <c r="C29" i="261" s="1"/>
  <c r="K29" i="13"/>
  <c r="L29" i="13" s="1"/>
  <c r="M60" i="8"/>
  <c r="I60" i="116"/>
  <c r="H60" i="9"/>
  <c r="M60" i="13"/>
  <c r="B79" i="25"/>
  <c r="D79" i="9"/>
  <c r="M79" i="13" s="1"/>
  <c r="D79" i="12"/>
  <c r="G79" i="12" s="1"/>
  <c r="E79" i="116"/>
  <c r="J79" i="17"/>
  <c r="H79" i="17"/>
  <c r="K79" i="17"/>
  <c r="B55" i="25"/>
  <c r="D55" i="12"/>
  <c r="G55" i="12" s="1"/>
  <c r="E55" i="116"/>
  <c r="O55" i="9"/>
  <c r="H55" i="17"/>
  <c r="M62" i="8"/>
  <c r="I62" i="116"/>
  <c r="H62" i="9"/>
  <c r="M62" i="13"/>
  <c r="I81" i="116"/>
  <c r="B61" i="25"/>
  <c r="D61" i="12"/>
  <c r="G61" i="12" s="1"/>
  <c r="E61" i="116"/>
  <c r="H61" i="17"/>
  <c r="B80" i="25"/>
  <c r="D80" i="12"/>
  <c r="E80" i="116"/>
  <c r="H80" i="17"/>
  <c r="C47" i="15"/>
  <c r="L21" i="257"/>
  <c r="M23" i="140"/>
  <c r="Q23" i="140" s="1"/>
  <c r="K47" i="36"/>
  <c r="O34" i="140"/>
  <c r="P34" i="140"/>
  <c r="L54" i="8"/>
  <c r="M43" i="140"/>
  <c r="L41" i="257"/>
  <c r="Q32" i="60"/>
  <c r="L23" i="257"/>
  <c r="Q25" i="140"/>
  <c r="L25" i="257"/>
  <c r="M17" i="140"/>
  <c r="M27" i="140"/>
  <c r="G44" i="167"/>
  <c r="P22" i="60"/>
  <c r="P90" i="60"/>
  <c r="C90" i="60"/>
  <c r="E48" i="60"/>
  <c r="Q48" i="60"/>
  <c r="M91" i="21"/>
  <c r="J81" i="21"/>
  <c r="M82" i="15" s="1"/>
  <c r="B81" i="15"/>
  <c r="E81" i="24"/>
  <c r="H81" i="24" s="1"/>
  <c r="G83" i="60"/>
  <c r="V81" i="21" s="1"/>
  <c r="I52" i="13"/>
  <c r="M52" i="14"/>
  <c r="S52" i="21"/>
  <c r="C52" i="24"/>
  <c r="I52" i="24" s="1"/>
  <c r="G79" i="13"/>
  <c r="F79" i="13" s="1"/>
  <c r="C79" i="24"/>
  <c r="I79" i="24" s="1"/>
  <c r="C79" i="14"/>
  <c r="D79" i="14" s="1"/>
  <c r="H81" i="60"/>
  <c r="S79" i="21"/>
  <c r="J77" i="21"/>
  <c r="M77" i="15" s="1"/>
  <c r="E77" i="24"/>
  <c r="B77" i="15"/>
  <c r="C67" i="21"/>
  <c r="K67" i="59"/>
  <c r="K75" i="59"/>
  <c r="C70" i="21"/>
  <c r="G72" i="60" s="1"/>
  <c r="E72" i="60" s="1"/>
  <c r="C72" i="60" s="1"/>
  <c r="O70" i="257" s="1"/>
  <c r="Q70" i="257" s="1"/>
  <c r="K70" i="59"/>
  <c r="F80" i="24"/>
  <c r="B29" i="9"/>
  <c r="K29" i="8"/>
  <c r="I29" i="8"/>
  <c r="L29" i="8" s="1"/>
  <c r="P29" i="8"/>
  <c r="I88" i="13"/>
  <c r="M88" i="14"/>
  <c r="D57" i="9"/>
  <c r="M57" i="13" s="1"/>
  <c r="D63" i="9"/>
  <c r="B87" i="25"/>
  <c r="D87" i="9"/>
  <c r="O87" i="9" s="1"/>
  <c r="D87" i="12"/>
  <c r="G87" i="12" s="1"/>
  <c r="E87" i="116"/>
  <c r="H87" i="17"/>
  <c r="I87" i="17"/>
  <c r="K87" i="17"/>
  <c r="J87" i="17"/>
  <c r="B21" i="10"/>
  <c r="B90" i="8"/>
  <c r="C36" i="127"/>
  <c r="B36" i="10"/>
  <c r="L36" i="9"/>
  <c r="B68" i="25"/>
  <c r="D68" i="12"/>
  <c r="H68" i="17"/>
  <c r="E68" i="116"/>
  <c r="B88" i="25"/>
  <c r="E88" i="116"/>
  <c r="H88" i="17"/>
  <c r="M56" i="8"/>
  <c r="R56" i="8" s="1"/>
  <c r="I56" i="116"/>
  <c r="H56" i="9"/>
  <c r="B62" i="25"/>
  <c r="D62" i="12"/>
  <c r="E62" i="116"/>
  <c r="O62" i="9"/>
  <c r="H62" i="17"/>
  <c r="B81" i="25"/>
  <c r="D81" i="9"/>
  <c r="H81" i="9" s="1"/>
  <c r="E81" i="116"/>
  <c r="H81" i="17"/>
  <c r="D22" i="99"/>
  <c r="M85" i="8"/>
  <c r="R85" i="8" s="1"/>
  <c r="I85" i="116"/>
  <c r="J47" i="21"/>
  <c r="M47" i="15" s="1"/>
  <c r="R59" i="8"/>
  <c r="N59" i="8"/>
  <c r="Q70" i="8"/>
  <c r="L32" i="257"/>
  <c r="Q34" i="140"/>
  <c r="H44" i="257"/>
  <c r="E46" i="60"/>
  <c r="L50" i="257"/>
  <c r="C15" i="60"/>
  <c r="P15" i="60"/>
  <c r="O38" i="140"/>
  <c r="M28" i="140"/>
  <c r="Q28" i="140" s="1"/>
  <c r="L26" i="257"/>
  <c r="L12" i="257"/>
  <c r="M14" i="140"/>
  <c r="I11" i="8"/>
  <c r="L11" i="8" s="1"/>
  <c r="N34" i="140"/>
  <c r="H10" i="257"/>
  <c r="J11" i="60"/>
  <c r="F39" i="10"/>
  <c r="K39" i="10" s="1"/>
  <c r="K33" i="13"/>
  <c r="B33" i="13" s="1"/>
  <c r="E51" i="140"/>
  <c r="C27" i="60"/>
  <c r="P27" i="60"/>
  <c r="Q40" i="60"/>
  <c r="N38" i="140"/>
  <c r="Q87" i="8"/>
  <c r="F39" i="24"/>
  <c r="T39" i="21"/>
  <c r="K91" i="100"/>
  <c r="E30" i="60"/>
  <c r="Q30" i="60"/>
  <c r="P44" i="167"/>
  <c r="E20" i="60"/>
  <c r="W76" i="21"/>
  <c r="E14" i="13"/>
  <c r="T14" i="13" s="1"/>
  <c r="C28" i="60"/>
  <c r="P28" i="60"/>
  <c r="V28" i="21"/>
  <c r="N44" i="167"/>
  <c r="E10" i="13"/>
  <c r="T10" i="13" s="1"/>
  <c r="Q12" i="60"/>
  <c r="U44" i="167"/>
  <c r="P52" i="60"/>
  <c r="C52" i="60"/>
  <c r="E220" i="59"/>
  <c r="E226" i="59" s="1"/>
  <c r="C31" i="60"/>
  <c r="P31" i="60"/>
  <c r="F36" i="13"/>
  <c r="B36" i="23"/>
  <c r="R36" i="23" s="1"/>
  <c r="G36" i="13"/>
  <c r="F43" i="13"/>
  <c r="S43" i="21"/>
  <c r="C43" i="24"/>
  <c r="C59" i="21"/>
  <c r="K59" i="59"/>
  <c r="C76" i="21"/>
  <c r="C62" i="21"/>
  <c r="G64" i="60" s="1"/>
  <c r="K62" i="59"/>
  <c r="D39" i="21"/>
  <c r="E41" i="140" s="1"/>
  <c r="D89" i="21"/>
  <c r="H84" i="13"/>
  <c r="T84" i="21"/>
  <c r="C84" i="15"/>
  <c r="F84" i="24"/>
  <c r="T36" i="13"/>
  <c r="B31" i="9"/>
  <c r="K31" i="8"/>
  <c r="P31" i="8"/>
  <c r="F12" i="13"/>
  <c r="B12" i="23"/>
  <c r="R12" i="23" s="1"/>
  <c r="G12" i="13"/>
  <c r="D88" i="21"/>
  <c r="D80" i="9"/>
  <c r="M80" i="13" s="1"/>
  <c r="D68" i="9"/>
  <c r="H68" i="9" s="1"/>
  <c r="B15" i="10"/>
  <c r="C15" i="127"/>
  <c r="L15" i="9"/>
  <c r="B67" i="25"/>
  <c r="D67" i="12"/>
  <c r="G67" i="12" s="1"/>
  <c r="E67" i="116"/>
  <c r="H67" i="17"/>
  <c r="B76" i="25"/>
  <c r="E76" i="116"/>
  <c r="H76" i="17"/>
  <c r="M87" i="8"/>
  <c r="R87" i="8" s="1"/>
  <c r="I87" i="116"/>
  <c r="D61" i="9"/>
  <c r="M61" i="13" s="1"/>
  <c r="C45" i="8"/>
  <c r="D46" i="8"/>
  <c r="C85" i="21"/>
  <c r="D76" i="9"/>
  <c r="M76" i="13" s="1"/>
  <c r="G72" i="25"/>
  <c r="F72" i="9"/>
  <c r="I72" i="9"/>
  <c r="K72" i="9"/>
  <c r="I54" i="59"/>
  <c r="B18" i="10"/>
  <c r="C18" i="127"/>
  <c r="L18" i="9"/>
  <c r="C22" i="127"/>
  <c r="L22" i="9"/>
  <c r="C59" i="9"/>
  <c r="D65" i="9"/>
  <c r="M65" i="13" s="1"/>
  <c r="C26" i="17"/>
  <c r="M64" i="8"/>
  <c r="R64" i="8" s="1"/>
  <c r="I64" i="116"/>
  <c r="I72" i="116"/>
  <c r="M72" i="13"/>
  <c r="H72" i="9"/>
  <c r="M84" i="8"/>
  <c r="I84" i="116"/>
  <c r="H84" i="9"/>
  <c r="M84" i="13"/>
  <c r="R84" i="8"/>
  <c r="B56" i="25"/>
  <c r="D56" i="12"/>
  <c r="G56" i="12" s="1"/>
  <c r="E56" i="116"/>
  <c r="H56" i="17"/>
  <c r="H30" i="19"/>
  <c r="B58" i="25"/>
  <c r="D58" i="12"/>
  <c r="E58" i="116"/>
  <c r="H58" i="17"/>
  <c r="M66" i="8"/>
  <c r="R66" i="8" s="1"/>
  <c r="I66" i="116"/>
  <c r="M66" i="13"/>
  <c r="H66" i="9"/>
  <c r="B75" i="25"/>
  <c r="D75" i="9"/>
  <c r="O75" i="9" s="1"/>
  <c r="D75" i="12"/>
  <c r="E75" i="116"/>
  <c r="H75" i="17"/>
  <c r="M86" i="8"/>
  <c r="R86" i="8" s="1"/>
  <c r="I86" i="116"/>
  <c r="D15" i="99"/>
  <c r="B65" i="25"/>
  <c r="D65" i="12"/>
  <c r="G65" i="12" s="1"/>
  <c r="E65" i="116"/>
  <c r="H65" i="17"/>
  <c r="B73" i="25"/>
  <c r="D73" i="12"/>
  <c r="G73" i="12" s="1"/>
  <c r="E73" i="116"/>
  <c r="H73" i="17"/>
  <c r="B85" i="25"/>
  <c r="D85" i="9"/>
  <c r="O85" i="9" s="1"/>
  <c r="D85" i="12"/>
  <c r="G85" i="12" s="1"/>
  <c r="E85" i="116"/>
  <c r="H85" i="17"/>
  <c r="C15" i="140"/>
  <c r="B15" i="140" s="1"/>
  <c r="F12" i="10"/>
  <c r="Q76" i="8"/>
  <c r="Q56" i="8"/>
  <c r="L11" i="257"/>
  <c r="Q13" i="140"/>
  <c r="F26" i="10"/>
  <c r="K26" i="10" s="1"/>
  <c r="H35" i="60"/>
  <c r="D35" i="140"/>
  <c r="C35" i="140" s="1"/>
  <c r="B35" i="140" s="1"/>
  <c r="Q36" i="8"/>
  <c r="Q79" i="8"/>
  <c r="Q38" i="140"/>
  <c r="L36" i="257"/>
  <c r="H34" i="257"/>
  <c r="E36" i="60"/>
  <c r="Q30" i="8"/>
  <c r="L20" i="257"/>
  <c r="M22" i="140"/>
  <c r="M30" i="140"/>
  <c r="L28" i="257"/>
  <c r="G33" i="36"/>
  <c r="G23" i="36"/>
  <c r="G42" i="36"/>
  <c r="G14" i="36"/>
  <c r="D29" i="140"/>
  <c r="C29" i="140" s="1"/>
  <c r="B29" i="140" s="1"/>
  <c r="H29" i="60"/>
  <c r="Q25" i="60"/>
  <c r="Q33" i="140"/>
  <c r="C46" i="140"/>
  <c r="B46" i="140" s="1"/>
  <c r="M37" i="140"/>
  <c r="L35" i="257"/>
  <c r="D14" i="8"/>
  <c r="C9" i="8"/>
  <c r="C36" i="140"/>
  <c r="B36" i="140" s="1"/>
  <c r="O40" i="140"/>
  <c r="L24" i="257"/>
  <c r="M26" i="140"/>
  <c r="N42" i="140"/>
  <c r="O42" i="140"/>
  <c r="M39" i="15"/>
  <c r="I48" i="36"/>
  <c r="Q44" i="167"/>
  <c r="D44" i="167"/>
  <c r="H44" i="167"/>
  <c r="L44" i="167"/>
  <c r="O44" i="167"/>
  <c r="E44" i="167"/>
  <c r="K44" i="167"/>
  <c r="I44" i="167"/>
  <c r="C44" i="167"/>
  <c r="J68" i="24"/>
  <c r="T44" i="167"/>
  <c r="C35" i="60"/>
  <c r="P35" i="60"/>
  <c r="H12" i="23"/>
  <c r="G220" i="59"/>
  <c r="C42" i="60"/>
  <c r="P42" i="60"/>
  <c r="J44" i="167"/>
  <c r="E12" i="60"/>
  <c r="C26" i="60"/>
  <c r="P26" i="60"/>
  <c r="P14" i="60"/>
  <c r="C14" i="60"/>
  <c r="S44" i="167"/>
  <c r="Q61" i="8" l="1"/>
  <c r="H74" i="21"/>
  <c r="T74" i="21" s="1"/>
  <c r="D17" i="99"/>
  <c r="O43" i="60"/>
  <c r="O41" i="257"/>
  <c r="H12" i="13"/>
  <c r="D23" i="99"/>
  <c r="D45" i="140"/>
  <c r="C45" i="140" s="1"/>
  <c r="B45" i="140" s="1"/>
  <c r="B55" i="24"/>
  <c r="H55" i="24" s="1"/>
  <c r="B55" i="14"/>
  <c r="U55" i="21" s="1"/>
  <c r="F55" i="21"/>
  <c r="P91" i="60"/>
  <c r="C91" i="60"/>
  <c r="P41" i="60"/>
  <c r="C41" i="60"/>
  <c r="M86" i="13"/>
  <c r="M58" i="13"/>
  <c r="H45" i="60"/>
  <c r="H43" i="12"/>
  <c r="O43" i="12" s="1"/>
  <c r="K30" i="25"/>
  <c r="N28" i="10"/>
  <c r="D16" i="98"/>
  <c r="D20" i="98"/>
  <c r="P32" i="60"/>
  <c r="C32" i="60"/>
  <c r="U81" i="21"/>
  <c r="H86" i="9"/>
  <c r="M18" i="140"/>
  <c r="L21" i="9"/>
  <c r="I86" i="9"/>
  <c r="T80" i="21"/>
  <c r="O33" i="140"/>
  <c r="O86" i="9"/>
  <c r="H53" i="59"/>
  <c r="H220" i="59" s="1"/>
  <c r="H65" i="24"/>
  <c r="D28" i="99"/>
  <c r="O14" i="98"/>
  <c r="J28" i="10"/>
  <c r="C32" i="12"/>
  <c r="J31" i="12"/>
  <c r="Q85" i="8"/>
  <c r="T56" i="21"/>
  <c r="F74" i="24"/>
  <c r="C74" i="15"/>
  <c r="L31" i="257"/>
  <c r="N33" i="140"/>
  <c r="C80" i="15"/>
  <c r="H75" i="21"/>
  <c r="T75" i="21" s="1"/>
  <c r="H62" i="21"/>
  <c r="T62" i="21" s="1"/>
  <c r="P28" i="13"/>
  <c r="O28" i="13" s="1"/>
  <c r="J28" i="13" s="1"/>
  <c r="F28" i="19" s="1"/>
  <c r="E28" i="19" s="1"/>
  <c r="C28" i="261" s="1"/>
  <c r="B37" i="13"/>
  <c r="C43" i="12"/>
  <c r="D20" i="99"/>
  <c r="B32" i="13"/>
  <c r="C21" i="12"/>
  <c r="H60" i="21"/>
  <c r="C60" i="15" s="1"/>
  <c r="E35" i="13"/>
  <c r="C54" i="60"/>
  <c r="P54" i="60"/>
  <c r="P17" i="60"/>
  <c r="C17" i="60"/>
  <c r="E73" i="60"/>
  <c r="C73" i="60" s="1"/>
  <c r="O71" i="257" s="1"/>
  <c r="Q71" i="257" s="1"/>
  <c r="V71" i="21"/>
  <c r="H70" i="21"/>
  <c r="F35" i="13"/>
  <c r="B35" i="23"/>
  <c r="R35" i="23" s="1"/>
  <c r="G35" i="13"/>
  <c r="C37" i="60"/>
  <c r="P37" i="60"/>
  <c r="H40" i="13"/>
  <c r="H76" i="21"/>
  <c r="I64" i="261"/>
  <c r="L17" i="257"/>
  <c r="M19" i="140"/>
  <c r="M73" i="15"/>
  <c r="H73" i="21"/>
  <c r="F60" i="24"/>
  <c r="C24" i="60"/>
  <c r="P24" i="60"/>
  <c r="H78" i="13"/>
  <c r="C78" i="15"/>
  <c r="T78" i="21"/>
  <c r="F78" i="24"/>
  <c r="F77" i="21"/>
  <c r="M77" i="14" s="1"/>
  <c r="B77" i="24"/>
  <c r="H77" i="24" s="1"/>
  <c r="B77" i="14"/>
  <c r="U77" i="21" s="1"/>
  <c r="T35" i="13"/>
  <c r="H81" i="21"/>
  <c r="T81" i="21" s="1"/>
  <c r="H53" i="60"/>
  <c r="Q53" i="60" s="1"/>
  <c r="D53" i="140"/>
  <c r="C53" i="140" s="1"/>
  <c r="B53" i="140" s="1"/>
  <c r="V88" i="21"/>
  <c r="P29" i="60"/>
  <c r="C29" i="60"/>
  <c r="C38" i="60"/>
  <c r="P38" i="60"/>
  <c r="C40" i="60"/>
  <c r="P40" i="60"/>
  <c r="O14" i="257"/>
  <c r="O16" i="60"/>
  <c r="O18" i="60"/>
  <c r="O16" i="257"/>
  <c r="H36" i="13"/>
  <c r="D6" i="174"/>
  <c r="H59" i="21"/>
  <c r="T59" i="21" s="1"/>
  <c r="V64" i="21"/>
  <c r="V65" i="21"/>
  <c r="V75" i="21"/>
  <c r="U57" i="21"/>
  <c r="H57" i="21"/>
  <c r="T57" i="21" s="1"/>
  <c r="G76" i="60"/>
  <c r="E76" i="60" s="1"/>
  <c r="B74" i="14"/>
  <c r="U74" i="21" s="1"/>
  <c r="B74" i="24"/>
  <c r="H74" i="24" s="1"/>
  <c r="V74" i="21"/>
  <c r="F74" i="21"/>
  <c r="T60" i="21"/>
  <c r="C13" i="60"/>
  <c r="P13" i="60"/>
  <c r="H63" i="21"/>
  <c r="M31" i="140"/>
  <c r="L29" i="257"/>
  <c r="L22" i="257"/>
  <c r="M24" i="140"/>
  <c r="Q24" i="140" s="1"/>
  <c r="O23" i="60"/>
  <c r="O21" i="257"/>
  <c r="Q26" i="8"/>
  <c r="B45" i="9"/>
  <c r="O25" i="99"/>
  <c r="P35" i="36"/>
  <c r="B10" i="36"/>
  <c r="H10" i="36" s="1"/>
  <c r="P10" i="8"/>
  <c r="M56" i="13"/>
  <c r="O84" i="9"/>
  <c r="G56" i="25"/>
  <c r="G71" i="25"/>
  <c r="F37" i="12"/>
  <c r="O15" i="99"/>
  <c r="Q51" i="8"/>
  <c r="P18" i="36"/>
  <c r="O20" i="99"/>
  <c r="D25" i="98"/>
  <c r="B22" i="12"/>
  <c r="P22" i="9"/>
  <c r="O56" i="9"/>
  <c r="D38" i="98"/>
  <c r="D36" i="98"/>
  <c r="I13" i="8"/>
  <c r="L13" i="8" s="1"/>
  <c r="Q21" i="8"/>
  <c r="H71" i="9"/>
  <c r="O17" i="99"/>
  <c r="O42" i="99"/>
  <c r="AB13" i="101"/>
  <c r="G49" i="17"/>
  <c r="L49" i="17" s="1"/>
  <c r="T49" i="17" s="1"/>
  <c r="G49" i="261"/>
  <c r="L49" i="261" s="1"/>
  <c r="AH49" i="261" s="1"/>
  <c r="G16" i="17"/>
  <c r="L16" i="17" s="1"/>
  <c r="T16" i="17" s="1"/>
  <c r="G16" i="261"/>
  <c r="L16" i="261" s="1"/>
  <c r="AH16" i="261" s="1"/>
  <c r="G77" i="17"/>
  <c r="G77" i="261"/>
  <c r="G38" i="17"/>
  <c r="L38" i="17" s="1"/>
  <c r="T38" i="17" s="1"/>
  <c r="G38" i="261"/>
  <c r="L38" i="261" s="1"/>
  <c r="AH38" i="261" s="1"/>
  <c r="H83" i="9"/>
  <c r="I83" i="9"/>
  <c r="J83" i="9" s="1"/>
  <c r="M83" i="13"/>
  <c r="F83" i="9"/>
  <c r="G83" i="25"/>
  <c r="K83" i="9"/>
  <c r="L42" i="19"/>
  <c r="B42" i="261"/>
  <c r="B42" i="17"/>
  <c r="C27" i="127"/>
  <c r="B27" i="10"/>
  <c r="G28" i="17"/>
  <c r="L28" i="17" s="1"/>
  <c r="T28" i="17" s="1"/>
  <c r="G28" i="261"/>
  <c r="L28" i="261" s="1"/>
  <c r="AH28" i="261" s="1"/>
  <c r="H59" i="261"/>
  <c r="O34" i="99"/>
  <c r="O38" i="99"/>
  <c r="D35" i="98"/>
  <c r="D28" i="98"/>
  <c r="G12" i="17"/>
  <c r="G12" i="261"/>
  <c r="G22" i="17"/>
  <c r="L22" i="17" s="1"/>
  <c r="T22" i="17" s="1"/>
  <c r="G22" i="261"/>
  <c r="L22" i="261" s="1"/>
  <c r="AH22" i="261" s="1"/>
  <c r="I58" i="9"/>
  <c r="J58" i="9" s="1"/>
  <c r="I64" i="9"/>
  <c r="J64" i="9" s="1"/>
  <c r="H73" i="9"/>
  <c r="M41" i="261"/>
  <c r="O15" i="98"/>
  <c r="G31" i="17"/>
  <c r="L31" i="17" s="1"/>
  <c r="T31" i="17" s="1"/>
  <c r="G31" i="261"/>
  <c r="L31" i="261" s="1"/>
  <c r="AH31" i="261" s="1"/>
  <c r="M24" i="261"/>
  <c r="D37" i="99"/>
  <c r="G48" i="8"/>
  <c r="P48" i="8" s="1"/>
  <c r="K26" i="19"/>
  <c r="B26" i="261"/>
  <c r="G39" i="17"/>
  <c r="L39" i="17" s="1"/>
  <c r="T39" i="17" s="1"/>
  <c r="G39" i="261"/>
  <c r="L39" i="261" s="1"/>
  <c r="AH39" i="261" s="1"/>
  <c r="O31" i="99"/>
  <c r="D29" i="99"/>
  <c r="G40" i="17"/>
  <c r="L40" i="17" s="1"/>
  <c r="T40" i="17" s="1"/>
  <c r="G40" i="261"/>
  <c r="L40" i="261" s="1"/>
  <c r="AH40" i="261" s="1"/>
  <c r="B43" i="10"/>
  <c r="F43" i="10" s="1"/>
  <c r="K43" i="10" s="1"/>
  <c r="E29" i="261"/>
  <c r="O29" i="261" s="1"/>
  <c r="G30" i="17"/>
  <c r="G30" i="261"/>
  <c r="L30" i="261" s="1"/>
  <c r="AH30" i="261" s="1"/>
  <c r="G46" i="17"/>
  <c r="L46" i="17" s="1"/>
  <c r="T46" i="17" s="1"/>
  <c r="G46" i="261"/>
  <c r="L46" i="261" s="1"/>
  <c r="AH46" i="261" s="1"/>
  <c r="P42" i="13"/>
  <c r="O42" i="13" s="1"/>
  <c r="J42" i="13" s="1"/>
  <c r="K42" i="13" s="1"/>
  <c r="G26" i="17"/>
  <c r="L26" i="17" s="1"/>
  <c r="T26" i="17" s="1"/>
  <c r="G26" i="261"/>
  <c r="L26" i="261" s="1"/>
  <c r="AH26" i="261" s="1"/>
  <c r="I24" i="17"/>
  <c r="G15" i="17"/>
  <c r="L15" i="17" s="1"/>
  <c r="T15" i="17" s="1"/>
  <c r="G15" i="261"/>
  <c r="L15" i="261" s="1"/>
  <c r="AH15" i="261" s="1"/>
  <c r="G17" i="17"/>
  <c r="L17" i="17" s="1"/>
  <c r="T17" i="17" s="1"/>
  <c r="G17" i="261"/>
  <c r="L17" i="261" s="1"/>
  <c r="AH17" i="261" s="1"/>
  <c r="G19" i="17"/>
  <c r="L19" i="17" s="1"/>
  <c r="T19" i="17" s="1"/>
  <c r="G19" i="261"/>
  <c r="L19" i="261" s="1"/>
  <c r="AH19" i="261" s="1"/>
  <c r="G32" i="17"/>
  <c r="G32" i="261"/>
  <c r="L32" i="261" s="1"/>
  <c r="AH32" i="261" s="1"/>
  <c r="G44" i="17"/>
  <c r="L44" i="17" s="1"/>
  <c r="T44" i="17" s="1"/>
  <c r="G44" i="261"/>
  <c r="L44" i="261" s="1"/>
  <c r="AH44" i="261" s="1"/>
  <c r="G14" i="17"/>
  <c r="L14" i="17" s="1"/>
  <c r="T14" i="17" s="1"/>
  <c r="G14" i="261"/>
  <c r="L14" i="261" s="1"/>
  <c r="AH14" i="261" s="1"/>
  <c r="G43" i="17"/>
  <c r="L43" i="17" s="1"/>
  <c r="T43" i="17" s="1"/>
  <c r="G43" i="261"/>
  <c r="L43" i="261" s="1"/>
  <c r="AH43" i="261" s="1"/>
  <c r="G29" i="17"/>
  <c r="L29" i="17" s="1"/>
  <c r="T29" i="17" s="1"/>
  <c r="G29" i="261"/>
  <c r="L29" i="261" s="1"/>
  <c r="AH29" i="261" s="1"/>
  <c r="E31" i="12"/>
  <c r="U31" i="13"/>
  <c r="G35" i="17"/>
  <c r="L35" i="17" s="1"/>
  <c r="T35" i="17" s="1"/>
  <c r="G35" i="261"/>
  <c r="L35" i="261" s="1"/>
  <c r="AH35" i="261" s="1"/>
  <c r="E74" i="9"/>
  <c r="E69" i="9"/>
  <c r="E78" i="9"/>
  <c r="E71" i="9"/>
  <c r="K71" i="9" s="1"/>
  <c r="E55" i="9"/>
  <c r="E70" i="9"/>
  <c r="E79" i="9"/>
  <c r="K79" i="9" s="1"/>
  <c r="E56" i="9"/>
  <c r="E63" i="9"/>
  <c r="F63" i="9" s="1"/>
  <c r="E57" i="9"/>
  <c r="E82" i="9"/>
  <c r="F82" i="9" s="1"/>
  <c r="E81" i="9"/>
  <c r="K81" i="9" s="1"/>
  <c r="E75" i="9"/>
  <c r="F75" i="9" s="1"/>
  <c r="E66" i="9"/>
  <c r="E60" i="9"/>
  <c r="E54" i="9"/>
  <c r="E76" i="9"/>
  <c r="F76" i="9" s="1"/>
  <c r="E59" i="9"/>
  <c r="E86" i="9"/>
  <c r="E87" i="9"/>
  <c r="F87" i="9" s="1"/>
  <c r="E58" i="9"/>
  <c r="K58" i="9" s="1"/>
  <c r="E84" i="9"/>
  <c r="E88" i="9"/>
  <c r="K88" i="9" s="1"/>
  <c r="E80" i="9"/>
  <c r="K80" i="9" s="1"/>
  <c r="E61" i="9"/>
  <c r="F61" i="9" s="1"/>
  <c r="E85" i="9"/>
  <c r="E73" i="9"/>
  <c r="E62" i="9"/>
  <c r="G18" i="17"/>
  <c r="L18" i="17" s="1"/>
  <c r="T18" i="17" s="1"/>
  <c r="G18" i="261"/>
  <c r="L18" i="261" s="1"/>
  <c r="AH18" i="261" s="1"/>
  <c r="M29" i="261"/>
  <c r="F29" i="261"/>
  <c r="G34" i="17"/>
  <c r="L34" i="17" s="1"/>
  <c r="T34" i="17" s="1"/>
  <c r="G34" i="261"/>
  <c r="L34" i="261" s="1"/>
  <c r="AH34" i="261" s="1"/>
  <c r="C43" i="127"/>
  <c r="L42" i="261"/>
  <c r="AH42" i="261" s="1"/>
  <c r="I24" i="261"/>
  <c r="H48" i="36"/>
  <c r="O73" i="9"/>
  <c r="O58" i="9"/>
  <c r="G36" i="17"/>
  <c r="L36" i="17" s="1"/>
  <c r="T36" i="17" s="1"/>
  <c r="G36" i="261"/>
  <c r="L36" i="261" s="1"/>
  <c r="AH36" i="261" s="1"/>
  <c r="G21" i="17"/>
  <c r="L21" i="17" s="1"/>
  <c r="T21" i="17" s="1"/>
  <c r="G21" i="261"/>
  <c r="L21" i="261" s="1"/>
  <c r="AH21" i="261" s="1"/>
  <c r="I73" i="9"/>
  <c r="G20" i="17"/>
  <c r="L20" i="17" s="1"/>
  <c r="T20" i="17" s="1"/>
  <c r="G20" i="261"/>
  <c r="L20" i="261" s="1"/>
  <c r="AH20" i="261" s="1"/>
  <c r="M33" i="261"/>
  <c r="U24" i="13"/>
  <c r="O35" i="98"/>
  <c r="G48" i="17"/>
  <c r="L48" i="17" s="1"/>
  <c r="T48" i="17" s="1"/>
  <c r="G48" i="261"/>
  <c r="L48" i="261" s="1"/>
  <c r="AH48" i="261" s="1"/>
  <c r="D19" i="98"/>
  <c r="D37" i="98"/>
  <c r="D74" i="12"/>
  <c r="G74" i="12" s="1"/>
  <c r="H74" i="261"/>
  <c r="D39" i="99"/>
  <c r="O36" i="98"/>
  <c r="G37" i="17"/>
  <c r="L37" i="17" s="1"/>
  <c r="T37" i="17" s="1"/>
  <c r="G37" i="261"/>
  <c r="L37" i="261" s="1"/>
  <c r="AH37" i="261" s="1"/>
  <c r="G11" i="17"/>
  <c r="L11" i="17" s="1"/>
  <c r="T11" i="17" s="1"/>
  <c r="G11" i="261"/>
  <c r="L11" i="261" s="1"/>
  <c r="AH11" i="261" s="1"/>
  <c r="G24" i="17"/>
  <c r="T24" i="17" s="1"/>
  <c r="G24" i="261"/>
  <c r="O17" i="98"/>
  <c r="E64" i="9"/>
  <c r="F64" i="9" s="1"/>
  <c r="J42" i="10"/>
  <c r="O83" i="9"/>
  <c r="L31" i="13"/>
  <c r="F42" i="10"/>
  <c r="F44" i="25"/>
  <c r="D32" i="19"/>
  <c r="G15" i="12"/>
  <c r="N15" i="12" s="1"/>
  <c r="B39" i="12"/>
  <c r="F39" i="12" s="1"/>
  <c r="P39" i="9"/>
  <c r="O39" i="9"/>
  <c r="H39" i="9"/>
  <c r="B16" i="12"/>
  <c r="F16" i="12" s="1"/>
  <c r="P16" i="9"/>
  <c r="O16" i="9"/>
  <c r="H16" i="9"/>
  <c r="G21" i="12"/>
  <c r="N21" i="12" s="1"/>
  <c r="M87" i="13"/>
  <c r="M67" i="13"/>
  <c r="Q55" i="8"/>
  <c r="K64" i="9"/>
  <c r="B19" i="12"/>
  <c r="F19" i="12" s="1"/>
  <c r="O19" i="9"/>
  <c r="P19" i="9"/>
  <c r="H19" i="9"/>
  <c r="N26" i="10"/>
  <c r="Q43" i="140"/>
  <c r="D23" i="98"/>
  <c r="N29" i="10"/>
  <c r="C15" i="12"/>
  <c r="D42" i="99"/>
  <c r="B49" i="10"/>
  <c r="C49" i="19" s="1"/>
  <c r="B49" i="19" s="1"/>
  <c r="B49" i="261" s="1"/>
  <c r="B42" i="12"/>
  <c r="O42" i="9"/>
  <c r="P42" i="9"/>
  <c r="H42" i="9"/>
  <c r="J47" i="36"/>
  <c r="J17" i="36"/>
  <c r="C10" i="36"/>
  <c r="O10" i="36" s="1"/>
  <c r="B21" i="12"/>
  <c r="F21" i="12" s="1"/>
  <c r="O21" i="9"/>
  <c r="P21" i="9"/>
  <c r="H21" i="9"/>
  <c r="J50" i="36"/>
  <c r="B38" i="12"/>
  <c r="F38" i="12" s="1"/>
  <c r="H38" i="9"/>
  <c r="P38" i="9"/>
  <c r="O38" i="9"/>
  <c r="O18" i="98"/>
  <c r="O20" i="98"/>
  <c r="D39" i="98"/>
  <c r="Q81" i="8"/>
  <c r="Q43" i="8"/>
  <c r="Q75" i="8"/>
  <c r="H75" i="8"/>
  <c r="H53" i="8" s="1"/>
  <c r="J53" i="8" s="1"/>
  <c r="P32" i="9"/>
  <c r="B32" i="12"/>
  <c r="O32" i="9"/>
  <c r="B20" i="12"/>
  <c r="P20" i="9"/>
  <c r="H20" i="9"/>
  <c r="O20" i="9"/>
  <c r="B41" i="10"/>
  <c r="L41" i="9"/>
  <c r="Q13" i="8"/>
  <c r="B43" i="12"/>
  <c r="I43" i="12" s="1"/>
  <c r="P43" i="9"/>
  <c r="O43" i="9"/>
  <c r="D30" i="12"/>
  <c r="K48" i="36"/>
  <c r="O65" i="9"/>
  <c r="H64" i="9"/>
  <c r="G64" i="25"/>
  <c r="M55" i="8"/>
  <c r="R55" i="8" s="1"/>
  <c r="I88" i="9"/>
  <c r="J88" i="9" s="1"/>
  <c r="D74" i="9"/>
  <c r="O74" i="9" s="1"/>
  <c r="C49" i="127"/>
  <c r="Q24" i="8"/>
  <c r="Q50" i="8"/>
  <c r="P17" i="36"/>
  <c r="B40" i="12"/>
  <c r="I40" i="12" s="1"/>
  <c r="O40" i="9"/>
  <c r="H40" i="9"/>
  <c r="P40" i="9"/>
  <c r="P12" i="9"/>
  <c r="O12" i="9"/>
  <c r="B12" i="12"/>
  <c r="I12" i="12" s="1"/>
  <c r="H12" i="9"/>
  <c r="G50" i="25"/>
  <c r="I50" i="9"/>
  <c r="H50" i="9"/>
  <c r="M50" i="13"/>
  <c r="Q50" i="9"/>
  <c r="H43" i="9"/>
  <c r="B18" i="12"/>
  <c r="P18" i="9"/>
  <c r="O18" i="9"/>
  <c r="H18" i="9"/>
  <c r="Q52" i="8"/>
  <c r="F42" i="19"/>
  <c r="M50" i="8"/>
  <c r="Q49" i="8"/>
  <c r="J77" i="9"/>
  <c r="B38" i="13"/>
  <c r="K38" i="13" s="1"/>
  <c r="L38" i="13" s="1"/>
  <c r="H38" i="12"/>
  <c r="O38" i="12" s="1"/>
  <c r="I32" i="17"/>
  <c r="Q20" i="8"/>
  <c r="E74" i="116"/>
  <c r="O30" i="9"/>
  <c r="B30" i="12"/>
  <c r="P30" i="9"/>
  <c r="H30" i="9"/>
  <c r="B17" i="12"/>
  <c r="H17" i="9"/>
  <c r="P17" i="9"/>
  <c r="O17" i="9"/>
  <c r="O48" i="36"/>
  <c r="M64" i="13"/>
  <c r="Q27" i="140"/>
  <c r="J47" i="9"/>
  <c r="O23" i="99"/>
  <c r="O37" i="98"/>
  <c r="O16" i="98"/>
  <c r="D29" i="98"/>
  <c r="D44" i="12"/>
  <c r="I75" i="8"/>
  <c r="B51" i="12"/>
  <c r="O51" i="9"/>
  <c r="H51" i="9"/>
  <c r="P51" i="9"/>
  <c r="R47" i="8"/>
  <c r="N47" i="8"/>
  <c r="B24" i="12"/>
  <c r="F24" i="12" s="1"/>
  <c r="H24" i="9"/>
  <c r="P24" i="9"/>
  <c r="O24" i="9"/>
  <c r="C10" i="9"/>
  <c r="B10" i="12"/>
  <c r="P10" i="9"/>
  <c r="H10" i="9"/>
  <c r="O10" i="9"/>
  <c r="M52" i="8"/>
  <c r="M54" i="140" s="1"/>
  <c r="B22" i="13"/>
  <c r="H22" i="12"/>
  <c r="O22" i="12" s="1"/>
  <c r="J22" i="9"/>
  <c r="P22" i="36"/>
  <c r="L22" i="36"/>
  <c r="B13" i="9"/>
  <c r="F13" i="8"/>
  <c r="B13" i="36" s="1"/>
  <c r="G13" i="8"/>
  <c r="B25" i="12"/>
  <c r="H25" i="9"/>
  <c r="P25" i="9"/>
  <c r="O25" i="9"/>
  <c r="K20" i="13"/>
  <c r="L20" i="13" s="1"/>
  <c r="G17" i="12"/>
  <c r="N17" i="12" s="1"/>
  <c r="C17" i="12"/>
  <c r="H32" i="9"/>
  <c r="C24" i="17"/>
  <c r="J71" i="9"/>
  <c r="Q22" i="140"/>
  <c r="J72" i="9"/>
  <c r="J69" i="9"/>
  <c r="B52" i="10"/>
  <c r="L52" i="9"/>
  <c r="C52" i="127"/>
  <c r="B48" i="12"/>
  <c r="P48" i="9"/>
  <c r="H48" i="9"/>
  <c r="O48" i="9"/>
  <c r="B36" i="12"/>
  <c r="F36" i="12" s="1"/>
  <c r="H36" i="9"/>
  <c r="O36" i="9"/>
  <c r="P36" i="9"/>
  <c r="C44" i="19"/>
  <c r="B44" i="19" s="1"/>
  <c r="B44" i="261" s="1"/>
  <c r="P44" i="13"/>
  <c r="O44" i="13" s="1"/>
  <c r="J44" i="10"/>
  <c r="F44" i="10"/>
  <c r="K44" i="10" s="1"/>
  <c r="I36" i="12"/>
  <c r="F77" i="10"/>
  <c r="C77" i="10" s="1"/>
  <c r="N77" i="10" s="1"/>
  <c r="J77" i="10"/>
  <c r="P77" i="13" s="1"/>
  <c r="O77" i="13" s="1"/>
  <c r="C77" i="19"/>
  <c r="J46" i="10"/>
  <c r="F46" i="10"/>
  <c r="K46" i="10" s="1"/>
  <c r="C46" i="19"/>
  <c r="B46" i="19" s="1"/>
  <c r="B46" i="261" s="1"/>
  <c r="C10" i="19"/>
  <c r="B10" i="19" s="1"/>
  <c r="B10" i="261" s="1"/>
  <c r="J10" i="10"/>
  <c r="F10" i="10"/>
  <c r="K10" i="10" s="1"/>
  <c r="P10" i="13"/>
  <c r="O10" i="13" s="1"/>
  <c r="J10" i="13" s="1"/>
  <c r="H87" i="9"/>
  <c r="Q18" i="140"/>
  <c r="J55" i="9"/>
  <c r="J60" i="9"/>
  <c r="J62" i="9"/>
  <c r="O39" i="99"/>
  <c r="D15" i="98"/>
  <c r="J49" i="10"/>
  <c r="I12" i="19"/>
  <c r="J12" i="261" s="1"/>
  <c r="J12" i="19"/>
  <c r="K12" i="261" s="1"/>
  <c r="I37" i="12"/>
  <c r="O39" i="98"/>
  <c r="D18" i="98"/>
  <c r="B35" i="17"/>
  <c r="L35" i="19"/>
  <c r="M48" i="8"/>
  <c r="Q48" i="8"/>
  <c r="K26" i="13"/>
  <c r="L26" i="13" s="1"/>
  <c r="F32" i="12"/>
  <c r="F89" i="9"/>
  <c r="K89" i="9"/>
  <c r="R74" i="8"/>
  <c r="N74" i="8"/>
  <c r="C39" i="19"/>
  <c r="B39" i="19" s="1"/>
  <c r="B39" i="261" s="1"/>
  <c r="J39" i="10"/>
  <c r="P39" i="13"/>
  <c r="O39" i="13" s="1"/>
  <c r="B35" i="12"/>
  <c r="F35" i="12" s="1"/>
  <c r="P35" i="9"/>
  <c r="H35" i="9"/>
  <c r="O35" i="9"/>
  <c r="C30" i="19"/>
  <c r="P30" i="13"/>
  <c r="J30" i="10"/>
  <c r="I30" i="17"/>
  <c r="J54" i="9"/>
  <c r="C33" i="17"/>
  <c r="M33" i="17" s="1"/>
  <c r="B28" i="17"/>
  <c r="L28" i="19"/>
  <c r="I16" i="12"/>
  <c r="Q54" i="8"/>
  <c r="J86" i="9"/>
  <c r="O82" i="9"/>
  <c r="O71" i="9"/>
  <c r="J84" i="9"/>
  <c r="J66" i="9"/>
  <c r="M71" i="13"/>
  <c r="H88" i="9"/>
  <c r="D102" i="9"/>
  <c r="C102" i="9"/>
  <c r="F88" i="9"/>
  <c r="B88" i="10" s="1"/>
  <c r="O14" i="99"/>
  <c r="B30" i="13"/>
  <c r="H30" i="12"/>
  <c r="O30" i="12" s="1"/>
  <c r="C48" i="19"/>
  <c r="B48" i="19" s="1"/>
  <c r="B48" i="261" s="1"/>
  <c r="J48" i="10"/>
  <c r="B13" i="10"/>
  <c r="C13" i="127"/>
  <c r="B44" i="12"/>
  <c r="P44" i="9"/>
  <c r="H44" i="9"/>
  <c r="O44" i="9"/>
  <c r="D16" i="99"/>
  <c r="D21" i="99"/>
  <c r="B23" i="9"/>
  <c r="F23" i="8"/>
  <c r="B23" i="36" s="1"/>
  <c r="K23" i="8"/>
  <c r="G23" i="8"/>
  <c r="U34" i="13"/>
  <c r="P37" i="13"/>
  <c r="O37" i="13" s="1"/>
  <c r="J37" i="13" s="1"/>
  <c r="F37" i="19" s="1"/>
  <c r="E37" i="19" s="1"/>
  <c r="C37" i="261" s="1"/>
  <c r="J37" i="10"/>
  <c r="C37" i="19"/>
  <c r="B37" i="19" s="1"/>
  <c r="B37" i="261" s="1"/>
  <c r="F37" i="10"/>
  <c r="K37" i="10" s="1"/>
  <c r="C11" i="19"/>
  <c r="B11" i="19" s="1"/>
  <c r="B11" i="261" s="1"/>
  <c r="F11" i="10"/>
  <c r="K11" i="10" s="1"/>
  <c r="J11" i="10"/>
  <c r="P11" i="13"/>
  <c r="O11" i="13" s="1"/>
  <c r="J11" i="13" s="1"/>
  <c r="I22" i="12"/>
  <c r="F22" i="12"/>
  <c r="P14" i="13"/>
  <c r="O14" i="13" s="1"/>
  <c r="J14" i="13" s="1"/>
  <c r="C14" i="19"/>
  <c r="B14" i="19" s="1"/>
  <c r="B14" i="261" s="1"/>
  <c r="F14" i="10"/>
  <c r="K14" i="10" s="1"/>
  <c r="J14" i="10"/>
  <c r="J78" i="9"/>
  <c r="C34" i="19"/>
  <c r="B34" i="19" s="1"/>
  <c r="B34" i="261" s="1"/>
  <c r="J34" i="10"/>
  <c r="P34" i="13"/>
  <c r="F34" i="10"/>
  <c r="K34" i="10" s="1"/>
  <c r="O25" i="98"/>
  <c r="O11" i="98"/>
  <c r="C24" i="19"/>
  <c r="B24" i="19" s="1"/>
  <c r="B24" i="261" s="1"/>
  <c r="F24" i="261" s="1"/>
  <c r="F24" i="10"/>
  <c r="K24" i="10" s="1"/>
  <c r="P24" i="13"/>
  <c r="J24" i="10"/>
  <c r="Q44" i="8"/>
  <c r="B29" i="17"/>
  <c r="L29" i="19"/>
  <c r="Q31" i="8"/>
  <c r="J73" i="9"/>
  <c r="J56" i="9"/>
  <c r="P32" i="13"/>
  <c r="C32" i="19"/>
  <c r="J32" i="10"/>
  <c r="F32" i="10"/>
  <c r="K32" i="10" s="1"/>
  <c r="I28" i="8"/>
  <c r="L28" i="8" s="1"/>
  <c r="K28" i="8"/>
  <c r="F38" i="19"/>
  <c r="E38" i="19" s="1"/>
  <c r="C38" i="261" s="1"/>
  <c r="J48" i="36"/>
  <c r="Q26" i="140"/>
  <c r="Q37" i="140"/>
  <c r="N30" i="10"/>
  <c r="Q14" i="140"/>
  <c r="O81" i="9"/>
  <c r="O88" i="9"/>
  <c r="J26" i="36"/>
  <c r="Q21" i="140"/>
  <c r="M88" i="13"/>
  <c r="E102" i="9"/>
  <c r="E51" i="9" s="1"/>
  <c r="C31" i="19"/>
  <c r="B31" i="19" s="1"/>
  <c r="B31" i="261" s="1"/>
  <c r="P31" i="13"/>
  <c r="J31" i="10"/>
  <c r="F20" i="12"/>
  <c r="I20" i="12"/>
  <c r="J52" i="9"/>
  <c r="K44" i="12"/>
  <c r="O44" i="25"/>
  <c r="P52" i="36"/>
  <c r="L52" i="36"/>
  <c r="I89" i="8"/>
  <c r="L89" i="8" s="1"/>
  <c r="E53" i="8"/>
  <c r="F89" i="8"/>
  <c r="K89" i="8"/>
  <c r="O29" i="98"/>
  <c r="I34" i="12"/>
  <c r="F34" i="12"/>
  <c r="B26" i="17"/>
  <c r="F26" i="17" s="1"/>
  <c r="L26" i="19"/>
  <c r="B38" i="17"/>
  <c r="L38" i="19"/>
  <c r="C40" i="19"/>
  <c r="B40" i="19" s="1"/>
  <c r="B40" i="261" s="1"/>
  <c r="J40" i="10"/>
  <c r="P40" i="13"/>
  <c r="O40" i="13" s="1"/>
  <c r="J40" i="13" s="1"/>
  <c r="F40" i="19" s="1"/>
  <c r="E40" i="19" s="1"/>
  <c r="C40" i="261" s="1"/>
  <c r="F40" i="10"/>
  <c r="K40" i="10" s="1"/>
  <c r="C43" i="19"/>
  <c r="B43" i="19" s="1"/>
  <c r="B43" i="261" s="1"/>
  <c r="K32" i="13"/>
  <c r="L32" i="13" s="1"/>
  <c r="F14" i="8"/>
  <c r="B14" i="36" s="1"/>
  <c r="C61" i="36" s="1"/>
  <c r="G14" i="8"/>
  <c r="B26" i="12"/>
  <c r="F26" i="12" s="1"/>
  <c r="H26" i="9"/>
  <c r="O26" i="9"/>
  <c r="P26" i="9"/>
  <c r="G57" i="13"/>
  <c r="C57" i="24"/>
  <c r="C57" i="14"/>
  <c r="D57" i="14" s="1"/>
  <c r="S57" i="21"/>
  <c r="G75" i="13"/>
  <c r="C75" i="24"/>
  <c r="C75" i="14"/>
  <c r="D75" i="14" s="1"/>
  <c r="S75" i="21"/>
  <c r="K58" i="59"/>
  <c r="C58" i="21"/>
  <c r="E64" i="60"/>
  <c r="Q29" i="60"/>
  <c r="P48" i="36"/>
  <c r="O14" i="60"/>
  <c r="O12" i="257"/>
  <c r="G9" i="36"/>
  <c r="G85" i="25"/>
  <c r="F85" i="9"/>
  <c r="I85" i="9"/>
  <c r="K85" i="9"/>
  <c r="N86" i="8"/>
  <c r="J75" i="12"/>
  <c r="N66" i="8"/>
  <c r="N64" i="8"/>
  <c r="B59" i="25"/>
  <c r="D59" i="12"/>
  <c r="G59" i="12" s="1"/>
  <c r="E59" i="116"/>
  <c r="E53" i="116" s="1"/>
  <c r="H59" i="17"/>
  <c r="D59" i="9"/>
  <c r="O59" i="9" s="1"/>
  <c r="C22" i="19"/>
  <c r="B22" i="19" s="1"/>
  <c r="B22" i="261" s="1"/>
  <c r="F22" i="10"/>
  <c r="K22" i="10" s="1"/>
  <c r="J22" i="10"/>
  <c r="P22" i="13"/>
  <c r="O22" i="13" s="1"/>
  <c r="C18" i="19"/>
  <c r="B18" i="19" s="1"/>
  <c r="B18" i="261" s="1"/>
  <c r="F18" i="10"/>
  <c r="K18" i="10" s="1"/>
  <c r="J18" i="10"/>
  <c r="P18" i="13"/>
  <c r="O18" i="13" s="1"/>
  <c r="J12" i="13"/>
  <c r="B31" i="12"/>
  <c r="P31" i="9"/>
  <c r="O31" i="9"/>
  <c r="H31" i="9"/>
  <c r="G89" i="13"/>
  <c r="F89" i="13" s="1"/>
  <c r="C89" i="14"/>
  <c r="D89" i="14" s="1"/>
  <c r="S89" i="21"/>
  <c r="O27" i="60"/>
  <c r="O25" i="257"/>
  <c r="O15" i="60"/>
  <c r="O13" i="257"/>
  <c r="C46" i="60"/>
  <c r="P46" i="60"/>
  <c r="J62" i="12"/>
  <c r="C62" i="12"/>
  <c r="J68" i="12"/>
  <c r="G63" i="25"/>
  <c r="I63" i="9"/>
  <c r="F67" i="21"/>
  <c r="D67" i="21" s="1"/>
  <c r="B67" i="24"/>
  <c r="B67" i="14"/>
  <c r="H81" i="13"/>
  <c r="E83" i="140"/>
  <c r="F81" i="24"/>
  <c r="C81" i="15"/>
  <c r="H83" i="60"/>
  <c r="C48" i="60"/>
  <c r="P48" i="60"/>
  <c r="P17" i="140"/>
  <c r="N17" i="140"/>
  <c r="O17" i="140"/>
  <c r="E49" i="140"/>
  <c r="J80" i="12"/>
  <c r="O61" i="9"/>
  <c r="N62" i="8"/>
  <c r="N60" i="8"/>
  <c r="C29" i="17"/>
  <c r="K29" i="19"/>
  <c r="B47" i="10"/>
  <c r="L47" i="9"/>
  <c r="C47" i="127"/>
  <c r="Q11" i="8"/>
  <c r="O33" i="60"/>
  <c r="O31" i="257"/>
  <c r="L37" i="257"/>
  <c r="M39" i="140"/>
  <c r="O39" i="60"/>
  <c r="O37" i="257"/>
  <c r="L42" i="257"/>
  <c r="M44" i="140"/>
  <c r="H80" i="9"/>
  <c r="N61" i="8"/>
  <c r="M75" i="13"/>
  <c r="N75" i="8"/>
  <c r="J84" i="12"/>
  <c r="N82" i="8"/>
  <c r="F84" i="21"/>
  <c r="D84" i="21" s="1"/>
  <c r="S84" i="21" s="1"/>
  <c r="G86" i="60"/>
  <c r="V84" i="21" s="1"/>
  <c r="B84" i="14"/>
  <c r="U84" i="21" s="1"/>
  <c r="B84" i="24"/>
  <c r="H84" i="24" s="1"/>
  <c r="G12" i="23"/>
  <c r="G32" i="19"/>
  <c r="E32" i="19" s="1"/>
  <c r="C32" i="261" s="1"/>
  <c r="S32" i="23"/>
  <c r="G35" i="23"/>
  <c r="G36" i="23"/>
  <c r="G39" i="23"/>
  <c r="H65" i="9"/>
  <c r="N65" i="8"/>
  <c r="N58" i="8"/>
  <c r="AD33" i="98"/>
  <c r="AD41" i="98"/>
  <c r="AD49" i="98"/>
  <c r="AD12" i="99"/>
  <c r="AD22" i="99"/>
  <c r="AD32" i="99"/>
  <c r="AD46" i="99"/>
  <c r="AD26" i="99"/>
  <c r="H79" i="9"/>
  <c r="H76" i="9"/>
  <c r="H61" i="13"/>
  <c r="T61" i="21"/>
  <c r="F61" i="24"/>
  <c r="C61" i="15"/>
  <c r="G81" i="13"/>
  <c r="C81" i="14"/>
  <c r="D81" i="14" s="1"/>
  <c r="C81" i="24"/>
  <c r="H76" i="13"/>
  <c r="C76" i="15"/>
  <c r="F76" i="24"/>
  <c r="P32" i="140"/>
  <c r="O32" i="140"/>
  <c r="N32" i="140"/>
  <c r="O43" i="257"/>
  <c r="O45" i="60"/>
  <c r="P21" i="140"/>
  <c r="O21" i="140"/>
  <c r="N21" i="140"/>
  <c r="P44" i="60"/>
  <c r="C44" i="60"/>
  <c r="G41" i="12"/>
  <c r="N41" i="12" s="1"/>
  <c r="J41" i="12"/>
  <c r="C41" i="12"/>
  <c r="N88" i="8"/>
  <c r="F90" i="21"/>
  <c r="D90" i="21" s="1"/>
  <c r="G90" i="13" s="1"/>
  <c r="F80" i="21"/>
  <c r="D80" i="21"/>
  <c r="S80" i="21" s="1"/>
  <c r="G82" i="60"/>
  <c r="V80" i="21" s="1"/>
  <c r="B80" i="14"/>
  <c r="U80" i="21" s="1"/>
  <c r="B80" i="24"/>
  <c r="H80" i="24" s="1"/>
  <c r="H55" i="13"/>
  <c r="C55" i="15"/>
  <c r="F55" i="24"/>
  <c r="H75" i="24"/>
  <c r="V70" i="21"/>
  <c r="G33" i="12"/>
  <c r="N33" i="12" s="1"/>
  <c r="J33" i="12"/>
  <c r="F63" i="21"/>
  <c r="D63" i="21" s="1"/>
  <c r="G65" i="60"/>
  <c r="E65" i="60" s="1"/>
  <c r="C65" i="60" s="1"/>
  <c r="O63" i="257" s="1"/>
  <c r="Q63" i="257" s="1"/>
  <c r="B63" i="14"/>
  <c r="U63" i="21" s="1"/>
  <c r="L43" i="257"/>
  <c r="M45" i="140"/>
  <c r="F68" i="21"/>
  <c r="D68" i="21" s="1"/>
  <c r="B68" i="24"/>
  <c r="H68" i="24" s="1"/>
  <c r="B68" i="14"/>
  <c r="U68" i="21" s="1"/>
  <c r="G70" i="60"/>
  <c r="E70" i="60" s="1"/>
  <c r="C70" i="60" s="1"/>
  <c r="O68" i="257" s="1"/>
  <c r="Q68" i="257" s="1"/>
  <c r="P12" i="60"/>
  <c r="C12" i="60"/>
  <c r="E11" i="60"/>
  <c r="B6" i="174"/>
  <c r="N30" i="140"/>
  <c r="P30" i="140"/>
  <c r="O30" i="140"/>
  <c r="K12" i="10"/>
  <c r="O26" i="60"/>
  <c r="O24" i="257"/>
  <c r="O42" i="60"/>
  <c r="O40" i="257"/>
  <c r="O35" i="60"/>
  <c r="O33" i="257"/>
  <c r="C6" i="174"/>
  <c r="K14" i="8"/>
  <c r="H14" i="8"/>
  <c r="I14" i="8" s="1"/>
  <c r="D9" i="8"/>
  <c r="L44" i="257"/>
  <c r="M46" i="140"/>
  <c r="Q46" i="140" s="1"/>
  <c r="D42" i="36"/>
  <c r="H42" i="36" s="1"/>
  <c r="N48" i="10"/>
  <c r="N31" i="10"/>
  <c r="L13" i="257"/>
  <c r="M15" i="140"/>
  <c r="N73" i="12"/>
  <c r="J73" i="12"/>
  <c r="G75" i="12"/>
  <c r="N75" i="12" s="1"/>
  <c r="D30" i="19"/>
  <c r="J56" i="12"/>
  <c r="N56" i="12"/>
  <c r="M26" i="17"/>
  <c r="I53" i="59"/>
  <c r="I220" i="59" s="1"/>
  <c r="I226" i="59" s="1"/>
  <c r="L226" i="59" s="1"/>
  <c r="K54" i="59"/>
  <c r="K53" i="59" s="1"/>
  <c r="K220" i="59" s="1"/>
  <c r="C54" i="21"/>
  <c r="B72" i="10"/>
  <c r="L72" i="9"/>
  <c r="G61" i="25"/>
  <c r="I61" i="9"/>
  <c r="K61" i="9"/>
  <c r="P15" i="13"/>
  <c r="O15" i="13" s="1"/>
  <c r="C15" i="19"/>
  <c r="J15" i="10"/>
  <c r="K15" i="10"/>
  <c r="G88" i="13"/>
  <c r="S88" i="21"/>
  <c r="C88" i="14"/>
  <c r="D88" i="14" s="1"/>
  <c r="C88" i="24"/>
  <c r="F59" i="21"/>
  <c r="D59" i="21" s="1"/>
  <c r="B59" i="24"/>
  <c r="H59" i="24" s="1"/>
  <c r="B59" i="14"/>
  <c r="U59" i="21" s="1"/>
  <c r="O50" i="257"/>
  <c r="O52" i="60"/>
  <c r="P28" i="140"/>
  <c r="N28" i="140"/>
  <c r="O28" i="140"/>
  <c r="O68" i="9"/>
  <c r="G68" i="12"/>
  <c r="N68" i="12" s="1"/>
  <c r="C36" i="19"/>
  <c r="B36" i="19" s="1"/>
  <c r="B36" i="261" s="1"/>
  <c r="F36" i="10"/>
  <c r="K36" i="10" s="1"/>
  <c r="J36" i="10"/>
  <c r="P36" i="13"/>
  <c r="O36" i="13" s="1"/>
  <c r="G87" i="25"/>
  <c r="I87" i="9"/>
  <c r="K87" i="9"/>
  <c r="G57" i="25"/>
  <c r="F57" i="9"/>
  <c r="I57" i="9"/>
  <c r="K57" i="9"/>
  <c r="Q29" i="8"/>
  <c r="E79" i="60"/>
  <c r="J79" i="13"/>
  <c r="K79" i="13" s="1"/>
  <c r="B79" i="13" s="1"/>
  <c r="O90" i="60"/>
  <c r="O88" i="257"/>
  <c r="Q88" i="257" s="1"/>
  <c r="T47" i="21"/>
  <c r="G80" i="12"/>
  <c r="N80" i="12" s="1"/>
  <c r="R62" i="8"/>
  <c r="C53" i="9"/>
  <c r="N79" i="12"/>
  <c r="J79" i="12"/>
  <c r="R60" i="8"/>
  <c r="G82" i="25"/>
  <c r="I82" i="9"/>
  <c r="K82" i="9"/>
  <c r="C20" i="19"/>
  <c r="B20" i="261" s="1"/>
  <c r="J20" i="10"/>
  <c r="F20" i="10"/>
  <c r="K20" i="10" s="1"/>
  <c r="P20" i="13"/>
  <c r="J71" i="12"/>
  <c r="N71" i="12"/>
  <c r="H45" i="9"/>
  <c r="Q45" i="9"/>
  <c r="I45" i="9"/>
  <c r="J45" i="9" s="1"/>
  <c r="M45" i="13"/>
  <c r="B11" i="12"/>
  <c r="O11" i="9"/>
  <c r="H11" i="9"/>
  <c r="P11" i="9"/>
  <c r="C101" i="9"/>
  <c r="C23" i="9" s="1"/>
  <c r="O34" i="60"/>
  <c r="O32" i="257"/>
  <c r="Q17" i="8"/>
  <c r="L10" i="257"/>
  <c r="M12" i="140"/>
  <c r="N77" i="8"/>
  <c r="R77" i="8"/>
  <c r="P26" i="36"/>
  <c r="D50" i="140"/>
  <c r="C50" i="140" s="1"/>
  <c r="B50" i="140" s="1"/>
  <c r="H50" i="60"/>
  <c r="H61" i="9"/>
  <c r="J86" i="12"/>
  <c r="N86" i="12"/>
  <c r="R75" i="8"/>
  <c r="N66" i="12"/>
  <c r="J66" i="12"/>
  <c r="M82" i="13"/>
  <c r="N71" i="8"/>
  <c r="H68" i="13"/>
  <c r="F68" i="24"/>
  <c r="T68" i="21"/>
  <c r="C68" i="15"/>
  <c r="I53" i="116"/>
  <c r="H88" i="13"/>
  <c r="E90" i="140"/>
  <c r="H90" i="60"/>
  <c r="T88" i="21"/>
  <c r="C88" i="15"/>
  <c r="F88" i="24"/>
  <c r="I88" i="24" s="1"/>
  <c r="H82" i="21"/>
  <c r="H85" i="21"/>
  <c r="E91" i="140"/>
  <c r="I66" i="17"/>
  <c r="H66" i="21"/>
  <c r="J90" i="21"/>
  <c r="J91" i="21" s="1"/>
  <c r="N70" i="12"/>
  <c r="J70" i="12"/>
  <c r="AD32" i="98"/>
  <c r="AD12" i="98"/>
  <c r="AD13" i="98"/>
  <c r="AD46" i="98"/>
  <c r="AD30" i="98"/>
  <c r="AD49" i="99"/>
  <c r="AG47" i="99"/>
  <c r="AD47" i="99"/>
  <c r="AG48" i="99"/>
  <c r="AD48" i="99"/>
  <c r="AD13" i="99"/>
  <c r="G67" i="25"/>
  <c r="F67" i="9"/>
  <c r="I67" i="9"/>
  <c r="K67" i="9"/>
  <c r="S81" i="21"/>
  <c r="I81" i="13"/>
  <c r="M81" i="14"/>
  <c r="T76" i="21"/>
  <c r="O25" i="60"/>
  <c r="O23" i="257"/>
  <c r="K41" i="12"/>
  <c r="H41" i="12"/>
  <c r="O41" i="12" s="1"/>
  <c r="Q54" i="60"/>
  <c r="N38" i="10"/>
  <c r="C41" i="17"/>
  <c r="J57" i="12"/>
  <c r="N57" i="12"/>
  <c r="N68" i="8"/>
  <c r="I84" i="17"/>
  <c r="H65" i="21"/>
  <c r="E57" i="60"/>
  <c r="E45" i="8"/>
  <c r="K46" i="8"/>
  <c r="F46" i="8"/>
  <c r="H70" i="13"/>
  <c r="C70" i="15"/>
  <c r="F70" i="24"/>
  <c r="U67" i="21"/>
  <c r="H72" i="21"/>
  <c r="F60" i="21"/>
  <c r="D60" i="21" s="1"/>
  <c r="S60" i="21" s="1"/>
  <c r="G62" i="60"/>
  <c r="B60" i="24"/>
  <c r="H60" i="24" s="1"/>
  <c r="B60" i="14"/>
  <c r="U60" i="21" s="1"/>
  <c r="F61" i="21"/>
  <c r="B61" i="24"/>
  <c r="H61" i="24" s="1"/>
  <c r="G63" i="60"/>
  <c r="V61" i="21"/>
  <c r="B61" i="14"/>
  <c r="U61" i="21" s="1"/>
  <c r="F78" i="21"/>
  <c r="D78" i="21" s="1"/>
  <c r="G80" i="60"/>
  <c r="E80" i="60" s="1"/>
  <c r="C80" i="60" s="1"/>
  <c r="O78" i="257" s="1"/>
  <c r="Q78" i="257" s="1"/>
  <c r="B78" i="24"/>
  <c r="H78" i="24" s="1"/>
  <c r="B78" i="14"/>
  <c r="U78" i="21" s="1"/>
  <c r="F83" i="21"/>
  <c r="D83" i="21" s="1"/>
  <c r="B83" i="24"/>
  <c r="B83" i="14"/>
  <c r="U83" i="21" s="1"/>
  <c r="P22" i="140"/>
  <c r="N22" i="140"/>
  <c r="O22" i="140"/>
  <c r="L33" i="257"/>
  <c r="G75" i="25"/>
  <c r="I75" i="9"/>
  <c r="K75" i="9"/>
  <c r="J58" i="12"/>
  <c r="N84" i="8"/>
  <c r="F85" i="21"/>
  <c r="D85" i="21"/>
  <c r="B85" i="24"/>
  <c r="H85" i="24" s="1"/>
  <c r="B85" i="14"/>
  <c r="U85" i="21" s="1"/>
  <c r="N87" i="8"/>
  <c r="G68" i="25"/>
  <c r="F68" i="9"/>
  <c r="I68" i="9"/>
  <c r="K68" i="9"/>
  <c r="F62" i="21"/>
  <c r="B62" i="14"/>
  <c r="U62" i="21" s="1"/>
  <c r="B62" i="24"/>
  <c r="H62" i="24" s="1"/>
  <c r="F76" i="21"/>
  <c r="B76" i="24"/>
  <c r="B76" i="14"/>
  <c r="U76" i="21" s="1"/>
  <c r="P30" i="60"/>
  <c r="C30" i="60"/>
  <c r="E33" i="12"/>
  <c r="C33" i="12" s="1"/>
  <c r="I33" i="12" s="1"/>
  <c r="U33" i="13"/>
  <c r="D41" i="140"/>
  <c r="C41" i="140" s="1"/>
  <c r="B41" i="140" s="1"/>
  <c r="H41" i="60"/>
  <c r="D51" i="140"/>
  <c r="C51" i="140" s="1"/>
  <c r="B51" i="140" s="1"/>
  <c r="H51" i="60"/>
  <c r="P14" i="140"/>
  <c r="N14" i="140"/>
  <c r="O14" i="140"/>
  <c r="O18" i="140"/>
  <c r="P18" i="140"/>
  <c r="N18" i="140"/>
  <c r="H85" i="9"/>
  <c r="N85" i="8"/>
  <c r="G81" i="25"/>
  <c r="F81" i="9"/>
  <c r="I81" i="9"/>
  <c r="B29" i="12"/>
  <c r="O29" i="9"/>
  <c r="P29" i="9"/>
  <c r="H29" i="9"/>
  <c r="F47" i="24"/>
  <c r="I47" i="24" s="1"/>
  <c r="O80" i="9"/>
  <c r="J55" i="12"/>
  <c r="N55" i="12"/>
  <c r="G79" i="25"/>
  <c r="F79" i="9"/>
  <c r="I79" i="9"/>
  <c r="O50" i="60"/>
  <c r="O48" i="257"/>
  <c r="L18" i="257"/>
  <c r="M20" i="140"/>
  <c r="N80" i="8"/>
  <c r="R61" i="8"/>
  <c r="H75" i="9"/>
  <c r="N57" i="8"/>
  <c r="J64" i="12"/>
  <c r="G70" i="25"/>
  <c r="F70" i="9"/>
  <c r="I70" i="9"/>
  <c r="K70" i="9"/>
  <c r="C19" i="19"/>
  <c r="B19" i="19" s="1"/>
  <c r="B19" i="261" s="1"/>
  <c r="J19" i="10"/>
  <c r="F19" i="10"/>
  <c r="K19" i="10" s="1"/>
  <c r="P19" i="13"/>
  <c r="O19" i="13" s="1"/>
  <c r="G28" i="8"/>
  <c r="R82" i="8"/>
  <c r="M63" i="13"/>
  <c r="N63" i="8"/>
  <c r="N54" i="8"/>
  <c r="E84" i="60"/>
  <c r="G87" i="60"/>
  <c r="V85" i="21" s="1"/>
  <c r="H59" i="13"/>
  <c r="C59" i="15"/>
  <c r="F59" i="24"/>
  <c r="F66" i="21"/>
  <c r="B66" i="14"/>
  <c r="U66" i="21" s="1"/>
  <c r="B66" i="24"/>
  <c r="H66" i="24" s="1"/>
  <c r="F226" i="59"/>
  <c r="F227" i="59" s="1"/>
  <c r="O70" i="9"/>
  <c r="AD48" i="98"/>
  <c r="AG48" i="98"/>
  <c r="AD50" i="98"/>
  <c r="AD26" i="98"/>
  <c r="AG24" i="98"/>
  <c r="AD24" i="98"/>
  <c r="AB9" i="98"/>
  <c r="AA90" i="98"/>
  <c r="AD45" i="98"/>
  <c r="AD27" i="98"/>
  <c r="AD27" i="99"/>
  <c r="AG89" i="99"/>
  <c r="AD89" i="99"/>
  <c r="AD24" i="99"/>
  <c r="AG24" i="99"/>
  <c r="AD33" i="99"/>
  <c r="AB9" i="99"/>
  <c r="AA90" i="99"/>
  <c r="N76" i="8"/>
  <c r="I87" i="13"/>
  <c r="M87" i="14"/>
  <c r="I57" i="13"/>
  <c r="M57" i="14"/>
  <c r="V83" i="21"/>
  <c r="G78" i="60"/>
  <c r="O51" i="257"/>
  <c r="O53" i="60"/>
  <c r="C19" i="60"/>
  <c r="P19" i="60"/>
  <c r="O57" i="9"/>
  <c r="J63" i="12"/>
  <c r="N63" i="12"/>
  <c r="I75" i="13"/>
  <c r="M75" i="14"/>
  <c r="G91" i="21"/>
  <c r="O45" i="9"/>
  <c r="P45" i="9"/>
  <c r="E77" i="140"/>
  <c r="H75" i="13"/>
  <c r="F75" i="24"/>
  <c r="H77" i="60"/>
  <c r="C75" i="15"/>
  <c r="H62" i="13"/>
  <c r="F62" i="24"/>
  <c r="C62" i="15"/>
  <c r="F72" i="21"/>
  <c r="B72" i="14"/>
  <c r="U72" i="21" s="1"/>
  <c r="B72" i="24"/>
  <c r="H72" i="24" s="1"/>
  <c r="T70" i="21"/>
  <c r="C71" i="15"/>
  <c r="H71" i="13"/>
  <c r="F71" i="24"/>
  <c r="G69" i="60"/>
  <c r="V67" i="21" s="1"/>
  <c r="H67" i="13"/>
  <c r="C67" i="15"/>
  <c r="F67" i="24"/>
  <c r="F56" i="21"/>
  <c r="D56" i="21" s="1"/>
  <c r="S56" i="21" s="1"/>
  <c r="G58" i="60"/>
  <c r="V56" i="21" s="1"/>
  <c r="B56" i="24"/>
  <c r="H56" i="24" s="1"/>
  <c r="B56" i="14"/>
  <c r="U56" i="21" s="1"/>
  <c r="G74" i="60"/>
  <c r="F69" i="21"/>
  <c r="B69" i="24"/>
  <c r="H69" i="24" s="1"/>
  <c r="G71" i="60"/>
  <c r="V69" i="21" s="1"/>
  <c r="B69" i="14"/>
  <c r="U69" i="21" s="1"/>
  <c r="H57" i="24"/>
  <c r="E59" i="140"/>
  <c r="H57" i="13"/>
  <c r="H59" i="60"/>
  <c r="C57" i="15"/>
  <c r="F57" i="24"/>
  <c r="F71" i="21"/>
  <c r="D71" i="21" s="1"/>
  <c r="S71" i="21" s="1"/>
  <c r="B71" i="14"/>
  <c r="U71" i="21" s="1"/>
  <c r="B71" i="24"/>
  <c r="H71" i="24" s="1"/>
  <c r="Q45" i="60"/>
  <c r="F64" i="21"/>
  <c r="D64" i="21" s="1"/>
  <c r="S64" i="21" s="1"/>
  <c r="B64" i="14"/>
  <c r="U64" i="21" s="1"/>
  <c r="B64" i="24"/>
  <c r="H64" i="24" s="1"/>
  <c r="N85" i="140"/>
  <c r="Q85" i="140"/>
  <c r="P85" i="140"/>
  <c r="G65" i="13"/>
  <c r="C65" i="14"/>
  <c r="D65" i="14" s="1"/>
  <c r="C65" i="24"/>
  <c r="O26" i="140"/>
  <c r="P26" i="140"/>
  <c r="N26" i="140"/>
  <c r="L34" i="257"/>
  <c r="M36" i="140"/>
  <c r="P37" i="140"/>
  <c r="N37" i="140"/>
  <c r="O37" i="140"/>
  <c r="L27" i="257"/>
  <c r="M29" i="140"/>
  <c r="D33" i="36"/>
  <c r="H33" i="36" s="1"/>
  <c r="Q30" i="140"/>
  <c r="P36" i="60"/>
  <c r="C36" i="60"/>
  <c r="Q35" i="60"/>
  <c r="N85" i="12"/>
  <c r="J85" i="12"/>
  <c r="N65" i="12"/>
  <c r="J65" i="12"/>
  <c r="G58" i="12"/>
  <c r="N58" i="12" s="1"/>
  <c r="N72" i="8"/>
  <c r="G65" i="25"/>
  <c r="F65" i="9"/>
  <c r="I65" i="9"/>
  <c r="K65" i="9"/>
  <c r="G76" i="25"/>
  <c r="I76" i="9"/>
  <c r="K76" i="9"/>
  <c r="D45" i="8"/>
  <c r="H46" i="8"/>
  <c r="I46" i="8" s="1"/>
  <c r="O76" i="9"/>
  <c r="J67" i="12"/>
  <c r="N67" i="12"/>
  <c r="G80" i="25"/>
  <c r="F80" i="9"/>
  <c r="I80" i="9"/>
  <c r="F39" i="13"/>
  <c r="F9" i="13" s="1"/>
  <c r="C39" i="24"/>
  <c r="I39" i="24" s="1"/>
  <c r="S39" i="21"/>
  <c r="O29" i="257"/>
  <c r="O31" i="60"/>
  <c r="O28" i="60"/>
  <c r="O26" i="257"/>
  <c r="P20" i="60"/>
  <c r="C20" i="60"/>
  <c r="H94" i="126"/>
  <c r="C91" i="100"/>
  <c r="L33" i="13"/>
  <c r="N39" i="10"/>
  <c r="H9" i="257"/>
  <c r="M85" i="13"/>
  <c r="G62" i="12"/>
  <c r="N62" i="12" s="1"/>
  <c r="N56" i="8"/>
  <c r="C90" i="8"/>
  <c r="C91" i="8" s="1"/>
  <c r="C96" i="8" s="1"/>
  <c r="B91" i="8"/>
  <c r="I90" i="257"/>
  <c r="C21" i="19"/>
  <c r="B21" i="19" s="1"/>
  <c r="B21" i="261" s="1"/>
  <c r="F21" i="10"/>
  <c r="K21" i="10" s="1"/>
  <c r="J21" i="10"/>
  <c r="P21" i="13"/>
  <c r="O21" i="13" s="1"/>
  <c r="J87" i="12"/>
  <c r="N87" i="12"/>
  <c r="F70" i="21"/>
  <c r="B70" i="14"/>
  <c r="U70" i="21" s="1"/>
  <c r="B70" i="24"/>
  <c r="H70" i="24" s="1"/>
  <c r="H77" i="21"/>
  <c r="E83" i="60"/>
  <c r="Q83" i="60"/>
  <c r="O20" i="257"/>
  <c r="O22" i="60"/>
  <c r="P27" i="140"/>
  <c r="O27" i="140"/>
  <c r="N27" i="140"/>
  <c r="P43" i="140"/>
  <c r="O43" i="140"/>
  <c r="N43" i="140"/>
  <c r="P23" i="140"/>
  <c r="N23" i="140"/>
  <c r="O23" i="140"/>
  <c r="J61" i="12"/>
  <c r="N61" i="12"/>
  <c r="M81" i="13"/>
  <c r="N81" i="8"/>
  <c r="O79" i="9"/>
  <c r="U29" i="13"/>
  <c r="P17" i="13"/>
  <c r="O17" i="13" s="1"/>
  <c r="C17" i="19"/>
  <c r="B17" i="19" s="1"/>
  <c r="B17" i="261" s="1"/>
  <c r="J17" i="10"/>
  <c r="F17" i="10"/>
  <c r="K17" i="10" s="1"/>
  <c r="R80" i="8"/>
  <c r="N69" i="8"/>
  <c r="H57" i="9"/>
  <c r="G84" i="12"/>
  <c r="N84" i="12" s="1"/>
  <c r="G64" i="12"/>
  <c r="N64" i="12" s="1"/>
  <c r="H63" i="9"/>
  <c r="P16" i="13"/>
  <c r="O16" i="13" s="1"/>
  <c r="C16" i="19"/>
  <c r="B16" i="19" s="1"/>
  <c r="B16" i="261" s="1"/>
  <c r="J16" i="10"/>
  <c r="F16" i="10"/>
  <c r="K16" i="10" s="1"/>
  <c r="K33" i="8"/>
  <c r="G33" i="8"/>
  <c r="P33" i="8" s="1"/>
  <c r="I33" i="8"/>
  <c r="L33" i="8" s="1"/>
  <c r="R54" i="8"/>
  <c r="G101" i="9"/>
  <c r="H91" i="60"/>
  <c r="G61" i="60"/>
  <c r="V59" i="21" s="1"/>
  <c r="G68" i="60"/>
  <c r="V66" i="21" s="1"/>
  <c r="H64" i="21"/>
  <c r="N73" i="8"/>
  <c r="R65" i="8"/>
  <c r="R58" i="8"/>
  <c r="AD47" i="98"/>
  <c r="AG47" i="98"/>
  <c r="AD22" i="98"/>
  <c r="AG89" i="98"/>
  <c r="AD89" i="98"/>
  <c r="AD51" i="98"/>
  <c r="AD41" i="99"/>
  <c r="AD45" i="99"/>
  <c r="AD51" i="99"/>
  <c r="AD50" i="99"/>
  <c r="AD30" i="99"/>
  <c r="M81" i="140"/>
  <c r="N79" i="8"/>
  <c r="N60" i="12"/>
  <c r="J60" i="12"/>
  <c r="R76" i="8"/>
  <c r="H67" i="9"/>
  <c r="N67" i="8"/>
  <c r="V87" i="21"/>
  <c r="D87" i="21"/>
  <c r="E39" i="13"/>
  <c r="T39" i="13" s="1"/>
  <c r="H83" i="24"/>
  <c r="H83" i="21"/>
  <c r="H76" i="24"/>
  <c r="Q32" i="140"/>
  <c r="L52" i="257"/>
  <c r="Q17" i="140"/>
  <c r="P47" i="36"/>
  <c r="N69" i="12"/>
  <c r="J69" i="12"/>
  <c r="M70" i="13"/>
  <c r="N70" i="8"/>
  <c r="R88" i="8"/>
  <c r="M68" i="13"/>
  <c r="O63" i="9"/>
  <c r="V55" i="21"/>
  <c r="V62" i="21"/>
  <c r="I45" i="13"/>
  <c r="H67" i="24"/>
  <c r="E59" i="60"/>
  <c r="F86" i="21"/>
  <c r="B86" i="24"/>
  <c r="H86" i="24" s="1"/>
  <c r="B86" i="14"/>
  <c r="U86" i="21" s="1"/>
  <c r="G88" i="60"/>
  <c r="V86" i="21" s="1"/>
  <c r="F73" i="21"/>
  <c r="D73" i="21" s="1"/>
  <c r="B73" i="14"/>
  <c r="U73" i="21" s="1"/>
  <c r="G75" i="60"/>
  <c r="E75" i="60" s="1"/>
  <c r="C75" i="60" s="1"/>
  <c r="O73" i="257" s="1"/>
  <c r="Q73" i="257" s="1"/>
  <c r="V73" i="21"/>
  <c r="B73" i="24"/>
  <c r="H73" i="24" s="1"/>
  <c r="S65" i="21"/>
  <c r="I65" i="13"/>
  <c r="M65" i="14"/>
  <c r="D14" i="36" l="1"/>
  <c r="I38" i="12"/>
  <c r="F49" i="10"/>
  <c r="K49" i="10" s="1"/>
  <c r="P13" i="8"/>
  <c r="H60" i="13"/>
  <c r="O91" i="60"/>
  <c r="O89" i="257"/>
  <c r="Q89" i="257" s="1"/>
  <c r="L24" i="261"/>
  <c r="AH24" i="261" s="1"/>
  <c r="H74" i="13"/>
  <c r="O41" i="60"/>
  <c r="O39" i="257"/>
  <c r="D55" i="21"/>
  <c r="I55" i="13"/>
  <c r="M55" i="14"/>
  <c r="N55" i="8"/>
  <c r="N74" i="12"/>
  <c r="I75" i="24"/>
  <c r="P43" i="13"/>
  <c r="O43" i="13" s="1"/>
  <c r="J43" i="13" s="1"/>
  <c r="I32" i="12"/>
  <c r="D77" i="21"/>
  <c r="O15" i="257"/>
  <c r="O17" i="60"/>
  <c r="F81" i="13"/>
  <c r="N43" i="10"/>
  <c r="F43" i="12"/>
  <c r="K28" i="13"/>
  <c r="I39" i="12"/>
  <c r="O30" i="257"/>
  <c r="O32" i="60"/>
  <c r="O54" i="60"/>
  <c r="O52" i="257"/>
  <c r="J74" i="12"/>
  <c r="I57" i="24"/>
  <c r="J43" i="10"/>
  <c r="E53" i="9"/>
  <c r="C76" i="60"/>
  <c r="P76" i="60"/>
  <c r="O38" i="60"/>
  <c r="O36" i="257"/>
  <c r="L51" i="257"/>
  <c r="M53" i="140"/>
  <c r="O24" i="60"/>
  <c r="O22" i="257"/>
  <c r="F73" i="24"/>
  <c r="H73" i="13"/>
  <c r="T73" i="21"/>
  <c r="C73" i="15"/>
  <c r="O37" i="60"/>
  <c r="O35" i="257"/>
  <c r="H90" i="21"/>
  <c r="H90" i="13" s="1"/>
  <c r="O13" i="60"/>
  <c r="O11" i="257"/>
  <c r="O29" i="60"/>
  <c r="O27" i="257"/>
  <c r="H35" i="13"/>
  <c r="P24" i="140"/>
  <c r="N24" i="140"/>
  <c r="O24" i="140"/>
  <c r="N31" i="140"/>
  <c r="O31" i="140"/>
  <c r="Q31" i="140"/>
  <c r="P31" i="140"/>
  <c r="O40" i="60"/>
  <c r="O38" i="257"/>
  <c r="P19" i="140"/>
  <c r="Q19" i="140"/>
  <c r="N19" i="140"/>
  <c r="O19" i="140"/>
  <c r="V78" i="21"/>
  <c r="F79" i="19"/>
  <c r="H63" i="13"/>
  <c r="C63" i="15"/>
  <c r="T63" i="21"/>
  <c r="I74" i="13"/>
  <c r="D74" i="21"/>
  <c r="M74" i="14"/>
  <c r="C77" i="14"/>
  <c r="D77" i="14" s="1"/>
  <c r="S77" i="21"/>
  <c r="C77" i="24"/>
  <c r="G77" i="13"/>
  <c r="H77" i="13" s="1"/>
  <c r="F77" i="13" s="1"/>
  <c r="J77" i="13" s="1"/>
  <c r="F77" i="19" s="1"/>
  <c r="F35" i="19"/>
  <c r="J35" i="13"/>
  <c r="K35" i="13" s="1"/>
  <c r="L35" i="13" s="1"/>
  <c r="B64" i="10"/>
  <c r="L64" i="9"/>
  <c r="G64" i="261" s="1"/>
  <c r="K63" i="9"/>
  <c r="L30" i="17"/>
  <c r="T30" i="17" s="1"/>
  <c r="B45" i="12"/>
  <c r="K74" i="9"/>
  <c r="B32" i="19"/>
  <c r="B32" i="261" s="1"/>
  <c r="E32" i="261" s="1"/>
  <c r="O32" i="261" s="1"/>
  <c r="K24" i="19"/>
  <c r="V29" i="261"/>
  <c r="S29" i="261"/>
  <c r="W29" i="261" s="1"/>
  <c r="T29" i="261"/>
  <c r="X29" i="261" s="1"/>
  <c r="U29" i="261"/>
  <c r="Y29" i="261" s="1"/>
  <c r="I12" i="261"/>
  <c r="L12" i="261" s="1"/>
  <c r="AH12" i="261" s="1"/>
  <c r="AI29" i="261"/>
  <c r="F40" i="261"/>
  <c r="M40" i="261"/>
  <c r="G72" i="17"/>
  <c r="G72" i="261"/>
  <c r="E31" i="261"/>
  <c r="O31" i="261" s="1"/>
  <c r="F31" i="261"/>
  <c r="E37" i="261"/>
  <c r="O37" i="261" s="1"/>
  <c r="K55" i="9"/>
  <c r="F55" i="9"/>
  <c r="F28" i="261"/>
  <c r="I19" i="12"/>
  <c r="Q19" i="12" s="1"/>
  <c r="L32" i="17"/>
  <c r="T32" i="17" s="1"/>
  <c r="G41" i="17"/>
  <c r="L41" i="17" s="1"/>
  <c r="T41" i="17" s="1"/>
  <c r="G41" i="261"/>
  <c r="L41" i="261" s="1"/>
  <c r="AH41" i="261" s="1"/>
  <c r="F62" i="9"/>
  <c r="K62" i="9"/>
  <c r="H31" i="12"/>
  <c r="O31" i="12" s="1"/>
  <c r="K31" i="12"/>
  <c r="C31" i="12"/>
  <c r="I31" i="12" s="1"/>
  <c r="B83" i="10"/>
  <c r="L83" i="9"/>
  <c r="E20" i="261"/>
  <c r="O20" i="261" s="1"/>
  <c r="F20" i="261"/>
  <c r="H53" i="261"/>
  <c r="B24" i="17"/>
  <c r="E24" i="17" s="1"/>
  <c r="O24" i="17" s="1"/>
  <c r="L88" i="9"/>
  <c r="E40" i="261"/>
  <c r="O40" i="261" s="1"/>
  <c r="E34" i="261"/>
  <c r="O34" i="261" s="1"/>
  <c r="F34" i="261"/>
  <c r="M37" i="261"/>
  <c r="F37" i="261"/>
  <c r="F12" i="12"/>
  <c r="U26" i="13"/>
  <c r="F71" i="9"/>
  <c r="K73" i="9"/>
  <c r="F73" i="9"/>
  <c r="F86" i="9"/>
  <c r="K86" i="9"/>
  <c r="K60" i="9"/>
  <c r="F60" i="9"/>
  <c r="F78" i="9"/>
  <c r="K78" i="9"/>
  <c r="E28" i="261"/>
  <c r="M38" i="261"/>
  <c r="F38" i="261"/>
  <c r="E24" i="261"/>
  <c r="O24" i="261" s="1"/>
  <c r="L24" i="19"/>
  <c r="M32" i="261"/>
  <c r="G52" i="17"/>
  <c r="L52" i="17" s="1"/>
  <c r="T52" i="17" s="1"/>
  <c r="G52" i="261"/>
  <c r="L52" i="261" s="1"/>
  <c r="AH52" i="261" s="1"/>
  <c r="K54" i="9"/>
  <c r="F54" i="9"/>
  <c r="K56" i="9"/>
  <c r="F56" i="9"/>
  <c r="E26" i="261"/>
  <c r="O26" i="261" s="1"/>
  <c r="F26" i="261"/>
  <c r="J27" i="10"/>
  <c r="P27" i="13"/>
  <c r="O27" i="13" s="1"/>
  <c r="J27" i="13" s="1"/>
  <c r="C27" i="19"/>
  <c r="B27" i="19" s="1"/>
  <c r="F27" i="10"/>
  <c r="K27" i="10" s="1"/>
  <c r="I74" i="9"/>
  <c r="H23" i="261"/>
  <c r="K23" i="261"/>
  <c r="J23" i="261"/>
  <c r="N20" i="10"/>
  <c r="G47" i="17"/>
  <c r="L47" i="17" s="1"/>
  <c r="T47" i="17" s="1"/>
  <c r="G47" i="261"/>
  <c r="L47" i="261" s="1"/>
  <c r="AH47" i="261" s="1"/>
  <c r="N32" i="10"/>
  <c r="K28" i="19"/>
  <c r="J10" i="261"/>
  <c r="K10" i="261"/>
  <c r="H10" i="261"/>
  <c r="K42" i="10"/>
  <c r="N42" i="10"/>
  <c r="K84" i="9"/>
  <c r="F84" i="9"/>
  <c r="K66" i="9"/>
  <c r="F66" i="9"/>
  <c r="F69" i="9"/>
  <c r="K69" i="9"/>
  <c r="E38" i="261"/>
  <c r="O38" i="261" s="1"/>
  <c r="F58" i="9"/>
  <c r="I26" i="12"/>
  <c r="I15" i="12"/>
  <c r="F15" i="12"/>
  <c r="Q54" i="140"/>
  <c r="Q15" i="140"/>
  <c r="F40" i="12"/>
  <c r="F17" i="12"/>
  <c r="K37" i="13"/>
  <c r="L37" i="13" s="1"/>
  <c r="U20" i="13"/>
  <c r="E10" i="116"/>
  <c r="H10" i="17"/>
  <c r="I10" i="9"/>
  <c r="J10" i="17"/>
  <c r="K10" i="17"/>
  <c r="B10" i="25"/>
  <c r="L10" i="9"/>
  <c r="H74" i="9"/>
  <c r="G74" i="25"/>
  <c r="N17" i="10"/>
  <c r="D90" i="8"/>
  <c r="E50" i="9"/>
  <c r="E45" i="9" s="1"/>
  <c r="K45" i="9" s="1"/>
  <c r="I24" i="12"/>
  <c r="C13" i="36"/>
  <c r="O13" i="36" s="1"/>
  <c r="H13" i="36"/>
  <c r="N52" i="8"/>
  <c r="R52" i="8"/>
  <c r="D42" i="12"/>
  <c r="E42" i="19"/>
  <c r="C42" i="261" s="1"/>
  <c r="I10" i="36"/>
  <c r="C10" i="25"/>
  <c r="L10" i="36"/>
  <c r="B13" i="12"/>
  <c r="P13" i="9"/>
  <c r="H13" i="9"/>
  <c r="C13" i="9"/>
  <c r="G44" i="12"/>
  <c r="N44" i="12" s="1"/>
  <c r="R50" i="8"/>
  <c r="N50" i="8"/>
  <c r="M52" i="140"/>
  <c r="N37" i="10"/>
  <c r="F18" i="12"/>
  <c r="I18" i="12"/>
  <c r="M74" i="13"/>
  <c r="F74" i="9"/>
  <c r="L74" i="9" s="1"/>
  <c r="Q39" i="140"/>
  <c r="I17" i="12"/>
  <c r="I21" i="12"/>
  <c r="B42" i="13"/>
  <c r="L42" i="13" s="1"/>
  <c r="J50" i="9"/>
  <c r="G30" i="12"/>
  <c r="N30" i="12" s="1"/>
  <c r="C30" i="12"/>
  <c r="I30" i="12" s="1"/>
  <c r="J41" i="10"/>
  <c r="F41" i="10"/>
  <c r="K41" i="10" s="1"/>
  <c r="C41" i="19"/>
  <c r="B41" i="19" s="1"/>
  <c r="B41" i="261" s="1"/>
  <c r="P41" i="13"/>
  <c r="Q33" i="12"/>
  <c r="J70" i="9"/>
  <c r="L40" i="19"/>
  <c r="B40" i="17"/>
  <c r="Q26" i="12"/>
  <c r="J30" i="13"/>
  <c r="F30" i="19" s="1"/>
  <c r="E30" i="19" s="1"/>
  <c r="C30" i="261" s="1"/>
  <c r="K30" i="13"/>
  <c r="Q36" i="12"/>
  <c r="I53" i="8"/>
  <c r="L53" i="8" s="1"/>
  <c r="J76" i="9"/>
  <c r="J65" i="9"/>
  <c r="Q20" i="140"/>
  <c r="J81" i="9"/>
  <c r="J68" i="9"/>
  <c r="M46" i="8"/>
  <c r="M48" i="140" s="1"/>
  <c r="J67" i="9"/>
  <c r="D53" i="9"/>
  <c r="I53" i="9" s="1"/>
  <c r="J53" i="9" s="1"/>
  <c r="J82" i="9"/>
  <c r="E26" i="17"/>
  <c r="O26" i="17" s="1"/>
  <c r="J85" i="9"/>
  <c r="C23" i="36"/>
  <c r="Q89" i="8"/>
  <c r="M89" i="8"/>
  <c r="U38" i="13"/>
  <c r="N24" i="10"/>
  <c r="B37" i="17"/>
  <c r="K37" i="19"/>
  <c r="L37" i="19"/>
  <c r="B23" i="12"/>
  <c r="P23" i="9"/>
  <c r="Q16" i="12"/>
  <c r="Q39" i="12"/>
  <c r="Q37" i="12"/>
  <c r="P49" i="13"/>
  <c r="O49" i="13" s="1"/>
  <c r="J49" i="13" s="1"/>
  <c r="F49" i="19" s="1"/>
  <c r="E49" i="19" s="1"/>
  <c r="C49" i="261" s="1"/>
  <c r="P46" i="13"/>
  <c r="O46" i="13" s="1"/>
  <c r="J46" i="13" s="1"/>
  <c r="B44" i="17"/>
  <c r="L44" i="19"/>
  <c r="J80" i="9"/>
  <c r="J57" i="9"/>
  <c r="E44" i="12"/>
  <c r="B31" i="17"/>
  <c r="L31" i="19"/>
  <c r="K31" i="19"/>
  <c r="B48" i="17"/>
  <c r="L48" i="19"/>
  <c r="Q81" i="140"/>
  <c r="N40" i="10"/>
  <c r="Q34" i="12"/>
  <c r="G89" i="8"/>
  <c r="F53" i="8"/>
  <c r="E27" i="8"/>
  <c r="Q28" i="8"/>
  <c r="N34" i="10"/>
  <c r="B14" i="17"/>
  <c r="L14" i="19"/>
  <c r="K11" i="13"/>
  <c r="L11" i="13" s="1"/>
  <c r="F11" i="19"/>
  <c r="C11" i="261" s="1"/>
  <c r="B11" i="17"/>
  <c r="P23" i="8"/>
  <c r="P13" i="13"/>
  <c r="O13" i="13" s="1"/>
  <c r="J13" i="13" s="1"/>
  <c r="C13" i="19"/>
  <c r="B13" i="19" s="1"/>
  <c r="B13" i="261" s="1"/>
  <c r="F13" i="10"/>
  <c r="F100" i="10" s="1"/>
  <c r="B39" i="17"/>
  <c r="L39" i="19"/>
  <c r="R48" i="8"/>
  <c r="N48" i="8"/>
  <c r="B28" i="13"/>
  <c r="L28" i="13" s="1"/>
  <c r="K12" i="17"/>
  <c r="J9" i="19"/>
  <c r="N49" i="10"/>
  <c r="K10" i="13"/>
  <c r="B10" i="13" s="1"/>
  <c r="F10" i="19"/>
  <c r="B10" i="17"/>
  <c r="L10" i="19"/>
  <c r="N46" i="10"/>
  <c r="I35" i="12"/>
  <c r="C52" i="19"/>
  <c r="B52" i="19" s="1"/>
  <c r="B52" i="261" s="1"/>
  <c r="F52" i="10"/>
  <c r="K52" i="10" s="1"/>
  <c r="J52" i="10"/>
  <c r="J74" i="9"/>
  <c r="J87" i="9"/>
  <c r="M14" i="8"/>
  <c r="N14" i="8" s="1"/>
  <c r="Q43" i="12"/>
  <c r="Q20" i="12"/>
  <c r="B34" i="17"/>
  <c r="L34" i="19"/>
  <c r="K34" i="19"/>
  <c r="Q29" i="140"/>
  <c r="N19" i="10"/>
  <c r="J79" i="9"/>
  <c r="J75" i="9"/>
  <c r="J61" i="9"/>
  <c r="J63" i="9"/>
  <c r="P14" i="8"/>
  <c r="U32" i="13"/>
  <c r="B43" i="17"/>
  <c r="L43" i="19"/>
  <c r="K53" i="8"/>
  <c r="K38" i="19"/>
  <c r="C38" i="17"/>
  <c r="Q38" i="12"/>
  <c r="N14" i="10"/>
  <c r="K14" i="13"/>
  <c r="B14" i="13" s="1"/>
  <c r="F14" i="19"/>
  <c r="N11" i="10"/>
  <c r="C37" i="17"/>
  <c r="M37" i="17" s="1"/>
  <c r="Q23" i="8"/>
  <c r="Q40" i="12"/>
  <c r="P48" i="13"/>
  <c r="O48" i="13" s="1"/>
  <c r="J48" i="13" s="1"/>
  <c r="B89" i="10"/>
  <c r="L89" i="9"/>
  <c r="C28" i="17"/>
  <c r="F28" i="17" s="1"/>
  <c r="J12" i="17"/>
  <c r="I9" i="19"/>
  <c r="B49" i="17"/>
  <c r="L49" i="19"/>
  <c r="N10" i="10"/>
  <c r="B46" i="17"/>
  <c r="L46" i="19"/>
  <c r="N44" i="10"/>
  <c r="E79" i="12"/>
  <c r="U79" i="13"/>
  <c r="L14" i="8"/>
  <c r="M56" i="59"/>
  <c r="D56" i="19" s="1"/>
  <c r="I56" i="261" s="1"/>
  <c r="M60" i="59"/>
  <c r="D60" i="19" s="1"/>
  <c r="I60" i="261" s="1"/>
  <c r="M65" i="59"/>
  <c r="D65" i="19" s="1"/>
  <c r="I65" i="261" s="1"/>
  <c r="M70" i="59"/>
  <c r="D70" i="19" s="1"/>
  <c r="I70" i="261" s="1"/>
  <c r="M74" i="59"/>
  <c r="D74" i="19" s="1"/>
  <c r="I74" i="261" s="1"/>
  <c r="M78" i="59"/>
  <c r="D78" i="19" s="1"/>
  <c r="I78" i="261" s="1"/>
  <c r="M82" i="59"/>
  <c r="D82" i="19" s="1"/>
  <c r="I82" i="261" s="1"/>
  <c r="M88" i="59"/>
  <c r="D88" i="19" s="1"/>
  <c r="I88" i="261" s="1"/>
  <c r="M58" i="59"/>
  <c r="D58" i="19" s="1"/>
  <c r="I58" i="261" s="1"/>
  <c r="M63" i="59"/>
  <c r="D63" i="19" s="1"/>
  <c r="I63" i="261" s="1"/>
  <c r="M71" i="59"/>
  <c r="D71" i="19" s="1"/>
  <c r="I71" i="261" s="1"/>
  <c r="M76" i="59"/>
  <c r="D76" i="19" s="1"/>
  <c r="I76" i="261" s="1"/>
  <c r="M81" i="59"/>
  <c r="D81" i="19" s="1"/>
  <c r="I81" i="261" s="1"/>
  <c r="M54" i="59"/>
  <c r="M61" i="59"/>
  <c r="D61" i="19" s="1"/>
  <c r="I61" i="261" s="1"/>
  <c r="M69" i="59"/>
  <c r="D69" i="19" s="1"/>
  <c r="I69" i="261" s="1"/>
  <c r="M77" i="59"/>
  <c r="D77" i="19" s="1"/>
  <c r="I77" i="261" s="1"/>
  <c r="M85" i="59"/>
  <c r="D85" i="19" s="1"/>
  <c r="I85" i="261" s="1"/>
  <c r="M55" i="59"/>
  <c r="D55" i="19" s="1"/>
  <c r="I55" i="261" s="1"/>
  <c r="M62" i="59"/>
  <c r="D62" i="19" s="1"/>
  <c r="I62" i="261" s="1"/>
  <c r="M72" i="59"/>
  <c r="D72" i="19" s="1"/>
  <c r="I72" i="261" s="1"/>
  <c r="M79" i="59"/>
  <c r="D79" i="19" s="1"/>
  <c r="I79" i="261" s="1"/>
  <c r="M86" i="59"/>
  <c r="D86" i="19" s="1"/>
  <c r="I86" i="261" s="1"/>
  <c r="M57" i="59"/>
  <c r="D57" i="19" s="1"/>
  <c r="I57" i="261" s="1"/>
  <c r="M67" i="59"/>
  <c r="D67" i="19" s="1"/>
  <c r="I67" i="261" s="1"/>
  <c r="M73" i="59"/>
  <c r="D73" i="19" s="1"/>
  <c r="I73" i="261" s="1"/>
  <c r="M80" i="59"/>
  <c r="D80" i="19" s="1"/>
  <c r="I80" i="261" s="1"/>
  <c r="M59" i="59"/>
  <c r="D59" i="19" s="1"/>
  <c r="I59" i="261" s="1"/>
  <c r="M68" i="59"/>
  <c r="D68" i="19" s="1"/>
  <c r="I68" i="261" s="1"/>
  <c r="M75" i="59"/>
  <c r="D75" i="19" s="1"/>
  <c r="I75" i="261" s="1"/>
  <c r="M83" i="59"/>
  <c r="D83" i="19" s="1"/>
  <c r="I83" i="261" s="1"/>
  <c r="G68" i="13"/>
  <c r="F68" i="13" s="1"/>
  <c r="C68" i="14"/>
  <c r="D68" i="14" s="1"/>
  <c r="C68" i="24"/>
  <c r="E70" i="140"/>
  <c r="H70" i="60"/>
  <c r="S68" i="21"/>
  <c r="G59" i="13"/>
  <c r="F59" i="13" s="1"/>
  <c r="C59" i="24"/>
  <c r="I59" i="24" s="1"/>
  <c r="C59" i="14"/>
  <c r="D59" i="14" s="1"/>
  <c r="E61" i="140"/>
  <c r="H61" i="60"/>
  <c r="S59" i="21"/>
  <c r="G67" i="13"/>
  <c r="F67" i="13" s="1"/>
  <c r="C67" i="24"/>
  <c r="I67" i="24" s="1"/>
  <c r="C67" i="14"/>
  <c r="D67" i="14" s="1"/>
  <c r="E69" i="140"/>
  <c r="H69" i="60"/>
  <c r="S67" i="21"/>
  <c r="C40" i="17"/>
  <c r="K40" i="19"/>
  <c r="L46" i="8"/>
  <c r="I45" i="8"/>
  <c r="L45" i="8" s="1"/>
  <c r="G73" i="13"/>
  <c r="C73" i="24"/>
  <c r="C73" i="14"/>
  <c r="D73" i="14" s="1"/>
  <c r="E75" i="140"/>
  <c r="H75" i="60"/>
  <c r="I86" i="13"/>
  <c r="M86" i="14"/>
  <c r="E66" i="140"/>
  <c r="H64" i="13"/>
  <c r="H66" i="60"/>
  <c r="F64" i="24"/>
  <c r="C64" i="15"/>
  <c r="H91" i="21"/>
  <c r="T64" i="21"/>
  <c r="Q91" i="60"/>
  <c r="I70" i="13"/>
  <c r="M70" i="14"/>
  <c r="B80" i="10"/>
  <c r="L80" i="9"/>
  <c r="B76" i="10"/>
  <c r="L76" i="9"/>
  <c r="P36" i="140"/>
  <c r="N36" i="140"/>
  <c r="O36" i="140"/>
  <c r="E58" i="60"/>
  <c r="J19" i="13"/>
  <c r="B70" i="10"/>
  <c r="L70" i="9"/>
  <c r="B79" i="10"/>
  <c r="L79" i="9"/>
  <c r="I62" i="13"/>
  <c r="M62" i="14"/>
  <c r="G83" i="13"/>
  <c r="C83" i="14"/>
  <c r="D83" i="14" s="1"/>
  <c r="C83" i="24"/>
  <c r="E62" i="60"/>
  <c r="E87" i="140"/>
  <c r="H85" i="13"/>
  <c r="F85" i="24"/>
  <c r="H87" i="60"/>
  <c r="C85" i="15"/>
  <c r="T85" i="21"/>
  <c r="B36" i="17"/>
  <c r="L36" i="19"/>
  <c r="I42" i="36"/>
  <c r="O42" i="36"/>
  <c r="F42" i="36"/>
  <c r="L42" i="36" s="1"/>
  <c r="K42" i="36"/>
  <c r="P45" i="140"/>
  <c r="N45" i="140"/>
  <c r="O45" i="140"/>
  <c r="V63" i="21"/>
  <c r="E65" i="140"/>
  <c r="G63" i="13"/>
  <c r="F63" i="13" s="1"/>
  <c r="C63" i="14"/>
  <c r="D63" i="14" s="1"/>
  <c r="H65" i="60"/>
  <c r="C88" i="19"/>
  <c r="G88" i="10"/>
  <c r="I80" i="13"/>
  <c r="M80" i="14"/>
  <c r="I84" i="13"/>
  <c r="M84" i="14"/>
  <c r="C47" i="19"/>
  <c r="B47" i="19" s="1"/>
  <c r="B47" i="261" s="1"/>
  <c r="F47" i="10"/>
  <c r="G101" i="10"/>
  <c r="D101" i="10"/>
  <c r="E101" i="10"/>
  <c r="J47" i="10"/>
  <c r="C101" i="10"/>
  <c r="C64" i="19"/>
  <c r="B64" i="19" s="1"/>
  <c r="B64" i="261" s="1"/>
  <c r="G64" i="10"/>
  <c r="O46" i="257"/>
  <c r="O48" i="60"/>
  <c r="D83" i="140"/>
  <c r="C83" i="140" s="1"/>
  <c r="B83" i="140" s="1"/>
  <c r="I62" i="12"/>
  <c r="F62" i="12"/>
  <c r="F12" i="19"/>
  <c r="J18" i="13"/>
  <c r="B18" i="17"/>
  <c r="L18" i="19"/>
  <c r="B85" i="10"/>
  <c r="L85" i="9"/>
  <c r="I14" i="36"/>
  <c r="F14" i="36"/>
  <c r="P14" i="36" s="1"/>
  <c r="O14" i="36"/>
  <c r="K14" i="36"/>
  <c r="E89" i="140"/>
  <c r="G87" i="13"/>
  <c r="F87" i="13" s="1"/>
  <c r="H89" i="60"/>
  <c r="C87" i="24"/>
  <c r="I87" i="24" s="1"/>
  <c r="C87" i="14"/>
  <c r="D87" i="14" s="1"/>
  <c r="S87" i="21"/>
  <c r="I69" i="13"/>
  <c r="M69" i="14"/>
  <c r="I72" i="13"/>
  <c r="M72" i="14"/>
  <c r="AI24" i="99"/>
  <c r="C84" i="60"/>
  <c r="P84" i="60"/>
  <c r="B19" i="17"/>
  <c r="L19" i="19"/>
  <c r="I76" i="13"/>
  <c r="M76" i="14"/>
  <c r="G78" i="13"/>
  <c r="F78" i="13" s="1"/>
  <c r="E80" i="140"/>
  <c r="H80" i="60"/>
  <c r="C78" i="14"/>
  <c r="D78" i="14" s="1"/>
  <c r="C78" i="24"/>
  <c r="I78" i="24" s="1"/>
  <c r="I61" i="13"/>
  <c r="M61" i="14"/>
  <c r="M41" i="17"/>
  <c r="B67" i="10"/>
  <c r="L67" i="9"/>
  <c r="AI47" i="99"/>
  <c r="P12" i="140"/>
  <c r="O12" i="140"/>
  <c r="N12" i="140"/>
  <c r="B20" i="17"/>
  <c r="L20" i="19"/>
  <c r="K20" i="19"/>
  <c r="B82" i="10"/>
  <c r="L82" i="9"/>
  <c r="B87" i="10"/>
  <c r="L87" i="9"/>
  <c r="F43" i="19"/>
  <c r="E43" i="19" s="1"/>
  <c r="C43" i="261" s="1"/>
  <c r="I59" i="13"/>
  <c r="M59" i="14"/>
  <c r="B61" i="10"/>
  <c r="L61" i="9"/>
  <c r="C72" i="19"/>
  <c r="F72" i="10"/>
  <c r="C72" i="10" s="1"/>
  <c r="N72" i="10" s="1"/>
  <c r="J72" i="10"/>
  <c r="P72" i="13" s="1"/>
  <c r="O72" i="13" s="1"/>
  <c r="B30" i="19"/>
  <c r="B30" i="261" s="1"/>
  <c r="K50" i="9"/>
  <c r="G80" i="13"/>
  <c r="F80" i="13" s="1"/>
  <c r="C80" i="24"/>
  <c r="I80" i="24" s="1"/>
  <c r="C80" i="14"/>
  <c r="D80" i="14" s="1"/>
  <c r="H82" i="60"/>
  <c r="E82" i="140"/>
  <c r="I41" i="12"/>
  <c r="F41" i="12"/>
  <c r="G35" i="19"/>
  <c r="F35" i="23"/>
  <c r="S35" i="23" s="1"/>
  <c r="G84" i="13"/>
  <c r="F84" i="13" s="1"/>
  <c r="C84" i="14"/>
  <c r="D84" i="14" s="1"/>
  <c r="C84" i="24"/>
  <c r="I84" i="24" s="1"/>
  <c r="E86" i="140"/>
  <c r="H86" i="60"/>
  <c r="Q86" i="60" s="1"/>
  <c r="P44" i="140"/>
  <c r="N44" i="140"/>
  <c r="O44" i="140"/>
  <c r="I81" i="24"/>
  <c r="I73" i="13"/>
  <c r="M73" i="14"/>
  <c r="P59" i="60"/>
  <c r="C59" i="60"/>
  <c r="H83" i="13"/>
  <c r="F83" i="24"/>
  <c r="I83" i="24" s="1"/>
  <c r="H85" i="60"/>
  <c r="E85" i="140"/>
  <c r="C83" i="15"/>
  <c r="T83" i="21"/>
  <c r="K40" i="13"/>
  <c r="M33" i="8"/>
  <c r="Q33" i="8"/>
  <c r="B16" i="17"/>
  <c r="L16" i="19"/>
  <c r="J17" i="13"/>
  <c r="D70" i="21"/>
  <c r="J21" i="13"/>
  <c r="B21" i="17"/>
  <c r="L21" i="19"/>
  <c r="O20" i="60"/>
  <c r="O18" i="257"/>
  <c r="B65" i="10"/>
  <c r="L65" i="9"/>
  <c r="O36" i="60"/>
  <c r="O34" i="257"/>
  <c r="I33" i="36"/>
  <c r="O33" i="36"/>
  <c r="Q36" i="140"/>
  <c r="G71" i="13"/>
  <c r="F71" i="13" s="1"/>
  <c r="C71" i="24"/>
  <c r="I71" i="24" s="1"/>
  <c r="C71" i="14"/>
  <c r="D71" i="14" s="1"/>
  <c r="E74" i="60"/>
  <c r="G56" i="13"/>
  <c r="F56" i="13" s="1"/>
  <c r="E58" i="140"/>
  <c r="C56" i="14"/>
  <c r="D56" i="14" s="1"/>
  <c r="H58" i="60"/>
  <c r="C56" i="24"/>
  <c r="I56" i="24" s="1"/>
  <c r="H73" i="60"/>
  <c r="E73" i="140"/>
  <c r="AI89" i="99"/>
  <c r="I66" i="13"/>
  <c r="M66" i="14"/>
  <c r="F29" i="12"/>
  <c r="I29" i="12"/>
  <c r="B81" i="10"/>
  <c r="L81" i="9"/>
  <c r="Q41" i="60"/>
  <c r="K33" i="12"/>
  <c r="H33" i="12"/>
  <c r="O33" i="12" s="1"/>
  <c r="D62" i="21"/>
  <c r="B68" i="10"/>
  <c r="L68" i="9"/>
  <c r="G85" i="13"/>
  <c r="C85" i="14"/>
  <c r="D85" i="14" s="1"/>
  <c r="C85" i="24"/>
  <c r="S83" i="21"/>
  <c r="E63" i="60"/>
  <c r="E62" i="140"/>
  <c r="G60" i="13"/>
  <c r="F60" i="13" s="1"/>
  <c r="C60" i="14"/>
  <c r="D60" i="14" s="1"/>
  <c r="H62" i="60"/>
  <c r="C60" i="24"/>
  <c r="I60" i="24" s="1"/>
  <c r="B46" i="36"/>
  <c r="F45" i="8"/>
  <c r="C57" i="60"/>
  <c r="P57" i="60"/>
  <c r="AI48" i="99"/>
  <c r="I68" i="24"/>
  <c r="F24" i="17"/>
  <c r="Q12" i="140"/>
  <c r="J36" i="13"/>
  <c r="F88" i="13"/>
  <c r="F54" i="21"/>
  <c r="B54" i="14"/>
  <c r="U54" i="21" s="1"/>
  <c r="B54" i="24"/>
  <c r="H54" i="24" s="1"/>
  <c r="G56" i="60"/>
  <c r="C91" i="21"/>
  <c r="S73" i="21"/>
  <c r="Q59" i="60"/>
  <c r="P54" i="140"/>
  <c r="N54" i="140"/>
  <c r="O54" i="140"/>
  <c r="H11" i="60"/>
  <c r="N81" i="140"/>
  <c r="P81" i="140"/>
  <c r="O81" i="140"/>
  <c r="AI47" i="98"/>
  <c r="E68" i="60"/>
  <c r="N16" i="10"/>
  <c r="J16" i="13"/>
  <c r="N21" i="10"/>
  <c r="N29" i="140"/>
  <c r="P29" i="140"/>
  <c r="O29" i="140"/>
  <c r="I71" i="13"/>
  <c r="M71" i="14"/>
  <c r="E71" i="60"/>
  <c r="I56" i="13"/>
  <c r="M56" i="14"/>
  <c r="AG90" i="99"/>
  <c r="AG90" i="98"/>
  <c r="AH47" i="98" s="1"/>
  <c r="AI48" i="98"/>
  <c r="D66" i="21"/>
  <c r="E87" i="60"/>
  <c r="Q87" i="60"/>
  <c r="P28" i="8"/>
  <c r="P20" i="140"/>
  <c r="O20" i="140"/>
  <c r="N20" i="140"/>
  <c r="Q51" i="60"/>
  <c r="O30" i="60"/>
  <c r="O28" i="257"/>
  <c r="S85" i="21"/>
  <c r="I85" i="13"/>
  <c r="M85" i="14"/>
  <c r="S78" i="21"/>
  <c r="V60" i="21"/>
  <c r="I60" i="13"/>
  <c r="M60" i="14"/>
  <c r="R46" i="8"/>
  <c r="E67" i="140"/>
  <c r="H65" i="13"/>
  <c r="F65" i="13" s="1"/>
  <c r="H67" i="60"/>
  <c r="F65" i="24"/>
  <c r="I65" i="24" s="1"/>
  <c r="C65" i="15"/>
  <c r="T65" i="21"/>
  <c r="E68" i="140"/>
  <c r="H66" i="13"/>
  <c r="F66" i="24"/>
  <c r="C66" i="15"/>
  <c r="H68" i="60"/>
  <c r="Q68" i="60" s="1"/>
  <c r="T66" i="21"/>
  <c r="D91" i="140"/>
  <c r="C91" i="140" s="1"/>
  <c r="B91" i="140" s="1"/>
  <c r="H82" i="13"/>
  <c r="F82" i="13" s="1"/>
  <c r="E84" i="140"/>
  <c r="F82" i="24"/>
  <c r="I82" i="24" s="1"/>
  <c r="H84" i="60"/>
  <c r="C82" i="15"/>
  <c r="T82" i="21"/>
  <c r="Q90" i="60"/>
  <c r="Q50" i="60"/>
  <c r="B23" i="25"/>
  <c r="D23" i="12"/>
  <c r="G23" i="12" s="1"/>
  <c r="E23" i="116"/>
  <c r="K23" i="17"/>
  <c r="H23" i="17"/>
  <c r="J23" i="17"/>
  <c r="D23" i="9"/>
  <c r="O23" i="9" s="1"/>
  <c r="F11" i="12"/>
  <c r="I11" i="12"/>
  <c r="C79" i="60"/>
  <c r="P79" i="60"/>
  <c r="N36" i="10"/>
  <c r="K43" i="13"/>
  <c r="L43" i="13" s="1"/>
  <c r="B15" i="19"/>
  <c r="B15" i="261" s="1"/>
  <c r="U26" i="17"/>
  <c r="O46" i="140"/>
  <c r="P46" i="140"/>
  <c r="N46" i="140"/>
  <c r="O12" i="60"/>
  <c r="O10" i="257"/>
  <c r="C11" i="60"/>
  <c r="I9" i="257"/>
  <c r="V68" i="21"/>
  <c r="I63" i="13"/>
  <c r="M63" i="14"/>
  <c r="E82" i="60"/>
  <c r="Q82" i="60"/>
  <c r="F81" i="19"/>
  <c r="D81" i="12" s="1"/>
  <c r="J81" i="13"/>
  <c r="K81" i="13" s="1"/>
  <c r="F39" i="23"/>
  <c r="S39" i="23" s="1"/>
  <c r="G39" i="19"/>
  <c r="C32" i="17"/>
  <c r="Q44" i="140"/>
  <c r="D49" i="140"/>
  <c r="C49" i="140" s="1"/>
  <c r="B49" i="140" s="1"/>
  <c r="H49" i="60"/>
  <c r="O44" i="257"/>
  <c r="O46" i="60"/>
  <c r="K12" i="13"/>
  <c r="U12" i="13" s="1"/>
  <c r="N18" i="10"/>
  <c r="J22" i="13"/>
  <c r="B22" i="17"/>
  <c r="L22" i="19"/>
  <c r="H14" i="36"/>
  <c r="F58" i="21"/>
  <c r="D58" i="21" s="1"/>
  <c r="B58" i="24"/>
  <c r="H58" i="24" s="1"/>
  <c r="G60" i="60"/>
  <c r="B58" i="14"/>
  <c r="U58" i="21" s="1"/>
  <c r="F75" i="13"/>
  <c r="F57" i="13"/>
  <c r="B17" i="17"/>
  <c r="L17" i="19"/>
  <c r="E79" i="140"/>
  <c r="H79" i="60"/>
  <c r="C77" i="15"/>
  <c r="F77" i="24"/>
  <c r="I77" i="24" s="1"/>
  <c r="T77" i="21"/>
  <c r="O91" i="257"/>
  <c r="Q91" i="257" s="1"/>
  <c r="D91" i="8"/>
  <c r="B96" i="8"/>
  <c r="G64" i="13"/>
  <c r="C64" i="14"/>
  <c r="D64" i="14" s="1"/>
  <c r="C64" i="24"/>
  <c r="E69" i="60"/>
  <c r="Q69" i="60"/>
  <c r="O17" i="257"/>
  <c r="O19" i="60"/>
  <c r="AI24" i="98"/>
  <c r="E88" i="60"/>
  <c r="D86" i="21"/>
  <c r="AI89" i="98"/>
  <c r="E61" i="60"/>
  <c r="Q61" i="60"/>
  <c r="P83" i="60"/>
  <c r="C83" i="60"/>
  <c r="F51" i="126"/>
  <c r="H38" i="126"/>
  <c r="H24" i="126"/>
  <c r="F38" i="126"/>
  <c r="H45" i="126"/>
  <c r="G12" i="126"/>
  <c r="G19" i="126"/>
  <c r="G29" i="126"/>
  <c r="H20" i="126"/>
  <c r="F53" i="126"/>
  <c r="G17" i="126"/>
  <c r="G28" i="126"/>
  <c r="F29" i="126"/>
  <c r="H53" i="126"/>
  <c r="G92" i="126"/>
  <c r="H54" i="126"/>
  <c r="G25" i="126"/>
  <c r="F46" i="126"/>
  <c r="G31" i="126"/>
  <c r="H12" i="126"/>
  <c r="H15" i="126"/>
  <c r="H39" i="126"/>
  <c r="H41" i="126"/>
  <c r="F33" i="126"/>
  <c r="H13" i="126"/>
  <c r="F18" i="126"/>
  <c r="H40" i="126"/>
  <c r="G30" i="126"/>
  <c r="F16" i="126"/>
  <c r="F27" i="126"/>
  <c r="G22" i="126"/>
  <c r="H52" i="126"/>
  <c r="F12" i="126"/>
  <c r="F21" i="126"/>
  <c r="G15" i="126"/>
  <c r="F28" i="126"/>
  <c r="G48" i="126"/>
  <c r="F19" i="126"/>
  <c r="F31" i="126"/>
  <c r="G45" i="126"/>
  <c r="F22" i="126"/>
  <c r="F52" i="126"/>
  <c r="G27" i="126"/>
  <c r="G37" i="126"/>
  <c r="F41" i="126"/>
  <c r="F42" i="126"/>
  <c r="G16" i="126"/>
  <c r="H46" i="126"/>
  <c r="G94" i="126"/>
  <c r="H49" i="126"/>
  <c r="G54" i="126"/>
  <c r="G18" i="126"/>
  <c r="F15" i="126"/>
  <c r="F36" i="126"/>
  <c r="G21" i="126"/>
  <c r="G33" i="126"/>
  <c r="G35" i="126"/>
  <c r="F24" i="126"/>
  <c r="H48" i="126"/>
  <c r="H35" i="126"/>
  <c r="F25" i="126"/>
  <c r="H29" i="126"/>
  <c r="F39" i="126"/>
  <c r="F54" i="126"/>
  <c r="H30" i="126"/>
  <c r="H16" i="126"/>
  <c r="G50" i="126"/>
  <c r="F17" i="126"/>
  <c r="H18" i="126"/>
  <c r="F48" i="126"/>
  <c r="H23" i="126"/>
  <c r="H44" i="126"/>
  <c r="G46" i="126"/>
  <c r="G38" i="126"/>
  <c r="G52" i="126"/>
  <c r="F23" i="126"/>
  <c r="F13" i="126"/>
  <c r="G39" i="126"/>
  <c r="G20" i="126"/>
  <c r="H36" i="126"/>
  <c r="H25" i="126"/>
  <c r="G13" i="126"/>
  <c r="H21" i="126"/>
  <c r="G51" i="126"/>
  <c r="F44" i="126"/>
  <c r="H92" i="126"/>
  <c r="G49" i="126"/>
  <c r="H50" i="126"/>
  <c r="G42" i="126"/>
  <c r="F49" i="126"/>
  <c r="H19" i="126"/>
  <c r="H27" i="126"/>
  <c r="F35" i="126"/>
  <c r="H28" i="126"/>
  <c r="G40" i="126"/>
  <c r="F40" i="126"/>
  <c r="G53" i="126"/>
  <c r="H31" i="126"/>
  <c r="F94" i="126"/>
  <c r="H33" i="126"/>
  <c r="F30" i="126"/>
  <c r="G47" i="126"/>
  <c r="H51" i="126"/>
  <c r="G24" i="126"/>
  <c r="H17" i="126"/>
  <c r="H42" i="126"/>
  <c r="F37" i="126"/>
  <c r="F45" i="126"/>
  <c r="G23" i="126"/>
  <c r="G41" i="126"/>
  <c r="H37" i="126"/>
  <c r="H22" i="126"/>
  <c r="G44" i="126"/>
  <c r="F20" i="126"/>
  <c r="G36" i="126"/>
  <c r="F50" i="126"/>
  <c r="F47" i="126"/>
  <c r="F92" i="126"/>
  <c r="H47" i="126"/>
  <c r="J39" i="13"/>
  <c r="F39" i="19" s="1"/>
  <c r="J46" i="8"/>
  <c r="H45" i="8"/>
  <c r="J45" i="8" s="1"/>
  <c r="I64" i="13"/>
  <c r="M64" i="14"/>
  <c r="D59" i="140"/>
  <c r="C59" i="140" s="1"/>
  <c r="B59" i="140" s="1"/>
  <c r="D69" i="21"/>
  <c r="D72" i="21"/>
  <c r="H74" i="60" s="1"/>
  <c r="D77" i="140"/>
  <c r="C77" i="140" s="1"/>
  <c r="B77" i="140" s="1"/>
  <c r="E78" i="60"/>
  <c r="AB90" i="99"/>
  <c r="AD9" i="99"/>
  <c r="AD9" i="98"/>
  <c r="AB90" i="98"/>
  <c r="AC9" i="98" s="1"/>
  <c r="L49" i="257"/>
  <c r="M51" i="140"/>
  <c r="L39" i="257"/>
  <c r="M41" i="140"/>
  <c r="D76" i="21"/>
  <c r="B75" i="10"/>
  <c r="L75" i="9"/>
  <c r="I83" i="13"/>
  <c r="M83" i="14"/>
  <c r="I78" i="13"/>
  <c r="M78" i="14"/>
  <c r="D61" i="21"/>
  <c r="H72" i="13"/>
  <c r="E74" i="140"/>
  <c r="C72" i="15"/>
  <c r="F72" i="24"/>
  <c r="T72" i="21"/>
  <c r="G46" i="8"/>
  <c r="K45" i="8"/>
  <c r="K90" i="8" s="1"/>
  <c r="D90" i="140"/>
  <c r="C90" i="140" s="1"/>
  <c r="B90" i="140" s="1"/>
  <c r="L48" i="257"/>
  <c r="M50" i="140"/>
  <c r="H53" i="17"/>
  <c r="O53" i="9"/>
  <c r="B57" i="10"/>
  <c r="L57" i="9"/>
  <c r="N15" i="10"/>
  <c r="J15" i="13"/>
  <c r="N15" i="140"/>
  <c r="P15" i="140"/>
  <c r="O15" i="140"/>
  <c r="J14" i="8"/>
  <c r="H9" i="8"/>
  <c r="J9" i="8" s="1"/>
  <c r="I68" i="13"/>
  <c r="M68" i="14"/>
  <c r="Q45" i="140"/>
  <c r="S63" i="21"/>
  <c r="V72" i="21"/>
  <c r="F51" i="9"/>
  <c r="K51" i="9"/>
  <c r="O42" i="257"/>
  <c r="O44" i="60"/>
  <c r="F36" i="23"/>
  <c r="S36" i="23" s="1"/>
  <c r="G36" i="19"/>
  <c r="F12" i="23"/>
  <c r="S12" i="23" s="1"/>
  <c r="G12" i="19"/>
  <c r="E86" i="60"/>
  <c r="F33" i="12"/>
  <c r="N39" i="140"/>
  <c r="O39" i="140"/>
  <c r="P39" i="140"/>
  <c r="F29" i="17"/>
  <c r="M29" i="17"/>
  <c r="E29" i="17"/>
  <c r="O29" i="17" s="1"/>
  <c r="P29" i="17" s="1"/>
  <c r="F31" i="154" s="1"/>
  <c r="I67" i="13"/>
  <c r="M67" i="14"/>
  <c r="B63" i="10"/>
  <c r="L63" i="9"/>
  <c r="N22" i="10"/>
  <c r="G59" i="25"/>
  <c r="F59" i="9"/>
  <c r="I59" i="9"/>
  <c r="K59" i="9"/>
  <c r="M59" i="13"/>
  <c r="H59" i="9"/>
  <c r="N59" i="12"/>
  <c r="J59" i="12"/>
  <c r="V76" i="21"/>
  <c r="P64" i="60"/>
  <c r="C64" i="60"/>
  <c r="C55" i="14" l="1"/>
  <c r="D55" i="14" s="1"/>
  <c r="C55" i="24"/>
  <c r="I55" i="24" s="1"/>
  <c r="S55" i="21"/>
  <c r="G55" i="13"/>
  <c r="F55" i="13" s="1"/>
  <c r="J55" i="13" s="1"/>
  <c r="F55" i="19" s="1"/>
  <c r="E57" i="140"/>
  <c r="D57" i="140" s="1"/>
  <c r="C57" i="140" s="1"/>
  <c r="B57" i="140" s="1"/>
  <c r="H57" i="60"/>
  <c r="Q57" i="60" s="1"/>
  <c r="F64" i="13"/>
  <c r="F83" i="13"/>
  <c r="I73" i="24"/>
  <c r="G64" i="17"/>
  <c r="B72" i="19"/>
  <c r="B72" i="261" s="1"/>
  <c r="U37" i="13"/>
  <c r="K55" i="13"/>
  <c r="K11" i="19"/>
  <c r="U35" i="13"/>
  <c r="B88" i="19"/>
  <c r="B88" i="261" s="1"/>
  <c r="N53" i="140"/>
  <c r="O53" i="140"/>
  <c r="Q53" i="140"/>
  <c r="P53" i="140"/>
  <c r="AH48" i="98"/>
  <c r="K48" i="98" s="1"/>
  <c r="E35" i="19"/>
  <c r="C35" i="261" s="1"/>
  <c r="E35" i="261" s="1"/>
  <c r="O35" i="261" s="1"/>
  <c r="F73" i="13"/>
  <c r="S74" i="21"/>
  <c r="C74" i="14"/>
  <c r="D74" i="14" s="1"/>
  <c r="E76" i="140"/>
  <c r="D76" i="140" s="1"/>
  <c r="C76" i="140" s="1"/>
  <c r="B76" i="140" s="1"/>
  <c r="H76" i="60"/>
  <c r="Q76" i="60" s="1"/>
  <c r="G74" i="13"/>
  <c r="F74" i="13" s="1"/>
  <c r="J74" i="13" s="1"/>
  <c r="F74" i="19" s="1"/>
  <c r="C74" i="24"/>
  <c r="I74" i="24" s="1"/>
  <c r="O74" i="257"/>
  <c r="Q74" i="257" s="1"/>
  <c r="O76" i="60"/>
  <c r="E90" i="8"/>
  <c r="E39" i="19"/>
  <c r="C39" i="261" s="1"/>
  <c r="F39" i="261" s="1"/>
  <c r="K32" i="19"/>
  <c r="B74" i="10"/>
  <c r="L32" i="19"/>
  <c r="I23" i="261"/>
  <c r="F31" i="12"/>
  <c r="AI32" i="261"/>
  <c r="B32" i="17"/>
  <c r="F32" i="261"/>
  <c r="AB29" i="261"/>
  <c r="Z29" i="261"/>
  <c r="AA29" i="261"/>
  <c r="E49" i="261"/>
  <c r="AI49" i="261" s="1"/>
  <c r="AI37" i="261"/>
  <c r="AI26" i="261"/>
  <c r="V38" i="261"/>
  <c r="T38" i="261"/>
  <c r="X38" i="261" s="1"/>
  <c r="S38" i="261"/>
  <c r="W38" i="261" s="1"/>
  <c r="U38" i="261"/>
  <c r="Y38" i="261" s="1"/>
  <c r="V20" i="261"/>
  <c r="T20" i="261"/>
  <c r="X20" i="261" s="1"/>
  <c r="U20" i="261"/>
  <c r="Y20" i="261" s="1"/>
  <c r="S20" i="261"/>
  <c r="W20" i="261" s="1"/>
  <c r="V31" i="261"/>
  <c r="V34" i="261"/>
  <c r="S34" i="261"/>
  <c r="W34" i="261" s="1"/>
  <c r="T34" i="261"/>
  <c r="X34" i="261" s="1"/>
  <c r="U34" i="261"/>
  <c r="Y34" i="261" s="1"/>
  <c r="V40" i="261"/>
  <c r="U40" i="261"/>
  <c r="Y40" i="261" s="1"/>
  <c r="S40" i="261"/>
  <c r="W40" i="261" s="1"/>
  <c r="T40" i="261"/>
  <c r="X40" i="261" s="1"/>
  <c r="V32" i="261"/>
  <c r="T32" i="261"/>
  <c r="X32" i="261" s="1"/>
  <c r="S32" i="261"/>
  <c r="W32" i="261" s="1"/>
  <c r="U32" i="261"/>
  <c r="Y32" i="261" s="1"/>
  <c r="V26" i="261"/>
  <c r="S26" i="261"/>
  <c r="W26" i="261" s="1"/>
  <c r="T26" i="261"/>
  <c r="X26" i="261" s="1"/>
  <c r="U26" i="261"/>
  <c r="Y26" i="261" s="1"/>
  <c r="V24" i="261"/>
  <c r="U24" i="261"/>
  <c r="Y24" i="261" s="1"/>
  <c r="T24" i="261"/>
  <c r="X24" i="261" s="1"/>
  <c r="S24" i="261"/>
  <c r="W24" i="261" s="1"/>
  <c r="V37" i="261"/>
  <c r="I10" i="261"/>
  <c r="AI24" i="261"/>
  <c r="AI40" i="261"/>
  <c r="AI31" i="261"/>
  <c r="AI20" i="261"/>
  <c r="E30" i="261"/>
  <c r="O30" i="261" s="1"/>
  <c r="G61" i="17"/>
  <c r="G61" i="261"/>
  <c r="G82" i="17"/>
  <c r="G82" i="261"/>
  <c r="G76" i="17"/>
  <c r="G76" i="261"/>
  <c r="E41" i="261"/>
  <c r="O41" i="261" s="1"/>
  <c r="F41" i="261"/>
  <c r="G74" i="17"/>
  <c r="G74" i="261"/>
  <c r="N46" i="8"/>
  <c r="G65" i="17"/>
  <c r="G65" i="261"/>
  <c r="B84" i="10"/>
  <c r="L84" i="9"/>
  <c r="J83" i="10"/>
  <c r="P83" i="13" s="1"/>
  <c r="O83" i="13" s="1"/>
  <c r="F83" i="10"/>
  <c r="C83" i="10" s="1"/>
  <c r="N83" i="10" s="1"/>
  <c r="C83" i="19"/>
  <c r="B83" i="19" s="1"/>
  <c r="B83" i="261" s="1"/>
  <c r="G57" i="17"/>
  <c r="G57" i="261"/>
  <c r="G75" i="17"/>
  <c r="G75" i="261"/>
  <c r="M45" i="8"/>
  <c r="R45" i="8" s="1"/>
  <c r="G87" i="17"/>
  <c r="G87" i="261"/>
  <c r="G79" i="17"/>
  <c r="G79" i="261"/>
  <c r="G80" i="17"/>
  <c r="G80" i="261"/>
  <c r="B69" i="10"/>
  <c r="L69" i="9"/>
  <c r="K27" i="13"/>
  <c r="B27" i="13" s="1"/>
  <c r="F27" i="19"/>
  <c r="E27" i="19" s="1"/>
  <c r="K27" i="19" s="1"/>
  <c r="B54" i="10"/>
  <c r="L54" i="9"/>
  <c r="L78" i="9"/>
  <c r="B78" i="10"/>
  <c r="L86" i="9"/>
  <c r="B86" i="10"/>
  <c r="F43" i="261"/>
  <c r="M43" i="261"/>
  <c r="G70" i="17"/>
  <c r="G70" i="261"/>
  <c r="F49" i="261"/>
  <c r="H13" i="261"/>
  <c r="J13" i="261"/>
  <c r="K13" i="261"/>
  <c r="L56" i="9"/>
  <c r="B56" i="10"/>
  <c r="G83" i="17"/>
  <c r="G83" i="261"/>
  <c r="B62" i="10"/>
  <c r="L62" i="9"/>
  <c r="G68" i="17"/>
  <c r="G68" i="261"/>
  <c r="M35" i="261"/>
  <c r="G67" i="17"/>
  <c r="G67" i="261"/>
  <c r="G85" i="17"/>
  <c r="G85" i="261"/>
  <c r="F11" i="261"/>
  <c r="M11" i="261"/>
  <c r="M30" i="261"/>
  <c r="F30" i="261"/>
  <c r="N27" i="10"/>
  <c r="L27" i="19"/>
  <c r="B27" i="261"/>
  <c r="B27" i="17"/>
  <c r="G88" i="17"/>
  <c r="G88" i="261"/>
  <c r="G63" i="17"/>
  <c r="G63" i="261"/>
  <c r="G81" i="17"/>
  <c r="G81" i="261"/>
  <c r="R14" i="8"/>
  <c r="G89" i="17"/>
  <c r="G89" i="261"/>
  <c r="F42" i="261"/>
  <c r="M42" i="261"/>
  <c r="G10" i="17"/>
  <c r="G10" i="261"/>
  <c r="L58" i="9"/>
  <c r="B58" i="10"/>
  <c r="L66" i="9"/>
  <c r="B66" i="10"/>
  <c r="AI28" i="261"/>
  <c r="E11" i="261"/>
  <c r="O11" i="261" s="1"/>
  <c r="B60" i="10"/>
  <c r="L60" i="9"/>
  <c r="B73" i="10"/>
  <c r="L73" i="9"/>
  <c r="L71" i="9"/>
  <c r="B71" i="10"/>
  <c r="AI34" i="261"/>
  <c r="E43" i="261"/>
  <c r="O43" i="261" s="1"/>
  <c r="E42" i="261"/>
  <c r="B55" i="10"/>
  <c r="L55" i="9"/>
  <c r="AI38" i="261"/>
  <c r="D96" i="8"/>
  <c r="Q15" i="12"/>
  <c r="Q41" i="140"/>
  <c r="H53" i="9"/>
  <c r="K53" i="9"/>
  <c r="Q52" i="140"/>
  <c r="N52" i="140"/>
  <c r="P52" i="140"/>
  <c r="O52" i="140"/>
  <c r="C42" i="17"/>
  <c r="K42" i="19"/>
  <c r="F50" i="9"/>
  <c r="F45" i="9" s="1"/>
  <c r="L45" i="9" s="1"/>
  <c r="M16" i="140"/>
  <c r="P16" i="140" s="1"/>
  <c r="P42" i="36"/>
  <c r="D49" i="12"/>
  <c r="G49" i="12" s="1"/>
  <c r="N49" i="12" s="1"/>
  <c r="B55" i="13"/>
  <c r="E55" i="12" s="1"/>
  <c r="N41" i="10"/>
  <c r="Q21" i="12"/>
  <c r="Q18" i="12"/>
  <c r="I13" i="9"/>
  <c r="E13" i="116"/>
  <c r="B13" i="25"/>
  <c r="J13" i="17"/>
  <c r="L13" i="9"/>
  <c r="H13" i="17"/>
  <c r="K13" i="17"/>
  <c r="J42" i="12"/>
  <c r="G42" i="12"/>
  <c r="N42" i="12" s="1"/>
  <c r="B41" i="17"/>
  <c r="L41" i="19"/>
  <c r="K41" i="19"/>
  <c r="E42" i="12"/>
  <c r="C42" i="12" s="1"/>
  <c r="U42" i="13"/>
  <c r="Q17" i="12"/>
  <c r="D10" i="25"/>
  <c r="I13" i="36"/>
  <c r="C13" i="25"/>
  <c r="L13" i="36"/>
  <c r="I10" i="17"/>
  <c r="F30" i="12"/>
  <c r="U24" i="17"/>
  <c r="J10" i="36"/>
  <c r="J10" i="9"/>
  <c r="O13" i="9"/>
  <c r="L13" i="19"/>
  <c r="B13" i="17"/>
  <c r="B44" i="13"/>
  <c r="C44" i="12"/>
  <c r="H44" i="12"/>
  <c r="O44" i="12" s="1"/>
  <c r="J59" i="9"/>
  <c r="Q14" i="8"/>
  <c r="Q46" i="8"/>
  <c r="J33" i="36"/>
  <c r="Q41" i="12"/>
  <c r="P24" i="17"/>
  <c r="L88" i="19"/>
  <c r="D12" i="19"/>
  <c r="H9" i="19"/>
  <c r="K48" i="13"/>
  <c r="B48" i="13" s="1"/>
  <c r="E48" i="12" s="1"/>
  <c r="F48" i="19"/>
  <c r="L14" i="13"/>
  <c r="M38" i="17"/>
  <c r="E38" i="17"/>
  <c r="F38" i="17"/>
  <c r="E28" i="17"/>
  <c r="U28" i="17" s="1"/>
  <c r="E34" i="17"/>
  <c r="O34" i="17" s="1"/>
  <c r="P34" i="17" s="1"/>
  <c r="F36" i="154" s="1"/>
  <c r="K36" i="154" s="1"/>
  <c r="F34" i="17"/>
  <c r="N52" i="10"/>
  <c r="E10" i="19"/>
  <c r="C10" i="261" s="1"/>
  <c r="D10" i="12"/>
  <c r="F13" i="19"/>
  <c r="K13" i="13"/>
  <c r="U11" i="13"/>
  <c r="F27" i="8"/>
  <c r="E9" i="8"/>
  <c r="K9" i="8" s="1"/>
  <c r="B27" i="9"/>
  <c r="G27" i="8"/>
  <c r="G9" i="8" s="1"/>
  <c r="K27" i="8"/>
  <c r="I27" i="8"/>
  <c r="I12" i="17"/>
  <c r="L12" i="17" s="1"/>
  <c r="T12" i="17" s="1"/>
  <c r="D14" i="12"/>
  <c r="E14" i="19"/>
  <c r="C14" i="261" s="1"/>
  <c r="C30" i="13"/>
  <c r="L30" i="13"/>
  <c r="Q51" i="140"/>
  <c r="Q11" i="12"/>
  <c r="Q29" i="12"/>
  <c r="J14" i="36"/>
  <c r="P47" i="13"/>
  <c r="O47" i="13" s="1"/>
  <c r="J47" i="13" s="1"/>
  <c r="F47" i="19" s="1"/>
  <c r="B52" i="17"/>
  <c r="L52" i="19"/>
  <c r="C11" i="17"/>
  <c r="E11" i="17" s="1"/>
  <c r="O11" i="17" s="1"/>
  <c r="P11" i="17" s="1"/>
  <c r="F13" i="154" s="1"/>
  <c r="K13" i="154" s="1"/>
  <c r="E31" i="17"/>
  <c r="F31" i="17"/>
  <c r="F46" i="19"/>
  <c r="K46" i="13"/>
  <c r="R89" i="8"/>
  <c r="N89" i="8"/>
  <c r="M53" i="8"/>
  <c r="C23" i="25"/>
  <c r="D23" i="25" s="1"/>
  <c r="D23" i="36"/>
  <c r="P26" i="17"/>
  <c r="F28" i="154" s="1"/>
  <c r="K28" i="154" s="1"/>
  <c r="C30" i="17"/>
  <c r="M30" i="17" s="1"/>
  <c r="L10" i="13"/>
  <c r="E10" i="12"/>
  <c r="U10" i="13"/>
  <c r="Q50" i="140"/>
  <c r="K49" i="13"/>
  <c r="B49" i="13" s="1"/>
  <c r="L49" i="13" s="1"/>
  <c r="L64" i="19"/>
  <c r="J42" i="36"/>
  <c r="C89" i="19"/>
  <c r="B89" i="19" s="1"/>
  <c r="B89" i="261" s="1"/>
  <c r="F89" i="10"/>
  <c r="C89" i="10" s="1"/>
  <c r="N89" i="10" s="1"/>
  <c r="J89" i="10"/>
  <c r="P89" i="13" s="1"/>
  <c r="O89" i="13" s="1"/>
  <c r="J89" i="13" s="1"/>
  <c r="E14" i="12"/>
  <c r="U14" i="13"/>
  <c r="P52" i="13"/>
  <c r="O52" i="13" s="1"/>
  <c r="J52" i="13" s="1"/>
  <c r="Q35" i="12"/>
  <c r="E28" i="12"/>
  <c r="U28" i="13"/>
  <c r="K13" i="10"/>
  <c r="N13" i="10"/>
  <c r="G53" i="8"/>
  <c r="P53" i="8" s="1"/>
  <c r="P89" i="8"/>
  <c r="F37" i="17"/>
  <c r="E37" i="17"/>
  <c r="Q53" i="8"/>
  <c r="J65" i="13"/>
  <c r="K65" i="13" s="1"/>
  <c r="F47" i="98"/>
  <c r="I47" i="98"/>
  <c r="H47" i="98"/>
  <c r="K47" i="98"/>
  <c r="G47" i="98"/>
  <c r="J47" i="98"/>
  <c r="G58" i="13"/>
  <c r="F58" i="13" s="1"/>
  <c r="E60" i="140"/>
  <c r="H60" i="60"/>
  <c r="C58" i="14"/>
  <c r="D58" i="14" s="1"/>
  <c r="C58" i="24"/>
  <c r="I58" i="24" s="1"/>
  <c r="S58" i="21"/>
  <c r="B81" i="13"/>
  <c r="L81" i="13" s="1"/>
  <c r="M9" i="98"/>
  <c r="N9" i="98"/>
  <c r="O64" i="60"/>
  <c r="O62" i="257"/>
  <c r="Q62" i="257" s="1"/>
  <c r="M76" i="140"/>
  <c r="P86" i="60"/>
  <c r="C86" i="60"/>
  <c r="B90" i="9"/>
  <c r="F90" i="8"/>
  <c r="AJ81" i="99"/>
  <c r="AJ33" i="99"/>
  <c r="AC34" i="99"/>
  <c r="AC25" i="99"/>
  <c r="AC85" i="99"/>
  <c r="AJ65" i="99"/>
  <c r="AC87" i="99"/>
  <c r="AJ80" i="99"/>
  <c r="AJ14" i="99"/>
  <c r="AJ10" i="99"/>
  <c r="AC40" i="99"/>
  <c r="AC81" i="99"/>
  <c r="AC52" i="99"/>
  <c r="AC68" i="99"/>
  <c r="AJ36" i="99"/>
  <c r="AC20" i="99"/>
  <c r="AC39" i="99"/>
  <c r="AC18" i="99"/>
  <c r="AC44" i="99"/>
  <c r="AJ57" i="99"/>
  <c r="AC21" i="99"/>
  <c r="AC84" i="99"/>
  <c r="AC71" i="99"/>
  <c r="AJ39" i="99"/>
  <c r="AC79" i="99"/>
  <c r="AC35" i="99"/>
  <c r="AC11" i="99"/>
  <c r="AJ61" i="99"/>
  <c r="AJ25" i="99"/>
  <c r="AC64" i="99"/>
  <c r="AJ85" i="99"/>
  <c r="AC74" i="99"/>
  <c r="AJ12" i="99"/>
  <c r="AC19" i="99"/>
  <c r="AJ60" i="99"/>
  <c r="AC76" i="99"/>
  <c r="AJ66" i="99"/>
  <c r="AJ73" i="99"/>
  <c r="AJ35" i="99"/>
  <c r="AJ67" i="99"/>
  <c r="AC38" i="99"/>
  <c r="AJ37" i="99"/>
  <c r="AC56" i="99"/>
  <c r="AJ15" i="99"/>
  <c r="AJ64" i="99"/>
  <c r="AJ9" i="99"/>
  <c r="AJ59" i="99"/>
  <c r="AJ20" i="99"/>
  <c r="AJ23" i="99"/>
  <c r="AJ40" i="99"/>
  <c r="AJ29" i="99"/>
  <c r="AC86" i="99"/>
  <c r="AJ54" i="99"/>
  <c r="AC90" i="99"/>
  <c r="AC58" i="99"/>
  <c r="AJ18" i="99"/>
  <c r="AC61" i="99"/>
  <c r="AJ75" i="99"/>
  <c r="AJ74" i="99"/>
  <c r="AJ83" i="99"/>
  <c r="AJ21" i="99"/>
  <c r="AJ78" i="99"/>
  <c r="AJ30" i="99"/>
  <c r="AC60" i="99"/>
  <c r="AJ82" i="99"/>
  <c r="AC17" i="99"/>
  <c r="AJ53" i="99"/>
  <c r="AJ42" i="99"/>
  <c r="AC66" i="99"/>
  <c r="AC70" i="99"/>
  <c r="AC14" i="99"/>
  <c r="AJ11" i="99"/>
  <c r="AJ88" i="99"/>
  <c r="AC75" i="99"/>
  <c r="AC88" i="99"/>
  <c r="AC55" i="99"/>
  <c r="AC29" i="99"/>
  <c r="AJ17" i="99"/>
  <c r="AC54" i="99"/>
  <c r="AJ26" i="99"/>
  <c r="AJ55" i="99"/>
  <c r="AJ43" i="99"/>
  <c r="AJ69" i="99"/>
  <c r="AC83" i="99"/>
  <c r="AJ31" i="99"/>
  <c r="AJ28" i="99"/>
  <c r="AC37" i="99"/>
  <c r="AJ38" i="99"/>
  <c r="AC15" i="99"/>
  <c r="AJ70" i="99"/>
  <c r="AJ68" i="99"/>
  <c r="AJ79" i="99"/>
  <c r="AJ34" i="99"/>
  <c r="AJ84" i="99"/>
  <c r="AC36" i="99"/>
  <c r="AC63" i="99"/>
  <c r="AJ62" i="99"/>
  <c r="AC16" i="99"/>
  <c r="AC28" i="99"/>
  <c r="AJ13" i="99"/>
  <c r="AC77" i="99"/>
  <c r="AC72" i="99"/>
  <c r="AC42" i="99"/>
  <c r="AJ71" i="99"/>
  <c r="AC80" i="99"/>
  <c r="AC59" i="99"/>
  <c r="AJ41" i="99"/>
  <c r="AJ32" i="99"/>
  <c r="AJ77" i="99"/>
  <c r="AC67" i="99"/>
  <c r="AC53" i="99"/>
  <c r="AC65" i="99"/>
  <c r="AC10" i="99"/>
  <c r="AJ87" i="99"/>
  <c r="AC57" i="99"/>
  <c r="AJ63" i="99"/>
  <c r="AJ72" i="99"/>
  <c r="AJ44" i="99"/>
  <c r="AJ19" i="99"/>
  <c r="AJ27" i="99"/>
  <c r="AC69" i="99"/>
  <c r="AC82" i="99"/>
  <c r="AJ52" i="99"/>
  <c r="AJ16" i="99"/>
  <c r="AC73" i="99"/>
  <c r="AJ56" i="99"/>
  <c r="AC62" i="99"/>
  <c r="AJ58" i="99"/>
  <c r="AC78" i="99"/>
  <c r="AC23" i="99"/>
  <c r="AJ86" i="99"/>
  <c r="AJ76" i="99"/>
  <c r="AC22" i="99"/>
  <c r="AC46" i="99"/>
  <c r="AC48" i="99"/>
  <c r="AC13" i="99"/>
  <c r="AC24" i="99"/>
  <c r="AC41" i="99"/>
  <c r="AC30" i="99"/>
  <c r="AC33" i="99"/>
  <c r="AC51" i="99"/>
  <c r="AC26" i="99"/>
  <c r="AC89" i="99"/>
  <c r="AC45" i="99"/>
  <c r="AC47" i="99"/>
  <c r="AC50" i="99"/>
  <c r="AC49" i="99"/>
  <c r="AC12" i="99"/>
  <c r="AC32" i="99"/>
  <c r="AC43" i="99"/>
  <c r="AC27" i="99"/>
  <c r="K39" i="19"/>
  <c r="O83" i="60"/>
  <c r="O81" i="257"/>
  <c r="Q81" i="257" s="1"/>
  <c r="Q79" i="60"/>
  <c r="K22" i="13"/>
  <c r="L22" i="13" s="1"/>
  <c r="F22" i="19"/>
  <c r="E22" i="19" s="1"/>
  <c r="C22" i="261" s="1"/>
  <c r="Q84" i="60"/>
  <c r="M90" i="8"/>
  <c r="AH31" i="99"/>
  <c r="AH73" i="99"/>
  <c r="AH46" i="99"/>
  <c r="AI46" i="99" s="1"/>
  <c r="AJ46" i="99" s="1"/>
  <c r="AH62" i="99"/>
  <c r="AH90" i="99"/>
  <c r="AH10" i="99"/>
  <c r="AH11" i="99"/>
  <c r="AH56" i="99"/>
  <c r="AH60" i="99"/>
  <c r="AH9" i="99"/>
  <c r="AH51" i="99"/>
  <c r="AI51" i="99" s="1"/>
  <c r="AJ51" i="99" s="1"/>
  <c r="AH63" i="99"/>
  <c r="AH71" i="99"/>
  <c r="AH75" i="99"/>
  <c r="AH57" i="99"/>
  <c r="AH52" i="99"/>
  <c r="AH82" i="99"/>
  <c r="AH17" i="99"/>
  <c r="AH78" i="99"/>
  <c r="AH35" i="99"/>
  <c r="AH15" i="99"/>
  <c r="AH45" i="99"/>
  <c r="AI45" i="99" s="1"/>
  <c r="AJ45" i="99" s="1"/>
  <c r="AH12" i="99"/>
  <c r="AH44" i="99"/>
  <c r="AH28" i="99"/>
  <c r="AH41" i="99"/>
  <c r="AH61" i="99"/>
  <c r="AH76" i="99"/>
  <c r="AH37" i="99"/>
  <c r="AH58" i="99"/>
  <c r="AH14" i="99"/>
  <c r="AH32" i="99"/>
  <c r="AH64" i="99"/>
  <c r="AH50" i="99"/>
  <c r="AI50" i="99" s="1"/>
  <c r="AJ50" i="99" s="1"/>
  <c r="AH86" i="99"/>
  <c r="AH70" i="99"/>
  <c r="AH26" i="99"/>
  <c r="AH30" i="99"/>
  <c r="AH74" i="99"/>
  <c r="AH42" i="99"/>
  <c r="AH66" i="99"/>
  <c r="AH53" i="99"/>
  <c r="AH49" i="99"/>
  <c r="AI49" i="99" s="1"/>
  <c r="AJ49" i="99" s="1"/>
  <c r="AH88" i="99"/>
  <c r="AH68" i="99"/>
  <c r="AH83" i="99"/>
  <c r="AH54" i="99"/>
  <c r="AH69" i="99"/>
  <c r="AH59" i="99"/>
  <c r="AH87" i="99"/>
  <c r="AH55" i="99"/>
  <c r="AH29" i="99"/>
  <c r="AH21" i="99"/>
  <c r="AH39" i="99"/>
  <c r="AH27" i="99"/>
  <c r="AH84" i="99"/>
  <c r="AH40" i="99"/>
  <c r="AH65" i="99"/>
  <c r="AH23" i="99"/>
  <c r="AH19" i="99"/>
  <c r="AH67" i="99"/>
  <c r="AH25" i="99"/>
  <c r="AH20" i="99"/>
  <c r="AH22" i="99"/>
  <c r="AH43" i="99"/>
  <c r="AH72" i="99"/>
  <c r="AH33" i="99"/>
  <c r="AH16" i="99"/>
  <c r="AH18" i="99"/>
  <c r="AH36" i="99"/>
  <c r="AH85" i="99"/>
  <c r="AH80" i="99"/>
  <c r="AH38" i="99"/>
  <c r="AH13" i="99"/>
  <c r="AH77" i="99"/>
  <c r="AH79" i="99"/>
  <c r="AH81" i="99"/>
  <c r="AH34" i="99"/>
  <c r="E56" i="60"/>
  <c r="G92" i="60"/>
  <c r="I54" i="13"/>
  <c r="M54" i="14"/>
  <c r="F91" i="21"/>
  <c r="D62" i="140"/>
  <c r="C62" i="140" s="1"/>
  <c r="B62" i="140" s="1"/>
  <c r="F48" i="98"/>
  <c r="H48" i="98"/>
  <c r="J56" i="13"/>
  <c r="F56" i="19" s="1"/>
  <c r="C65" i="19"/>
  <c r="B65" i="19" s="1"/>
  <c r="B65" i="261" s="1"/>
  <c r="G65" i="10"/>
  <c r="F65" i="10" s="1"/>
  <c r="C65" i="10" s="1"/>
  <c r="N65" i="10" s="1"/>
  <c r="K21" i="13"/>
  <c r="L21" i="13" s="1"/>
  <c r="F21" i="19"/>
  <c r="E21" i="19" s="1"/>
  <c r="C21" i="261" s="1"/>
  <c r="K17" i="13"/>
  <c r="L17" i="13" s="1"/>
  <c r="F17" i="19"/>
  <c r="E17" i="19" s="1"/>
  <c r="C17" i="261" s="1"/>
  <c r="M35" i="140"/>
  <c r="R33" i="8"/>
  <c r="N33" i="8"/>
  <c r="O85" i="140"/>
  <c r="D85" i="140"/>
  <c r="G85" i="140" s="1"/>
  <c r="J85" i="60" s="1"/>
  <c r="C35" i="17"/>
  <c r="K35" i="19"/>
  <c r="B30" i="17"/>
  <c r="L30" i="19"/>
  <c r="K30" i="19"/>
  <c r="C61" i="19"/>
  <c r="B61" i="19" s="1"/>
  <c r="B61" i="261" s="1"/>
  <c r="G61" i="10"/>
  <c r="F61" i="10" s="1"/>
  <c r="C61" i="10" s="1"/>
  <c r="N61" i="10" s="1"/>
  <c r="C87" i="19"/>
  <c r="B87" i="19" s="1"/>
  <c r="B87" i="261" s="1"/>
  <c r="G87" i="10"/>
  <c r="F87" i="10" s="1"/>
  <c r="C87" i="10" s="1"/>
  <c r="N87" i="10" s="1"/>
  <c r="K18" i="13"/>
  <c r="L18" i="13" s="1"/>
  <c r="F18" i="19"/>
  <c r="E18" i="19" s="1"/>
  <c r="C18" i="261" s="1"/>
  <c r="J83" i="13"/>
  <c r="F83" i="19" s="1"/>
  <c r="C80" i="19"/>
  <c r="B80" i="19" s="1"/>
  <c r="B80" i="261" s="1"/>
  <c r="G80" i="10"/>
  <c r="F80" i="10" s="1"/>
  <c r="C80" i="10" s="1"/>
  <c r="N80" i="10" s="1"/>
  <c r="I75" i="17"/>
  <c r="I73" i="17"/>
  <c r="I79" i="17"/>
  <c r="I85" i="17"/>
  <c r="M53" i="59"/>
  <c r="M220" i="59" s="1"/>
  <c r="M226" i="59" s="1"/>
  <c r="D54" i="19"/>
  <c r="I54" i="261" s="1"/>
  <c r="I63" i="17"/>
  <c r="I78" i="17"/>
  <c r="I60" i="17"/>
  <c r="U29" i="17"/>
  <c r="C57" i="19"/>
  <c r="B57" i="19" s="1"/>
  <c r="B57" i="261" s="1"/>
  <c r="G57" i="10"/>
  <c r="F57" i="10" s="1"/>
  <c r="C57" i="10" s="1"/>
  <c r="N57" i="10" s="1"/>
  <c r="G45" i="8"/>
  <c r="P45" i="8" s="1"/>
  <c r="P46" i="8"/>
  <c r="C75" i="19"/>
  <c r="B75" i="19" s="1"/>
  <c r="B75" i="261" s="1"/>
  <c r="G75" i="10"/>
  <c r="AH89" i="99"/>
  <c r="C78" i="60"/>
  <c r="P78" i="60"/>
  <c r="M59" i="140"/>
  <c r="J90" i="8"/>
  <c r="Q45" i="8"/>
  <c r="C74" i="19"/>
  <c r="B74" i="19" s="1"/>
  <c r="B74" i="261" s="1"/>
  <c r="G74" i="10"/>
  <c r="F74" i="10" s="1"/>
  <c r="C74" i="10" s="1"/>
  <c r="N74" i="10" s="1"/>
  <c r="J64" i="13"/>
  <c r="F64" i="19" s="1"/>
  <c r="D79" i="140"/>
  <c r="C79" i="140" s="1"/>
  <c r="B79" i="140" s="1"/>
  <c r="J75" i="13"/>
  <c r="K75" i="13" s="1"/>
  <c r="L12" i="13"/>
  <c r="Q49" i="60"/>
  <c r="I23" i="17"/>
  <c r="M91" i="140"/>
  <c r="AH47" i="99"/>
  <c r="D67" i="140"/>
  <c r="C67" i="140" s="1"/>
  <c r="B67" i="140" s="1"/>
  <c r="N48" i="140"/>
  <c r="O48" i="140"/>
  <c r="P48" i="140"/>
  <c r="Q48" i="140"/>
  <c r="P87" i="60"/>
  <c r="C87" i="60"/>
  <c r="AH24" i="99"/>
  <c r="K56" i="13"/>
  <c r="B56" i="13" s="1"/>
  <c r="K16" i="13"/>
  <c r="L16" i="13" s="1"/>
  <c r="F16" i="19"/>
  <c r="E16" i="19" s="1"/>
  <c r="C16" i="261" s="1"/>
  <c r="J88" i="13"/>
  <c r="F88" i="19" s="1"/>
  <c r="D88" i="12" s="1"/>
  <c r="O55" i="257"/>
  <c r="Q55" i="257" s="1"/>
  <c r="O57" i="60"/>
  <c r="C68" i="19"/>
  <c r="B68" i="19" s="1"/>
  <c r="B68" i="261" s="1"/>
  <c r="G68" i="10"/>
  <c r="F68" i="10" s="1"/>
  <c r="C68" i="10" s="1"/>
  <c r="N68" i="10" s="1"/>
  <c r="C81" i="19"/>
  <c r="B81" i="19" s="1"/>
  <c r="B81" i="261" s="1"/>
  <c r="G81" i="10"/>
  <c r="C74" i="60"/>
  <c r="P74" i="60"/>
  <c r="G70" i="13"/>
  <c r="F70" i="13" s="1"/>
  <c r="C70" i="24"/>
  <c r="I70" i="24" s="1"/>
  <c r="C70" i="14"/>
  <c r="D70" i="14" s="1"/>
  <c r="E72" i="140"/>
  <c r="H72" i="60"/>
  <c r="S70" i="21"/>
  <c r="L40" i="13"/>
  <c r="U40" i="13"/>
  <c r="Q85" i="60"/>
  <c r="D82" i="140"/>
  <c r="C82" i="140" s="1"/>
  <c r="B82" i="140" s="1"/>
  <c r="J80" i="13"/>
  <c r="K80" i="13" s="1"/>
  <c r="B80" i="13" s="1"/>
  <c r="L50" i="9"/>
  <c r="D80" i="140"/>
  <c r="C80" i="140" s="1"/>
  <c r="B80" i="140" s="1"/>
  <c r="O82" i="257"/>
  <c r="Q82" i="257" s="1"/>
  <c r="O84" i="60"/>
  <c r="D89" i="140"/>
  <c r="C89" i="140" s="1"/>
  <c r="B89" i="140" s="1"/>
  <c r="E12" i="19"/>
  <c r="C12" i="261" s="1"/>
  <c r="K47" i="10"/>
  <c r="F101" i="10"/>
  <c r="B88" i="17"/>
  <c r="D65" i="140"/>
  <c r="C65" i="140" s="1"/>
  <c r="B65" i="140" s="1"/>
  <c r="D87" i="140"/>
  <c r="C87" i="140" s="1"/>
  <c r="B87" i="140" s="1"/>
  <c r="Q62" i="60"/>
  <c r="C76" i="19"/>
  <c r="B76" i="19" s="1"/>
  <c r="B76" i="261" s="1"/>
  <c r="G76" i="10"/>
  <c r="H53" i="13"/>
  <c r="K77" i="13"/>
  <c r="B77" i="13" s="1"/>
  <c r="C49" i="17"/>
  <c r="K49" i="19"/>
  <c r="J68" i="13"/>
  <c r="K68" i="13" s="1"/>
  <c r="B68" i="13" s="1"/>
  <c r="I68" i="17"/>
  <c r="I67" i="17"/>
  <c r="I72" i="17"/>
  <c r="I77" i="17"/>
  <c r="B77" i="19"/>
  <c r="B77" i="261" s="1"/>
  <c r="I81" i="17"/>
  <c r="I58" i="17"/>
  <c r="I74" i="17"/>
  <c r="I56" i="17"/>
  <c r="B59" i="10"/>
  <c r="L59" i="9"/>
  <c r="P50" i="140"/>
  <c r="N50" i="140"/>
  <c r="O50" i="140"/>
  <c r="M77" i="140"/>
  <c r="E88" i="140"/>
  <c r="G86" i="13"/>
  <c r="F86" i="13" s="1"/>
  <c r="C86" i="24"/>
  <c r="I86" i="24" s="1"/>
  <c r="H88" i="60"/>
  <c r="C86" i="14"/>
  <c r="D86" i="14" s="1"/>
  <c r="S86" i="21"/>
  <c r="J57" i="13"/>
  <c r="F57" i="19" s="1"/>
  <c r="P82" i="60"/>
  <c r="C82" i="60"/>
  <c r="P68" i="60"/>
  <c r="C68" i="60"/>
  <c r="J87" i="13"/>
  <c r="K47" i="13"/>
  <c r="B47" i="13" s="1"/>
  <c r="J63" i="13"/>
  <c r="K63" i="13" s="1"/>
  <c r="B63" i="13" s="1"/>
  <c r="P62" i="60"/>
  <c r="C62" i="60"/>
  <c r="K19" i="13"/>
  <c r="L19" i="13" s="1"/>
  <c r="F19" i="19"/>
  <c r="E19" i="19" s="1"/>
  <c r="C19" i="261" s="1"/>
  <c r="G63" i="10"/>
  <c r="C63" i="19"/>
  <c r="B63" i="19" s="1"/>
  <c r="B63" i="261" s="1"/>
  <c r="G9" i="19"/>
  <c r="G91" i="19" s="1"/>
  <c r="G98" i="19" s="1"/>
  <c r="B51" i="10"/>
  <c r="C51" i="127"/>
  <c r="L51" i="9"/>
  <c r="G61" i="13"/>
  <c r="F61" i="13" s="1"/>
  <c r="C61" i="24"/>
  <c r="I61" i="24" s="1"/>
  <c r="C61" i="14"/>
  <c r="D61" i="14" s="1"/>
  <c r="S61" i="21"/>
  <c r="E63" i="140"/>
  <c r="H63" i="60"/>
  <c r="K83" i="13"/>
  <c r="B83" i="13" s="1"/>
  <c r="G76" i="13"/>
  <c r="F76" i="13" s="1"/>
  <c r="C76" i="14"/>
  <c r="D76" i="14" s="1"/>
  <c r="C76" i="24"/>
  <c r="I76" i="24" s="1"/>
  <c r="H78" i="60"/>
  <c r="S76" i="21"/>
  <c r="E78" i="140"/>
  <c r="N51" i="140"/>
  <c r="P51" i="140"/>
  <c r="O51" i="140"/>
  <c r="AJ44" i="98"/>
  <c r="AJ78" i="98"/>
  <c r="AC15" i="98"/>
  <c r="AJ43" i="98"/>
  <c r="AC56" i="98"/>
  <c r="AJ86" i="98"/>
  <c r="AJ29" i="98"/>
  <c r="AC38" i="98"/>
  <c r="AJ54" i="98"/>
  <c r="AC86" i="98"/>
  <c r="AJ11" i="98"/>
  <c r="AJ20" i="98"/>
  <c r="AJ76" i="98"/>
  <c r="AJ16" i="98"/>
  <c r="AC85" i="98"/>
  <c r="AC65" i="98"/>
  <c r="AJ55" i="98"/>
  <c r="AC82" i="98"/>
  <c r="AJ28" i="98"/>
  <c r="AC23" i="98"/>
  <c r="AC62" i="98"/>
  <c r="AC53" i="98"/>
  <c r="AC54" i="98"/>
  <c r="AC55" i="98"/>
  <c r="AJ74" i="98"/>
  <c r="AJ41" i="98"/>
  <c r="AC11" i="98"/>
  <c r="AC10" i="98"/>
  <c r="AC69" i="98"/>
  <c r="AC20" i="98"/>
  <c r="AC58" i="98"/>
  <c r="AJ17" i="98"/>
  <c r="AC57" i="98"/>
  <c r="AJ69" i="98"/>
  <c r="AJ77" i="98"/>
  <c r="AC73" i="98"/>
  <c r="AJ68" i="98"/>
  <c r="AC90" i="98"/>
  <c r="AJ75" i="98"/>
  <c r="AJ38" i="98"/>
  <c r="AJ10" i="98"/>
  <c r="AJ59" i="98"/>
  <c r="AC19" i="98"/>
  <c r="AJ15" i="98"/>
  <c r="AJ12" i="98"/>
  <c r="AC77" i="98"/>
  <c r="AJ14" i="98"/>
  <c r="AJ61" i="98"/>
  <c r="AC52" i="98"/>
  <c r="AJ27" i="98"/>
  <c r="AJ21" i="98"/>
  <c r="AC61" i="98"/>
  <c r="AC72" i="98"/>
  <c r="AJ70" i="98"/>
  <c r="AJ64" i="98"/>
  <c r="AC14" i="98"/>
  <c r="AJ42" i="98"/>
  <c r="AC17" i="98"/>
  <c r="AC81" i="98"/>
  <c r="AJ30" i="98"/>
  <c r="AJ85" i="98"/>
  <c r="AJ58" i="98"/>
  <c r="AC18" i="98"/>
  <c r="AC79" i="98"/>
  <c r="AJ26" i="98"/>
  <c r="AC28" i="98"/>
  <c r="AJ63" i="98"/>
  <c r="AJ79" i="98"/>
  <c r="AJ83" i="98"/>
  <c r="AC66" i="98"/>
  <c r="AC36" i="98"/>
  <c r="AJ67" i="98"/>
  <c r="AJ9" i="98"/>
  <c r="AJ52" i="98"/>
  <c r="AJ73" i="98"/>
  <c r="AC44" i="98"/>
  <c r="AJ23" i="98"/>
  <c r="AC39" i="98"/>
  <c r="AJ88" i="98"/>
  <c r="AC74" i="98"/>
  <c r="AC21" i="98"/>
  <c r="AC75" i="98"/>
  <c r="AC78" i="98"/>
  <c r="AC34" i="98"/>
  <c r="AJ62" i="98"/>
  <c r="AJ53" i="98"/>
  <c r="AJ82" i="98"/>
  <c r="AC16" i="98"/>
  <c r="AJ33" i="98"/>
  <c r="AJ65" i="98"/>
  <c r="AJ71" i="98"/>
  <c r="AC87" i="98"/>
  <c r="AC70" i="98"/>
  <c r="AC40" i="98"/>
  <c r="AC35" i="98"/>
  <c r="AC25" i="98"/>
  <c r="AC84" i="98"/>
  <c r="AJ36" i="98"/>
  <c r="AJ56" i="98"/>
  <c r="AJ80" i="98"/>
  <c r="AJ81" i="98"/>
  <c r="AC80" i="98"/>
  <c r="AC88" i="98"/>
  <c r="AJ18" i="98"/>
  <c r="AJ19" i="98"/>
  <c r="AJ72" i="98"/>
  <c r="AJ87" i="98"/>
  <c r="AJ31" i="98"/>
  <c r="AC63" i="98"/>
  <c r="AC29" i="98"/>
  <c r="AJ37" i="98"/>
  <c r="AC67" i="98"/>
  <c r="AC83" i="98"/>
  <c r="AC71" i="98"/>
  <c r="AJ84" i="98"/>
  <c r="AJ13" i="98"/>
  <c r="AJ25" i="98"/>
  <c r="AJ40" i="98"/>
  <c r="AC59" i="98"/>
  <c r="AC60" i="98"/>
  <c r="AJ66" i="98"/>
  <c r="AC68" i="98"/>
  <c r="AJ39" i="98"/>
  <c r="AJ34" i="98"/>
  <c r="AC37" i="98"/>
  <c r="AJ57" i="98"/>
  <c r="AC42" i="98"/>
  <c r="AJ35" i="98"/>
  <c r="AJ32" i="98"/>
  <c r="AJ60" i="98"/>
  <c r="AC64" i="98"/>
  <c r="AC76" i="98"/>
  <c r="AC12" i="98"/>
  <c r="AC46" i="98"/>
  <c r="AC50" i="98"/>
  <c r="AC43" i="98"/>
  <c r="AC48" i="98"/>
  <c r="AC47" i="98"/>
  <c r="AC89" i="98"/>
  <c r="AC41" i="98"/>
  <c r="AC32" i="98"/>
  <c r="AC13" i="98"/>
  <c r="AC27" i="98"/>
  <c r="AC22" i="98"/>
  <c r="AC51" i="98"/>
  <c r="AC30" i="98"/>
  <c r="AC24" i="98"/>
  <c r="AC45" i="98"/>
  <c r="AC33" i="98"/>
  <c r="AC49" i="98"/>
  <c r="AC26" i="98"/>
  <c r="AD90" i="99"/>
  <c r="AE9" i="99" s="1"/>
  <c r="G72" i="13"/>
  <c r="F72" i="13" s="1"/>
  <c r="C72" i="14"/>
  <c r="D72" i="14" s="1"/>
  <c r="C72" i="24"/>
  <c r="I72" i="24" s="1"/>
  <c r="S72" i="21"/>
  <c r="G11" i="126"/>
  <c r="C88" i="60"/>
  <c r="P88" i="60"/>
  <c r="K74" i="13"/>
  <c r="B74" i="13" s="1"/>
  <c r="C69" i="60"/>
  <c r="P69" i="60"/>
  <c r="J81" i="12"/>
  <c r="G81" i="12"/>
  <c r="N81" i="12" s="1"/>
  <c r="B15" i="17"/>
  <c r="L15" i="19"/>
  <c r="O79" i="60"/>
  <c r="O77" i="257"/>
  <c r="Q77" i="257" s="1"/>
  <c r="G23" i="25"/>
  <c r="I23" i="9"/>
  <c r="M23" i="13"/>
  <c r="D9" i="9"/>
  <c r="H23" i="9"/>
  <c r="D97" i="9"/>
  <c r="Q23" i="9"/>
  <c r="D84" i="140"/>
  <c r="C84" i="140" s="1"/>
  <c r="B84" i="140" s="1"/>
  <c r="AH48" i="99"/>
  <c r="G66" i="13"/>
  <c r="F66" i="13" s="1"/>
  <c r="C66" i="14"/>
  <c r="D66" i="14" s="1"/>
  <c r="C66" i="24"/>
  <c r="I66" i="24" s="1"/>
  <c r="S66" i="21"/>
  <c r="AH24" i="98"/>
  <c r="P63" i="60"/>
  <c r="C63" i="60"/>
  <c r="F85" i="13"/>
  <c r="G62" i="13"/>
  <c r="F62" i="13" s="1"/>
  <c r="C62" i="14"/>
  <c r="D62" i="14" s="1"/>
  <c r="C62" i="24"/>
  <c r="I62" i="24" s="1"/>
  <c r="H64" i="60"/>
  <c r="S62" i="21"/>
  <c r="E64" i="140"/>
  <c r="D73" i="140"/>
  <c r="C73" i="140" s="1"/>
  <c r="B73" i="140" s="1"/>
  <c r="Q74" i="60"/>
  <c r="J71" i="13"/>
  <c r="J84" i="13"/>
  <c r="F84" i="19" s="1"/>
  <c r="M9" i="8"/>
  <c r="E20" i="17"/>
  <c r="F20" i="17"/>
  <c r="C67" i="19"/>
  <c r="B67" i="19" s="1"/>
  <c r="B67" i="261" s="1"/>
  <c r="J67" i="10"/>
  <c r="P67" i="13" s="1"/>
  <c r="O67" i="13" s="1"/>
  <c r="J67" i="13" s="1"/>
  <c r="F67" i="19" s="1"/>
  <c r="F67" i="10"/>
  <c r="C67" i="10" s="1"/>
  <c r="N67" i="10" s="1"/>
  <c r="J78" i="13"/>
  <c r="AI90" i="99"/>
  <c r="AJ22" i="99" s="1"/>
  <c r="M83" i="140"/>
  <c r="B64" i="17"/>
  <c r="K39" i="13"/>
  <c r="L39" i="13" s="1"/>
  <c r="F88" i="10"/>
  <c r="C88" i="10" s="1"/>
  <c r="N88" i="10" s="1"/>
  <c r="C70" i="19"/>
  <c r="B70" i="19" s="1"/>
  <c r="B70" i="261" s="1"/>
  <c r="G70" i="10"/>
  <c r="F70" i="10" s="1"/>
  <c r="C70" i="10" s="1"/>
  <c r="N70" i="10" s="1"/>
  <c r="C58" i="60"/>
  <c r="P58" i="60"/>
  <c r="D66" i="140"/>
  <c r="C66" i="140" s="1"/>
  <c r="B66" i="140" s="1"/>
  <c r="J73" i="13"/>
  <c r="J59" i="13"/>
  <c r="F59" i="19" s="1"/>
  <c r="D70" i="140"/>
  <c r="C70" i="140" s="1"/>
  <c r="B70" i="140" s="1"/>
  <c r="I59" i="17"/>
  <c r="I57" i="17"/>
  <c r="I62" i="17"/>
  <c r="I69" i="17"/>
  <c r="I76" i="17"/>
  <c r="I88" i="17"/>
  <c r="I70" i="17"/>
  <c r="M90" i="140"/>
  <c r="H11" i="126"/>
  <c r="I58" i="13"/>
  <c r="M58" i="14"/>
  <c r="K31" i="154"/>
  <c r="K15" i="13"/>
  <c r="L15" i="13" s="1"/>
  <c r="F15" i="19"/>
  <c r="E15" i="19" s="1"/>
  <c r="C15" i="261" s="1"/>
  <c r="D74" i="140"/>
  <c r="C74" i="140" s="1"/>
  <c r="B74" i="140" s="1"/>
  <c r="P41" i="140"/>
  <c r="N41" i="140"/>
  <c r="O41" i="140"/>
  <c r="AD90" i="98"/>
  <c r="AE9" i="98" s="1"/>
  <c r="AC9" i="99"/>
  <c r="G69" i="13"/>
  <c r="F69" i="13" s="1"/>
  <c r="C69" i="14"/>
  <c r="D69" i="14" s="1"/>
  <c r="C69" i="24"/>
  <c r="I69" i="24" s="1"/>
  <c r="E71" i="140"/>
  <c r="H71" i="60"/>
  <c r="S69" i="21"/>
  <c r="F11" i="126"/>
  <c r="C61" i="60"/>
  <c r="P61" i="60"/>
  <c r="E60" i="60"/>
  <c r="Q60" i="60"/>
  <c r="V58" i="21"/>
  <c r="M49" i="140"/>
  <c r="L47" i="257"/>
  <c r="F32" i="17"/>
  <c r="M32" i="17"/>
  <c r="E32" i="17"/>
  <c r="O32" i="17" s="1"/>
  <c r="J23" i="12"/>
  <c r="N23" i="12"/>
  <c r="J82" i="13"/>
  <c r="K82" i="13" s="1"/>
  <c r="D68" i="140"/>
  <c r="C68" i="140" s="1"/>
  <c r="B68" i="140" s="1"/>
  <c r="AH11" i="98"/>
  <c r="AH50" i="98"/>
  <c r="AI50" i="98" s="1"/>
  <c r="AJ50" i="98" s="1"/>
  <c r="AH33" i="98"/>
  <c r="AH68" i="98"/>
  <c r="AH21" i="98"/>
  <c r="AH88" i="98"/>
  <c r="AH40" i="98"/>
  <c r="AH74" i="98"/>
  <c r="AH52" i="98"/>
  <c r="AH49" i="98"/>
  <c r="AI49" i="98" s="1"/>
  <c r="AJ49" i="98" s="1"/>
  <c r="AH20" i="98"/>
  <c r="AH45" i="98"/>
  <c r="AI45" i="98" s="1"/>
  <c r="AJ45" i="98" s="1"/>
  <c r="AH25" i="98"/>
  <c r="AH38" i="98"/>
  <c r="AH23" i="98"/>
  <c r="AH79" i="98"/>
  <c r="AH55" i="98"/>
  <c r="AH17" i="98"/>
  <c r="AH19" i="98"/>
  <c r="AH73" i="98"/>
  <c r="AH44" i="98"/>
  <c r="AH77" i="98"/>
  <c r="AH43" i="98"/>
  <c r="AH31" i="98"/>
  <c r="AH37" i="98"/>
  <c r="AH10" i="98"/>
  <c r="AH83" i="98"/>
  <c r="AH32" i="98"/>
  <c r="AH66" i="98"/>
  <c r="AH51" i="98"/>
  <c r="AI51" i="98" s="1"/>
  <c r="AJ51" i="98" s="1"/>
  <c r="AH57" i="98"/>
  <c r="AH82" i="98"/>
  <c r="AH26" i="98"/>
  <c r="AH70" i="98"/>
  <c r="AH56" i="98"/>
  <c r="AH84" i="98"/>
  <c r="AH22" i="98"/>
  <c r="AH14" i="98"/>
  <c r="AH72" i="98"/>
  <c r="AH81" i="98"/>
  <c r="AH9" i="98"/>
  <c r="AH27" i="98"/>
  <c r="AH85" i="98"/>
  <c r="AH18" i="98"/>
  <c r="AH86" i="98"/>
  <c r="AH60" i="98"/>
  <c r="AH29" i="98"/>
  <c r="AH42" i="98"/>
  <c r="AH59" i="98"/>
  <c r="AH35" i="98"/>
  <c r="AH28" i="98"/>
  <c r="AH75" i="98"/>
  <c r="AH65" i="98"/>
  <c r="AH54" i="98"/>
  <c r="AH80" i="98"/>
  <c r="AH90" i="98"/>
  <c r="AH34" i="98"/>
  <c r="AH41" i="98"/>
  <c r="AH71" i="98"/>
  <c r="AH12" i="98"/>
  <c r="AH76" i="98"/>
  <c r="AH46" i="98"/>
  <c r="AI46" i="98" s="1"/>
  <c r="AJ46" i="98" s="1"/>
  <c r="AH87" i="98"/>
  <c r="AH62" i="98"/>
  <c r="AH67" i="98"/>
  <c r="AH53" i="98"/>
  <c r="AH16" i="98"/>
  <c r="AH13" i="98"/>
  <c r="AH64" i="98"/>
  <c r="AH39" i="98"/>
  <c r="AH69" i="98"/>
  <c r="AH61" i="98"/>
  <c r="AH63" i="98"/>
  <c r="AH58" i="98"/>
  <c r="AH36" i="98"/>
  <c r="AH78" i="98"/>
  <c r="AH15" i="98"/>
  <c r="AH30" i="98"/>
  <c r="P71" i="60"/>
  <c r="C71" i="60"/>
  <c r="V54" i="21"/>
  <c r="D54" i="21"/>
  <c r="K36" i="13"/>
  <c r="L36" i="13" s="1"/>
  <c r="F36" i="19"/>
  <c r="E36" i="19" s="1"/>
  <c r="C36" i="261" s="1"/>
  <c r="D46" i="36"/>
  <c r="B45" i="36"/>
  <c r="E62" i="36"/>
  <c r="F60" i="19"/>
  <c r="J60" i="13"/>
  <c r="K60" i="13" s="1"/>
  <c r="D58" i="140"/>
  <c r="C58" i="140" s="1"/>
  <c r="B58" i="140" s="1"/>
  <c r="AH89" i="98"/>
  <c r="O59" i="60"/>
  <c r="O57" i="257"/>
  <c r="Q57" i="257" s="1"/>
  <c r="D86" i="140"/>
  <c r="C86" i="140" s="1"/>
  <c r="B86" i="140" s="1"/>
  <c r="J72" i="13"/>
  <c r="B72" i="17"/>
  <c r="L72" i="19"/>
  <c r="C43" i="17"/>
  <c r="K43" i="19"/>
  <c r="C82" i="19"/>
  <c r="B82" i="19" s="1"/>
  <c r="B82" i="261" s="1"/>
  <c r="G82" i="10"/>
  <c r="F82" i="10" s="1"/>
  <c r="C82" i="10" s="1"/>
  <c r="N82" i="10" s="1"/>
  <c r="L14" i="36"/>
  <c r="C85" i="19"/>
  <c r="B85" i="19" s="1"/>
  <c r="B85" i="261" s="1"/>
  <c r="G85" i="10"/>
  <c r="F85" i="10" s="1"/>
  <c r="C85" i="10" s="1"/>
  <c r="N85" i="10" s="1"/>
  <c r="F64" i="10"/>
  <c r="C64" i="10" s="1"/>
  <c r="N64" i="10" s="1"/>
  <c r="N47" i="10"/>
  <c r="B47" i="17"/>
  <c r="L47" i="19"/>
  <c r="M57" i="140"/>
  <c r="I85" i="24"/>
  <c r="C79" i="19"/>
  <c r="B79" i="19" s="1"/>
  <c r="B79" i="261" s="1"/>
  <c r="G79" i="10"/>
  <c r="Q58" i="60"/>
  <c r="I64" i="24"/>
  <c r="D75" i="140"/>
  <c r="C75" i="140" s="1"/>
  <c r="B75" i="140" s="1"/>
  <c r="K57" i="13"/>
  <c r="F40" i="17"/>
  <c r="M40" i="17"/>
  <c r="E40" i="17"/>
  <c r="O40" i="17" s="1"/>
  <c r="P40" i="17" s="1"/>
  <c r="F42" i="154" s="1"/>
  <c r="D69" i="140"/>
  <c r="C69" i="140" s="1"/>
  <c r="B69" i="140" s="1"/>
  <c r="D61" i="140"/>
  <c r="C61" i="140" s="1"/>
  <c r="B61" i="140" s="1"/>
  <c r="F53" i="9"/>
  <c r="L53" i="9" s="1"/>
  <c r="I83" i="17"/>
  <c r="I80" i="17"/>
  <c r="I86" i="17"/>
  <c r="I55" i="17"/>
  <c r="I61" i="17"/>
  <c r="I71" i="17"/>
  <c r="I82" i="17"/>
  <c r="I65" i="17"/>
  <c r="U43" i="13"/>
  <c r="K79" i="12"/>
  <c r="H79" i="12"/>
  <c r="O79" i="12" s="1"/>
  <c r="C79" i="12"/>
  <c r="F65" i="19" l="1"/>
  <c r="F35" i="261"/>
  <c r="C50" i="127"/>
  <c r="I48" i="98"/>
  <c r="J48" i="98"/>
  <c r="J44" i="98" s="1"/>
  <c r="L10" i="17"/>
  <c r="T10" i="17" s="1"/>
  <c r="M39" i="261"/>
  <c r="F80" i="19"/>
  <c r="G48" i="98"/>
  <c r="C39" i="17"/>
  <c r="F82" i="19"/>
  <c r="D82" i="12" s="1"/>
  <c r="K84" i="13"/>
  <c r="E39" i="261"/>
  <c r="O39" i="261" s="1"/>
  <c r="V39" i="261" s="1"/>
  <c r="F63" i="19"/>
  <c r="F75" i="19"/>
  <c r="I44" i="98"/>
  <c r="Z32" i="261"/>
  <c r="AA32" i="261"/>
  <c r="AB32" i="261"/>
  <c r="AA34" i="261"/>
  <c r="AB34" i="261"/>
  <c r="Z34" i="261"/>
  <c r="AB20" i="261"/>
  <c r="Z20" i="261"/>
  <c r="AA20" i="261"/>
  <c r="AB24" i="261"/>
  <c r="AA26" i="261"/>
  <c r="AB26" i="261"/>
  <c r="Z26" i="261"/>
  <c r="Z40" i="261"/>
  <c r="AA40" i="261"/>
  <c r="AB40" i="261"/>
  <c r="AA38" i="261"/>
  <c r="AB38" i="261"/>
  <c r="Z38" i="261"/>
  <c r="Z24" i="261"/>
  <c r="AA24" i="261"/>
  <c r="L10" i="261"/>
  <c r="AH10" i="261" s="1"/>
  <c r="E15" i="261"/>
  <c r="O15" i="261" s="1"/>
  <c r="V15" i="261" s="1"/>
  <c r="V35" i="261"/>
  <c r="U35" i="261"/>
  <c r="Y35" i="261" s="1"/>
  <c r="S35" i="261"/>
  <c r="W35" i="261" s="1"/>
  <c r="T35" i="261"/>
  <c r="X35" i="261" s="1"/>
  <c r="V41" i="261"/>
  <c r="V30" i="261"/>
  <c r="U30" i="261"/>
  <c r="Y30" i="261" s="1"/>
  <c r="T30" i="261"/>
  <c r="X30" i="261" s="1"/>
  <c r="S30" i="261"/>
  <c r="W30" i="261" s="1"/>
  <c r="U43" i="261"/>
  <c r="Y43" i="261" s="1"/>
  <c r="S43" i="261"/>
  <c r="W43" i="261" s="1"/>
  <c r="T43" i="261"/>
  <c r="X43" i="261" s="1"/>
  <c r="V11" i="261"/>
  <c r="U11" i="261"/>
  <c r="Y11" i="261" s="1"/>
  <c r="S11" i="261"/>
  <c r="W11" i="261" s="1"/>
  <c r="T11" i="261"/>
  <c r="X11" i="261" s="1"/>
  <c r="AI35" i="261"/>
  <c r="V43" i="261"/>
  <c r="AI41" i="261"/>
  <c r="AI30" i="261"/>
  <c r="G45" i="17"/>
  <c r="L45" i="17" s="1"/>
  <c r="T45" i="17" s="1"/>
  <c r="G45" i="261"/>
  <c r="L45" i="261" s="1"/>
  <c r="AH45" i="261" s="1"/>
  <c r="M22" i="261"/>
  <c r="F22" i="261"/>
  <c r="E22" i="261"/>
  <c r="O22" i="261" s="1"/>
  <c r="M14" i="261"/>
  <c r="F14" i="261"/>
  <c r="E14" i="261"/>
  <c r="AI14" i="261" s="1"/>
  <c r="O42" i="261"/>
  <c r="C60" i="19"/>
  <c r="B60" i="19" s="1"/>
  <c r="G60" i="10"/>
  <c r="G56" i="17"/>
  <c r="G56" i="261"/>
  <c r="G78" i="10"/>
  <c r="F78" i="10" s="1"/>
  <c r="C78" i="10" s="1"/>
  <c r="N78" i="10" s="1"/>
  <c r="C78" i="19"/>
  <c r="B78" i="19" s="1"/>
  <c r="B78" i="261" s="1"/>
  <c r="G53" i="17"/>
  <c r="G53" i="261"/>
  <c r="G51" i="17"/>
  <c r="L51" i="17" s="1"/>
  <c r="T51" i="17" s="1"/>
  <c r="G51" i="261"/>
  <c r="L51" i="261" s="1"/>
  <c r="AH51" i="261" s="1"/>
  <c r="O16" i="140"/>
  <c r="G50" i="17"/>
  <c r="L50" i="17" s="1"/>
  <c r="T50" i="17" s="1"/>
  <c r="G50" i="261"/>
  <c r="L50" i="261" s="1"/>
  <c r="AH50" i="261" s="1"/>
  <c r="N45" i="8"/>
  <c r="M10" i="261"/>
  <c r="F10" i="261"/>
  <c r="E10" i="261"/>
  <c r="G13" i="17"/>
  <c r="G13" i="261"/>
  <c r="G73" i="17"/>
  <c r="G73" i="261"/>
  <c r="G66" i="17"/>
  <c r="G66" i="261"/>
  <c r="L27" i="13"/>
  <c r="U27" i="13"/>
  <c r="E27" i="12"/>
  <c r="AI11" i="261"/>
  <c r="F15" i="261"/>
  <c r="M15" i="261"/>
  <c r="B50" i="10"/>
  <c r="J50" i="10" s="1"/>
  <c r="L81" i="19"/>
  <c r="F16" i="261"/>
  <c r="M16" i="261"/>
  <c r="E16" i="261"/>
  <c r="O16" i="261" s="1"/>
  <c r="U55" i="13"/>
  <c r="G55" i="17"/>
  <c r="G55" i="261"/>
  <c r="C73" i="19"/>
  <c r="B73" i="19" s="1"/>
  <c r="B73" i="261" s="1"/>
  <c r="G73" i="10"/>
  <c r="F73" i="10" s="1"/>
  <c r="C73" i="10" s="1"/>
  <c r="N73" i="10" s="1"/>
  <c r="C58" i="19"/>
  <c r="B58" i="19" s="1"/>
  <c r="G58" i="10"/>
  <c r="G62" i="17"/>
  <c r="G62" i="261"/>
  <c r="C86" i="19"/>
  <c r="B86" i="19" s="1"/>
  <c r="G86" i="10"/>
  <c r="G54" i="17"/>
  <c r="G54" i="261"/>
  <c r="AI43" i="261"/>
  <c r="M12" i="261"/>
  <c r="G71" i="17"/>
  <c r="G71" i="261"/>
  <c r="C66" i="19"/>
  <c r="B66" i="19" s="1"/>
  <c r="G66" i="10"/>
  <c r="F66" i="10" s="1"/>
  <c r="C66" i="10" s="1"/>
  <c r="N66" i="10" s="1"/>
  <c r="C27" i="261"/>
  <c r="C27" i="17"/>
  <c r="C69" i="19"/>
  <c r="B69" i="19" s="1"/>
  <c r="G69" i="10"/>
  <c r="G84" i="10"/>
  <c r="C84" i="19"/>
  <c r="B84" i="19" s="1"/>
  <c r="AI42" i="261"/>
  <c r="M36" i="261"/>
  <c r="F36" i="261"/>
  <c r="E36" i="261"/>
  <c r="O36" i="261" s="1"/>
  <c r="M17" i="261"/>
  <c r="F17" i="261"/>
  <c r="E17" i="261"/>
  <c r="O17" i="261" s="1"/>
  <c r="G78" i="17"/>
  <c r="G78" i="261"/>
  <c r="L79" i="19"/>
  <c r="F19" i="261"/>
  <c r="M19" i="261"/>
  <c r="E19" i="261"/>
  <c r="O19" i="261" s="1"/>
  <c r="G59" i="17"/>
  <c r="G59" i="261"/>
  <c r="F18" i="261"/>
  <c r="M18" i="261"/>
  <c r="E18" i="261"/>
  <c r="O18" i="261" s="1"/>
  <c r="M21" i="261"/>
  <c r="F21" i="261"/>
  <c r="E21" i="261"/>
  <c r="O21" i="261" s="1"/>
  <c r="C55" i="19"/>
  <c r="B55" i="19" s="1"/>
  <c r="G55" i="10"/>
  <c r="C71" i="19"/>
  <c r="B71" i="19" s="1"/>
  <c r="G71" i="10"/>
  <c r="G60" i="17"/>
  <c r="G60" i="261"/>
  <c r="G58" i="17"/>
  <c r="G58" i="261"/>
  <c r="G62" i="10"/>
  <c r="C62" i="19"/>
  <c r="B62" i="19" s="1"/>
  <c r="C56" i="19"/>
  <c r="B56" i="19" s="1"/>
  <c r="G56" i="10"/>
  <c r="I13" i="261"/>
  <c r="M49" i="261"/>
  <c r="G86" i="17"/>
  <c r="G86" i="261"/>
  <c r="C54" i="19"/>
  <c r="B54" i="19" s="1"/>
  <c r="G54" i="10"/>
  <c r="F54" i="10" s="1"/>
  <c r="C54" i="10" s="1"/>
  <c r="N54" i="10" s="1"/>
  <c r="G69" i="17"/>
  <c r="G69" i="261"/>
  <c r="G84" i="17"/>
  <c r="G84" i="261"/>
  <c r="O49" i="261"/>
  <c r="L76" i="19"/>
  <c r="J49" i="12"/>
  <c r="Q57" i="140"/>
  <c r="U48" i="13"/>
  <c r="I13" i="17"/>
  <c r="Q16" i="140"/>
  <c r="J13" i="36"/>
  <c r="D13" i="25"/>
  <c r="J13" i="9"/>
  <c r="E42" i="17"/>
  <c r="O42" i="17" s="1"/>
  <c r="P42" i="17" s="1"/>
  <c r="F44" i="154" s="1"/>
  <c r="K44" i="154" s="1"/>
  <c r="M42" i="17"/>
  <c r="F42" i="17"/>
  <c r="U40" i="17"/>
  <c r="I42" i="12"/>
  <c r="F42" i="12"/>
  <c r="Q49" i="140"/>
  <c r="Q90" i="140"/>
  <c r="U19" i="13"/>
  <c r="N16" i="140"/>
  <c r="K42" i="12"/>
  <c r="H42" i="12"/>
  <c r="O42" i="12" s="1"/>
  <c r="E41" i="17"/>
  <c r="O41" i="17" s="1"/>
  <c r="F41" i="17"/>
  <c r="Q91" i="140"/>
  <c r="L27" i="8"/>
  <c r="Q27" i="8" s="1"/>
  <c r="I9" i="8"/>
  <c r="L9" i="8" s="1"/>
  <c r="Q83" i="140"/>
  <c r="B84" i="13"/>
  <c r="U84" i="13" s="1"/>
  <c r="K67" i="13"/>
  <c r="B67" i="13" s="1"/>
  <c r="U21" i="13"/>
  <c r="E91" i="8"/>
  <c r="K91" i="8" s="1"/>
  <c r="K28" i="12"/>
  <c r="H28" i="12"/>
  <c r="O28" i="12" s="1"/>
  <c r="K52" i="13"/>
  <c r="B52" i="13" s="1"/>
  <c r="F52" i="19"/>
  <c r="H14" i="12"/>
  <c r="O14" i="12" s="1"/>
  <c r="B46" i="13"/>
  <c r="L46" i="13" s="1"/>
  <c r="F11" i="17"/>
  <c r="M11" i="17"/>
  <c r="U11" i="17"/>
  <c r="P27" i="8"/>
  <c r="B27" i="36"/>
  <c r="F9" i="8"/>
  <c r="F91" i="8" s="1"/>
  <c r="F96" i="8" s="1"/>
  <c r="U34" i="17"/>
  <c r="O37" i="17"/>
  <c r="P37" i="17" s="1"/>
  <c r="F39" i="154" s="1"/>
  <c r="K39" i="154" s="1"/>
  <c r="U37" i="17"/>
  <c r="L48" i="13"/>
  <c r="J23" i="9"/>
  <c r="L89" i="19"/>
  <c r="B89" i="17"/>
  <c r="H10" i="12"/>
  <c r="N53" i="8"/>
  <c r="R53" i="8"/>
  <c r="D46" i="12"/>
  <c r="E46" i="19"/>
  <c r="C46" i="261" s="1"/>
  <c r="C9" i="13"/>
  <c r="U30" i="13"/>
  <c r="B13" i="13"/>
  <c r="L13" i="13" s="1"/>
  <c r="G10" i="12"/>
  <c r="J10" i="12" s="1"/>
  <c r="C10" i="12"/>
  <c r="B12" i="19"/>
  <c r="B12" i="261" s="1"/>
  <c r="F12" i="261" s="1"/>
  <c r="D9" i="19"/>
  <c r="I44" i="12"/>
  <c r="F44" i="12"/>
  <c r="I23" i="36"/>
  <c r="O23" i="36"/>
  <c r="H23" i="36"/>
  <c r="D9" i="36"/>
  <c r="G14" i="12"/>
  <c r="J14" i="12" s="1"/>
  <c r="C14" i="12"/>
  <c r="N24" i="116"/>
  <c r="C15" i="17"/>
  <c r="E15" i="17" s="1"/>
  <c r="O15" i="17" s="1"/>
  <c r="P15" i="17" s="1"/>
  <c r="F17" i="154" s="1"/>
  <c r="F22" i="154"/>
  <c r="L63" i="19"/>
  <c r="Q77" i="140"/>
  <c r="U16" i="13"/>
  <c r="L74" i="19"/>
  <c r="Q59" i="140"/>
  <c r="L75" i="19"/>
  <c r="U18" i="13"/>
  <c r="L87" i="19"/>
  <c r="F89" i="19"/>
  <c r="D89" i="12" s="1"/>
  <c r="K89" i="13"/>
  <c r="B89" i="13" s="1"/>
  <c r="U89" i="13" s="1"/>
  <c r="O31" i="17"/>
  <c r="P31" i="17" s="1"/>
  <c r="F33" i="154" s="1"/>
  <c r="K33" i="154" s="1"/>
  <c r="U31" i="17"/>
  <c r="C14" i="17"/>
  <c r="K14" i="19"/>
  <c r="E101" i="9"/>
  <c r="C27" i="9"/>
  <c r="B97" i="9"/>
  <c r="H97" i="9" s="1"/>
  <c r="D101" i="9"/>
  <c r="D61" i="36" s="1"/>
  <c r="B27" i="12"/>
  <c r="B9" i="12" s="1"/>
  <c r="H27" i="9"/>
  <c r="B9" i="9"/>
  <c r="H9" i="9" s="1"/>
  <c r="P27" i="9"/>
  <c r="E13" i="19"/>
  <c r="C13" i="261" s="1"/>
  <c r="D13" i="12"/>
  <c r="C10" i="17"/>
  <c r="K10" i="19"/>
  <c r="O38" i="17"/>
  <c r="P38" i="17" s="1"/>
  <c r="F40" i="154" s="1"/>
  <c r="K40" i="154" s="1"/>
  <c r="U38" i="17"/>
  <c r="E48" i="19"/>
  <c r="C48" i="261" s="1"/>
  <c r="D48" i="12"/>
  <c r="K44" i="13"/>
  <c r="I44" i="13" s="1"/>
  <c r="U44" i="13" s="1"/>
  <c r="E47" i="12"/>
  <c r="U47" i="13"/>
  <c r="J88" i="12"/>
  <c r="G88" i="12"/>
  <c r="N88" i="12" s="1"/>
  <c r="U56" i="13"/>
  <c r="E56" i="12"/>
  <c r="E84" i="12"/>
  <c r="E63" i="12"/>
  <c r="U63" i="13"/>
  <c r="M86" i="140"/>
  <c r="O61" i="60"/>
  <c r="O59" i="257"/>
  <c r="Q59" i="257" s="1"/>
  <c r="M66" i="140"/>
  <c r="Q64" i="60"/>
  <c r="Y9" i="99"/>
  <c r="X9" i="99"/>
  <c r="M41" i="98"/>
  <c r="L41" i="98" s="1"/>
  <c r="D41" i="98" s="1"/>
  <c r="N41" i="98"/>
  <c r="J86" i="13"/>
  <c r="F86" i="19" s="1"/>
  <c r="U68" i="13"/>
  <c r="E68" i="12"/>
  <c r="C45" i="127"/>
  <c r="O74" i="60"/>
  <c r="O72" i="257"/>
  <c r="Q72" i="257" s="1"/>
  <c r="H90" i="8"/>
  <c r="B57" i="17"/>
  <c r="U83" i="13"/>
  <c r="E83" i="12"/>
  <c r="C17" i="17"/>
  <c r="K17" i="19"/>
  <c r="M32" i="99"/>
  <c r="N32" i="99"/>
  <c r="M51" i="99"/>
  <c r="L51" i="99" s="1"/>
  <c r="N51" i="99"/>
  <c r="B83" i="17"/>
  <c r="L83" i="19"/>
  <c r="K42" i="154"/>
  <c r="M75" i="140"/>
  <c r="F79" i="10"/>
  <c r="C79" i="10" s="1"/>
  <c r="N79" i="10" s="1"/>
  <c r="B85" i="17"/>
  <c r="F43" i="17"/>
  <c r="M43" i="17"/>
  <c r="E43" i="17"/>
  <c r="O43" i="17" s="1"/>
  <c r="M58" i="140"/>
  <c r="C36" i="17"/>
  <c r="K36" i="19"/>
  <c r="K64" i="13"/>
  <c r="AE44" i="98"/>
  <c r="AE59" i="98"/>
  <c r="AE40" i="98"/>
  <c r="AE84" i="98"/>
  <c r="AE86" i="98"/>
  <c r="AE23" i="98"/>
  <c r="AE67" i="98"/>
  <c r="AE73" i="98"/>
  <c r="AE39" i="98"/>
  <c r="AE53" i="98"/>
  <c r="AE63" i="98"/>
  <c r="AE76" i="98"/>
  <c r="AE83" i="98"/>
  <c r="AE37" i="98"/>
  <c r="AE61" i="98"/>
  <c r="AE18" i="98"/>
  <c r="AE72" i="98"/>
  <c r="AE57" i="98"/>
  <c r="AE11" i="98"/>
  <c r="AE75" i="98"/>
  <c r="AE15" i="98"/>
  <c r="AE10" i="98"/>
  <c r="AE19" i="98"/>
  <c r="AE25" i="98"/>
  <c r="AE36" i="98"/>
  <c r="AE42" i="98"/>
  <c r="AE58" i="98"/>
  <c r="AE66" i="98"/>
  <c r="AE79" i="98"/>
  <c r="AE87" i="98"/>
  <c r="AE35" i="98"/>
  <c r="AE70" i="98"/>
  <c r="AE54" i="98"/>
  <c r="AE68" i="98"/>
  <c r="AE34" i="98"/>
  <c r="AE55" i="98"/>
  <c r="AE77" i="98"/>
  <c r="AE74" i="98"/>
  <c r="AE56" i="98"/>
  <c r="AE14" i="98"/>
  <c r="AE29" i="98"/>
  <c r="AE17" i="98"/>
  <c r="AE28" i="98"/>
  <c r="AE64" i="98"/>
  <c r="AE85" i="98"/>
  <c r="AE21" i="98"/>
  <c r="AE82" i="98"/>
  <c r="AE80" i="98"/>
  <c r="AE78" i="98"/>
  <c r="AE71" i="98"/>
  <c r="AE52" i="98"/>
  <c r="AE88" i="98"/>
  <c r="AE65" i="98"/>
  <c r="AE60" i="98"/>
  <c r="AE38" i="98"/>
  <c r="AE62" i="98"/>
  <c r="AE81" i="98"/>
  <c r="AE16" i="98"/>
  <c r="AE20" i="98"/>
  <c r="AE43" i="98"/>
  <c r="AE69" i="98"/>
  <c r="AE46" i="98"/>
  <c r="AE41" i="98"/>
  <c r="AE24" i="98"/>
  <c r="AE49" i="98"/>
  <c r="AE30" i="98"/>
  <c r="AE22" i="98"/>
  <c r="AE27" i="98"/>
  <c r="AE47" i="98"/>
  <c r="AE33" i="98"/>
  <c r="AE48" i="98"/>
  <c r="AE12" i="98"/>
  <c r="AE26" i="98"/>
  <c r="AE13" i="98"/>
  <c r="AE50" i="98"/>
  <c r="AE45" i="98"/>
  <c r="AE89" i="98"/>
  <c r="AE51" i="98"/>
  <c r="AE32" i="98"/>
  <c r="F73" i="19"/>
  <c r="N83" i="140"/>
  <c r="P83" i="140"/>
  <c r="O83" i="140"/>
  <c r="F78" i="19"/>
  <c r="U20" i="17"/>
  <c r="E89" i="12"/>
  <c r="F71" i="19"/>
  <c r="D64" i="140"/>
  <c r="C64" i="140" s="1"/>
  <c r="B64" i="140" s="1"/>
  <c r="M84" i="140"/>
  <c r="E74" i="12"/>
  <c r="U74" i="13"/>
  <c r="L74" i="13"/>
  <c r="F72" i="19"/>
  <c r="D72" i="12" s="1"/>
  <c r="N49" i="98"/>
  <c r="M49" i="98"/>
  <c r="N30" i="98"/>
  <c r="M30" i="98"/>
  <c r="M13" i="98"/>
  <c r="N13" i="98"/>
  <c r="N47" i="98"/>
  <c r="M47" i="98"/>
  <c r="M46" i="98"/>
  <c r="L46" i="98" s="1"/>
  <c r="D46" i="98" s="1"/>
  <c r="N46" i="98"/>
  <c r="Q63" i="60"/>
  <c r="C51" i="19"/>
  <c r="B51" i="19" s="1"/>
  <c r="B51" i="261" s="1"/>
  <c r="F51" i="10"/>
  <c r="K51" i="10" s="1"/>
  <c r="J51" i="10"/>
  <c r="F87" i="19"/>
  <c r="AI90" i="98"/>
  <c r="Q88" i="60"/>
  <c r="P77" i="140"/>
  <c r="N77" i="140"/>
  <c r="O77" i="140"/>
  <c r="B77" i="17"/>
  <c r="L77" i="19"/>
  <c r="U77" i="13"/>
  <c r="E77" i="12"/>
  <c r="C12" i="17"/>
  <c r="J70" i="13"/>
  <c r="F70" i="19" s="1"/>
  <c r="K70" i="13"/>
  <c r="F81" i="10"/>
  <c r="C81" i="10" s="1"/>
  <c r="N81" i="10" s="1"/>
  <c r="B81" i="17"/>
  <c r="L68" i="19"/>
  <c r="K88" i="13"/>
  <c r="O87" i="60"/>
  <c r="O85" i="257"/>
  <c r="Q85" i="257" s="1"/>
  <c r="B75" i="13"/>
  <c r="M79" i="140"/>
  <c r="B74" i="17"/>
  <c r="F75" i="10"/>
  <c r="C75" i="10" s="1"/>
  <c r="N75" i="10" s="1"/>
  <c r="B75" i="17"/>
  <c r="L80" i="19"/>
  <c r="B87" i="17"/>
  <c r="L61" i="19"/>
  <c r="E30" i="17"/>
  <c r="O30" i="17" s="1"/>
  <c r="U30" i="17"/>
  <c r="F30" i="17"/>
  <c r="U17" i="13"/>
  <c r="B65" i="17"/>
  <c r="I53" i="13"/>
  <c r="U22" i="13"/>
  <c r="M27" i="99"/>
  <c r="N27" i="99"/>
  <c r="M49" i="99"/>
  <c r="N49" i="99"/>
  <c r="N89" i="99"/>
  <c r="M89" i="99"/>
  <c r="N30" i="99"/>
  <c r="M30" i="99"/>
  <c r="M48" i="99"/>
  <c r="N48" i="99"/>
  <c r="G90" i="8"/>
  <c r="P90" i="8" s="1"/>
  <c r="O84" i="257"/>
  <c r="Q84" i="257" s="1"/>
  <c r="O86" i="60"/>
  <c r="U39" i="13"/>
  <c r="J58" i="13"/>
  <c r="F58" i="19" s="1"/>
  <c r="K44" i="98"/>
  <c r="M61" i="140"/>
  <c r="J89" i="98"/>
  <c r="H89" i="98"/>
  <c r="I89" i="98"/>
  <c r="K89" i="98"/>
  <c r="F89" i="98"/>
  <c r="G89" i="98"/>
  <c r="D45" i="36"/>
  <c r="O45" i="36" s="1"/>
  <c r="K46" i="36"/>
  <c r="I46" i="36"/>
  <c r="F46" i="36"/>
  <c r="P46" i="36" s="1"/>
  <c r="H46" i="36"/>
  <c r="J69" i="13"/>
  <c r="K69" i="13" s="1"/>
  <c r="N9" i="8"/>
  <c r="R9" i="8"/>
  <c r="J85" i="13"/>
  <c r="F85" i="19" s="1"/>
  <c r="N45" i="98"/>
  <c r="M45" i="98"/>
  <c r="N43" i="98"/>
  <c r="M43" i="98"/>
  <c r="J76" i="13"/>
  <c r="K76" i="13" s="1"/>
  <c r="M87" i="140"/>
  <c r="U80" i="13"/>
  <c r="E80" i="12"/>
  <c r="M47" i="99"/>
  <c r="N47" i="99"/>
  <c r="N76" i="140"/>
  <c r="P76" i="140"/>
  <c r="O76" i="140"/>
  <c r="L9" i="98"/>
  <c r="N57" i="140"/>
  <c r="P57" i="140"/>
  <c r="O57" i="140"/>
  <c r="L82" i="19"/>
  <c r="B60" i="13"/>
  <c r="O46" i="36"/>
  <c r="U36" i="13"/>
  <c r="M68" i="140"/>
  <c r="B82" i="13"/>
  <c r="U32" i="17"/>
  <c r="X9" i="98"/>
  <c r="Y9" i="98"/>
  <c r="M70" i="140"/>
  <c r="O58" i="60"/>
  <c r="O56" i="257"/>
  <c r="Q56" i="257" s="1"/>
  <c r="L70" i="19"/>
  <c r="L67" i="19"/>
  <c r="B67" i="17"/>
  <c r="K22" i="154"/>
  <c r="K73" i="13"/>
  <c r="B73" i="13" s="1"/>
  <c r="J62" i="13"/>
  <c r="K62" i="13" s="1"/>
  <c r="AJ48" i="99"/>
  <c r="H24" i="98"/>
  <c r="H8" i="98" s="1"/>
  <c r="F24" i="98"/>
  <c r="I24" i="98"/>
  <c r="I8" i="98" s="1"/>
  <c r="G24" i="98"/>
  <c r="G8" i="98" s="1"/>
  <c r="K24" i="98"/>
  <c r="K8" i="98" s="1"/>
  <c r="J24" i="98"/>
  <c r="J8" i="98" s="1"/>
  <c r="J66" i="13"/>
  <c r="K66" i="13" s="1"/>
  <c r="B66" i="13" s="1"/>
  <c r="M9" i="13"/>
  <c r="Q9" i="9"/>
  <c r="K15" i="19"/>
  <c r="AE16" i="99"/>
  <c r="AE77" i="99"/>
  <c r="AE54" i="99"/>
  <c r="AE34" i="99"/>
  <c r="AE52" i="99"/>
  <c r="AE72" i="99"/>
  <c r="AE80" i="99"/>
  <c r="AE29" i="99"/>
  <c r="AE83" i="99"/>
  <c r="AE73" i="99"/>
  <c r="AE17" i="99"/>
  <c r="AE25" i="99"/>
  <c r="AE44" i="99"/>
  <c r="AE64" i="99"/>
  <c r="AE75" i="99"/>
  <c r="AE81" i="99"/>
  <c r="AE42" i="99"/>
  <c r="AE20" i="99"/>
  <c r="AE68" i="99"/>
  <c r="AE86" i="99"/>
  <c r="AE19" i="99"/>
  <c r="AE58" i="99"/>
  <c r="AE87" i="99"/>
  <c r="AE84" i="99"/>
  <c r="AE60" i="99"/>
  <c r="AE14" i="99"/>
  <c r="AE37" i="99"/>
  <c r="AE61" i="99"/>
  <c r="AE67" i="99"/>
  <c r="AE79" i="99"/>
  <c r="AE65" i="99"/>
  <c r="AE11" i="99"/>
  <c r="AE57" i="99"/>
  <c r="AE53" i="99"/>
  <c r="AE10" i="99"/>
  <c r="AE35" i="99"/>
  <c r="AE66" i="99"/>
  <c r="AE62" i="99"/>
  <c r="AE40" i="99"/>
  <c r="AE70" i="99"/>
  <c r="AE36" i="99"/>
  <c r="AE39" i="99"/>
  <c r="AE18" i="99"/>
  <c r="AE55" i="99"/>
  <c r="AE76" i="99"/>
  <c r="AE85" i="99"/>
  <c r="AE56" i="99"/>
  <c r="AE71" i="99"/>
  <c r="AE38" i="99"/>
  <c r="AE74" i="99"/>
  <c r="AE21" i="99"/>
  <c r="AE28" i="99"/>
  <c r="AE63" i="99"/>
  <c r="AE43" i="99"/>
  <c r="AE59" i="99"/>
  <c r="AE15" i="99"/>
  <c r="AE69" i="99"/>
  <c r="AE82" i="99"/>
  <c r="AE78" i="99"/>
  <c r="AE23" i="99"/>
  <c r="AE88" i="99"/>
  <c r="AE41" i="99"/>
  <c r="AE24" i="99"/>
  <c r="AE47" i="99"/>
  <c r="AE48" i="99"/>
  <c r="AE13" i="99"/>
  <c r="AE32" i="99"/>
  <c r="AE51" i="99"/>
  <c r="AE46" i="99"/>
  <c r="AE27" i="99"/>
  <c r="AE12" i="99"/>
  <c r="AE49" i="99"/>
  <c r="AE50" i="99"/>
  <c r="AE22" i="99"/>
  <c r="AE45" i="99"/>
  <c r="AE33" i="99"/>
  <c r="AE30" i="99"/>
  <c r="AE26" i="99"/>
  <c r="AE89" i="99"/>
  <c r="N33" i="98"/>
  <c r="M33" i="98"/>
  <c r="N51" i="98"/>
  <c r="M51" i="98"/>
  <c r="M32" i="98"/>
  <c r="N32" i="98"/>
  <c r="M48" i="98"/>
  <c r="N48" i="98"/>
  <c r="N12" i="98"/>
  <c r="M12" i="98"/>
  <c r="D78" i="140"/>
  <c r="C78" i="140" s="1"/>
  <c r="B78" i="140" s="1"/>
  <c r="D63" i="140"/>
  <c r="C63" i="140" s="1"/>
  <c r="B63" i="140" s="1"/>
  <c r="J61" i="13"/>
  <c r="K61" i="13" s="1"/>
  <c r="B63" i="17"/>
  <c r="C19" i="17"/>
  <c r="K19" i="19"/>
  <c r="O62" i="60"/>
  <c r="O60" i="257"/>
  <c r="Q60" i="257" s="1"/>
  <c r="D47" i="12"/>
  <c r="E47" i="19"/>
  <c r="C47" i="261" s="1"/>
  <c r="O68" i="60"/>
  <c r="O66" i="257"/>
  <c r="Q66" i="257" s="1"/>
  <c r="B57" i="13"/>
  <c r="L57" i="13" s="1"/>
  <c r="C59" i="19"/>
  <c r="B59" i="19" s="1"/>
  <c r="B59" i="261" s="1"/>
  <c r="G59" i="10"/>
  <c r="F59" i="10" s="1"/>
  <c r="C59" i="10" s="1"/>
  <c r="N59" i="10" s="1"/>
  <c r="B53" i="10"/>
  <c r="K86" i="13"/>
  <c r="F76" i="10"/>
  <c r="C76" i="10" s="1"/>
  <c r="N76" i="10" s="1"/>
  <c r="F50" i="10"/>
  <c r="C50" i="10" s="1"/>
  <c r="M82" i="140"/>
  <c r="D72" i="140"/>
  <c r="C72" i="140" s="1"/>
  <c r="B72" i="140" s="1"/>
  <c r="B68" i="17"/>
  <c r="B88" i="13"/>
  <c r="K48" i="12"/>
  <c r="H48" i="12"/>
  <c r="O48" i="12" s="1"/>
  <c r="K71" i="13"/>
  <c r="B71" i="13" s="1"/>
  <c r="M67" i="140"/>
  <c r="P91" i="140"/>
  <c r="N91" i="140"/>
  <c r="O91" i="140"/>
  <c r="B64" i="13"/>
  <c r="L57" i="19"/>
  <c r="K59" i="13"/>
  <c r="B59" i="13" s="1"/>
  <c r="B78" i="17"/>
  <c r="B80" i="17"/>
  <c r="C18" i="17"/>
  <c r="K18" i="19"/>
  <c r="B61" i="17"/>
  <c r="H83" i="257"/>
  <c r="H53" i="257" s="1"/>
  <c r="J92" i="60"/>
  <c r="H90" i="257" s="1"/>
  <c r="E85" i="60"/>
  <c r="P35" i="140"/>
  <c r="N35" i="140"/>
  <c r="O35" i="140"/>
  <c r="Q35" i="140"/>
  <c r="C21" i="17"/>
  <c r="K21" i="19"/>
  <c r="M62" i="140"/>
  <c r="M43" i="99"/>
  <c r="N43" i="99"/>
  <c r="M50" i="99"/>
  <c r="N50" i="99"/>
  <c r="M26" i="99"/>
  <c r="N26" i="99"/>
  <c r="N41" i="99"/>
  <c r="M41" i="99"/>
  <c r="M46" i="99"/>
  <c r="N46" i="99"/>
  <c r="U81" i="13"/>
  <c r="E81" i="12"/>
  <c r="H44" i="98"/>
  <c r="B65" i="13"/>
  <c r="B82" i="17"/>
  <c r="O71" i="60"/>
  <c r="O69" i="257"/>
  <c r="Q69" i="257" s="1"/>
  <c r="J82" i="12"/>
  <c r="G82" i="12"/>
  <c r="N82" i="12" s="1"/>
  <c r="Q71" i="60"/>
  <c r="B70" i="17"/>
  <c r="AJ47" i="99"/>
  <c r="M73" i="140"/>
  <c r="Q73" i="140" s="1"/>
  <c r="O86" i="257"/>
  <c r="Q86" i="257" s="1"/>
  <c r="O88" i="60"/>
  <c r="M22" i="98"/>
  <c r="N22" i="98"/>
  <c r="K78" i="13"/>
  <c r="B78" i="13" s="1"/>
  <c r="M89" i="140"/>
  <c r="C16" i="17"/>
  <c r="K16" i="19"/>
  <c r="I47" i="99"/>
  <c r="F47" i="99"/>
  <c r="J47" i="99"/>
  <c r="S47" i="99"/>
  <c r="H47" i="99"/>
  <c r="R47" i="99"/>
  <c r="K47" i="99"/>
  <c r="U47" i="99"/>
  <c r="Q47" i="99"/>
  <c r="V47" i="99"/>
  <c r="T47" i="99"/>
  <c r="G47" i="99"/>
  <c r="O78" i="60"/>
  <c r="O76" i="257"/>
  <c r="Q76" i="257" s="1"/>
  <c r="F35" i="17"/>
  <c r="M35" i="17"/>
  <c r="E35" i="17"/>
  <c r="O35" i="17" s="1"/>
  <c r="P35" i="17" s="1"/>
  <c r="F37" i="154" s="1"/>
  <c r="M91" i="8"/>
  <c r="N90" i="8"/>
  <c r="M24" i="99"/>
  <c r="N24" i="99"/>
  <c r="I79" i="12"/>
  <c r="F79" i="12"/>
  <c r="M69" i="140"/>
  <c r="B79" i="17"/>
  <c r="L85" i="19"/>
  <c r="AJ89" i="99"/>
  <c r="E50" i="36"/>
  <c r="E51" i="36"/>
  <c r="G54" i="13"/>
  <c r="C54" i="14"/>
  <c r="D54" i="14" s="1"/>
  <c r="C54" i="24"/>
  <c r="I54" i="24" s="1"/>
  <c r="E56" i="140"/>
  <c r="H56" i="60"/>
  <c r="D91" i="21"/>
  <c r="S54" i="21"/>
  <c r="N49" i="140"/>
  <c r="P49" i="140"/>
  <c r="O49" i="140"/>
  <c r="P60" i="60"/>
  <c r="C60" i="60"/>
  <c r="D71" i="140"/>
  <c r="C71" i="140" s="1"/>
  <c r="B71" i="140" s="1"/>
  <c r="M9" i="99"/>
  <c r="N9" i="99"/>
  <c r="M74" i="140"/>
  <c r="U15" i="13"/>
  <c r="P90" i="140"/>
  <c r="N90" i="140"/>
  <c r="O90" i="140"/>
  <c r="K87" i="13"/>
  <c r="B87" i="13" s="1"/>
  <c r="AJ24" i="99"/>
  <c r="AJ90" i="99" s="1"/>
  <c r="O61" i="257"/>
  <c r="Q61" i="257" s="1"/>
  <c r="O63" i="60"/>
  <c r="I48" i="99"/>
  <c r="F48" i="99"/>
  <c r="J48" i="99"/>
  <c r="T48" i="99"/>
  <c r="H48" i="99"/>
  <c r="K48" i="99"/>
  <c r="Q48" i="99"/>
  <c r="V48" i="99"/>
  <c r="S48" i="99"/>
  <c r="G48" i="99"/>
  <c r="U48" i="99"/>
  <c r="R48" i="99"/>
  <c r="O69" i="60"/>
  <c r="O67" i="257"/>
  <c r="Q67" i="257" s="1"/>
  <c r="N26" i="98"/>
  <c r="M26" i="98"/>
  <c r="M24" i="98"/>
  <c r="N24" i="98"/>
  <c r="M27" i="98"/>
  <c r="N27" i="98"/>
  <c r="M89" i="98"/>
  <c r="N89" i="98"/>
  <c r="M50" i="98"/>
  <c r="N50" i="98"/>
  <c r="Q78" i="60"/>
  <c r="F63" i="10"/>
  <c r="C63" i="10" s="1"/>
  <c r="N63" i="10" s="1"/>
  <c r="L47" i="13"/>
  <c r="O80" i="257"/>
  <c r="Q80" i="257" s="1"/>
  <c r="O82" i="60"/>
  <c r="D88" i="140"/>
  <c r="C88" i="140" s="1"/>
  <c r="B88" i="140" s="1"/>
  <c r="F68" i="19"/>
  <c r="F49" i="17"/>
  <c r="M49" i="17"/>
  <c r="E49" i="17"/>
  <c r="O49" i="17" s="1"/>
  <c r="P49" i="17" s="1"/>
  <c r="F51" i="154" s="1"/>
  <c r="B76" i="17"/>
  <c r="M65" i="140"/>
  <c r="L80" i="13"/>
  <c r="K72" i="13"/>
  <c r="M80" i="140"/>
  <c r="C48" i="12"/>
  <c r="I24" i="99"/>
  <c r="I8" i="99" s="1"/>
  <c r="F24" i="99"/>
  <c r="J24" i="99"/>
  <c r="J8" i="99" s="1"/>
  <c r="H24" i="99"/>
  <c r="H8" i="99" s="1"/>
  <c r="T24" i="99"/>
  <c r="T8" i="99" s="1"/>
  <c r="G24" i="99"/>
  <c r="G8" i="99" s="1"/>
  <c r="R24" i="99"/>
  <c r="R8" i="99" s="1"/>
  <c r="V24" i="99"/>
  <c r="V8" i="99" s="1"/>
  <c r="K24" i="99"/>
  <c r="K8" i="99" s="1"/>
  <c r="S24" i="99"/>
  <c r="S8" i="99" s="1"/>
  <c r="U24" i="99"/>
  <c r="U8" i="99" s="1"/>
  <c r="Q24" i="99"/>
  <c r="P59" i="140"/>
  <c r="N59" i="140"/>
  <c r="O59" i="140"/>
  <c r="I89" i="99"/>
  <c r="S89" i="99"/>
  <c r="F89" i="99"/>
  <c r="J89" i="99"/>
  <c r="T89" i="99"/>
  <c r="H89" i="99"/>
  <c r="R89" i="99"/>
  <c r="V89" i="99"/>
  <c r="K89" i="99"/>
  <c r="Q89" i="99"/>
  <c r="G89" i="99"/>
  <c r="U89" i="99"/>
  <c r="D53" i="19"/>
  <c r="I53" i="261" s="1"/>
  <c r="I54" i="17"/>
  <c r="E49" i="12"/>
  <c r="U49" i="13"/>
  <c r="L65" i="19"/>
  <c r="C56" i="60"/>
  <c r="P56" i="60"/>
  <c r="E92" i="60"/>
  <c r="P92" i="60" s="1"/>
  <c r="C22" i="17"/>
  <c r="K22" i="19"/>
  <c r="F39" i="17"/>
  <c r="M39" i="17"/>
  <c r="E39" i="17"/>
  <c r="O39" i="17" s="1"/>
  <c r="M12" i="99"/>
  <c r="N12" i="99"/>
  <c r="M45" i="99"/>
  <c r="N45" i="99"/>
  <c r="M33" i="99"/>
  <c r="N33" i="99"/>
  <c r="M13" i="99"/>
  <c r="N13" i="99"/>
  <c r="E96" i="8"/>
  <c r="G90" i="9"/>
  <c r="E90" i="9"/>
  <c r="C90" i="9"/>
  <c r="B90" i="12"/>
  <c r="Q76" i="140"/>
  <c r="K55" i="12"/>
  <c r="H55" i="12"/>
  <c r="O55" i="12" s="1"/>
  <c r="C55" i="12"/>
  <c r="K85" i="13"/>
  <c r="B85" i="13" s="1"/>
  <c r="D60" i="140"/>
  <c r="C60" i="140" s="1"/>
  <c r="B60" i="140" s="1"/>
  <c r="F44" i="98"/>
  <c r="F90" i="98" s="1"/>
  <c r="E47" i="98"/>
  <c r="F69" i="19" l="1"/>
  <c r="L13" i="17"/>
  <c r="T13" i="17" s="1"/>
  <c r="F61" i="19"/>
  <c r="L13" i="98"/>
  <c r="D13" i="98" s="1"/>
  <c r="E48" i="98"/>
  <c r="G44" i="98"/>
  <c r="G90" i="98" s="1"/>
  <c r="N44" i="99"/>
  <c r="L26" i="98"/>
  <c r="D26" i="98" s="1"/>
  <c r="H90" i="98"/>
  <c r="L78" i="19"/>
  <c r="B45" i="10"/>
  <c r="J45" i="10" s="1"/>
  <c r="K58" i="13"/>
  <c r="B58" i="13" s="1"/>
  <c r="C50" i="19"/>
  <c r="B50" i="19" s="1"/>
  <c r="B50" i="261" s="1"/>
  <c r="L48" i="98"/>
  <c r="D48" i="98" s="1"/>
  <c r="L49" i="99"/>
  <c r="L73" i="19"/>
  <c r="AI39" i="261"/>
  <c r="L12" i="99"/>
  <c r="N90" i="99"/>
  <c r="L46" i="99"/>
  <c r="N8" i="98"/>
  <c r="L32" i="98"/>
  <c r="D32" i="98" s="1"/>
  <c r="K90" i="98"/>
  <c r="L48" i="99"/>
  <c r="L27" i="99"/>
  <c r="L24" i="99"/>
  <c r="L41" i="99"/>
  <c r="D41" i="99" s="1"/>
  <c r="AE90" i="99"/>
  <c r="K14" i="12"/>
  <c r="AE90" i="98"/>
  <c r="L33" i="99"/>
  <c r="D33" i="99" s="1"/>
  <c r="L24" i="98"/>
  <c r="L22" i="98"/>
  <c r="D22" i="98" s="1"/>
  <c r="L32" i="99"/>
  <c r="B54" i="261"/>
  <c r="B54" i="17"/>
  <c r="Z43" i="261"/>
  <c r="AB43" i="261"/>
  <c r="AA43" i="261"/>
  <c r="AA30" i="261"/>
  <c r="AB30" i="261"/>
  <c r="Z30" i="261"/>
  <c r="Z35" i="261"/>
  <c r="AB35" i="261"/>
  <c r="AA35" i="261"/>
  <c r="Z11" i="261"/>
  <c r="AA11" i="261"/>
  <c r="AB11" i="261"/>
  <c r="L69" i="19"/>
  <c r="L66" i="19"/>
  <c r="S15" i="261"/>
  <c r="W15" i="261" s="1"/>
  <c r="Z15" i="261" s="1"/>
  <c r="AI15" i="261"/>
  <c r="T15" i="261"/>
  <c r="X15" i="261" s="1"/>
  <c r="AA15" i="261" s="1"/>
  <c r="U15" i="261"/>
  <c r="Y15" i="261" s="1"/>
  <c r="AB15" i="261" s="1"/>
  <c r="E27" i="261"/>
  <c r="AI27" i="261" s="1"/>
  <c r="AI21" i="261"/>
  <c r="AI36" i="261"/>
  <c r="AI17" i="261"/>
  <c r="V16" i="261"/>
  <c r="S16" i="261"/>
  <c r="W16" i="261" s="1"/>
  <c r="T16" i="261"/>
  <c r="X16" i="261" s="1"/>
  <c r="U16" i="261"/>
  <c r="Y16" i="261" s="1"/>
  <c r="V18" i="261"/>
  <c r="T18" i="261"/>
  <c r="X18" i="261" s="1"/>
  <c r="U18" i="261"/>
  <c r="Y18" i="261" s="1"/>
  <c r="S18" i="261"/>
  <c r="W18" i="261" s="1"/>
  <c r="V17" i="261"/>
  <c r="U17" i="261"/>
  <c r="Y17" i="261" s="1"/>
  <c r="S17" i="261"/>
  <c r="W17" i="261" s="1"/>
  <c r="T17" i="261"/>
  <c r="X17" i="261" s="1"/>
  <c r="V36" i="261"/>
  <c r="U36" i="261"/>
  <c r="Y36" i="261" s="1"/>
  <c r="T36" i="261"/>
  <c r="X36" i="261" s="1"/>
  <c r="S36" i="261"/>
  <c r="W36" i="261" s="1"/>
  <c r="V49" i="261"/>
  <c r="V21" i="261"/>
  <c r="S21" i="261"/>
  <c r="W21" i="261" s="1"/>
  <c r="U21" i="261"/>
  <c r="Y21" i="261" s="1"/>
  <c r="T21" i="261"/>
  <c r="X21" i="261" s="1"/>
  <c r="V19" i="261"/>
  <c r="U19" i="261"/>
  <c r="Y19" i="261" s="1"/>
  <c r="S19" i="261"/>
  <c r="W19" i="261" s="1"/>
  <c r="T19" i="261"/>
  <c r="X19" i="261" s="1"/>
  <c r="V42" i="261"/>
  <c r="AI16" i="261"/>
  <c r="V22" i="261"/>
  <c r="S22" i="261"/>
  <c r="W22" i="261" s="1"/>
  <c r="U22" i="261"/>
  <c r="Y22" i="261" s="1"/>
  <c r="T22" i="261"/>
  <c r="X22" i="261" s="1"/>
  <c r="L13" i="261"/>
  <c r="AH13" i="261" s="1"/>
  <c r="AI19" i="261"/>
  <c r="B73" i="17"/>
  <c r="B56" i="261"/>
  <c r="B56" i="17"/>
  <c r="B55" i="261"/>
  <c r="B55" i="17"/>
  <c r="F27" i="261"/>
  <c r="B86" i="261"/>
  <c r="B86" i="17"/>
  <c r="L58" i="19"/>
  <c r="F58" i="10"/>
  <c r="C58" i="10" s="1"/>
  <c r="N58" i="10" s="1"/>
  <c r="AI10" i="261"/>
  <c r="O10" i="261"/>
  <c r="V10" i="261" s="1"/>
  <c r="M48" i="261"/>
  <c r="F48" i="261"/>
  <c r="E48" i="261"/>
  <c r="N14" i="12"/>
  <c r="U41" i="17"/>
  <c r="B62" i="261"/>
  <c r="B62" i="17"/>
  <c r="L71" i="19"/>
  <c r="F71" i="10"/>
  <c r="C71" i="10" s="1"/>
  <c r="N71" i="10" s="1"/>
  <c r="B69" i="261"/>
  <c r="B69" i="17"/>
  <c r="B58" i="261"/>
  <c r="B58" i="17"/>
  <c r="B45" i="261"/>
  <c r="D90" i="9"/>
  <c r="O90" i="9" s="1"/>
  <c r="I90" i="261"/>
  <c r="H90" i="261"/>
  <c r="J90" i="261"/>
  <c r="K90" i="261"/>
  <c r="F47" i="261"/>
  <c r="M47" i="261"/>
  <c r="E47" i="261"/>
  <c r="L54" i="19"/>
  <c r="O27" i="9"/>
  <c r="J27" i="261"/>
  <c r="H27" i="261"/>
  <c r="K27" i="261"/>
  <c r="M46" i="261"/>
  <c r="F46" i="261"/>
  <c r="E46" i="261"/>
  <c r="L62" i="19"/>
  <c r="F62" i="10"/>
  <c r="C62" i="10" s="1"/>
  <c r="N62" i="10" s="1"/>
  <c r="B71" i="261"/>
  <c r="B71" i="17"/>
  <c r="AI18" i="261"/>
  <c r="B84" i="261"/>
  <c r="B84" i="17"/>
  <c r="F69" i="10"/>
  <c r="C69" i="10" s="1"/>
  <c r="N69" i="10" s="1"/>
  <c r="B66" i="261"/>
  <c r="B66" i="17"/>
  <c r="F60" i="10"/>
  <c r="C60" i="10" s="1"/>
  <c r="N60" i="10" s="1"/>
  <c r="L60" i="19"/>
  <c r="O14" i="261"/>
  <c r="AI22" i="261"/>
  <c r="M13" i="261"/>
  <c r="F13" i="261"/>
  <c r="E13" i="261"/>
  <c r="AI13" i="261" s="1"/>
  <c r="E12" i="261"/>
  <c r="O12" i="261" s="1"/>
  <c r="F56" i="10"/>
  <c r="C56" i="10" s="1"/>
  <c r="N56" i="10" s="1"/>
  <c r="L56" i="19"/>
  <c r="F55" i="10"/>
  <c r="C55" i="10" s="1"/>
  <c r="N55" i="10" s="1"/>
  <c r="L55" i="19"/>
  <c r="F84" i="10"/>
  <c r="C84" i="10" s="1"/>
  <c r="N84" i="10" s="1"/>
  <c r="L84" i="19"/>
  <c r="F27" i="17"/>
  <c r="F86" i="10"/>
  <c r="C86" i="10" s="1"/>
  <c r="N86" i="10" s="1"/>
  <c r="L86" i="19"/>
  <c r="E27" i="17"/>
  <c r="U27" i="17" s="1"/>
  <c r="H27" i="12"/>
  <c r="O27" i="12" s="1"/>
  <c r="K27" i="12"/>
  <c r="B60" i="261"/>
  <c r="B60" i="17"/>
  <c r="B69" i="13"/>
  <c r="Q74" i="140"/>
  <c r="M15" i="17"/>
  <c r="F15" i="17"/>
  <c r="Q70" i="140"/>
  <c r="N10" i="12"/>
  <c r="G91" i="8"/>
  <c r="G96" i="8" s="1"/>
  <c r="Q89" i="140"/>
  <c r="Q87" i="140"/>
  <c r="U42" i="17"/>
  <c r="B91" i="9"/>
  <c r="B91" i="12" s="1"/>
  <c r="L89" i="13"/>
  <c r="P41" i="17"/>
  <c r="Q42" i="12"/>
  <c r="E67" i="12"/>
  <c r="H67" i="12" s="1"/>
  <c r="O67" i="12" s="1"/>
  <c r="U67" i="13"/>
  <c r="L67" i="13"/>
  <c r="Q84" i="140"/>
  <c r="F24" i="257"/>
  <c r="H24" i="116"/>
  <c r="I14" i="12"/>
  <c r="F14" i="12"/>
  <c r="B12" i="17"/>
  <c r="E12" i="17" s="1"/>
  <c r="C46" i="17"/>
  <c r="K46" i="19"/>
  <c r="U52" i="13"/>
  <c r="E52" i="12"/>
  <c r="Q69" i="140"/>
  <c r="U35" i="17"/>
  <c r="Q62" i="140"/>
  <c r="Q82" i="140"/>
  <c r="P50" i="13"/>
  <c r="O50" i="13" s="1"/>
  <c r="J50" i="13" s="1"/>
  <c r="K91" i="98"/>
  <c r="B70" i="13"/>
  <c r="U70" i="13" s="1"/>
  <c r="P51" i="13"/>
  <c r="O51" i="13" s="1"/>
  <c r="I9" i="13"/>
  <c r="F44" i="19"/>
  <c r="E44" i="19" s="1"/>
  <c r="C44" i="261" s="1"/>
  <c r="J48" i="12"/>
  <c r="G48" i="12"/>
  <c r="N48" i="12" s="1"/>
  <c r="G13" i="12"/>
  <c r="J13" i="12" s="1"/>
  <c r="P9" i="9"/>
  <c r="J23" i="36"/>
  <c r="G46" i="12"/>
  <c r="N46" i="12" s="1"/>
  <c r="J46" i="12"/>
  <c r="K10" i="12"/>
  <c r="O10" i="12"/>
  <c r="E46" i="12"/>
  <c r="U46" i="13"/>
  <c r="E52" i="19"/>
  <c r="C52" i="261" s="1"/>
  <c r="D52" i="12"/>
  <c r="J46" i="36"/>
  <c r="Q80" i="140"/>
  <c r="Q65" i="140"/>
  <c r="Q61" i="140"/>
  <c r="P30" i="17"/>
  <c r="K48" i="19"/>
  <c r="C48" i="17"/>
  <c r="M10" i="17"/>
  <c r="E10" i="17"/>
  <c r="F10" i="17"/>
  <c r="C13" i="17"/>
  <c r="K13" i="19"/>
  <c r="K27" i="17"/>
  <c r="I27" i="9"/>
  <c r="H27" i="17"/>
  <c r="C9" i="9"/>
  <c r="D27" i="12"/>
  <c r="M27" i="261" s="1"/>
  <c r="B27" i="25"/>
  <c r="E27" i="116"/>
  <c r="J27" i="17"/>
  <c r="C97" i="9"/>
  <c r="I97" i="9" s="1"/>
  <c r="J97" i="9" s="1"/>
  <c r="L27" i="9"/>
  <c r="Q44" i="12"/>
  <c r="I10" i="12"/>
  <c r="F10" i="12"/>
  <c r="E13" i="12"/>
  <c r="C13" i="12" s="1"/>
  <c r="U13" i="13"/>
  <c r="H27" i="36"/>
  <c r="C27" i="36"/>
  <c r="O27" i="36" s="1"/>
  <c r="E61" i="36"/>
  <c r="B9" i="36"/>
  <c r="H9" i="36" s="1"/>
  <c r="L52" i="13"/>
  <c r="P39" i="17"/>
  <c r="F41" i="154" s="1"/>
  <c r="K41" i="154" s="1"/>
  <c r="U15" i="17"/>
  <c r="P43" i="17"/>
  <c r="F45" i="154" s="1"/>
  <c r="K45" i="154" s="1"/>
  <c r="B86" i="13"/>
  <c r="U86" i="13" s="1"/>
  <c r="E33" i="9"/>
  <c r="E25" i="9"/>
  <c r="E23" i="9"/>
  <c r="F14" i="17"/>
  <c r="M14" i="17"/>
  <c r="E14" i="17"/>
  <c r="O14" i="17" s="1"/>
  <c r="P14" i="17" s="1"/>
  <c r="F16" i="154" s="1"/>
  <c r="K16" i="154" s="1"/>
  <c r="G89" i="12"/>
  <c r="N89" i="12" s="1"/>
  <c r="J89" i="12"/>
  <c r="N32" i="116"/>
  <c r="K51" i="154"/>
  <c r="E58" i="12"/>
  <c r="U58" i="13"/>
  <c r="U69" i="13"/>
  <c r="E69" i="12"/>
  <c r="E71" i="12"/>
  <c r="U71" i="13"/>
  <c r="K17" i="154"/>
  <c r="B61" i="13"/>
  <c r="B62" i="13"/>
  <c r="U62" i="13" s="1"/>
  <c r="E78" i="12"/>
  <c r="U78" i="13"/>
  <c r="N50" i="10"/>
  <c r="E73" i="12"/>
  <c r="U73" i="13"/>
  <c r="O58" i="257"/>
  <c r="Q58" i="257" s="1"/>
  <c r="O60" i="60"/>
  <c r="H92" i="60"/>
  <c r="Q56" i="60"/>
  <c r="D48" i="162"/>
  <c r="N91" i="8"/>
  <c r="P47" i="99"/>
  <c r="Q44" i="99"/>
  <c r="Q90" i="99" s="1"/>
  <c r="I44" i="99"/>
  <c r="I90" i="99" s="1"/>
  <c r="X49" i="99"/>
  <c r="Y49" i="99"/>
  <c r="X47" i="99"/>
  <c r="Y47" i="99"/>
  <c r="D49" i="99"/>
  <c r="F12" i="17"/>
  <c r="M12" i="17"/>
  <c r="J72" i="12"/>
  <c r="G72" i="12"/>
  <c r="N72" i="12" s="1"/>
  <c r="Y26" i="98"/>
  <c r="X26" i="98"/>
  <c r="W26" i="98" s="1"/>
  <c r="O26" i="98" s="1"/>
  <c r="Y49" i="98"/>
  <c r="X49" i="98"/>
  <c r="P75" i="140"/>
  <c r="N75" i="140"/>
  <c r="O75" i="140"/>
  <c r="D32" i="99"/>
  <c r="H83" i="12"/>
  <c r="O83" i="12" s="1"/>
  <c r="C83" i="12"/>
  <c r="K83" i="12"/>
  <c r="W9" i="99"/>
  <c r="U87" i="13"/>
  <c r="E87" i="12"/>
  <c r="E59" i="12"/>
  <c r="U59" i="13"/>
  <c r="K56" i="12"/>
  <c r="H56" i="12"/>
  <c r="O56" i="12" s="1"/>
  <c r="C56" i="12"/>
  <c r="I55" i="12"/>
  <c r="F55" i="12"/>
  <c r="K90" i="9"/>
  <c r="L13" i="99"/>
  <c r="L45" i="99"/>
  <c r="M44" i="99"/>
  <c r="M90" i="99" s="1"/>
  <c r="U39" i="17"/>
  <c r="O56" i="60"/>
  <c r="O54" i="257"/>
  <c r="Q54" i="257" s="1"/>
  <c r="K49" i="12"/>
  <c r="H49" i="12"/>
  <c r="O49" i="12" s="1"/>
  <c r="C49" i="12"/>
  <c r="E89" i="99"/>
  <c r="E24" i="99"/>
  <c r="F8" i="99"/>
  <c r="M88" i="140"/>
  <c r="L50" i="98"/>
  <c r="D50" i="98" s="1"/>
  <c r="L27" i="98"/>
  <c r="D27" i="98" s="1"/>
  <c r="L9" i="99"/>
  <c r="M8" i="99"/>
  <c r="M91" i="99" s="1"/>
  <c r="M99" i="99"/>
  <c r="D56" i="140"/>
  <c r="C56" i="140" s="1"/>
  <c r="B56" i="140" s="1"/>
  <c r="K51" i="36"/>
  <c r="F51" i="36"/>
  <c r="L51" i="36" s="1"/>
  <c r="G44" i="99"/>
  <c r="G90" i="99" s="1"/>
  <c r="U44" i="99"/>
  <c r="U90" i="99" s="1"/>
  <c r="S44" i="99"/>
  <c r="S90" i="99" s="1"/>
  <c r="N89" i="140"/>
  <c r="P89" i="140"/>
  <c r="O89" i="140"/>
  <c r="K81" i="12"/>
  <c r="H81" i="12"/>
  <c r="O81" i="12" s="1"/>
  <c r="C81" i="12"/>
  <c r="L50" i="99"/>
  <c r="P62" i="140"/>
  <c r="N62" i="140"/>
  <c r="O62" i="140"/>
  <c r="F21" i="17"/>
  <c r="M21" i="17"/>
  <c r="E21" i="17"/>
  <c r="O21" i="17" s="1"/>
  <c r="P21" i="17" s="1"/>
  <c r="F23" i="154" s="1"/>
  <c r="N82" i="140"/>
  <c r="P82" i="140"/>
  <c r="O82" i="140"/>
  <c r="L59" i="19"/>
  <c r="G53" i="10"/>
  <c r="M78" i="140"/>
  <c r="L51" i="98"/>
  <c r="D51" i="98" s="1"/>
  <c r="X89" i="99"/>
  <c r="Y89" i="99"/>
  <c r="X45" i="99"/>
  <c r="Y45" i="99"/>
  <c r="Y12" i="99"/>
  <c r="X12" i="99"/>
  <c r="Y32" i="99"/>
  <c r="X32" i="99"/>
  <c r="Y24" i="99"/>
  <c r="X24" i="99"/>
  <c r="F66" i="19"/>
  <c r="N70" i="140"/>
  <c r="P70" i="140"/>
  <c r="O70" i="140"/>
  <c r="E82" i="12"/>
  <c r="U82" i="13"/>
  <c r="E60" i="12"/>
  <c r="U60" i="13"/>
  <c r="I90" i="98"/>
  <c r="L47" i="99"/>
  <c r="P87" i="140"/>
  <c r="N87" i="140"/>
  <c r="O87" i="140"/>
  <c r="B76" i="13"/>
  <c r="L45" i="98"/>
  <c r="M44" i="98"/>
  <c r="M90" i="98" s="1"/>
  <c r="L46" i="36"/>
  <c r="I45" i="36"/>
  <c r="H45" i="36"/>
  <c r="I91" i="98"/>
  <c r="P61" i="140"/>
  <c r="N61" i="140"/>
  <c r="O61" i="140"/>
  <c r="L89" i="99"/>
  <c r="L88" i="13"/>
  <c r="K77" i="12"/>
  <c r="H77" i="12"/>
  <c r="O77" i="12" s="1"/>
  <c r="C77" i="12"/>
  <c r="J51" i="13"/>
  <c r="B51" i="17"/>
  <c r="L51" i="19"/>
  <c r="L49" i="98"/>
  <c r="D49" i="98" s="1"/>
  <c r="X45" i="98"/>
  <c r="Y45" i="98"/>
  <c r="Y12" i="98"/>
  <c r="X12" i="98"/>
  <c r="W12" i="98" s="1"/>
  <c r="O12" i="98" s="1"/>
  <c r="X27" i="98"/>
  <c r="Y27" i="98"/>
  <c r="X24" i="98"/>
  <c r="Y24" i="98"/>
  <c r="Q75" i="140"/>
  <c r="H91" i="8"/>
  <c r="I90" i="8"/>
  <c r="D91" i="9"/>
  <c r="I90" i="9"/>
  <c r="J90" i="9" s="1"/>
  <c r="I48" i="12"/>
  <c r="F48" i="12"/>
  <c r="F54" i="13"/>
  <c r="G53" i="13"/>
  <c r="K37" i="154"/>
  <c r="H44" i="99"/>
  <c r="H90" i="99" s="1"/>
  <c r="M8" i="98"/>
  <c r="U75" i="13"/>
  <c r="E75" i="12"/>
  <c r="P84" i="140"/>
  <c r="N84" i="140"/>
  <c r="O84" i="140"/>
  <c r="X89" i="98"/>
  <c r="Y89" i="98"/>
  <c r="X47" i="98"/>
  <c r="Y47" i="98"/>
  <c r="E44" i="98"/>
  <c r="M60" i="140"/>
  <c r="G91" i="9"/>
  <c r="I90" i="116"/>
  <c r="R90" i="8"/>
  <c r="H90" i="9"/>
  <c r="F22" i="17"/>
  <c r="M22" i="17"/>
  <c r="E22" i="17"/>
  <c r="O22" i="17" s="1"/>
  <c r="P22" i="17" s="1"/>
  <c r="F24" i="154" s="1"/>
  <c r="I53" i="17"/>
  <c r="D91" i="19"/>
  <c r="P89" i="99"/>
  <c r="U49" i="17"/>
  <c r="P48" i="99"/>
  <c r="N74" i="140"/>
  <c r="P74" i="140"/>
  <c r="O74" i="140"/>
  <c r="M71" i="140"/>
  <c r="K50" i="36"/>
  <c r="F50" i="36"/>
  <c r="L50" i="36" s="1"/>
  <c r="E45" i="36"/>
  <c r="K45" i="36" s="1"/>
  <c r="T44" i="99"/>
  <c r="T90" i="99" s="1"/>
  <c r="K44" i="99"/>
  <c r="K90" i="99" s="1"/>
  <c r="J44" i="99"/>
  <c r="J90" i="99" s="1"/>
  <c r="P85" i="60"/>
  <c r="C85" i="60"/>
  <c r="E64" i="12"/>
  <c r="U64" i="13"/>
  <c r="P67" i="140"/>
  <c r="N67" i="140"/>
  <c r="O67" i="140"/>
  <c r="K50" i="10"/>
  <c r="F45" i="10"/>
  <c r="B59" i="17"/>
  <c r="X26" i="99"/>
  <c r="W26" i="99" s="1"/>
  <c r="O26" i="99" s="1"/>
  <c r="Y26" i="99"/>
  <c r="X27" i="99"/>
  <c r="Y27" i="99"/>
  <c r="Y13" i="99"/>
  <c r="X13" i="99"/>
  <c r="Y41" i="99"/>
  <c r="X41" i="99"/>
  <c r="E24" i="98"/>
  <c r="F8" i="98"/>
  <c r="F91" i="98" s="1"/>
  <c r="P68" i="140"/>
  <c r="N68" i="140"/>
  <c r="O68" i="140"/>
  <c r="K80" i="12"/>
  <c r="C80" i="12"/>
  <c r="H80" i="12"/>
  <c r="O80" i="12" s="1"/>
  <c r="F76" i="19"/>
  <c r="D76" i="12" s="1"/>
  <c r="N44" i="98"/>
  <c r="N90" i="98" s="1"/>
  <c r="G91" i="98"/>
  <c r="H91" i="98"/>
  <c r="D27" i="99"/>
  <c r="P79" i="140"/>
  <c r="N79" i="140"/>
  <c r="O79" i="140"/>
  <c r="K89" i="12"/>
  <c r="H89" i="12"/>
  <c r="O89" i="12" s="1"/>
  <c r="C89" i="12"/>
  <c r="X32" i="98"/>
  <c r="Y32" i="98"/>
  <c r="X50" i="98"/>
  <c r="Y50" i="98"/>
  <c r="Y48" i="98"/>
  <c r="X48" i="98"/>
  <c r="Y22" i="98"/>
  <c r="X22" i="98"/>
  <c r="Y41" i="98"/>
  <c r="X41" i="98"/>
  <c r="L82" i="13"/>
  <c r="P58" i="140"/>
  <c r="N58" i="140"/>
  <c r="O58" i="140"/>
  <c r="U43" i="17"/>
  <c r="D51" i="99"/>
  <c r="K68" i="12"/>
  <c r="C68" i="12"/>
  <c r="H68" i="12"/>
  <c r="O68" i="12" s="1"/>
  <c r="N66" i="140"/>
  <c r="P66" i="140"/>
  <c r="O66" i="140"/>
  <c r="N86" i="140"/>
  <c r="P86" i="140"/>
  <c r="O86" i="140"/>
  <c r="K63" i="12"/>
  <c r="C63" i="12"/>
  <c r="H63" i="12"/>
  <c r="O63" i="12" s="1"/>
  <c r="K84" i="12"/>
  <c r="H84" i="12"/>
  <c r="O84" i="12" s="1"/>
  <c r="C84" i="12"/>
  <c r="K47" i="12"/>
  <c r="H47" i="12"/>
  <c r="O47" i="12" s="1"/>
  <c r="K67" i="12"/>
  <c r="C67" i="12"/>
  <c r="N8" i="99"/>
  <c r="N69" i="140"/>
  <c r="P69" i="140"/>
  <c r="O69" i="140"/>
  <c r="F18" i="17"/>
  <c r="M18" i="17"/>
  <c r="E18" i="17"/>
  <c r="O18" i="17" s="1"/>
  <c r="P18" i="17" s="1"/>
  <c r="F20" i="154" s="1"/>
  <c r="G47" i="12"/>
  <c r="C47" i="12"/>
  <c r="J47" i="12"/>
  <c r="F19" i="17"/>
  <c r="M19" i="17"/>
  <c r="E19" i="17"/>
  <c r="O19" i="17" s="1"/>
  <c r="Y33" i="99"/>
  <c r="X33" i="99"/>
  <c r="X51" i="99"/>
  <c r="Y51" i="99"/>
  <c r="U66" i="13"/>
  <c r="E66" i="12"/>
  <c r="U85" i="13"/>
  <c r="E85" i="12"/>
  <c r="E90" i="116"/>
  <c r="J90" i="17"/>
  <c r="H90" i="17"/>
  <c r="K90" i="17"/>
  <c r="I90" i="17"/>
  <c r="D12" i="99"/>
  <c r="I91" i="99"/>
  <c r="P24" i="99"/>
  <c r="Q8" i="99"/>
  <c r="P80" i="140"/>
  <c r="N80" i="140"/>
  <c r="O80" i="140"/>
  <c r="N65" i="140"/>
  <c r="P65" i="140"/>
  <c r="O65" i="140"/>
  <c r="L89" i="98"/>
  <c r="E48" i="99"/>
  <c r="V44" i="99"/>
  <c r="V90" i="99" s="1"/>
  <c r="R44" i="99"/>
  <c r="R90" i="99" s="1"/>
  <c r="E47" i="99"/>
  <c r="F44" i="99"/>
  <c r="F90" i="99" s="1"/>
  <c r="F16" i="17"/>
  <c r="M16" i="17"/>
  <c r="E16" i="17"/>
  <c r="O16" i="17" s="1"/>
  <c r="P16" i="17" s="1"/>
  <c r="F18" i="154" s="1"/>
  <c r="P73" i="140"/>
  <c r="N73" i="140"/>
  <c r="O73" i="140"/>
  <c r="U65" i="13"/>
  <c r="E65" i="12"/>
  <c r="D46" i="99"/>
  <c r="L26" i="99"/>
  <c r="L43" i="99"/>
  <c r="H91" i="257"/>
  <c r="Q67" i="140"/>
  <c r="E88" i="12"/>
  <c r="U88" i="13"/>
  <c r="M72" i="140"/>
  <c r="C45" i="19"/>
  <c r="B45" i="19" s="1"/>
  <c r="B50" i="17"/>
  <c r="L50" i="19"/>
  <c r="U57" i="13"/>
  <c r="E57" i="12"/>
  <c r="C47" i="17"/>
  <c r="K47" i="19"/>
  <c r="M63" i="140"/>
  <c r="L12" i="98"/>
  <c r="D12" i="98" s="1"/>
  <c r="L33" i="98"/>
  <c r="D33" i="98" s="1"/>
  <c r="X30" i="99"/>
  <c r="Y30" i="99"/>
  <c r="X50" i="99"/>
  <c r="Y50" i="99"/>
  <c r="X46" i="99"/>
  <c r="Y46" i="99"/>
  <c r="X48" i="99"/>
  <c r="Y48" i="99"/>
  <c r="L66" i="13"/>
  <c r="F62" i="19"/>
  <c r="W9" i="98"/>
  <c r="Q68" i="140"/>
  <c r="D9" i="98"/>
  <c r="L43" i="98"/>
  <c r="D43" i="98" s="1"/>
  <c r="E89" i="98"/>
  <c r="J91" i="98"/>
  <c r="L65" i="13"/>
  <c r="C53" i="19"/>
  <c r="B53" i="19" s="1"/>
  <c r="L30" i="99"/>
  <c r="Q79" i="140"/>
  <c r="AJ22" i="98"/>
  <c r="AJ89" i="98"/>
  <c r="AJ48" i="98"/>
  <c r="AJ24" i="98"/>
  <c r="AJ47" i="98"/>
  <c r="C51" i="10"/>
  <c r="N51" i="10" s="1"/>
  <c r="L47" i="98"/>
  <c r="D47" i="98" s="1"/>
  <c r="L30" i="98"/>
  <c r="D30" i="98" s="1"/>
  <c r="B72" i="13"/>
  <c r="K74" i="12"/>
  <c r="H74" i="12"/>
  <c r="O74" i="12" s="1"/>
  <c r="C74" i="12"/>
  <c r="M64" i="140"/>
  <c r="X51" i="98"/>
  <c r="Y51" i="98"/>
  <c r="Y13" i="98"/>
  <c r="X13" i="98"/>
  <c r="Y33" i="98"/>
  <c r="X33" i="98"/>
  <c r="Y30" i="98"/>
  <c r="X30" i="98"/>
  <c r="Y46" i="98"/>
  <c r="X46" i="98"/>
  <c r="F36" i="17"/>
  <c r="M36" i="17"/>
  <c r="E36" i="17"/>
  <c r="O36" i="17" s="1"/>
  <c r="P36" i="17" s="1"/>
  <c r="F38" i="154" s="1"/>
  <c r="Q58" i="140"/>
  <c r="J90" i="98"/>
  <c r="F17" i="17"/>
  <c r="M17" i="17"/>
  <c r="E17" i="17"/>
  <c r="O17" i="17" s="1"/>
  <c r="P17" i="17" s="1"/>
  <c r="F19" i="154" s="1"/>
  <c r="Q66" i="140"/>
  <c r="Q86" i="140"/>
  <c r="W51" i="98" l="1"/>
  <c r="O51" i="98" s="1"/>
  <c r="W22" i="98"/>
  <c r="O22" i="98" s="1"/>
  <c r="M100" i="98"/>
  <c r="W46" i="99"/>
  <c r="O46" i="99" s="1"/>
  <c r="W30" i="99"/>
  <c r="O30" i="99" s="1"/>
  <c r="W51" i="99"/>
  <c r="O51" i="99" s="1"/>
  <c r="N91" i="99"/>
  <c r="B53" i="17"/>
  <c r="M91" i="98"/>
  <c r="K45" i="10"/>
  <c r="K90" i="10" s="1"/>
  <c r="W48" i="99"/>
  <c r="W50" i="99"/>
  <c r="O50" i="99" s="1"/>
  <c r="W41" i="98"/>
  <c r="O41" i="98" s="1"/>
  <c r="W48" i="98"/>
  <c r="Y8" i="99"/>
  <c r="Y8" i="98"/>
  <c r="W49" i="98"/>
  <c r="O49" i="98" s="1"/>
  <c r="W27" i="99"/>
  <c r="O27" i="99" s="1"/>
  <c r="N91" i="98"/>
  <c r="O48" i="261"/>
  <c r="Z22" i="261"/>
  <c r="AB22" i="261"/>
  <c r="AA22" i="261"/>
  <c r="O47" i="261"/>
  <c r="V47" i="261" s="1"/>
  <c r="Z19" i="261"/>
  <c r="AA19" i="261"/>
  <c r="AB19" i="261"/>
  <c r="AA21" i="261"/>
  <c r="AB21" i="261"/>
  <c r="Z21" i="261"/>
  <c r="Z36" i="261"/>
  <c r="AA36" i="261"/>
  <c r="AB36" i="261"/>
  <c r="AA17" i="261"/>
  <c r="AB17" i="261"/>
  <c r="Z17" i="261"/>
  <c r="Z18" i="261"/>
  <c r="AB18" i="261"/>
  <c r="AA18" i="261"/>
  <c r="AB16" i="261"/>
  <c r="Z16" i="261"/>
  <c r="AA16" i="261"/>
  <c r="S12" i="261"/>
  <c r="W12" i="261" s="1"/>
  <c r="T12" i="261"/>
  <c r="X12" i="261" s="1"/>
  <c r="U12" i="261"/>
  <c r="Y12" i="261" s="1"/>
  <c r="V12" i="261"/>
  <c r="V14" i="261"/>
  <c r="V48" i="261"/>
  <c r="I27" i="261"/>
  <c r="AI12" i="261"/>
  <c r="AI47" i="261"/>
  <c r="M52" i="261"/>
  <c r="F52" i="261"/>
  <c r="E52" i="261"/>
  <c r="AI52" i="261" s="1"/>
  <c r="G27" i="17"/>
  <c r="G27" i="261"/>
  <c r="M44" i="261"/>
  <c r="F44" i="261"/>
  <c r="E44" i="261"/>
  <c r="O44" i="261" s="1"/>
  <c r="V44" i="261" s="1"/>
  <c r="P91" i="8"/>
  <c r="M90" i="13"/>
  <c r="F90" i="9"/>
  <c r="L90" i="9" s="1"/>
  <c r="O46" i="261"/>
  <c r="B53" i="261"/>
  <c r="AI48" i="261"/>
  <c r="C91" i="9"/>
  <c r="I91" i="261" s="1"/>
  <c r="H9" i="261"/>
  <c r="K9" i="261"/>
  <c r="J9" i="261"/>
  <c r="O13" i="261"/>
  <c r="AI46" i="261"/>
  <c r="Q91" i="99"/>
  <c r="U36" i="17"/>
  <c r="Q88" i="140"/>
  <c r="N41" i="116"/>
  <c r="U91" i="99"/>
  <c r="E86" i="12"/>
  <c r="C86" i="12" s="1"/>
  <c r="E70" i="12"/>
  <c r="K70" i="12" s="1"/>
  <c r="T91" i="99"/>
  <c r="I95" i="99" s="1"/>
  <c r="S91" i="99"/>
  <c r="U22" i="17"/>
  <c r="F13" i="12"/>
  <c r="I13" i="12"/>
  <c r="U18" i="17"/>
  <c r="P51" i="36"/>
  <c r="E97" i="9"/>
  <c r="K97" i="9" s="1"/>
  <c r="F23" i="9"/>
  <c r="K23" i="9"/>
  <c r="E9" i="9"/>
  <c r="E23" i="36"/>
  <c r="E25" i="36"/>
  <c r="E33" i="36"/>
  <c r="J27" i="9"/>
  <c r="F13" i="17"/>
  <c r="E13" i="17"/>
  <c r="M13" i="17"/>
  <c r="C52" i="17"/>
  <c r="K52" i="19"/>
  <c r="F46" i="17"/>
  <c r="M46" i="17"/>
  <c r="E46" i="17"/>
  <c r="O46" i="17" s="1"/>
  <c r="P46" i="17" s="1"/>
  <c r="F48" i="154" s="1"/>
  <c r="K48" i="154" s="1"/>
  <c r="Q64" i="140"/>
  <c r="V91" i="99"/>
  <c r="Q48" i="12"/>
  <c r="C45" i="10"/>
  <c r="N45" i="10" s="1"/>
  <c r="H32" i="116"/>
  <c r="F32" i="257"/>
  <c r="U14" i="17"/>
  <c r="K25" i="9"/>
  <c r="F25" i="9"/>
  <c r="C9" i="36"/>
  <c r="I9" i="36" s="1"/>
  <c r="J9" i="36" s="1"/>
  <c r="C27" i="25"/>
  <c r="D27" i="25" s="1"/>
  <c r="I27" i="36"/>
  <c r="L27" i="36"/>
  <c r="Q10" i="12"/>
  <c r="M27" i="17"/>
  <c r="J27" i="12"/>
  <c r="C27" i="12"/>
  <c r="F48" i="17"/>
  <c r="M48" i="17"/>
  <c r="E48" i="17"/>
  <c r="N30" i="116"/>
  <c r="H52" i="12"/>
  <c r="O52" i="12" s="1"/>
  <c r="K52" i="12"/>
  <c r="Q63" i="140"/>
  <c r="P19" i="17"/>
  <c r="F21" i="154" s="1"/>
  <c r="K21" i="154" s="1"/>
  <c r="J45" i="36"/>
  <c r="J91" i="99"/>
  <c r="J95" i="99" s="1"/>
  <c r="K33" i="9"/>
  <c r="F33" i="9"/>
  <c r="H13" i="12"/>
  <c r="O13" i="12" s="1"/>
  <c r="I27" i="17"/>
  <c r="J9" i="17"/>
  <c r="H9" i="17"/>
  <c r="K9" i="17"/>
  <c r="I9" i="9"/>
  <c r="J9" i="9" s="1"/>
  <c r="G27" i="12"/>
  <c r="K46" i="12"/>
  <c r="C46" i="12"/>
  <c r="H46" i="12"/>
  <c r="O46" i="12" s="1"/>
  <c r="O9" i="9"/>
  <c r="N13" i="12"/>
  <c r="C44" i="17"/>
  <c r="K44" i="19"/>
  <c r="E97" i="116"/>
  <c r="E9" i="116"/>
  <c r="E91" i="116" s="1"/>
  <c r="O10" i="17"/>
  <c r="U10" i="17"/>
  <c r="G52" i="12"/>
  <c r="N52" i="12" s="1"/>
  <c r="J52" i="12"/>
  <c r="C52" i="12"/>
  <c r="Q14" i="12"/>
  <c r="K19" i="154"/>
  <c r="K20" i="154"/>
  <c r="K18" i="154"/>
  <c r="K23" i="154"/>
  <c r="K38" i="154"/>
  <c r="U48" i="98"/>
  <c r="S48" i="98"/>
  <c r="V48" i="98"/>
  <c r="R48" i="98"/>
  <c r="Q48" i="98"/>
  <c r="T48" i="98"/>
  <c r="D43" i="99"/>
  <c r="K65" i="12"/>
  <c r="H65" i="12"/>
  <c r="O65" i="12" s="1"/>
  <c r="C65" i="12"/>
  <c r="P8" i="99"/>
  <c r="I67" i="12"/>
  <c r="F67" i="12"/>
  <c r="F68" i="12"/>
  <c r="I68" i="12"/>
  <c r="I89" i="12"/>
  <c r="F89" i="12"/>
  <c r="F80" i="12"/>
  <c r="I80" i="12"/>
  <c r="O12" i="17"/>
  <c r="N71" i="140"/>
  <c r="P71" i="140"/>
  <c r="O71" i="140"/>
  <c r="D98" i="19"/>
  <c r="E90" i="98"/>
  <c r="F53" i="13"/>
  <c r="J54" i="13"/>
  <c r="J53" i="13" s="1"/>
  <c r="J91" i="8"/>
  <c r="H96" i="8"/>
  <c r="D45" i="98"/>
  <c r="L44" i="98"/>
  <c r="L90" i="98" s="1"/>
  <c r="K60" i="12"/>
  <c r="H60" i="12"/>
  <c r="O60" i="12" s="1"/>
  <c r="C60" i="12"/>
  <c r="W89" i="99"/>
  <c r="F81" i="12"/>
  <c r="I81" i="12"/>
  <c r="L8" i="99"/>
  <c r="D9" i="99"/>
  <c r="F91" i="99"/>
  <c r="F95" i="99" s="1"/>
  <c r="I49" i="12"/>
  <c r="F49" i="12"/>
  <c r="L44" i="99"/>
  <c r="D45" i="99"/>
  <c r="F56" i="12"/>
  <c r="I56" i="12"/>
  <c r="X8" i="99"/>
  <c r="P44" i="99"/>
  <c r="Q92" i="60"/>
  <c r="K78" i="12"/>
  <c r="H78" i="12"/>
  <c r="O78" i="12" s="1"/>
  <c r="C78" i="12"/>
  <c r="K69" i="12"/>
  <c r="H69" i="12"/>
  <c r="O69" i="12" s="1"/>
  <c r="C69" i="12"/>
  <c r="W30" i="98"/>
  <c r="O30" i="98" s="1"/>
  <c r="W13" i="98"/>
  <c r="O13" i="98" s="1"/>
  <c r="N64" i="140"/>
  <c r="P64" i="140"/>
  <c r="O64" i="140"/>
  <c r="S89" i="98"/>
  <c r="T89" i="98"/>
  <c r="Q89" i="98"/>
  <c r="V89" i="98"/>
  <c r="U89" i="98"/>
  <c r="R89" i="98"/>
  <c r="O9" i="98"/>
  <c r="P63" i="140"/>
  <c r="N63" i="140"/>
  <c r="O63" i="140"/>
  <c r="F47" i="17"/>
  <c r="M47" i="17"/>
  <c r="E47" i="17"/>
  <c r="L45" i="19"/>
  <c r="K88" i="12"/>
  <c r="H88" i="12"/>
  <c r="O88" i="12" s="1"/>
  <c r="C88" i="12"/>
  <c r="D26" i="99"/>
  <c r="D47" i="99"/>
  <c r="E44" i="99"/>
  <c r="D48" i="99"/>
  <c r="K85" i="12"/>
  <c r="H85" i="12"/>
  <c r="O85" i="12" s="1"/>
  <c r="C85" i="12"/>
  <c r="U19" i="17"/>
  <c r="I47" i="12"/>
  <c r="F47" i="12"/>
  <c r="O91" i="9"/>
  <c r="W50" i="98"/>
  <c r="O50" i="98" s="1"/>
  <c r="W41" i="99"/>
  <c r="K64" i="12"/>
  <c r="H64" i="12"/>
  <c r="O64" i="12" s="1"/>
  <c r="C64" i="12"/>
  <c r="Q71" i="140"/>
  <c r="O48" i="99"/>
  <c r="H91" i="99"/>
  <c r="I91" i="116"/>
  <c r="R91" i="8"/>
  <c r="M91" i="13"/>
  <c r="H91" i="9"/>
  <c r="W89" i="98"/>
  <c r="W24" i="98"/>
  <c r="K51" i="13"/>
  <c r="F51" i="19"/>
  <c r="E76" i="12"/>
  <c r="C76" i="12" s="1"/>
  <c r="U76" i="13"/>
  <c r="W32" i="99"/>
  <c r="Y44" i="99"/>
  <c r="Y90" i="99" s="1"/>
  <c r="L53" i="19"/>
  <c r="J53" i="10"/>
  <c r="M56" i="140"/>
  <c r="D89" i="99"/>
  <c r="D13" i="99"/>
  <c r="K59" i="12"/>
  <c r="H59" i="12"/>
  <c r="O59" i="12" s="1"/>
  <c r="C59" i="12"/>
  <c r="O9" i="99"/>
  <c r="W49" i="99"/>
  <c r="H86" i="12"/>
  <c r="O86" i="12" s="1"/>
  <c r="L76" i="13"/>
  <c r="K71" i="12"/>
  <c r="H71" i="12"/>
  <c r="O71" i="12" s="1"/>
  <c r="C71" i="12"/>
  <c r="E72" i="12"/>
  <c r="U72" i="13"/>
  <c r="R47" i="98"/>
  <c r="T47" i="98"/>
  <c r="T44" i="98" s="1"/>
  <c r="S47" i="98"/>
  <c r="S44" i="98" s="1"/>
  <c r="V47" i="98"/>
  <c r="V44" i="98" s="1"/>
  <c r="U47" i="98"/>
  <c r="Q47" i="98"/>
  <c r="AJ90" i="98"/>
  <c r="L8" i="98"/>
  <c r="X8" i="98"/>
  <c r="K57" i="12"/>
  <c r="C57" i="12"/>
  <c r="H57" i="12"/>
  <c r="O57" i="12" s="1"/>
  <c r="B45" i="17"/>
  <c r="P72" i="140"/>
  <c r="N72" i="140"/>
  <c r="O72" i="140"/>
  <c r="F84" i="12"/>
  <c r="I84" i="12"/>
  <c r="I63" i="12"/>
  <c r="F63" i="12"/>
  <c r="J76" i="12"/>
  <c r="G76" i="12"/>
  <c r="N76" i="12" s="1"/>
  <c r="O83" i="257"/>
  <c r="Q83" i="257" s="1"/>
  <c r="O85" i="60"/>
  <c r="K24" i="154"/>
  <c r="N60" i="140"/>
  <c r="P60" i="140"/>
  <c r="O60" i="140"/>
  <c r="K75" i="12"/>
  <c r="C75" i="12"/>
  <c r="H75" i="12"/>
  <c r="O75" i="12" s="1"/>
  <c r="Y44" i="98"/>
  <c r="Y90" i="98" s="1"/>
  <c r="F77" i="12"/>
  <c r="I77" i="12"/>
  <c r="F45" i="36"/>
  <c r="L45" i="36" s="1"/>
  <c r="U12" i="17"/>
  <c r="W45" i="99"/>
  <c r="X44" i="99"/>
  <c r="X90" i="99" s="1"/>
  <c r="P78" i="140"/>
  <c r="N78" i="140"/>
  <c r="O78" i="140"/>
  <c r="R91" i="99"/>
  <c r="K87" i="12"/>
  <c r="C87" i="12"/>
  <c r="H87" i="12"/>
  <c r="O87" i="12" s="1"/>
  <c r="D53" i="12"/>
  <c r="K73" i="12"/>
  <c r="H73" i="12"/>
  <c r="O73" i="12" s="1"/>
  <c r="C73" i="12"/>
  <c r="E61" i="12"/>
  <c r="U61" i="13"/>
  <c r="U17" i="17"/>
  <c r="W46" i="98"/>
  <c r="O46" i="98" s="1"/>
  <c r="W33" i="98"/>
  <c r="O33" i="98" s="1"/>
  <c r="I74" i="12"/>
  <c r="F74" i="12"/>
  <c r="T24" i="98"/>
  <c r="T8" i="98" s="1"/>
  <c r="R24" i="98"/>
  <c r="R8" i="98" s="1"/>
  <c r="U24" i="98"/>
  <c r="U8" i="98" s="1"/>
  <c r="Q24" i="98"/>
  <c r="V24" i="98"/>
  <c r="V8" i="98" s="1"/>
  <c r="S24" i="98"/>
  <c r="S8" i="98" s="1"/>
  <c r="D30" i="99"/>
  <c r="D89" i="98"/>
  <c r="J90" i="10"/>
  <c r="P45" i="13"/>
  <c r="O45" i="13" s="1"/>
  <c r="Q72" i="140"/>
  <c r="U16" i="17"/>
  <c r="K91" i="99"/>
  <c r="K66" i="12"/>
  <c r="H66" i="12"/>
  <c r="O66" i="12" s="1"/>
  <c r="C66" i="12"/>
  <c r="W33" i="99"/>
  <c r="N47" i="12"/>
  <c r="L72" i="13"/>
  <c r="W32" i="98"/>
  <c r="O32" i="98" s="1"/>
  <c r="D24" i="98"/>
  <c r="E8" i="98"/>
  <c r="W13" i="99"/>
  <c r="O13" i="99" s="1"/>
  <c r="P50" i="36"/>
  <c r="Q60" i="140"/>
  <c r="W47" i="98"/>
  <c r="I91" i="8"/>
  <c r="L90" i="8"/>
  <c r="Q90" i="8" s="1"/>
  <c r="W27" i="98"/>
  <c r="O27" i="98" s="1"/>
  <c r="X44" i="98"/>
  <c r="X90" i="98" s="1"/>
  <c r="W45" i="98"/>
  <c r="M101" i="98"/>
  <c r="K82" i="12"/>
  <c r="H82" i="12"/>
  <c r="O82" i="12" s="1"/>
  <c r="C82" i="12"/>
  <c r="W24" i="99"/>
  <c r="W12" i="99"/>
  <c r="Y91" i="99"/>
  <c r="N95" i="99" s="1"/>
  <c r="Q78" i="140"/>
  <c r="F53" i="10"/>
  <c r="C53" i="10" s="1"/>
  <c r="N53" i="10" s="1"/>
  <c r="U21" i="17"/>
  <c r="D50" i="99"/>
  <c r="P88" i="140"/>
  <c r="N88" i="140"/>
  <c r="O88" i="140"/>
  <c r="D24" i="99"/>
  <c r="E8" i="99"/>
  <c r="D8" i="99" s="1"/>
  <c r="G91" i="99"/>
  <c r="C92" i="60"/>
  <c r="M100" i="99"/>
  <c r="I83" i="12"/>
  <c r="F83" i="12"/>
  <c r="W47" i="99"/>
  <c r="O47" i="99" s="1"/>
  <c r="F50" i="19"/>
  <c r="K50" i="13"/>
  <c r="B50" i="13" s="1"/>
  <c r="J45" i="13"/>
  <c r="L62" i="13"/>
  <c r="L61" i="13"/>
  <c r="K58" i="12"/>
  <c r="H58" i="12"/>
  <c r="O58" i="12" s="1"/>
  <c r="C58" i="12"/>
  <c r="U44" i="98" l="1"/>
  <c r="O9" i="36"/>
  <c r="C90" i="127"/>
  <c r="B90" i="10"/>
  <c r="L91" i="99"/>
  <c r="C70" i="12"/>
  <c r="F70" i="12" s="1"/>
  <c r="V90" i="98"/>
  <c r="D8" i="98"/>
  <c r="S90" i="98"/>
  <c r="F54" i="19"/>
  <c r="F53" i="19" s="1"/>
  <c r="L27" i="17"/>
  <c r="T27" i="17" s="1"/>
  <c r="I91" i="9"/>
  <c r="J91" i="9" s="1"/>
  <c r="K54" i="13"/>
  <c r="K53" i="13" s="1"/>
  <c r="AB12" i="261"/>
  <c r="Z12" i="261"/>
  <c r="AA12" i="261"/>
  <c r="V9" i="261"/>
  <c r="AI44" i="261"/>
  <c r="V46" i="261"/>
  <c r="V13" i="261"/>
  <c r="L27" i="261"/>
  <c r="AH27" i="261" s="1"/>
  <c r="O27" i="17"/>
  <c r="P27" i="17" s="1"/>
  <c r="F29" i="154" s="1"/>
  <c r="K29" i="154" s="1"/>
  <c r="O27" i="261"/>
  <c r="O52" i="261"/>
  <c r="H70" i="12"/>
  <c r="O70" i="12" s="1"/>
  <c r="H91" i="17"/>
  <c r="H91" i="261"/>
  <c r="G90" i="17"/>
  <c r="G90" i="261"/>
  <c r="P91" i="99"/>
  <c r="I91" i="17"/>
  <c r="I9" i="261"/>
  <c r="E91" i="99"/>
  <c r="K86" i="12"/>
  <c r="N27" i="12"/>
  <c r="K95" i="99"/>
  <c r="H95" i="99"/>
  <c r="O24" i="116" s="1"/>
  <c r="G24" i="116" s="1"/>
  <c r="G53" i="12"/>
  <c r="N53" i="12" s="1"/>
  <c r="F41" i="257"/>
  <c r="H41" i="116"/>
  <c r="G95" i="99"/>
  <c r="K13" i="12"/>
  <c r="I52" i="12"/>
  <c r="F52" i="12"/>
  <c r="O13" i="17"/>
  <c r="U13" i="17"/>
  <c r="K25" i="36"/>
  <c r="F25" i="36"/>
  <c r="L25" i="36" s="1"/>
  <c r="C23" i="127"/>
  <c r="L23" i="9"/>
  <c r="B23" i="10"/>
  <c r="F97" i="9"/>
  <c r="L97" i="9" s="1"/>
  <c r="F9" i="9"/>
  <c r="Q49" i="12"/>
  <c r="P10" i="17"/>
  <c r="F12" i="154" s="1"/>
  <c r="K12" i="154" s="1"/>
  <c r="I46" i="12"/>
  <c r="F46" i="12"/>
  <c r="C33" i="127"/>
  <c r="L33" i="9"/>
  <c r="B33" i="10"/>
  <c r="H30" i="116"/>
  <c r="O30" i="116"/>
  <c r="F30" i="257"/>
  <c r="I27" i="12"/>
  <c r="F27" i="12"/>
  <c r="J27" i="36"/>
  <c r="E9" i="36"/>
  <c r="K23" i="36"/>
  <c r="F23" i="36"/>
  <c r="P23" i="36" s="1"/>
  <c r="P45" i="36"/>
  <c r="Q47" i="12"/>
  <c r="B54" i="13"/>
  <c r="P12" i="17"/>
  <c r="N12" i="116" s="1"/>
  <c r="O48" i="17"/>
  <c r="P48" i="17" s="1"/>
  <c r="F50" i="154" s="1"/>
  <c r="K50" i="154" s="1"/>
  <c r="U48" i="17"/>
  <c r="L25" i="9"/>
  <c r="C25" i="127"/>
  <c r="B25" i="10"/>
  <c r="M52" i="17"/>
  <c r="E52" i="17"/>
  <c r="O52" i="17" s="1"/>
  <c r="P52" i="17" s="1"/>
  <c r="F54" i="154" s="1"/>
  <c r="K54" i="154" s="1"/>
  <c r="F52" i="17"/>
  <c r="K9" i="9"/>
  <c r="E91" i="9"/>
  <c r="K91" i="9" s="1"/>
  <c r="Q13" i="12"/>
  <c r="T91" i="98"/>
  <c r="F44" i="17"/>
  <c r="M44" i="17"/>
  <c r="E44" i="17"/>
  <c r="O44" i="17" s="1"/>
  <c r="I9" i="17"/>
  <c r="U46" i="17"/>
  <c r="F33" i="36"/>
  <c r="L33" i="36" s="1"/>
  <c r="K33" i="36"/>
  <c r="L50" i="13"/>
  <c r="K45" i="13"/>
  <c r="W44" i="98"/>
  <c r="W90" i="98" s="1"/>
  <c r="O45" i="98"/>
  <c r="I96" i="8"/>
  <c r="L91" i="8"/>
  <c r="Q91" i="8" s="1"/>
  <c r="I66" i="12"/>
  <c r="F66" i="12"/>
  <c r="O32" i="116"/>
  <c r="G90" i="10"/>
  <c r="P90" i="13"/>
  <c r="Q8" i="98"/>
  <c r="P24" i="98"/>
  <c r="W44" i="99"/>
  <c r="W90" i="99" s="1"/>
  <c r="O45" i="99"/>
  <c r="I76" i="12"/>
  <c r="F76" i="12"/>
  <c r="F57" i="12"/>
  <c r="I57" i="12"/>
  <c r="D91" i="99"/>
  <c r="C90" i="19"/>
  <c r="I64" i="12"/>
  <c r="F64" i="12"/>
  <c r="O41" i="99"/>
  <c r="F88" i="12"/>
  <c r="I88" i="12"/>
  <c r="E54" i="12"/>
  <c r="U54" i="13"/>
  <c r="B53" i="13"/>
  <c r="U53" i="13" s="1"/>
  <c r="D50" i="12"/>
  <c r="E50" i="19"/>
  <c r="C50" i="261" s="1"/>
  <c r="F45" i="19"/>
  <c r="O90" i="257"/>
  <c r="Q90" i="257" s="1"/>
  <c r="K92" i="60"/>
  <c r="O92" i="60" s="1"/>
  <c r="I82" i="12"/>
  <c r="F82" i="12"/>
  <c r="O89" i="99"/>
  <c r="L91" i="98"/>
  <c r="K61" i="12"/>
  <c r="C61" i="12"/>
  <c r="H61" i="12"/>
  <c r="O61" i="12" s="1"/>
  <c r="F87" i="12"/>
  <c r="I87" i="12"/>
  <c r="K72" i="12"/>
  <c r="H72" i="12"/>
  <c r="O72" i="12" s="1"/>
  <c r="C72" i="12"/>
  <c r="O49" i="99"/>
  <c r="W8" i="99"/>
  <c r="O8" i="99" s="1"/>
  <c r="D51" i="12"/>
  <c r="E51" i="19"/>
  <c r="C51" i="261" s="1"/>
  <c r="F85" i="12"/>
  <c r="I85" i="12"/>
  <c r="O47" i="17"/>
  <c r="P47" i="17" s="1"/>
  <c r="F49" i="154" s="1"/>
  <c r="U91" i="98"/>
  <c r="S91" i="98"/>
  <c r="I60" i="12"/>
  <c r="F60" i="12"/>
  <c r="D44" i="98"/>
  <c r="D90" i="98" s="1"/>
  <c r="I58" i="12"/>
  <c r="F58" i="12"/>
  <c r="E50" i="12"/>
  <c r="U50" i="13"/>
  <c r="E91" i="98"/>
  <c r="I73" i="12"/>
  <c r="F73" i="12"/>
  <c r="Q44" i="98"/>
  <c r="Q90" i="98" s="1"/>
  <c r="P47" i="98"/>
  <c r="T90" i="98"/>
  <c r="F71" i="12"/>
  <c r="I71" i="12"/>
  <c r="I86" i="12"/>
  <c r="F86" i="12"/>
  <c r="F59" i="12"/>
  <c r="I59" i="12"/>
  <c r="N56" i="140"/>
  <c r="P56" i="140"/>
  <c r="O56" i="140"/>
  <c r="K76" i="12"/>
  <c r="H76" i="12"/>
  <c r="O76" i="12" s="1"/>
  <c r="W8" i="98"/>
  <c r="W91" i="98" s="1"/>
  <c r="V91" i="98"/>
  <c r="F78" i="12"/>
  <c r="I78" i="12"/>
  <c r="L90" i="99"/>
  <c r="O24" i="99"/>
  <c r="O12" i="99"/>
  <c r="O33" i="99"/>
  <c r="F75" i="12"/>
  <c r="I75" i="12"/>
  <c r="U90" i="98"/>
  <c r="R44" i="98"/>
  <c r="R90" i="98" s="1"/>
  <c r="Q56" i="140"/>
  <c r="O32" i="99"/>
  <c r="B51" i="13"/>
  <c r="N45" i="13" s="1"/>
  <c r="X91" i="98"/>
  <c r="D44" i="99"/>
  <c r="E90" i="99"/>
  <c r="U47" i="17"/>
  <c r="P89" i="98"/>
  <c r="I69" i="12"/>
  <c r="F69" i="12"/>
  <c r="P90" i="99"/>
  <c r="X91" i="99"/>
  <c r="M95" i="99" s="1"/>
  <c r="Y91" i="98"/>
  <c r="F65" i="12"/>
  <c r="I65" i="12"/>
  <c r="P48" i="98"/>
  <c r="O48" i="98" s="1"/>
  <c r="J53" i="12" l="1"/>
  <c r="I70" i="12"/>
  <c r="E95" i="99"/>
  <c r="V27" i="261"/>
  <c r="V52" i="261"/>
  <c r="G33" i="17"/>
  <c r="L33" i="17" s="1"/>
  <c r="T33" i="17" s="1"/>
  <c r="G33" i="261"/>
  <c r="L33" i="261" s="1"/>
  <c r="AH33" i="261" s="1"/>
  <c r="M50" i="261"/>
  <c r="F50" i="261"/>
  <c r="C45" i="261"/>
  <c r="E50" i="261"/>
  <c r="G23" i="17"/>
  <c r="L23" i="17" s="1"/>
  <c r="T23" i="17" s="1"/>
  <c r="G23" i="261"/>
  <c r="L23" i="261" s="1"/>
  <c r="AH23" i="261" s="1"/>
  <c r="M51" i="261"/>
  <c r="F51" i="261"/>
  <c r="E51" i="261"/>
  <c r="G25" i="17"/>
  <c r="L25" i="17" s="1"/>
  <c r="T25" i="17" s="1"/>
  <c r="G25" i="261"/>
  <c r="L25" i="261" s="1"/>
  <c r="AH25" i="261" s="1"/>
  <c r="P9" i="17"/>
  <c r="P25" i="36"/>
  <c r="R91" i="98"/>
  <c r="U44" i="17"/>
  <c r="Q91" i="98"/>
  <c r="D91" i="98"/>
  <c r="U52" i="17"/>
  <c r="J25" i="10"/>
  <c r="P25" i="13"/>
  <c r="O25" i="13" s="1"/>
  <c r="J25" i="13" s="1"/>
  <c r="C25" i="19"/>
  <c r="B25" i="19" s="1"/>
  <c r="B25" i="261" s="1"/>
  <c r="F25" i="10"/>
  <c r="K25" i="10" s="1"/>
  <c r="K9" i="36"/>
  <c r="L9" i="9"/>
  <c r="F91" i="9"/>
  <c r="C9" i="127"/>
  <c r="C92" i="127" s="1"/>
  <c r="F9" i="36"/>
  <c r="L9" i="36" s="1"/>
  <c r="L23" i="36"/>
  <c r="Q27" i="12"/>
  <c r="P33" i="13"/>
  <c r="C33" i="19"/>
  <c r="B33" i="19" s="1"/>
  <c r="B33" i="261" s="1"/>
  <c r="J33" i="10"/>
  <c r="F33" i="10"/>
  <c r="K33" i="10" s="1"/>
  <c r="Q52" i="12"/>
  <c r="Q46" i="12"/>
  <c r="P23" i="13"/>
  <c r="O23" i="13" s="1"/>
  <c r="J23" i="13" s="1"/>
  <c r="F23" i="10"/>
  <c r="J23" i="10"/>
  <c r="C23" i="19"/>
  <c r="B9" i="10"/>
  <c r="C23" i="10"/>
  <c r="P33" i="36"/>
  <c r="P44" i="17"/>
  <c r="F46" i="154" s="1"/>
  <c r="K46" i="154" s="1"/>
  <c r="P30" i="116"/>
  <c r="C30" i="257" s="1"/>
  <c r="G30" i="257"/>
  <c r="E30" i="257" s="1"/>
  <c r="D30" i="257" s="1"/>
  <c r="G30" i="116"/>
  <c r="F30" i="116" s="1"/>
  <c r="D30" i="116" s="1"/>
  <c r="B30" i="116" s="1"/>
  <c r="C30" i="116" s="1"/>
  <c r="P13" i="17"/>
  <c r="F15" i="154" s="1"/>
  <c r="K15" i="154" s="1"/>
  <c r="D90" i="99"/>
  <c r="C91" i="128"/>
  <c r="G91" i="10"/>
  <c r="C92" i="154"/>
  <c r="C93" i="154" s="1"/>
  <c r="O44" i="99"/>
  <c r="O90" i="99" s="1"/>
  <c r="O89" i="98"/>
  <c r="L51" i="13"/>
  <c r="B45" i="13"/>
  <c r="U45" i="13" s="1"/>
  <c r="C51" i="17"/>
  <c r="K51" i="19"/>
  <c r="I61" i="12"/>
  <c r="F61" i="12"/>
  <c r="F90" i="10"/>
  <c r="O24" i="98"/>
  <c r="P8" i="98"/>
  <c r="O8" i="98" s="1"/>
  <c r="G32" i="257"/>
  <c r="E32" i="257" s="1"/>
  <c r="D32" i="257" s="1"/>
  <c r="P32" i="116"/>
  <c r="C32" i="257" s="1"/>
  <c r="F24" i="116"/>
  <c r="K54" i="12"/>
  <c r="C54" i="12"/>
  <c r="E53" i="12"/>
  <c r="H54" i="12"/>
  <c r="P44" i="98"/>
  <c r="O47" i="98"/>
  <c r="G51" i="12"/>
  <c r="N51" i="12" s="1"/>
  <c r="J51" i="12"/>
  <c r="C50" i="17"/>
  <c r="E45" i="19"/>
  <c r="K45" i="19" s="1"/>
  <c r="K50" i="19"/>
  <c r="W91" i="99"/>
  <c r="B90" i="19"/>
  <c r="B90" i="261" s="1"/>
  <c r="G32" i="116"/>
  <c r="F32" i="116" s="1"/>
  <c r="E51" i="12"/>
  <c r="C51" i="12" s="1"/>
  <c r="U51" i="13"/>
  <c r="I72" i="12"/>
  <c r="F72" i="12"/>
  <c r="O12" i="116"/>
  <c r="P12" i="116" s="1"/>
  <c r="C12" i="257" s="1"/>
  <c r="F12" i="257"/>
  <c r="H12" i="116"/>
  <c r="O41" i="116"/>
  <c r="K50" i="12"/>
  <c r="H50" i="12"/>
  <c r="K49" i="154"/>
  <c r="G24" i="257"/>
  <c r="E24" i="257" s="1"/>
  <c r="D24" i="257" s="1"/>
  <c r="P24" i="116"/>
  <c r="C24" i="257" s="1"/>
  <c r="G50" i="12"/>
  <c r="J50" i="12"/>
  <c r="C50" i="12"/>
  <c r="D45" i="12"/>
  <c r="B30" i="257" l="1"/>
  <c r="G9" i="17"/>
  <c r="L9" i="17" s="1"/>
  <c r="T9" i="17" s="1"/>
  <c r="G9" i="261"/>
  <c r="L9" i="261" s="1"/>
  <c r="AH9" i="261" s="1"/>
  <c r="O51" i="261"/>
  <c r="E33" i="261"/>
  <c r="O33" i="261" s="1"/>
  <c r="F33" i="261"/>
  <c r="O50" i="261"/>
  <c r="E45" i="261"/>
  <c r="M45" i="261"/>
  <c r="F45" i="261"/>
  <c r="M30" i="257"/>
  <c r="N30" i="257" s="1"/>
  <c r="AI51" i="261"/>
  <c r="AI50" i="261"/>
  <c r="G45" i="12"/>
  <c r="J45" i="12" s="1"/>
  <c r="J30" i="116"/>
  <c r="K30" i="116"/>
  <c r="M30" i="116" s="1"/>
  <c r="J30" i="257"/>
  <c r="L45" i="13"/>
  <c r="E45" i="12"/>
  <c r="P91" i="98"/>
  <c r="O91" i="98" s="1"/>
  <c r="N23" i="10"/>
  <c r="F9" i="10"/>
  <c r="K9" i="10" s="1"/>
  <c r="K23" i="10"/>
  <c r="L33" i="19"/>
  <c r="K33" i="19"/>
  <c r="B33" i="17"/>
  <c r="F25" i="19"/>
  <c r="K25" i="13"/>
  <c r="B25" i="13" s="1"/>
  <c r="E25" i="12" s="1"/>
  <c r="P9" i="13"/>
  <c r="O9" i="13" s="1"/>
  <c r="J9" i="10"/>
  <c r="J9" i="13"/>
  <c r="F23" i="19"/>
  <c r="K23" i="13"/>
  <c r="C33" i="10"/>
  <c r="N33" i="10" s="1"/>
  <c r="L91" i="9"/>
  <c r="B91" i="10"/>
  <c r="J91" i="10" s="1"/>
  <c r="P91" i="13" s="1"/>
  <c r="C93" i="128"/>
  <c r="B23" i="19"/>
  <c r="B23" i="261" s="1"/>
  <c r="C9" i="19"/>
  <c r="B25" i="17"/>
  <c r="L25" i="19"/>
  <c r="P9" i="36"/>
  <c r="C25" i="10"/>
  <c r="N25" i="10" s="1"/>
  <c r="D32" i="116"/>
  <c r="B32" i="116" s="1"/>
  <c r="C32" i="116" s="1"/>
  <c r="B32" i="257" s="1"/>
  <c r="F51" i="17"/>
  <c r="M51" i="17"/>
  <c r="E51" i="17"/>
  <c r="O51" i="17" s="1"/>
  <c r="P51" i="17" s="1"/>
  <c r="F53" i="154" s="1"/>
  <c r="G41" i="257"/>
  <c r="E41" i="257" s="1"/>
  <c r="D41" i="257" s="1"/>
  <c r="P41" i="116"/>
  <c r="C41" i="257" s="1"/>
  <c r="K51" i="12"/>
  <c r="H51" i="12"/>
  <c r="O51" i="12" s="1"/>
  <c r="B90" i="17"/>
  <c r="F50" i="17"/>
  <c r="M50" i="17"/>
  <c r="C45" i="17"/>
  <c r="E50" i="17"/>
  <c r="U50" i="17" s="1"/>
  <c r="O54" i="12"/>
  <c r="H53" i="12"/>
  <c r="O53" i="12" s="1"/>
  <c r="C90" i="10"/>
  <c r="L90" i="19"/>
  <c r="N50" i="12"/>
  <c r="I50" i="12"/>
  <c r="F50" i="12"/>
  <c r="C45" i="12"/>
  <c r="I45" i="12" s="1"/>
  <c r="G41" i="116"/>
  <c r="F41" i="116" s="1"/>
  <c r="G12" i="257"/>
  <c r="E12" i="257" s="1"/>
  <c r="D12" i="257" s="1"/>
  <c r="G12" i="116"/>
  <c r="O91" i="99"/>
  <c r="E94" i="126" s="1"/>
  <c r="L95" i="99"/>
  <c r="D24" i="116"/>
  <c r="J24" i="116" s="1"/>
  <c r="N45" i="12"/>
  <c r="O50" i="12"/>
  <c r="I51" i="12"/>
  <c r="F51" i="12"/>
  <c r="P90" i="98"/>
  <c r="O44" i="98"/>
  <c r="O90" i="98" s="1"/>
  <c r="I54" i="12"/>
  <c r="C53" i="12"/>
  <c r="I53" i="12" s="1"/>
  <c r="F54" i="12"/>
  <c r="F53" i="12" s="1"/>
  <c r="L25" i="13" l="1"/>
  <c r="J32" i="257"/>
  <c r="K32" i="257" s="1"/>
  <c r="L30" i="116"/>
  <c r="P30" i="257"/>
  <c r="Q30" i="257" s="1"/>
  <c r="O45" i="261"/>
  <c r="V50" i="261"/>
  <c r="V33" i="261"/>
  <c r="V51" i="261"/>
  <c r="AI45" i="261"/>
  <c r="AI33" i="261"/>
  <c r="U25" i="13"/>
  <c r="G91" i="17"/>
  <c r="G91" i="261"/>
  <c r="K30" i="257"/>
  <c r="H45" i="12"/>
  <c r="O45" i="12" s="1"/>
  <c r="B9" i="261"/>
  <c r="B91" i="261" s="1"/>
  <c r="F91" i="10"/>
  <c r="K91" i="10" s="1"/>
  <c r="M32" i="257"/>
  <c r="P32" i="257" s="1"/>
  <c r="Q32" i="257" s="1"/>
  <c r="B9" i="19"/>
  <c r="L9" i="19" s="1"/>
  <c r="C91" i="19"/>
  <c r="K24" i="116"/>
  <c r="L24" i="116" s="1"/>
  <c r="B23" i="17"/>
  <c r="B9" i="17" s="1"/>
  <c r="B91" i="17" s="1"/>
  <c r="L23" i="19"/>
  <c r="Q51" i="12"/>
  <c r="K53" i="12"/>
  <c r="Q50" i="12"/>
  <c r="B23" i="13"/>
  <c r="L23" i="13" s="1"/>
  <c r="K9" i="13"/>
  <c r="C9" i="10"/>
  <c r="N9" i="10" s="1"/>
  <c r="J90" i="12"/>
  <c r="D90" i="12" s="1"/>
  <c r="G90" i="12" s="1"/>
  <c r="N90" i="12" s="1"/>
  <c r="E23" i="19"/>
  <c r="C23" i="261" s="1"/>
  <c r="F9" i="19"/>
  <c r="E25" i="19"/>
  <c r="C25" i="261" s="1"/>
  <c r="D25" i="12"/>
  <c r="E33" i="17"/>
  <c r="O33" i="17" s="1"/>
  <c r="P33" i="17" s="1"/>
  <c r="F35" i="154" s="1"/>
  <c r="K35" i="154" s="1"/>
  <c r="F33" i="17"/>
  <c r="K53" i="154"/>
  <c r="K25" i="12"/>
  <c r="H25" i="12"/>
  <c r="O25" i="12" s="1"/>
  <c r="N90" i="10"/>
  <c r="O50" i="17"/>
  <c r="P50" i="17" s="1"/>
  <c r="F52" i="154" s="1"/>
  <c r="E45" i="17"/>
  <c r="O45" i="17" s="1"/>
  <c r="B24" i="116"/>
  <c r="D41" i="116"/>
  <c r="B41" i="116" s="1"/>
  <c r="C41" i="116" s="1"/>
  <c r="B41" i="257" s="1"/>
  <c r="F45" i="12"/>
  <c r="F45" i="17"/>
  <c r="M45" i="17"/>
  <c r="J32" i="116"/>
  <c r="F12" i="116"/>
  <c r="E48" i="126"/>
  <c r="C53" i="126"/>
  <c r="C51" i="126"/>
  <c r="C12" i="126"/>
  <c r="C33" i="126"/>
  <c r="C16" i="126"/>
  <c r="C50" i="126"/>
  <c r="C46" i="126"/>
  <c r="E52" i="126"/>
  <c r="C29" i="126"/>
  <c r="E15" i="126"/>
  <c r="E35" i="126"/>
  <c r="E92" i="126"/>
  <c r="D47" i="126"/>
  <c r="E36" i="126"/>
  <c r="C92" i="126"/>
  <c r="E47" i="126"/>
  <c r="D41" i="126"/>
  <c r="E22" i="126"/>
  <c r="E28" i="126"/>
  <c r="E13" i="126"/>
  <c r="E25" i="126"/>
  <c r="E24" i="126"/>
  <c r="D16" i="126"/>
  <c r="D24" i="126"/>
  <c r="D22" i="126"/>
  <c r="D46" i="126"/>
  <c r="D36" i="126"/>
  <c r="D28" i="126"/>
  <c r="D40" i="126"/>
  <c r="D29" i="126"/>
  <c r="D35" i="126"/>
  <c r="C31" i="126"/>
  <c r="C39" i="126"/>
  <c r="C23" i="126"/>
  <c r="C24" i="126"/>
  <c r="E29" i="126"/>
  <c r="E51" i="126"/>
  <c r="E12" i="126"/>
  <c r="E33" i="126"/>
  <c r="E27" i="126"/>
  <c r="C44" i="126"/>
  <c r="C15" i="126"/>
  <c r="C48" i="126"/>
  <c r="C27" i="126"/>
  <c r="D37" i="126"/>
  <c r="E38" i="126"/>
  <c r="E42" i="126"/>
  <c r="E21" i="126"/>
  <c r="E17" i="126"/>
  <c r="E40" i="126"/>
  <c r="D48" i="126"/>
  <c r="D21" i="126"/>
  <c r="D39" i="126"/>
  <c r="D31" i="126"/>
  <c r="D42" i="126"/>
  <c r="C41" i="126"/>
  <c r="D44" i="126"/>
  <c r="D12" i="126"/>
  <c r="E39" i="126"/>
  <c r="C22" i="126"/>
  <c r="C19" i="126"/>
  <c r="C13" i="126"/>
  <c r="E30" i="126"/>
  <c r="D92" i="126"/>
  <c r="D51" i="126"/>
  <c r="D50" i="126"/>
  <c r="C54" i="126"/>
  <c r="E44" i="126"/>
  <c r="C28" i="126"/>
  <c r="C37" i="126"/>
  <c r="C45" i="126"/>
  <c r="C20" i="126"/>
  <c r="C17" i="126"/>
  <c r="C30" i="126"/>
  <c r="C49" i="126"/>
  <c r="D18" i="126"/>
  <c r="E41" i="126"/>
  <c r="E31" i="126"/>
  <c r="E37" i="126"/>
  <c r="E23" i="126"/>
  <c r="C94" i="126"/>
  <c r="D20" i="126"/>
  <c r="D23" i="126"/>
  <c r="D49" i="126"/>
  <c r="D17" i="126"/>
  <c r="D53" i="126"/>
  <c r="D15" i="126"/>
  <c r="D38" i="126"/>
  <c r="D25" i="126"/>
  <c r="C21" i="126"/>
  <c r="C40" i="126"/>
  <c r="C42" i="126"/>
  <c r="C25" i="126"/>
  <c r="E54" i="126"/>
  <c r="E16" i="126"/>
  <c r="E49" i="126"/>
  <c r="E50" i="126"/>
  <c r="D27" i="126"/>
  <c r="C52" i="126"/>
  <c r="D94" i="126"/>
  <c r="C36" i="126"/>
  <c r="D45" i="126"/>
  <c r="D95" i="99"/>
  <c r="E20" i="126"/>
  <c r="D33" i="126"/>
  <c r="E45" i="126"/>
  <c r="E19" i="126"/>
  <c r="D52" i="126"/>
  <c r="D13" i="126"/>
  <c r="D30" i="126"/>
  <c r="E18" i="126"/>
  <c r="D19" i="126"/>
  <c r="D54" i="126"/>
  <c r="C38" i="126"/>
  <c r="C18" i="126"/>
  <c r="E46" i="126"/>
  <c r="E53" i="126"/>
  <c r="C35" i="126"/>
  <c r="C47" i="126"/>
  <c r="U51" i="17"/>
  <c r="K32" i="116"/>
  <c r="U33" i="17" l="1"/>
  <c r="M25" i="261"/>
  <c r="F25" i="261"/>
  <c r="E25" i="261"/>
  <c r="AI25" i="261" s="1"/>
  <c r="K45" i="12"/>
  <c r="K90" i="12" s="1"/>
  <c r="E90" i="12" s="1"/>
  <c r="C90" i="12" s="1"/>
  <c r="F90" i="12" s="1"/>
  <c r="F23" i="261"/>
  <c r="M23" i="261"/>
  <c r="C9" i="261"/>
  <c r="M24" i="116"/>
  <c r="E23" i="261"/>
  <c r="AI23" i="261" s="1"/>
  <c r="J41" i="116"/>
  <c r="N32" i="257"/>
  <c r="C91" i="10"/>
  <c r="N91" i="10" s="1"/>
  <c r="K25" i="19"/>
  <c r="C25" i="17"/>
  <c r="G25" i="12"/>
  <c r="B98" i="12" s="1"/>
  <c r="D28" i="12" s="1"/>
  <c r="M28" i="261" s="1"/>
  <c r="J25" i="12"/>
  <c r="C25" i="12"/>
  <c r="U45" i="17"/>
  <c r="E23" i="12"/>
  <c r="U23" i="13"/>
  <c r="N9" i="13"/>
  <c r="B9" i="13"/>
  <c r="U9" i="13" s="1"/>
  <c r="B91" i="19"/>
  <c r="C98" i="19"/>
  <c r="C23" i="17"/>
  <c r="E9" i="19"/>
  <c r="K9" i="19" s="1"/>
  <c r="K23" i="19"/>
  <c r="M32" i="116"/>
  <c r="L32" i="116"/>
  <c r="C24" i="116"/>
  <c r="M24" i="257"/>
  <c r="J24" i="257"/>
  <c r="I90" i="12"/>
  <c r="D12" i="116"/>
  <c r="M41" i="257"/>
  <c r="K41" i="116"/>
  <c r="D11" i="126"/>
  <c r="E11" i="126"/>
  <c r="J41" i="257"/>
  <c r="K52" i="154"/>
  <c r="K47" i="154" s="1"/>
  <c r="F47" i="154"/>
  <c r="H90" i="12" l="1"/>
  <c r="B90" i="13"/>
  <c r="O25" i="261"/>
  <c r="F9" i="261"/>
  <c r="O23" i="261"/>
  <c r="E9" i="261"/>
  <c r="G28" i="12"/>
  <c r="J28" i="12"/>
  <c r="M28" i="17"/>
  <c r="C28" i="12"/>
  <c r="N41" i="257"/>
  <c r="F25" i="12"/>
  <c r="I25" i="12"/>
  <c r="C9" i="17"/>
  <c r="E23" i="17"/>
  <c r="F23" i="17"/>
  <c r="M23" i="17"/>
  <c r="K23" i="12"/>
  <c r="H23" i="12"/>
  <c r="C23" i="12"/>
  <c r="E9" i="12"/>
  <c r="D9" i="12"/>
  <c r="M9" i="261" s="1"/>
  <c r="L9" i="13"/>
  <c r="B98" i="19"/>
  <c r="L91" i="19"/>
  <c r="N28" i="12"/>
  <c r="K12" i="116"/>
  <c r="N24" i="257"/>
  <c r="G9" i="12"/>
  <c r="M25" i="17"/>
  <c r="F25" i="17"/>
  <c r="E25" i="17"/>
  <c r="O25" i="17" s="1"/>
  <c r="P25" i="17" s="1"/>
  <c r="F27" i="154" s="1"/>
  <c r="K27" i="154" s="1"/>
  <c r="N25" i="12"/>
  <c r="M12" i="116"/>
  <c r="L12" i="116"/>
  <c r="P24" i="257"/>
  <c r="Q24" i="257" s="1"/>
  <c r="K24" i="257"/>
  <c r="B12" i="116"/>
  <c r="O90" i="12"/>
  <c r="K41" i="257"/>
  <c r="P41" i="257"/>
  <c r="Q41" i="257" s="1"/>
  <c r="C90" i="13"/>
  <c r="C91" i="13" s="1"/>
  <c r="F90" i="13"/>
  <c r="I90" i="13"/>
  <c r="I91" i="13" s="1"/>
  <c r="K90" i="13"/>
  <c r="J90" i="13"/>
  <c r="M41" i="116"/>
  <c r="L41" i="116"/>
  <c r="J12" i="116"/>
  <c r="B24" i="257"/>
  <c r="V23" i="261" l="1"/>
  <c r="U23" i="261"/>
  <c r="Y23" i="261" s="1"/>
  <c r="S23" i="261"/>
  <c r="W23" i="261" s="1"/>
  <c r="T23" i="261"/>
  <c r="X23" i="261" s="1"/>
  <c r="V25" i="261"/>
  <c r="AI9" i="261"/>
  <c r="O53" i="261"/>
  <c r="O9" i="261"/>
  <c r="O28" i="17"/>
  <c r="P28" i="17" s="1"/>
  <c r="F30" i="154" s="1"/>
  <c r="K30" i="154" s="1"/>
  <c r="O28" i="261"/>
  <c r="U25" i="17"/>
  <c r="O23" i="17"/>
  <c r="P23" i="17" s="1"/>
  <c r="F25" i="154" s="1"/>
  <c r="E9" i="17"/>
  <c r="F28" i="12"/>
  <c r="I28" i="12"/>
  <c r="N9" i="12"/>
  <c r="G91" i="12"/>
  <c r="C9" i="12"/>
  <c r="F23" i="12"/>
  <c r="I23" i="12"/>
  <c r="M9" i="17"/>
  <c r="F9" i="17"/>
  <c r="O23" i="12"/>
  <c r="H9" i="12"/>
  <c r="K9" i="12" s="1"/>
  <c r="E91" i="12"/>
  <c r="B91" i="13" s="1"/>
  <c r="T8" i="13"/>
  <c r="D91" i="12"/>
  <c r="J9" i="12"/>
  <c r="U23" i="17"/>
  <c r="L90" i="13"/>
  <c r="K91" i="13"/>
  <c r="O90" i="13"/>
  <c r="H90" i="19" s="1"/>
  <c r="J91" i="13"/>
  <c r="C12" i="116"/>
  <c r="J12" i="257"/>
  <c r="M12" i="257"/>
  <c r="U90" i="13"/>
  <c r="F90" i="19"/>
  <c r="F91" i="13"/>
  <c r="F9" i="12" l="1"/>
  <c r="F91" i="12" s="1"/>
  <c r="Z23" i="261"/>
  <c r="AA23" i="261"/>
  <c r="AB23" i="261"/>
  <c r="S53" i="261"/>
  <c r="T53" i="261"/>
  <c r="U53" i="261"/>
  <c r="V28" i="261"/>
  <c r="S28" i="261"/>
  <c r="W28" i="261" s="1"/>
  <c r="T28" i="261"/>
  <c r="X28" i="261" s="1"/>
  <c r="U28" i="261"/>
  <c r="Y28" i="261" s="1"/>
  <c r="O90" i="261"/>
  <c r="O82" i="261"/>
  <c r="O63" i="261"/>
  <c r="O85" i="261"/>
  <c r="O89" i="261"/>
  <c r="O77" i="261"/>
  <c r="O73" i="261"/>
  <c r="O69" i="261"/>
  <c r="O56" i="261"/>
  <c r="O59" i="261"/>
  <c r="O83" i="261"/>
  <c r="O80" i="261"/>
  <c r="O75" i="261"/>
  <c r="O54" i="261"/>
  <c r="O78" i="261"/>
  <c r="O68" i="261"/>
  <c r="O87" i="261"/>
  <c r="O66" i="261"/>
  <c r="O62" i="261"/>
  <c r="O81" i="261"/>
  <c r="O88" i="261"/>
  <c r="O76" i="261"/>
  <c r="O72" i="261"/>
  <c r="O55" i="261"/>
  <c r="O57" i="261"/>
  <c r="O65" i="261"/>
  <c r="O61" i="261"/>
  <c r="O84" i="261"/>
  <c r="O71" i="261"/>
  <c r="O67" i="261"/>
  <c r="O86" i="261"/>
  <c r="O64" i="261"/>
  <c r="O60" i="261"/>
  <c r="O79" i="261"/>
  <c r="O74" i="261"/>
  <c r="O70" i="261"/>
  <c r="O58" i="261"/>
  <c r="U91" i="13"/>
  <c r="L91" i="13"/>
  <c r="N91" i="12"/>
  <c r="N12" i="257"/>
  <c r="Q28" i="12"/>
  <c r="J91" i="12"/>
  <c r="U9" i="17"/>
  <c r="O9" i="17"/>
  <c r="O53" i="17"/>
  <c r="I9" i="12"/>
  <c r="C91" i="12"/>
  <c r="I91" i="12" s="1"/>
  <c r="O9" i="12"/>
  <c r="H91" i="12"/>
  <c r="Q23" i="12"/>
  <c r="K25" i="154"/>
  <c r="K11" i="154" s="1"/>
  <c r="F11" i="154"/>
  <c r="B12" i="257"/>
  <c r="F91" i="19"/>
  <c r="E90" i="19"/>
  <c r="C90" i="261" s="1"/>
  <c r="K12" i="257"/>
  <c r="P12" i="257"/>
  <c r="Q12" i="257" s="1"/>
  <c r="O91" i="13"/>
  <c r="Z28" i="261" l="1"/>
  <c r="AA28" i="261"/>
  <c r="AB28" i="261"/>
  <c r="U61" i="261"/>
  <c r="S61" i="261"/>
  <c r="T61" i="261"/>
  <c r="T62" i="261"/>
  <c r="S62" i="261"/>
  <c r="U62" i="261"/>
  <c r="S59" i="261"/>
  <c r="U59" i="261"/>
  <c r="T59" i="261"/>
  <c r="T58" i="261"/>
  <c r="S58" i="261"/>
  <c r="U58" i="261"/>
  <c r="T60" i="261"/>
  <c r="U60" i="261"/>
  <c r="S60" i="261"/>
  <c r="S90" i="261"/>
  <c r="W90" i="261" s="1"/>
  <c r="T90" i="261"/>
  <c r="X90" i="261" s="1"/>
  <c r="U90" i="261"/>
  <c r="Y90" i="261" s="1"/>
  <c r="M90" i="261"/>
  <c r="F90" i="261"/>
  <c r="E90" i="261"/>
  <c r="L90" i="261" s="1"/>
  <c r="AH90" i="261" s="1"/>
  <c r="V90" i="261"/>
  <c r="O91" i="12"/>
  <c r="K91" i="12"/>
  <c r="O57" i="17"/>
  <c r="K57" i="19" s="1"/>
  <c r="E57" i="261" s="1"/>
  <c r="O70" i="17"/>
  <c r="K70" i="19" s="1"/>
  <c r="E70" i="261" s="1"/>
  <c r="O54" i="17"/>
  <c r="K54" i="19" s="1"/>
  <c r="E54" i="261" s="1"/>
  <c r="O77" i="17"/>
  <c r="K77" i="19" s="1"/>
  <c r="E77" i="261" s="1"/>
  <c r="O66" i="17"/>
  <c r="K66" i="19" s="1"/>
  <c r="E66" i="261" s="1"/>
  <c r="O74" i="17"/>
  <c r="K74" i="19" s="1"/>
  <c r="E74" i="261" s="1"/>
  <c r="O63" i="17"/>
  <c r="K63" i="19" s="1"/>
  <c r="E63" i="261" s="1"/>
  <c r="O87" i="17"/>
  <c r="K87" i="19" s="1"/>
  <c r="E87" i="261" s="1"/>
  <c r="O80" i="17"/>
  <c r="K80" i="19" s="1"/>
  <c r="E80" i="261" s="1"/>
  <c r="O60" i="17"/>
  <c r="K60" i="19" s="1"/>
  <c r="E60" i="261" s="1"/>
  <c r="O58" i="17"/>
  <c r="K58" i="19" s="1"/>
  <c r="E58" i="261" s="1"/>
  <c r="O86" i="17"/>
  <c r="K86" i="19" s="1"/>
  <c r="E86" i="261" s="1"/>
  <c r="O78" i="17"/>
  <c r="K78" i="19" s="1"/>
  <c r="E78" i="261" s="1"/>
  <c r="O62" i="17"/>
  <c r="K62" i="19" s="1"/>
  <c r="E62" i="261" s="1"/>
  <c r="O75" i="17"/>
  <c r="K75" i="19" s="1"/>
  <c r="E75" i="261" s="1"/>
  <c r="O56" i="17"/>
  <c r="K56" i="19" s="1"/>
  <c r="E56" i="261" s="1"/>
  <c r="O85" i="17"/>
  <c r="K85" i="19" s="1"/>
  <c r="E85" i="261" s="1"/>
  <c r="O67" i="17"/>
  <c r="K67" i="19" s="1"/>
  <c r="E67" i="261" s="1"/>
  <c r="O81" i="17"/>
  <c r="K81" i="19" s="1"/>
  <c r="E81" i="261" s="1"/>
  <c r="O64" i="17"/>
  <c r="K64" i="19" s="1"/>
  <c r="E64" i="261" s="1"/>
  <c r="O72" i="17"/>
  <c r="O69" i="17"/>
  <c r="K69" i="19" s="1"/>
  <c r="E69" i="261" s="1"/>
  <c r="O79" i="17"/>
  <c r="K79" i="19" s="1"/>
  <c r="E79" i="261" s="1"/>
  <c r="O71" i="17"/>
  <c r="K71" i="19" s="1"/>
  <c r="E71" i="261" s="1"/>
  <c r="O84" i="17"/>
  <c r="K84" i="19" s="1"/>
  <c r="E84" i="261" s="1"/>
  <c r="O55" i="17"/>
  <c r="K55" i="19" s="1"/>
  <c r="E55" i="261" s="1"/>
  <c r="O65" i="17"/>
  <c r="K65" i="19" s="1"/>
  <c r="E65" i="261" s="1"/>
  <c r="O82" i="17"/>
  <c r="K82" i="19" s="1"/>
  <c r="E82" i="261" s="1"/>
  <c r="O76" i="17"/>
  <c r="K76" i="19" s="1"/>
  <c r="E76" i="261" s="1"/>
  <c r="O61" i="17"/>
  <c r="K61" i="19" s="1"/>
  <c r="E61" i="261" s="1"/>
  <c r="O73" i="17"/>
  <c r="K73" i="19" s="1"/>
  <c r="E73" i="261" s="1"/>
  <c r="O89" i="17"/>
  <c r="O88" i="17"/>
  <c r="K88" i="19" s="1"/>
  <c r="E88" i="261" s="1"/>
  <c r="O59" i="17"/>
  <c r="K59" i="19" s="1"/>
  <c r="E59" i="261" s="1"/>
  <c r="O90" i="17"/>
  <c r="O68" i="17"/>
  <c r="K68" i="19" s="1"/>
  <c r="E68" i="261" s="1"/>
  <c r="O83" i="17"/>
  <c r="C90" i="17"/>
  <c r="K90" i="19"/>
  <c r="F98" i="19"/>
  <c r="AA90" i="261" l="1"/>
  <c r="Z90" i="261"/>
  <c r="AB90" i="261"/>
  <c r="AI90" i="261"/>
  <c r="E55" i="17"/>
  <c r="E55" i="19"/>
  <c r="C55" i="261" s="1"/>
  <c r="E60" i="17"/>
  <c r="E60" i="19"/>
  <c r="C60" i="261" s="1"/>
  <c r="K83" i="19"/>
  <c r="E83" i="261" s="1"/>
  <c r="E88" i="17"/>
  <c r="E88" i="19"/>
  <c r="C88" i="261" s="1"/>
  <c r="E76" i="17"/>
  <c r="E76" i="19"/>
  <c r="C76" i="261" s="1"/>
  <c r="E84" i="17"/>
  <c r="E84" i="19"/>
  <c r="C84" i="261" s="1"/>
  <c r="K72" i="19"/>
  <c r="E72" i="261" s="1"/>
  <c r="E85" i="17"/>
  <c r="E85" i="19"/>
  <c r="C85" i="261" s="1"/>
  <c r="E78" i="17"/>
  <c r="E78" i="19"/>
  <c r="C78" i="261" s="1"/>
  <c r="E80" i="19"/>
  <c r="C80" i="261" s="1"/>
  <c r="E80" i="17"/>
  <c r="E66" i="17"/>
  <c r="E66" i="19"/>
  <c r="C66" i="261" s="1"/>
  <c r="E57" i="19"/>
  <c r="C57" i="261" s="1"/>
  <c r="E57" i="17"/>
  <c r="E61" i="17"/>
  <c r="E61" i="19"/>
  <c r="C61" i="261" s="1"/>
  <c r="E67" i="17"/>
  <c r="E67" i="19"/>
  <c r="C67" i="261" s="1"/>
  <c r="E62" i="17"/>
  <c r="E62" i="19"/>
  <c r="C62" i="261" s="1"/>
  <c r="E70" i="17"/>
  <c r="E70" i="19"/>
  <c r="C70" i="261" s="1"/>
  <c r="E68" i="17"/>
  <c r="E68" i="19"/>
  <c r="C68" i="261" s="1"/>
  <c r="K89" i="19"/>
  <c r="E89" i="261" s="1"/>
  <c r="E82" i="17"/>
  <c r="E82" i="19"/>
  <c r="C82" i="261" s="1"/>
  <c r="E71" i="17"/>
  <c r="E71" i="19"/>
  <c r="C71" i="261" s="1"/>
  <c r="E64" i="17"/>
  <c r="E64" i="19"/>
  <c r="C64" i="261" s="1"/>
  <c r="E56" i="17"/>
  <c r="E56" i="19"/>
  <c r="C56" i="261" s="1"/>
  <c r="E86" i="19"/>
  <c r="C86" i="261" s="1"/>
  <c r="E86" i="17"/>
  <c r="E87" i="17"/>
  <c r="E87" i="19"/>
  <c r="C87" i="261" s="1"/>
  <c r="E77" i="17"/>
  <c r="E77" i="19"/>
  <c r="C77" i="261" s="1"/>
  <c r="E59" i="17"/>
  <c r="E59" i="19"/>
  <c r="C59" i="261" s="1"/>
  <c r="E69" i="17"/>
  <c r="E69" i="19"/>
  <c r="C69" i="261" s="1"/>
  <c r="E74" i="19"/>
  <c r="C74" i="261" s="1"/>
  <c r="E74" i="17"/>
  <c r="E73" i="17"/>
  <c r="E73" i="19"/>
  <c r="C73" i="261" s="1"/>
  <c r="E65" i="17"/>
  <c r="E65" i="19"/>
  <c r="C65" i="261" s="1"/>
  <c r="E79" i="19"/>
  <c r="C79" i="261" s="1"/>
  <c r="E79" i="17"/>
  <c r="E81" i="17"/>
  <c r="E81" i="19"/>
  <c r="C81" i="261" s="1"/>
  <c r="E75" i="17"/>
  <c r="E75" i="19"/>
  <c r="C75" i="261" s="1"/>
  <c r="E58" i="19"/>
  <c r="C58" i="261" s="1"/>
  <c r="E58" i="17"/>
  <c r="E63" i="17"/>
  <c r="E63" i="19"/>
  <c r="C63" i="261" s="1"/>
  <c r="E54" i="17"/>
  <c r="E54" i="19"/>
  <c r="C54" i="261" s="1"/>
  <c r="P90" i="17"/>
  <c r="F92" i="154" s="1"/>
  <c r="F90" i="17"/>
  <c r="M90" i="17"/>
  <c r="E90" i="17"/>
  <c r="Y59" i="261" l="1"/>
  <c r="W59" i="261"/>
  <c r="X59" i="261"/>
  <c r="Y58" i="261"/>
  <c r="W58" i="261"/>
  <c r="X58" i="261"/>
  <c r="Y62" i="261"/>
  <c r="W62" i="261"/>
  <c r="X62" i="261"/>
  <c r="Y61" i="261"/>
  <c r="W61" i="261"/>
  <c r="X61" i="261"/>
  <c r="Y60" i="261"/>
  <c r="W60" i="261"/>
  <c r="X60" i="261"/>
  <c r="E53" i="261"/>
  <c r="E91" i="261" s="1"/>
  <c r="O91" i="261" s="1"/>
  <c r="L54" i="261"/>
  <c r="AH54" i="261" s="1"/>
  <c r="F54" i="261"/>
  <c r="M54" i="261"/>
  <c r="AI54" i="261"/>
  <c r="V54" i="261"/>
  <c r="M81" i="261"/>
  <c r="L81" i="261"/>
  <c r="AH81" i="261" s="1"/>
  <c r="F81" i="261"/>
  <c r="AI81" i="261"/>
  <c r="V81" i="261"/>
  <c r="L65" i="261"/>
  <c r="AH65" i="261" s="1"/>
  <c r="F65" i="261"/>
  <c r="M65" i="261"/>
  <c r="AI65" i="261"/>
  <c r="V65" i="261"/>
  <c r="M59" i="261"/>
  <c r="L59" i="261"/>
  <c r="AH59" i="261" s="1"/>
  <c r="F59" i="261"/>
  <c r="AI59" i="261"/>
  <c r="V59" i="261"/>
  <c r="Z59" i="261" s="1"/>
  <c r="L87" i="261"/>
  <c r="AH87" i="261" s="1"/>
  <c r="F87" i="261"/>
  <c r="M87" i="261"/>
  <c r="AI87" i="261"/>
  <c r="V87" i="261"/>
  <c r="M56" i="261"/>
  <c r="F56" i="261"/>
  <c r="L56" i="261"/>
  <c r="AH56" i="261" s="1"/>
  <c r="AI56" i="261"/>
  <c r="V56" i="261"/>
  <c r="M71" i="261"/>
  <c r="F71" i="261"/>
  <c r="L71" i="261"/>
  <c r="AH71" i="261" s="1"/>
  <c r="AI71" i="261"/>
  <c r="V71" i="261"/>
  <c r="M57" i="261"/>
  <c r="F57" i="261"/>
  <c r="L57" i="261"/>
  <c r="AH57" i="261" s="1"/>
  <c r="AI57" i="261"/>
  <c r="V57" i="261"/>
  <c r="M80" i="261"/>
  <c r="F80" i="261"/>
  <c r="L80" i="261"/>
  <c r="AH80" i="261" s="1"/>
  <c r="AI80" i="261"/>
  <c r="V80" i="261"/>
  <c r="F76" i="261"/>
  <c r="M76" i="261"/>
  <c r="L76" i="261"/>
  <c r="AH76" i="261" s="1"/>
  <c r="AI76" i="261"/>
  <c r="V76" i="261"/>
  <c r="M58" i="261"/>
  <c r="L58" i="261"/>
  <c r="AH58" i="261" s="1"/>
  <c r="F58" i="261"/>
  <c r="AI58" i="261"/>
  <c r="V58" i="261"/>
  <c r="L74" i="261"/>
  <c r="AH74" i="261" s="1"/>
  <c r="F74" i="261"/>
  <c r="M74" i="261"/>
  <c r="AI74" i="261"/>
  <c r="V74" i="261"/>
  <c r="F68" i="261"/>
  <c r="L68" i="261"/>
  <c r="AH68" i="261" s="1"/>
  <c r="M68" i="261"/>
  <c r="AI68" i="261"/>
  <c r="V68" i="261"/>
  <c r="F62" i="261"/>
  <c r="M62" i="261"/>
  <c r="L62" i="261"/>
  <c r="AH62" i="261" s="1"/>
  <c r="AI62" i="261"/>
  <c r="V62" i="261"/>
  <c r="M61" i="261"/>
  <c r="F61" i="261"/>
  <c r="L61" i="261"/>
  <c r="AH61" i="261" s="1"/>
  <c r="V61" i="261"/>
  <c r="F66" i="261"/>
  <c r="M66" i="261"/>
  <c r="L66" i="261"/>
  <c r="AH66" i="261" s="1"/>
  <c r="AI66" i="261"/>
  <c r="V66" i="261"/>
  <c r="F78" i="261"/>
  <c r="L78" i="261"/>
  <c r="AH78" i="261" s="1"/>
  <c r="M78" i="261"/>
  <c r="AI78" i="261"/>
  <c r="V78" i="261"/>
  <c r="L60" i="261"/>
  <c r="AH60" i="261" s="1"/>
  <c r="F60" i="261"/>
  <c r="M60" i="261"/>
  <c r="AI60" i="261"/>
  <c r="V60" i="261"/>
  <c r="AB60" i="261" s="1"/>
  <c r="F63" i="261"/>
  <c r="M63" i="261"/>
  <c r="L63" i="261"/>
  <c r="AH63" i="261" s="1"/>
  <c r="AI63" i="261"/>
  <c r="V63" i="261"/>
  <c r="M75" i="261"/>
  <c r="L75" i="261"/>
  <c r="AH75" i="261" s="1"/>
  <c r="F75" i="261"/>
  <c r="AI75" i="261"/>
  <c r="V75" i="261"/>
  <c r="F73" i="261"/>
  <c r="L73" i="261"/>
  <c r="AH73" i="261" s="1"/>
  <c r="M73" i="261"/>
  <c r="AI73" i="261"/>
  <c r="V73" i="261"/>
  <c r="L69" i="261"/>
  <c r="AH69" i="261" s="1"/>
  <c r="M69" i="261"/>
  <c r="F69" i="261"/>
  <c r="AI69" i="261"/>
  <c r="V69" i="261"/>
  <c r="L77" i="261"/>
  <c r="AH77" i="261" s="1"/>
  <c r="F77" i="261"/>
  <c r="M77" i="261"/>
  <c r="AI77" i="261"/>
  <c r="V77" i="261"/>
  <c r="L64" i="261"/>
  <c r="AH64" i="261" s="1"/>
  <c r="F64" i="261"/>
  <c r="M64" i="261"/>
  <c r="AI64" i="261"/>
  <c r="V64" i="261"/>
  <c r="F82" i="261"/>
  <c r="M82" i="261"/>
  <c r="L82" i="261"/>
  <c r="AH82" i="261" s="1"/>
  <c r="AI82" i="261"/>
  <c r="V82" i="261"/>
  <c r="M84" i="261"/>
  <c r="F84" i="261"/>
  <c r="L84" i="261"/>
  <c r="AH84" i="261" s="1"/>
  <c r="AI84" i="261"/>
  <c r="V84" i="261"/>
  <c r="F88" i="261"/>
  <c r="L88" i="261"/>
  <c r="AH88" i="261" s="1"/>
  <c r="M88" i="261"/>
  <c r="AI88" i="261"/>
  <c r="V88" i="261"/>
  <c r="M79" i="261"/>
  <c r="L79" i="261"/>
  <c r="AH79" i="261" s="1"/>
  <c r="F79" i="261"/>
  <c r="AI79" i="261"/>
  <c r="V79" i="261"/>
  <c r="M86" i="261"/>
  <c r="F86" i="261"/>
  <c r="L86" i="261"/>
  <c r="AH86" i="261" s="1"/>
  <c r="AI86" i="261"/>
  <c r="V86" i="261"/>
  <c r="L70" i="261"/>
  <c r="AH70" i="261" s="1"/>
  <c r="M70" i="261"/>
  <c r="F70" i="261"/>
  <c r="AI70" i="261"/>
  <c r="V70" i="261"/>
  <c r="F67" i="261"/>
  <c r="M67" i="261"/>
  <c r="L67" i="261"/>
  <c r="AH67" i="261" s="1"/>
  <c r="AI67" i="261"/>
  <c r="V67" i="261"/>
  <c r="M85" i="261"/>
  <c r="L85" i="261"/>
  <c r="AH85" i="261" s="1"/>
  <c r="F85" i="261"/>
  <c r="AI85" i="261"/>
  <c r="V85" i="261"/>
  <c r="M55" i="261"/>
  <c r="F55" i="261"/>
  <c r="L55" i="261"/>
  <c r="AH55" i="261" s="1"/>
  <c r="AI55" i="261"/>
  <c r="V55" i="261"/>
  <c r="AI61" i="261"/>
  <c r="H63" i="19"/>
  <c r="I63" i="19" s="1"/>
  <c r="C63" i="17"/>
  <c r="C75" i="17"/>
  <c r="H75" i="19"/>
  <c r="C73" i="17"/>
  <c r="H73" i="19"/>
  <c r="H69" i="19"/>
  <c r="C69" i="17"/>
  <c r="C77" i="17"/>
  <c r="H77" i="19"/>
  <c r="E89" i="17"/>
  <c r="E89" i="19"/>
  <c r="C89" i="261" s="1"/>
  <c r="C67" i="17"/>
  <c r="H67" i="19"/>
  <c r="I67" i="19" s="1"/>
  <c r="H85" i="19"/>
  <c r="C85" i="17"/>
  <c r="C84" i="17"/>
  <c r="H84" i="19"/>
  <c r="H88" i="19"/>
  <c r="I88" i="19" s="1"/>
  <c r="C88" i="17"/>
  <c r="U90" i="17"/>
  <c r="H54" i="19"/>
  <c r="C54" i="17"/>
  <c r="C79" i="17"/>
  <c r="H79" i="19"/>
  <c r="C64" i="17"/>
  <c r="H64" i="19"/>
  <c r="H82" i="19"/>
  <c r="C82" i="17"/>
  <c r="C68" i="17"/>
  <c r="H68" i="19"/>
  <c r="H62" i="19"/>
  <c r="I62" i="19" s="1"/>
  <c r="C62" i="17"/>
  <c r="C57" i="17"/>
  <c r="H57" i="19"/>
  <c r="H80" i="19"/>
  <c r="I80" i="19" s="1"/>
  <c r="C80" i="17"/>
  <c r="H60" i="19"/>
  <c r="I60" i="19" s="1"/>
  <c r="C60" i="17"/>
  <c r="K53" i="19"/>
  <c r="C81" i="17"/>
  <c r="H81" i="19"/>
  <c r="C65" i="17"/>
  <c r="H65" i="19"/>
  <c r="C59" i="17"/>
  <c r="H59" i="19"/>
  <c r="H86" i="19"/>
  <c r="C86" i="17"/>
  <c r="C61" i="17"/>
  <c r="H61" i="19"/>
  <c r="C66" i="17"/>
  <c r="H66" i="19"/>
  <c r="I66" i="19" s="1"/>
  <c r="H78" i="19"/>
  <c r="I78" i="19" s="1"/>
  <c r="C78" i="17"/>
  <c r="H76" i="19"/>
  <c r="I76" i="19" s="1"/>
  <c r="C76" i="17"/>
  <c r="L90" i="17"/>
  <c r="T90" i="17" s="1"/>
  <c r="H58" i="19"/>
  <c r="I58" i="19" s="1"/>
  <c r="C58" i="17"/>
  <c r="H74" i="19"/>
  <c r="C74" i="17"/>
  <c r="C87" i="17"/>
  <c r="H87" i="19"/>
  <c r="H56" i="19"/>
  <c r="C56" i="17"/>
  <c r="H71" i="19"/>
  <c r="C71" i="17"/>
  <c r="C70" i="17"/>
  <c r="H70" i="19"/>
  <c r="E72" i="17"/>
  <c r="E72" i="19"/>
  <c r="C72" i="261" s="1"/>
  <c r="E83" i="19"/>
  <c r="C83" i="261" s="1"/>
  <c r="E83" i="17"/>
  <c r="C55" i="17"/>
  <c r="H55" i="19"/>
  <c r="J80" i="19"/>
  <c r="F93" i="154"/>
  <c r="K92" i="154"/>
  <c r="K93" i="154" s="1"/>
  <c r="J78" i="19"/>
  <c r="J58" i="19" l="1"/>
  <c r="AB58" i="261"/>
  <c r="J66" i="19"/>
  <c r="J60" i="19"/>
  <c r="K60" i="17" s="1"/>
  <c r="AB61" i="261"/>
  <c r="AA62" i="261"/>
  <c r="J62" i="19"/>
  <c r="AA60" i="261"/>
  <c r="AB59" i="261"/>
  <c r="J76" i="19"/>
  <c r="K76" i="17" s="1"/>
  <c r="Z61" i="261"/>
  <c r="AB62" i="261"/>
  <c r="Z60" i="261"/>
  <c r="AA61" i="261"/>
  <c r="Z62" i="261"/>
  <c r="AA58" i="261"/>
  <c r="Z58" i="261"/>
  <c r="AA59" i="261"/>
  <c r="S91" i="261"/>
  <c r="T91" i="261"/>
  <c r="U91" i="261"/>
  <c r="K66" i="17"/>
  <c r="K66" i="261"/>
  <c r="K76" i="261"/>
  <c r="M72" i="261"/>
  <c r="F72" i="261"/>
  <c r="L72" i="261"/>
  <c r="AH72" i="261" s="1"/>
  <c r="AI72" i="261"/>
  <c r="V72" i="261"/>
  <c r="J76" i="17"/>
  <c r="J76" i="261"/>
  <c r="J88" i="17"/>
  <c r="J88" i="261"/>
  <c r="C53" i="261"/>
  <c r="K60" i="261"/>
  <c r="K58" i="17"/>
  <c r="K58" i="261"/>
  <c r="J58" i="17"/>
  <c r="J58" i="261"/>
  <c r="J60" i="17"/>
  <c r="J60" i="261"/>
  <c r="J67" i="17"/>
  <c r="J67" i="261"/>
  <c r="K62" i="17"/>
  <c r="K62" i="261"/>
  <c r="K78" i="17"/>
  <c r="K78" i="261"/>
  <c r="K80" i="17"/>
  <c r="K80" i="261"/>
  <c r="J78" i="17"/>
  <c r="J78" i="261"/>
  <c r="J63" i="17"/>
  <c r="J63" i="261"/>
  <c r="J88" i="19"/>
  <c r="J67" i="19"/>
  <c r="J63" i="19"/>
  <c r="L83" i="261"/>
  <c r="AH83" i="261" s="1"/>
  <c r="M83" i="261"/>
  <c r="F83" i="261"/>
  <c r="AI83" i="261"/>
  <c r="V83" i="261"/>
  <c r="J66" i="17"/>
  <c r="J66" i="261"/>
  <c r="J80" i="17"/>
  <c r="J80" i="261"/>
  <c r="J62" i="17"/>
  <c r="J62" i="261"/>
  <c r="N53" i="261"/>
  <c r="M89" i="261"/>
  <c r="L89" i="261"/>
  <c r="AH89" i="261" s="1"/>
  <c r="F89" i="261"/>
  <c r="AI89" i="261"/>
  <c r="V89" i="261"/>
  <c r="E53" i="17"/>
  <c r="E91" i="17" s="1"/>
  <c r="O91" i="17" s="1"/>
  <c r="M76" i="17"/>
  <c r="L76" i="17"/>
  <c r="T76" i="17" s="1"/>
  <c r="P76" i="17"/>
  <c r="N76" i="116" s="1"/>
  <c r="U76" i="17"/>
  <c r="F76" i="17"/>
  <c r="P66" i="17"/>
  <c r="N66" i="116" s="1"/>
  <c r="U66" i="17"/>
  <c r="F66" i="17"/>
  <c r="L66" i="17"/>
  <c r="T66" i="17" s="1"/>
  <c r="M66" i="17"/>
  <c r="L60" i="17"/>
  <c r="T60" i="17" s="1"/>
  <c r="M60" i="17"/>
  <c r="P60" i="17"/>
  <c r="N60" i="116" s="1"/>
  <c r="U60" i="17"/>
  <c r="F60" i="17"/>
  <c r="M77" i="17"/>
  <c r="F77" i="17"/>
  <c r="L77" i="17"/>
  <c r="T77" i="17" s="1"/>
  <c r="P77" i="17"/>
  <c r="U77" i="17"/>
  <c r="M55" i="17"/>
  <c r="L55" i="17"/>
  <c r="T55" i="17" s="1"/>
  <c r="F55" i="17"/>
  <c r="P55" i="17"/>
  <c r="U55" i="17"/>
  <c r="C83" i="17"/>
  <c r="H83" i="19"/>
  <c r="M56" i="17"/>
  <c r="P56" i="17"/>
  <c r="N56" i="116" s="1"/>
  <c r="F56" i="257" s="1"/>
  <c r="U56" i="17"/>
  <c r="F56" i="17"/>
  <c r="L56" i="17"/>
  <c r="T56" i="17" s="1"/>
  <c r="P74" i="17"/>
  <c r="N74" i="116" s="1"/>
  <c r="F74" i="257" s="1"/>
  <c r="U74" i="17"/>
  <c r="F74" i="17"/>
  <c r="L74" i="17"/>
  <c r="T74" i="17" s="1"/>
  <c r="M74" i="17"/>
  <c r="F86" i="17"/>
  <c r="P86" i="17"/>
  <c r="N86" i="116" s="1"/>
  <c r="L86" i="17"/>
  <c r="T86" i="17" s="1"/>
  <c r="M86" i="17"/>
  <c r="U86" i="17"/>
  <c r="I65" i="19"/>
  <c r="E53" i="19"/>
  <c r="K91" i="19"/>
  <c r="K98" i="19" s="1"/>
  <c r="M82" i="17"/>
  <c r="L82" i="17"/>
  <c r="T82" i="17" s="1"/>
  <c r="P82" i="17"/>
  <c r="N82" i="116" s="1"/>
  <c r="U82" i="17"/>
  <c r="F82" i="17"/>
  <c r="P84" i="17"/>
  <c r="N84" i="116" s="1"/>
  <c r="F84" i="257" s="1"/>
  <c r="U84" i="17"/>
  <c r="F84" i="17"/>
  <c r="L84" i="17"/>
  <c r="T84" i="17" s="1"/>
  <c r="M84" i="17"/>
  <c r="M67" i="17"/>
  <c r="P67" i="17"/>
  <c r="U67" i="17"/>
  <c r="L67" i="17"/>
  <c r="T67" i="17" s="1"/>
  <c r="F67" i="17"/>
  <c r="I77" i="19"/>
  <c r="I69" i="19"/>
  <c r="J69" i="261" s="1"/>
  <c r="P75" i="17"/>
  <c r="N75" i="116" s="1"/>
  <c r="U75" i="17"/>
  <c r="F75" i="17"/>
  <c r="M75" i="17"/>
  <c r="L75" i="17"/>
  <c r="T75" i="17" s="1"/>
  <c r="I70" i="19"/>
  <c r="J70" i="261" s="1"/>
  <c r="I56" i="19"/>
  <c r="J56" i="261" s="1"/>
  <c r="I74" i="19"/>
  <c r="I86" i="19"/>
  <c r="J86" i="261" s="1"/>
  <c r="F65" i="17"/>
  <c r="L65" i="17"/>
  <c r="T65" i="17" s="1"/>
  <c r="U65" i="17"/>
  <c r="M65" i="17"/>
  <c r="P65" i="17"/>
  <c r="N65" i="116" s="1"/>
  <c r="F65" i="257" s="1"/>
  <c r="I57" i="19"/>
  <c r="I82" i="19"/>
  <c r="M88" i="17"/>
  <c r="L88" i="17"/>
  <c r="T88" i="17" s="1"/>
  <c r="P88" i="17"/>
  <c r="N88" i="116" s="1"/>
  <c r="U88" i="17"/>
  <c r="F88" i="17"/>
  <c r="P85" i="17"/>
  <c r="N85" i="116" s="1"/>
  <c r="F85" i="257" s="1"/>
  <c r="U85" i="17"/>
  <c r="F85" i="17"/>
  <c r="M85" i="17"/>
  <c r="L85" i="17"/>
  <c r="T85" i="17" s="1"/>
  <c r="I73" i="19"/>
  <c r="H72" i="19"/>
  <c r="C72" i="17"/>
  <c r="L70" i="17"/>
  <c r="T70" i="17" s="1"/>
  <c r="P70" i="17"/>
  <c r="N70" i="116" s="1"/>
  <c r="F70" i="257" s="1"/>
  <c r="U70" i="17"/>
  <c r="M70" i="17"/>
  <c r="F70" i="17"/>
  <c r="P71" i="17"/>
  <c r="N71" i="116" s="1"/>
  <c r="F71" i="257" s="1"/>
  <c r="U71" i="17"/>
  <c r="F71" i="17"/>
  <c r="L71" i="17"/>
  <c r="T71" i="17" s="1"/>
  <c r="M71" i="17"/>
  <c r="L58" i="17"/>
  <c r="T58" i="17" s="1"/>
  <c r="M58" i="17"/>
  <c r="F58" i="17"/>
  <c r="P58" i="17"/>
  <c r="U58" i="17"/>
  <c r="F78" i="17"/>
  <c r="L78" i="17"/>
  <c r="T78" i="17" s="1"/>
  <c r="U78" i="17"/>
  <c r="M78" i="17"/>
  <c r="P78" i="17"/>
  <c r="N78" i="116" s="1"/>
  <c r="I61" i="19"/>
  <c r="J61" i="261" s="1"/>
  <c r="I59" i="19"/>
  <c r="J59" i="261" s="1"/>
  <c r="I81" i="19"/>
  <c r="J81" i="261" s="1"/>
  <c r="F57" i="17"/>
  <c r="M57" i="17"/>
  <c r="P57" i="17"/>
  <c r="N57" i="116" s="1"/>
  <c r="L57" i="17"/>
  <c r="T57" i="17" s="1"/>
  <c r="U57" i="17"/>
  <c r="I68" i="19"/>
  <c r="I64" i="19"/>
  <c r="J64" i="261" s="1"/>
  <c r="M54" i="17"/>
  <c r="P54" i="17"/>
  <c r="L54" i="17"/>
  <c r="T54" i="17" s="1"/>
  <c r="F54" i="17"/>
  <c r="U54" i="17"/>
  <c r="I85" i="19"/>
  <c r="J85" i="261" s="1"/>
  <c r="L73" i="17"/>
  <c r="T73" i="17" s="1"/>
  <c r="M73" i="17"/>
  <c r="F73" i="17"/>
  <c r="P73" i="17"/>
  <c r="N73" i="116" s="1"/>
  <c r="F73" i="257" s="1"/>
  <c r="U73" i="17"/>
  <c r="P79" i="17"/>
  <c r="N79" i="116" s="1"/>
  <c r="U79" i="17"/>
  <c r="L79" i="17"/>
  <c r="T79" i="17" s="1"/>
  <c r="F79" i="17"/>
  <c r="M79" i="17"/>
  <c r="C89" i="17"/>
  <c r="H89" i="19"/>
  <c r="M63" i="17"/>
  <c r="L63" i="17"/>
  <c r="T63" i="17" s="1"/>
  <c r="F63" i="17"/>
  <c r="P63" i="17"/>
  <c r="N63" i="116" s="1"/>
  <c r="U63" i="17"/>
  <c r="I55" i="19"/>
  <c r="J55" i="261" s="1"/>
  <c r="I71" i="19"/>
  <c r="F87" i="17"/>
  <c r="L87" i="17"/>
  <c r="T87" i="17" s="1"/>
  <c r="M87" i="17"/>
  <c r="P87" i="17"/>
  <c r="N87" i="116" s="1"/>
  <c r="U87" i="17"/>
  <c r="M61" i="17"/>
  <c r="P61" i="17"/>
  <c r="N61" i="116" s="1"/>
  <c r="U61" i="17"/>
  <c r="F61" i="17"/>
  <c r="L61" i="17"/>
  <c r="T61" i="17" s="1"/>
  <c r="P59" i="17"/>
  <c r="N59" i="116" s="1"/>
  <c r="U59" i="17"/>
  <c r="F59" i="17"/>
  <c r="L59" i="17"/>
  <c r="T59" i="17" s="1"/>
  <c r="M59" i="17"/>
  <c r="F81" i="17"/>
  <c r="L81" i="17"/>
  <c r="T81" i="17" s="1"/>
  <c r="U81" i="17"/>
  <c r="M81" i="17"/>
  <c r="P81" i="17"/>
  <c r="N81" i="116" s="1"/>
  <c r="F80" i="17"/>
  <c r="L80" i="17"/>
  <c r="T80" i="17" s="1"/>
  <c r="P80" i="17"/>
  <c r="N80" i="116" s="1"/>
  <c r="M80" i="17"/>
  <c r="U80" i="17"/>
  <c r="L62" i="17"/>
  <c r="T62" i="17" s="1"/>
  <c r="M62" i="17"/>
  <c r="F62" i="17"/>
  <c r="P62" i="17"/>
  <c r="U62" i="17"/>
  <c r="L68" i="17"/>
  <c r="T68" i="17" s="1"/>
  <c r="P68" i="17"/>
  <c r="N68" i="116" s="1"/>
  <c r="U68" i="17"/>
  <c r="M68" i="17"/>
  <c r="F68" i="17"/>
  <c r="L64" i="17"/>
  <c r="T64" i="17" s="1"/>
  <c r="M64" i="17"/>
  <c r="F64" i="17"/>
  <c r="P64" i="17"/>
  <c r="N64" i="116" s="1"/>
  <c r="U64" i="17"/>
  <c r="I54" i="19"/>
  <c r="J54" i="261" s="1"/>
  <c r="I84" i="19"/>
  <c r="J84" i="261" s="1"/>
  <c r="P69" i="17"/>
  <c r="N69" i="116" s="1"/>
  <c r="F69" i="257" s="1"/>
  <c r="U69" i="17"/>
  <c r="M69" i="17"/>
  <c r="F69" i="17"/>
  <c r="L69" i="17"/>
  <c r="T69" i="17" s="1"/>
  <c r="I75" i="19"/>
  <c r="J75" i="261" s="1"/>
  <c r="X53" i="261" l="1"/>
  <c r="Y53" i="261"/>
  <c r="W53" i="261"/>
  <c r="V53" i="261"/>
  <c r="V91" i="261" s="1"/>
  <c r="J77" i="17"/>
  <c r="J77" i="261"/>
  <c r="K63" i="17"/>
  <c r="K63" i="261"/>
  <c r="J82" i="17"/>
  <c r="J82" i="261"/>
  <c r="J74" i="17"/>
  <c r="J74" i="261"/>
  <c r="K67" i="17"/>
  <c r="K67" i="261"/>
  <c r="J71" i="17"/>
  <c r="J71" i="261"/>
  <c r="J68" i="17"/>
  <c r="J68" i="261"/>
  <c r="J73" i="17"/>
  <c r="J73" i="261"/>
  <c r="J57" i="17"/>
  <c r="J57" i="261"/>
  <c r="J74" i="19"/>
  <c r="J65" i="17"/>
  <c r="J65" i="261"/>
  <c r="K88" i="17"/>
  <c r="K88" i="261"/>
  <c r="J68" i="19"/>
  <c r="F53" i="261"/>
  <c r="L53" i="261"/>
  <c r="AH53" i="261" s="1"/>
  <c r="M53" i="261"/>
  <c r="AI53" i="261"/>
  <c r="C91" i="261"/>
  <c r="H53" i="19"/>
  <c r="H91" i="19" s="1"/>
  <c r="H98" i="19" s="1"/>
  <c r="C53" i="17"/>
  <c r="M53" i="17" s="1"/>
  <c r="J73" i="19"/>
  <c r="J82" i="19"/>
  <c r="J65" i="19"/>
  <c r="J71" i="19"/>
  <c r="J57" i="19"/>
  <c r="J77" i="19"/>
  <c r="H68" i="116"/>
  <c r="O68" i="116"/>
  <c r="F68" i="257"/>
  <c r="J84" i="17"/>
  <c r="J84" i="19"/>
  <c r="N54" i="116"/>
  <c r="H75" i="116"/>
  <c r="O75" i="116"/>
  <c r="P75" i="116" s="1"/>
  <c r="C75" i="257" s="1"/>
  <c r="F75" i="257"/>
  <c r="O81" i="116"/>
  <c r="H81" i="116"/>
  <c r="F81" i="257"/>
  <c r="J75" i="17"/>
  <c r="J75" i="19"/>
  <c r="J55" i="17"/>
  <c r="J55" i="19"/>
  <c r="F78" i="257"/>
  <c r="H78" i="116"/>
  <c r="O78" i="116"/>
  <c r="P78" i="116" s="1"/>
  <c r="C78" i="257" s="1"/>
  <c r="O66" i="116"/>
  <c r="F66" i="257"/>
  <c r="H66" i="116"/>
  <c r="H87" i="116"/>
  <c r="O87" i="116"/>
  <c r="F87" i="257"/>
  <c r="J59" i="17"/>
  <c r="J59" i="19"/>
  <c r="N67" i="116"/>
  <c r="F53" i="17"/>
  <c r="U53" i="17"/>
  <c r="L53" i="17"/>
  <c r="T53" i="17" s="1"/>
  <c r="J64" i="17"/>
  <c r="J64" i="19"/>
  <c r="J86" i="17"/>
  <c r="J86" i="19"/>
  <c r="J56" i="17"/>
  <c r="J56" i="19"/>
  <c r="O64" i="116"/>
  <c r="H64" i="116"/>
  <c r="H80" i="116"/>
  <c r="F80" i="257"/>
  <c r="O80" i="116"/>
  <c r="F59" i="257"/>
  <c r="O59" i="116"/>
  <c r="H59" i="116"/>
  <c r="H61" i="116"/>
  <c r="O61" i="116"/>
  <c r="P61" i="116" s="1"/>
  <c r="C61" i="257" s="1"/>
  <c r="H63" i="116"/>
  <c r="O63" i="116"/>
  <c r="P63" i="116" s="1"/>
  <c r="C63" i="257" s="1"/>
  <c r="F63" i="257"/>
  <c r="O79" i="116"/>
  <c r="H79" i="116"/>
  <c r="F64" i="257"/>
  <c r="M72" i="17"/>
  <c r="U72" i="17"/>
  <c r="F72" i="17"/>
  <c r="L72" i="17"/>
  <c r="T72" i="17" s="1"/>
  <c r="P72" i="17"/>
  <c r="O86" i="116"/>
  <c r="H86" i="116"/>
  <c r="I83" i="19"/>
  <c r="O60" i="116"/>
  <c r="P60" i="116" s="1"/>
  <c r="C60" i="257" s="1"/>
  <c r="F60" i="257"/>
  <c r="H60" i="116"/>
  <c r="O69" i="116"/>
  <c r="H69" i="116"/>
  <c r="J54" i="19"/>
  <c r="K54" i="261" s="1"/>
  <c r="J54" i="17"/>
  <c r="F89" i="17"/>
  <c r="U89" i="17"/>
  <c r="M89" i="17"/>
  <c r="P89" i="17"/>
  <c r="N53" i="17"/>
  <c r="L89" i="17"/>
  <c r="T89" i="17" s="1"/>
  <c r="J81" i="17"/>
  <c r="J81" i="19"/>
  <c r="F61" i="257"/>
  <c r="N58" i="116"/>
  <c r="I72" i="19"/>
  <c r="O88" i="116"/>
  <c r="H88" i="116"/>
  <c r="F88" i="257"/>
  <c r="H65" i="116"/>
  <c r="O65" i="116"/>
  <c r="P65" i="116" s="1"/>
  <c r="C65" i="257" s="1"/>
  <c r="J69" i="17"/>
  <c r="J69" i="19"/>
  <c r="O84" i="116"/>
  <c r="P84" i="116" s="1"/>
  <c r="C84" i="257" s="1"/>
  <c r="H84" i="116"/>
  <c r="O82" i="116"/>
  <c r="P82" i="116" s="1"/>
  <c r="C82" i="257" s="1"/>
  <c r="H82" i="116"/>
  <c r="M83" i="17"/>
  <c r="L83" i="17"/>
  <c r="T83" i="17" s="1"/>
  <c r="F83" i="17"/>
  <c r="P83" i="17"/>
  <c r="U83" i="17"/>
  <c r="N55" i="116"/>
  <c r="F82" i="257"/>
  <c r="E91" i="19"/>
  <c r="N62" i="116"/>
  <c r="O73" i="116"/>
  <c r="H73" i="116"/>
  <c r="J85" i="17"/>
  <c r="J85" i="19"/>
  <c r="H57" i="116"/>
  <c r="O57" i="116"/>
  <c r="J61" i="17"/>
  <c r="J61" i="19"/>
  <c r="H71" i="116"/>
  <c r="O71" i="116"/>
  <c r="P71" i="116" s="1"/>
  <c r="C71" i="257" s="1"/>
  <c r="H70" i="116"/>
  <c r="O70" i="116"/>
  <c r="H85" i="116"/>
  <c r="O85" i="116"/>
  <c r="F57" i="257"/>
  <c r="J70" i="17"/>
  <c r="J70" i="19"/>
  <c r="F79" i="257"/>
  <c r="H74" i="116"/>
  <c r="O74" i="116"/>
  <c r="P74" i="116" s="1"/>
  <c r="C74" i="257" s="1"/>
  <c r="H56" i="116"/>
  <c r="O56" i="116"/>
  <c r="N77" i="116"/>
  <c r="F76" i="257"/>
  <c r="H76" i="116"/>
  <c r="O76" i="116"/>
  <c r="P76" i="116" s="1"/>
  <c r="C76" i="257" s="1"/>
  <c r="F86" i="257"/>
  <c r="F13" i="260"/>
  <c r="F27" i="260"/>
  <c r="F33" i="260"/>
  <c r="F41" i="260"/>
  <c r="F10" i="260"/>
  <c r="F14" i="260"/>
  <c r="F28" i="260"/>
  <c r="F48" i="260"/>
  <c r="F51" i="260"/>
  <c r="F52" i="260"/>
  <c r="F55" i="260"/>
  <c r="F23" i="260"/>
  <c r="F25" i="260"/>
  <c r="F31" i="260"/>
  <c r="F49" i="260"/>
  <c r="F50" i="260"/>
  <c r="F56" i="260"/>
  <c r="F59" i="260"/>
  <c r="F42" i="260"/>
  <c r="F44" i="260"/>
  <c r="F46" i="260"/>
  <c r="F63" i="260"/>
  <c r="F47" i="260"/>
  <c r="F54" i="260"/>
  <c r="F57" i="260"/>
  <c r="F58" i="260"/>
  <c r="F61" i="260"/>
  <c r="F68" i="260"/>
  <c r="F71" i="260"/>
  <c r="F75" i="260"/>
  <c r="F76" i="260"/>
  <c r="F79" i="260"/>
  <c r="F89" i="260"/>
  <c r="F80" i="260"/>
  <c r="F64" i="260"/>
  <c r="F65" i="260"/>
  <c r="F66" i="260"/>
  <c r="F72" i="260"/>
  <c r="F69" i="260"/>
  <c r="F73" i="260"/>
  <c r="F83" i="260"/>
  <c r="F85" i="260"/>
  <c r="F70" i="260"/>
  <c r="F74" i="260"/>
  <c r="F78" i="260"/>
  <c r="F81" i="260"/>
  <c r="F86" i="260"/>
  <c r="F82" i="260"/>
  <c r="F84" i="260"/>
  <c r="F60" i="260"/>
  <c r="F88" i="260"/>
  <c r="F87" i="260"/>
  <c r="K13" i="260"/>
  <c r="I13" i="260" s="1"/>
  <c r="Q13" i="261" s="1"/>
  <c r="K27" i="260"/>
  <c r="I27" i="260" s="1"/>
  <c r="K33" i="260"/>
  <c r="I33" i="260" s="1"/>
  <c r="Q33" i="261" s="1"/>
  <c r="K41" i="260"/>
  <c r="I41" i="260" s="1"/>
  <c r="K10" i="260"/>
  <c r="K14" i="260"/>
  <c r="I14" i="260" s="1"/>
  <c r="Q14" i="261" s="1"/>
  <c r="K23" i="260"/>
  <c r="K48" i="260"/>
  <c r="I48" i="260" s="1"/>
  <c r="Q48" i="261" s="1"/>
  <c r="K50" i="260"/>
  <c r="I50" i="260" s="1"/>
  <c r="Q50" i="261" s="1"/>
  <c r="K51" i="260"/>
  <c r="I51" i="260" s="1"/>
  <c r="Q51" i="261" s="1"/>
  <c r="K55" i="260"/>
  <c r="I55" i="260" s="1"/>
  <c r="Q55" i="261" s="1"/>
  <c r="K56" i="260"/>
  <c r="I56" i="260" s="1"/>
  <c r="Q56" i="261" s="1"/>
  <c r="K59" i="260"/>
  <c r="I59" i="260" s="1"/>
  <c r="K62" i="260"/>
  <c r="K44" i="260"/>
  <c r="I44" i="260" s="1"/>
  <c r="K46" i="260"/>
  <c r="K63" i="260"/>
  <c r="I63" i="260" s="1"/>
  <c r="Q63" i="261" s="1"/>
  <c r="K25" i="260"/>
  <c r="I25" i="260" s="1"/>
  <c r="Q25" i="261" s="1"/>
  <c r="K31" i="260"/>
  <c r="I31" i="260" s="1"/>
  <c r="Q31" i="261" s="1"/>
  <c r="K52" i="260"/>
  <c r="I52" i="260" s="1"/>
  <c r="Q52" i="261" s="1"/>
  <c r="K54" i="260"/>
  <c r="I54" i="260" s="1"/>
  <c r="Q54" i="261" s="1"/>
  <c r="K57" i="260"/>
  <c r="I57" i="260" s="1"/>
  <c r="Q57" i="261" s="1"/>
  <c r="K65" i="260"/>
  <c r="I65" i="260" s="1"/>
  <c r="Q65" i="261" s="1"/>
  <c r="K68" i="260"/>
  <c r="I68" i="260" s="1"/>
  <c r="Q68" i="261" s="1"/>
  <c r="K71" i="260"/>
  <c r="I71" i="260" s="1"/>
  <c r="Q71" i="261" s="1"/>
  <c r="K75" i="260"/>
  <c r="I75" i="260" s="1"/>
  <c r="Q75" i="261" s="1"/>
  <c r="K76" i="260"/>
  <c r="I76" i="260" s="1"/>
  <c r="Q76" i="261" s="1"/>
  <c r="K79" i="260"/>
  <c r="I79" i="260" s="1"/>
  <c r="Q79" i="261" s="1"/>
  <c r="K89" i="260"/>
  <c r="I89" i="260" s="1"/>
  <c r="K80" i="260"/>
  <c r="I80" i="260" s="1"/>
  <c r="Q80" i="261" s="1"/>
  <c r="K66" i="260"/>
  <c r="I66" i="260" s="1"/>
  <c r="Q66" i="261" s="1"/>
  <c r="K69" i="260"/>
  <c r="I69" i="260" s="1"/>
  <c r="Q69" i="261" s="1"/>
  <c r="K73" i="260"/>
  <c r="I73" i="260" s="1"/>
  <c r="Q73" i="261" s="1"/>
  <c r="K83" i="260"/>
  <c r="I83" i="260" s="1"/>
  <c r="K85" i="260"/>
  <c r="I85" i="260" s="1"/>
  <c r="Q85" i="261" s="1"/>
  <c r="K61" i="260"/>
  <c r="I61" i="260" s="1"/>
  <c r="K64" i="260"/>
  <c r="I64" i="260" s="1"/>
  <c r="Q64" i="261" s="1"/>
  <c r="K70" i="260"/>
  <c r="I70" i="260" s="1"/>
  <c r="Q70" i="261" s="1"/>
  <c r="K74" i="260"/>
  <c r="I74" i="260" s="1"/>
  <c r="Q74" i="261" s="1"/>
  <c r="K78" i="260"/>
  <c r="I78" i="260" s="1"/>
  <c r="Q78" i="261" s="1"/>
  <c r="K86" i="260"/>
  <c r="I86" i="260" s="1"/>
  <c r="Q86" i="261" s="1"/>
  <c r="K87" i="260"/>
  <c r="I87" i="260" s="1"/>
  <c r="Q87" i="261" s="1"/>
  <c r="K60" i="260"/>
  <c r="I60" i="260" s="1"/>
  <c r="K88" i="260"/>
  <c r="I88" i="260" s="1"/>
  <c r="Q88" i="261" s="1"/>
  <c r="K84" i="260"/>
  <c r="I84" i="260" s="1"/>
  <c r="Q84" i="261" s="1"/>
  <c r="K82" i="260"/>
  <c r="I82" i="260" s="1"/>
  <c r="Q82" i="261" s="1"/>
  <c r="Q41" i="261" l="1"/>
  <c r="Q44" i="261"/>
  <c r="Q83" i="261"/>
  <c r="Q27" i="261"/>
  <c r="Q89" i="261"/>
  <c r="Y91" i="261"/>
  <c r="W91" i="261"/>
  <c r="X91" i="261"/>
  <c r="F9" i="260"/>
  <c r="K55" i="17"/>
  <c r="K55" i="261"/>
  <c r="M91" i="261"/>
  <c r="F91" i="261"/>
  <c r="L91" i="261"/>
  <c r="AH91" i="261" s="1"/>
  <c r="B94" i="261"/>
  <c r="AI91" i="261"/>
  <c r="J83" i="17"/>
  <c r="J83" i="261"/>
  <c r="K59" i="17"/>
  <c r="K59" i="261"/>
  <c r="K57" i="17"/>
  <c r="K57" i="261"/>
  <c r="K73" i="17"/>
  <c r="K73" i="261"/>
  <c r="K68" i="17"/>
  <c r="K68" i="261"/>
  <c r="K70" i="17"/>
  <c r="K70" i="261"/>
  <c r="K69" i="17"/>
  <c r="K69" i="261"/>
  <c r="K86" i="17"/>
  <c r="K86" i="261"/>
  <c r="K77" i="17"/>
  <c r="K77" i="261"/>
  <c r="K82" i="17"/>
  <c r="K82" i="261"/>
  <c r="K61" i="17"/>
  <c r="K61" i="261"/>
  <c r="K85" i="17"/>
  <c r="K85" i="261"/>
  <c r="K81" i="17"/>
  <c r="K81" i="261"/>
  <c r="K56" i="17"/>
  <c r="K56" i="261"/>
  <c r="K64" i="17"/>
  <c r="K64" i="261"/>
  <c r="K75" i="17"/>
  <c r="K75" i="261"/>
  <c r="K71" i="17"/>
  <c r="K71" i="261"/>
  <c r="K74" i="17"/>
  <c r="K74" i="261"/>
  <c r="I62" i="260"/>
  <c r="P62" i="260"/>
  <c r="J72" i="17"/>
  <c r="J72" i="261"/>
  <c r="C91" i="17"/>
  <c r="B94" i="17" s="1"/>
  <c r="K84" i="17"/>
  <c r="K84" i="261"/>
  <c r="K65" i="17"/>
  <c r="K65" i="261"/>
  <c r="P53" i="17"/>
  <c r="P91" i="17" s="1"/>
  <c r="D24" i="101" s="1"/>
  <c r="J72" i="19"/>
  <c r="I53" i="19"/>
  <c r="J53" i="261" s="1"/>
  <c r="C85" i="101"/>
  <c r="G23" i="101"/>
  <c r="C49" i="101"/>
  <c r="N18" i="101"/>
  <c r="N17" i="101"/>
  <c r="Q65" i="101"/>
  <c r="K93" i="101"/>
  <c r="U52" i="101"/>
  <c r="D86" i="101"/>
  <c r="L36" i="101"/>
  <c r="W62" i="101"/>
  <c r="U89" i="101"/>
  <c r="Q93" i="101"/>
  <c r="L17" i="101"/>
  <c r="I67" i="101"/>
  <c r="K38" i="101"/>
  <c r="R18" i="101"/>
  <c r="L93" i="101"/>
  <c r="N87" i="101"/>
  <c r="K84" i="101"/>
  <c r="S39" i="101"/>
  <c r="F90" i="101"/>
  <c r="J89" i="101"/>
  <c r="Q87" i="101"/>
  <c r="Q80" i="101"/>
  <c r="P87" i="101"/>
  <c r="I57" i="101"/>
  <c r="M70" i="101"/>
  <c r="O77" i="101"/>
  <c r="S21" i="101"/>
  <c r="H78" i="101"/>
  <c r="V41" i="101"/>
  <c r="G60" i="101"/>
  <c r="K90" i="101"/>
  <c r="G92" i="101"/>
  <c r="J85" i="101"/>
  <c r="S28" i="101"/>
  <c r="N89" i="101"/>
  <c r="F60" i="101"/>
  <c r="G62" i="101"/>
  <c r="K53" i="101"/>
  <c r="G51" i="154"/>
  <c r="P65" i="101"/>
  <c r="P84" i="101"/>
  <c r="P83" i="101"/>
  <c r="Q86" i="101"/>
  <c r="F77" i="101"/>
  <c r="V37" i="101"/>
  <c r="V79" i="101"/>
  <c r="M39" i="101"/>
  <c r="H26" i="101"/>
  <c r="F30" i="101"/>
  <c r="F19" i="101"/>
  <c r="U93" i="101"/>
  <c r="S11" i="101"/>
  <c r="H79" i="101"/>
  <c r="Q45" i="101"/>
  <c r="W30" i="101"/>
  <c r="P40" i="101"/>
  <c r="E70" i="101"/>
  <c r="U28" i="101"/>
  <c r="N93" i="101"/>
  <c r="G92" i="127" s="1"/>
  <c r="K22" i="101"/>
  <c r="W11" i="101"/>
  <c r="P77" i="101"/>
  <c r="C55" i="101"/>
  <c r="L26" i="101"/>
  <c r="G32" i="101"/>
  <c r="X21" i="101"/>
  <c r="D55" i="101"/>
  <c r="I12" i="101"/>
  <c r="I77" i="101"/>
  <c r="L77" i="101"/>
  <c r="U57" i="101"/>
  <c r="X26" i="101"/>
  <c r="S40" i="101"/>
  <c r="D68" i="101"/>
  <c r="J55" i="101"/>
  <c r="T23" i="101"/>
  <c r="F85" i="101"/>
  <c r="L49" i="101"/>
  <c r="S70" i="101"/>
  <c r="Q12" i="101"/>
  <c r="P76" i="101"/>
  <c r="S34" i="101"/>
  <c r="L28" i="101"/>
  <c r="T47" i="101"/>
  <c r="L90" i="101"/>
  <c r="S65" i="101"/>
  <c r="I23" i="101"/>
  <c r="W74" i="101"/>
  <c r="P68" i="101"/>
  <c r="K71" i="101"/>
  <c r="I58" i="101"/>
  <c r="T81" i="101"/>
  <c r="Q66" i="101"/>
  <c r="E17" i="101"/>
  <c r="G36" i="154"/>
  <c r="X57" i="101"/>
  <c r="V85" i="101"/>
  <c r="G65" i="101"/>
  <c r="W83" i="101"/>
  <c r="J17" i="101"/>
  <c r="M11" i="101"/>
  <c r="X87" i="101"/>
  <c r="L39" i="101"/>
  <c r="O70" i="101"/>
  <c r="N74" i="101"/>
  <c r="P69" i="101"/>
  <c r="S41" i="101"/>
  <c r="T68" i="101"/>
  <c r="F24" i="101"/>
  <c r="J39" i="101"/>
  <c r="I54" i="101"/>
  <c r="F37" i="101"/>
  <c r="G20" i="101"/>
  <c r="T86" i="101"/>
  <c r="N79" i="101"/>
  <c r="W50" i="101"/>
  <c r="P37" i="101"/>
  <c r="I89" i="101"/>
  <c r="O57" i="101"/>
  <c r="H62" i="101"/>
  <c r="T35" i="101"/>
  <c r="Q53" i="101"/>
  <c r="L11" i="101"/>
  <c r="G15" i="154"/>
  <c r="H92" i="101"/>
  <c r="O81" i="101"/>
  <c r="J78" i="101"/>
  <c r="X34" i="101"/>
  <c r="F52" i="101"/>
  <c r="C60" i="101"/>
  <c r="V18" i="101"/>
  <c r="G93" i="101"/>
  <c r="G47" i="101"/>
  <c r="G35" i="101"/>
  <c r="K20" i="101"/>
  <c r="T87" i="101"/>
  <c r="D28" i="101"/>
  <c r="C29" i="101"/>
  <c r="D53" i="101"/>
  <c r="C27" i="101"/>
  <c r="D52" i="101"/>
  <c r="D16" i="101"/>
  <c r="C38" i="101"/>
  <c r="D18" i="101"/>
  <c r="C36" i="101"/>
  <c r="C44" i="101"/>
  <c r="O19" i="101"/>
  <c r="O23" i="101"/>
  <c r="O15" i="101"/>
  <c r="O29" i="101"/>
  <c r="O35" i="101"/>
  <c r="N51" i="101"/>
  <c r="O27" i="101"/>
  <c r="N53" i="101"/>
  <c r="O34" i="101"/>
  <c r="N23" i="101"/>
  <c r="N29" i="101"/>
  <c r="S15" i="101"/>
  <c r="J34" i="101"/>
  <c r="K21" i="101"/>
  <c r="S54" i="101"/>
  <c r="W28" i="101"/>
  <c r="W68" i="101"/>
  <c r="T93" i="101"/>
  <c r="K58" i="101"/>
  <c r="E50" i="101"/>
  <c r="U80" i="101"/>
  <c r="X14" i="101"/>
  <c r="F41" i="101"/>
  <c r="E38" i="101"/>
  <c r="R89" i="101"/>
  <c r="Q82" i="101"/>
  <c r="L35" i="101"/>
  <c r="V59" i="101"/>
  <c r="Q36" i="101"/>
  <c r="E90" i="101"/>
  <c r="F39" i="101"/>
  <c r="T50" i="101"/>
  <c r="E72" i="101"/>
  <c r="H76" i="101"/>
  <c r="U26" i="101"/>
  <c r="L48" i="101"/>
  <c r="L53" i="101"/>
  <c r="K26" i="101"/>
  <c r="G52" i="101"/>
  <c r="J54" i="101"/>
  <c r="T44" i="101"/>
  <c r="W70" i="101"/>
  <c r="F26" i="101"/>
  <c r="T57" i="101"/>
  <c r="T82" i="101"/>
  <c r="F44" i="101"/>
  <c r="N60" i="101"/>
  <c r="L80" i="101"/>
  <c r="W23" i="101"/>
  <c r="R90" i="101"/>
  <c r="Q35" i="101"/>
  <c r="P67" i="101"/>
  <c r="F75" i="101"/>
  <c r="S83" i="101"/>
  <c r="S24" i="101"/>
  <c r="U27" i="101"/>
  <c r="S60" i="101"/>
  <c r="Q40" i="101"/>
  <c r="I64" i="101"/>
  <c r="P27" i="101"/>
  <c r="K23" i="101"/>
  <c r="J57" i="101"/>
  <c r="E64" i="101"/>
  <c r="U43" i="101"/>
  <c r="I92" i="101"/>
  <c r="G31" i="154"/>
  <c r="G53" i="154"/>
  <c r="G33" i="154"/>
  <c r="H53" i="101"/>
  <c r="K44" i="101"/>
  <c r="H47" i="101"/>
  <c r="W51" i="101"/>
  <c r="X11" i="101"/>
  <c r="E71" i="101"/>
  <c r="K77" i="101"/>
  <c r="M68" i="101"/>
  <c r="H67" i="101"/>
  <c r="Q30" i="101"/>
  <c r="M59" i="101"/>
  <c r="G54" i="101"/>
  <c r="H85" i="101"/>
  <c r="G78" i="101"/>
  <c r="M52" i="101"/>
  <c r="T77" i="101"/>
  <c r="D79" i="101"/>
  <c r="T28" i="101"/>
  <c r="M21" i="101"/>
  <c r="W34" i="101"/>
  <c r="K54" i="101"/>
  <c r="H57" i="101"/>
  <c r="W43" i="101"/>
  <c r="F74" i="101"/>
  <c r="L72" i="101"/>
  <c r="O67" i="101"/>
  <c r="D78" i="101"/>
  <c r="V26" i="101"/>
  <c r="V92" i="101"/>
  <c r="I22" i="101"/>
  <c r="L65" i="101"/>
  <c r="X85" i="101"/>
  <c r="E48" i="101"/>
  <c r="V22" i="101"/>
  <c r="H23" i="101"/>
  <c r="E45" i="101"/>
  <c r="Q28" i="101"/>
  <c r="H89" i="101"/>
  <c r="P50" i="101"/>
  <c r="M64" i="101"/>
  <c r="P18" i="101"/>
  <c r="X67" i="101"/>
  <c r="I34" i="101"/>
  <c r="M35" i="101"/>
  <c r="K61" i="101"/>
  <c r="T74" i="101"/>
  <c r="R47" i="101"/>
  <c r="P54" i="101"/>
  <c r="X49" i="101"/>
  <c r="S61" i="101"/>
  <c r="F64" i="101"/>
  <c r="D73" i="101"/>
  <c r="T11" i="101"/>
  <c r="S57" i="101"/>
  <c r="G24" i="154"/>
  <c r="G30" i="154"/>
  <c r="L81" i="101"/>
  <c r="K19" i="101"/>
  <c r="O61" i="101"/>
  <c r="W21" i="101"/>
  <c r="O80" i="101"/>
  <c r="E82" i="101"/>
  <c r="E87" i="101"/>
  <c r="Q22" i="101"/>
  <c r="T24" i="101"/>
  <c r="K47" i="101"/>
  <c r="J81" i="101"/>
  <c r="K64" i="101"/>
  <c r="E59" i="101"/>
  <c r="K92" i="101"/>
  <c r="X37" i="101"/>
  <c r="P85" i="101"/>
  <c r="X50" i="101"/>
  <c r="U15" i="101"/>
  <c r="D75" i="101"/>
  <c r="V63" i="101"/>
  <c r="J76" i="101"/>
  <c r="H74" i="101"/>
  <c r="S26" i="101"/>
  <c r="R68" i="101"/>
  <c r="X89" i="101"/>
  <c r="U59" i="101"/>
  <c r="X55" i="101"/>
  <c r="G16" i="154"/>
  <c r="F22" i="101"/>
  <c r="Q46" i="101"/>
  <c r="M88" i="101"/>
  <c r="I39" i="101"/>
  <c r="J41" i="101"/>
  <c r="C63" i="101"/>
  <c r="U60" i="101"/>
  <c r="S47" i="101"/>
  <c r="R24" i="101"/>
  <c r="R83" i="101"/>
  <c r="V12" i="101"/>
  <c r="M30" i="101"/>
  <c r="C35" i="101"/>
  <c r="C32" i="101"/>
  <c r="C23" i="101"/>
  <c r="N24" i="101"/>
  <c r="N32" i="101"/>
  <c r="O39" i="101"/>
  <c r="G66" i="101"/>
  <c r="C84" i="101"/>
  <c r="H27" i="101"/>
  <c r="H14" i="101"/>
  <c r="S32" i="101"/>
  <c r="X24" i="101"/>
  <c r="E35" i="101"/>
  <c r="G76" i="101"/>
  <c r="D62" i="101"/>
  <c r="U78" i="101"/>
  <c r="S22" i="101"/>
  <c r="F28" i="101"/>
  <c r="O79" i="101"/>
  <c r="G35" i="154"/>
  <c r="D63" i="101"/>
  <c r="V17" i="101"/>
  <c r="J44" i="101"/>
  <c r="J69" i="101"/>
  <c r="O92" i="101"/>
  <c r="V32" i="101"/>
  <c r="S18" i="101"/>
  <c r="J64" i="101"/>
  <c r="N82" i="101"/>
  <c r="S84" i="101"/>
  <c r="S82" i="101"/>
  <c r="T62" i="101"/>
  <c r="X51" i="101"/>
  <c r="G17" i="154"/>
  <c r="U72" i="101"/>
  <c r="P92" i="101"/>
  <c r="F83" i="101"/>
  <c r="V35" i="101"/>
  <c r="H63" i="101"/>
  <c r="V71" i="101"/>
  <c r="N84" i="101"/>
  <c r="O66" i="101"/>
  <c r="X74" i="101"/>
  <c r="L58" i="101"/>
  <c r="O64" i="101"/>
  <c r="O62" i="101"/>
  <c r="G14" i="101"/>
  <c r="X56" i="101"/>
  <c r="L21" i="101"/>
  <c r="X39" i="101"/>
  <c r="H21" i="101"/>
  <c r="S51" i="101"/>
  <c r="Q59" i="101"/>
  <c r="P51" i="101"/>
  <c r="L32" i="101"/>
  <c r="I74" i="101"/>
  <c r="E67" i="101"/>
  <c r="U88" i="101"/>
  <c r="U75" i="101"/>
  <c r="M40" i="101"/>
  <c r="X43" i="101"/>
  <c r="M74" i="101"/>
  <c r="R44" i="101"/>
  <c r="Q90" i="101"/>
  <c r="U64" i="101"/>
  <c r="E73" i="101"/>
  <c r="V53" i="101"/>
  <c r="G39" i="154"/>
  <c r="F34" i="101"/>
  <c r="T41" i="101"/>
  <c r="H18" i="101"/>
  <c r="G68" i="101"/>
  <c r="I50" i="101"/>
  <c r="L44" i="101"/>
  <c r="I47" i="101"/>
  <c r="U68" i="101"/>
  <c r="O59" i="101"/>
  <c r="V24" i="101"/>
  <c r="M47" i="101"/>
  <c r="H16" i="101"/>
  <c r="L20" i="101"/>
  <c r="Q39" i="101"/>
  <c r="L51" i="101"/>
  <c r="V50" i="101"/>
  <c r="G70" i="101"/>
  <c r="X62" i="101"/>
  <c r="F47" i="101"/>
  <c r="J47" i="101"/>
  <c r="K91" i="101"/>
  <c r="W71" i="101"/>
  <c r="C69" i="101"/>
  <c r="V89" i="101"/>
  <c r="U69" i="101"/>
  <c r="T53" i="101"/>
  <c r="C54" i="101"/>
  <c r="G46" i="154"/>
  <c r="M62" i="101"/>
  <c r="W82" i="101"/>
  <c r="P58" i="101"/>
  <c r="I78" i="101"/>
  <c r="F81" i="101"/>
  <c r="R39" i="101"/>
  <c r="X82" i="101"/>
  <c r="M18" i="101"/>
  <c r="G30" i="101"/>
  <c r="H90" i="101"/>
  <c r="W67" i="101"/>
  <c r="L62" i="101"/>
  <c r="Q58" i="101"/>
  <c r="Q51" i="101"/>
  <c r="G21" i="101"/>
  <c r="U79" i="101"/>
  <c r="Q62" i="101"/>
  <c r="K72" i="101"/>
  <c r="W44" i="101"/>
  <c r="R60" i="101"/>
  <c r="F51" i="101"/>
  <c r="J75" i="101"/>
  <c r="W66" i="101"/>
  <c r="M19" i="101"/>
  <c r="G50" i="101"/>
  <c r="H28" i="101"/>
  <c r="Q68" i="101"/>
  <c r="G25" i="154"/>
  <c r="O87" i="101"/>
  <c r="X83" i="101"/>
  <c r="V57" i="101"/>
  <c r="G80" i="101"/>
  <c r="S58" i="101"/>
  <c r="W65" i="101"/>
  <c r="K51" i="101"/>
  <c r="R49" i="101"/>
  <c r="G64" i="101"/>
  <c r="H38" i="101"/>
  <c r="P89" i="101"/>
  <c r="Q44" i="101"/>
  <c r="X65" i="101"/>
  <c r="C66" i="101"/>
  <c r="X20" i="101"/>
  <c r="K69" i="101"/>
  <c r="E22" i="101"/>
  <c r="C83" i="101"/>
  <c r="I44" i="101"/>
  <c r="G48" i="154"/>
  <c r="O68" i="101"/>
  <c r="J35" i="101"/>
  <c r="L76" i="101"/>
  <c r="F82" i="101"/>
  <c r="U54" i="101"/>
  <c r="S50" i="101"/>
  <c r="U77" i="101"/>
  <c r="F86" i="101"/>
  <c r="J45" i="101"/>
  <c r="T27" i="101"/>
  <c r="I37" i="101"/>
  <c r="G49" i="154"/>
  <c r="E62" i="101"/>
  <c r="J90" i="101"/>
  <c r="E40" i="101"/>
  <c r="V68" i="101"/>
  <c r="P19" i="101"/>
  <c r="H15" i="101"/>
  <c r="I62" i="101"/>
  <c r="D74" i="101"/>
  <c r="I88" i="101"/>
  <c r="U90" i="101"/>
  <c r="M28" i="101"/>
  <c r="X16" i="101"/>
  <c r="E77" i="101"/>
  <c r="I15" i="101"/>
  <c r="G63" i="101"/>
  <c r="U53" i="101"/>
  <c r="P12" i="101"/>
  <c r="G91" i="101"/>
  <c r="K65" i="101"/>
  <c r="T56" i="101"/>
  <c r="H73" i="101"/>
  <c r="F46" i="101"/>
  <c r="E65" i="101"/>
  <c r="X23" i="101"/>
  <c r="V28" i="101"/>
  <c r="S92" i="101"/>
  <c r="H22" i="101"/>
  <c r="O71" i="101"/>
  <c r="J50" i="101"/>
  <c r="D66" i="101"/>
  <c r="S23" i="101"/>
  <c r="C50" i="101"/>
  <c r="C47" i="101"/>
  <c r="N27" i="101"/>
  <c r="N30" i="101"/>
  <c r="N52" i="101"/>
  <c r="H72" i="101"/>
  <c r="V91" i="101"/>
  <c r="M87" i="101"/>
  <c r="J77" i="101"/>
  <c r="W73" i="101"/>
  <c r="E69" i="101"/>
  <c r="L15" i="101"/>
  <c r="H35" i="101"/>
  <c r="I49" i="101"/>
  <c r="E34" i="101"/>
  <c r="J56" i="101"/>
  <c r="R32" i="101"/>
  <c r="Q91" i="101"/>
  <c r="M12" i="101"/>
  <c r="G13" i="154"/>
  <c r="X17" i="101"/>
  <c r="W17" i="101"/>
  <c r="D59" i="101"/>
  <c r="W49" i="101"/>
  <c r="L54" i="101"/>
  <c r="X15" i="101"/>
  <c r="R65" i="101"/>
  <c r="V36" i="101"/>
  <c r="V74" i="101"/>
  <c r="D64" i="101"/>
  <c r="K36" i="101"/>
  <c r="S63" i="101"/>
  <c r="U39" i="101"/>
  <c r="G40" i="154"/>
  <c r="I28" i="101"/>
  <c r="Q29" i="101"/>
  <c r="V86" i="101"/>
  <c r="W59" i="101"/>
  <c r="S19" i="101"/>
  <c r="K18" i="101"/>
  <c r="M76" i="101"/>
  <c r="C90" i="101"/>
  <c r="I18" i="101"/>
  <c r="E66" i="101"/>
  <c r="H46" i="101"/>
  <c r="O75" i="101"/>
  <c r="I40" i="101"/>
  <c r="U23" i="101"/>
  <c r="U35" i="101"/>
  <c r="U48" i="101"/>
  <c r="H24" i="101"/>
  <c r="V78" i="101"/>
  <c r="R61" i="101"/>
  <c r="M24" i="101"/>
  <c r="O88" i="101"/>
  <c r="K78" i="101"/>
  <c r="T14" i="101"/>
  <c r="J51" i="101"/>
  <c r="T48" i="101"/>
  <c r="M29" i="101"/>
  <c r="V75" i="101"/>
  <c r="V43" i="101"/>
  <c r="T89" i="101"/>
  <c r="X77" i="101"/>
  <c r="L16" i="101"/>
  <c r="E14" i="101"/>
  <c r="M90" i="101"/>
  <c r="S27" i="101"/>
  <c r="S14" i="101"/>
  <c r="U92" i="101"/>
  <c r="K79" i="101"/>
  <c r="P63" i="101"/>
  <c r="R40" i="101"/>
  <c r="X47" i="101"/>
  <c r="R84" i="101"/>
  <c r="L66" i="101"/>
  <c r="H49" i="101"/>
  <c r="Q43" i="101"/>
  <c r="N59" i="101"/>
  <c r="K11" i="101"/>
  <c r="X84" i="101"/>
  <c r="J22" i="101"/>
  <c r="S16" i="101"/>
  <c r="C61" i="101"/>
  <c r="F18" i="101"/>
  <c r="N57" i="101"/>
  <c r="K48" i="101"/>
  <c r="K27" i="101"/>
  <c r="N90" i="101"/>
  <c r="H83" i="101"/>
  <c r="X38" i="101"/>
  <c r="L70" i="101"/>
  <c r="G18" i="154"/>
  <c r="U55" i="101"/>
  <c r="E81" i="101"/>
  <c r="G71" i="101"/>
  <c r="Q88" i="101"/>
  <c r="M66" i="101"/>
  <c r="N80" i="101"/>
  <c r="T63" i="101"/>
  <c r="M41" i="101"/>
  <c r="U47" i="101"/>
  <c r="E32" i="101"/>
  <c r="K62" i="101"/>
  <c r="L63" i="101"/>
  <c r="I75" i="101"/>
  <c r="V64" i="101"/>
  <c r="P21" i="101"/>
  <c r="U66" i="101"/>
  <c r="M44" i="101"/>
  <c r="M32" i="101"/>
  <c r="K14" i="101"/>
  <c r="D39" i="101"/>
  <c r="C93" i="101"/>
  <c r="W69" i="101"/>
  <c r="W53" i="101"/>
  <c r="S64" i="101"/>
  <c r="H37" i="101"/>
  <c r="M43" i="101"/>
  <c r="J14" i="101"/>
  <c r="H11" i="101"/>
  <c r="K55" i="101"/>
  <c r="H43" i="101"/>
  <c r="O76" i="101"/>
  <c r="N68" i="101"/>
  <c r="L69" i="101"/>
  <c r="Q23" i="101"/>
  <c r="N71" i="101"/>
  <c r="N62" i="101"/>
  <c r="L73" i="101"/>
  <c r="P80" i="101"/>
  <c r="T37" i="101"/>
  <c r="T20" i="101"/>
  <c r="G37" i="101"/>
  <c r="F88" i="101"/>
  <c r="M50" i="101"/>
  <c r="P28" i="101"/>
  <c r="X44" i="101"/>
  <c r="J74" i="101"/>
  <c r="P43" i="101"/>
  <c r="T90" i="101"/>
  <c r="L83" i="101"/>
  <c r="E85" i="101"/>
  <c r="D26" i="101"/>
  <c r="D20" i="101"/>
  <c r="D27" i="101"/>
  <c r="N39" i="101"/>
  <c r="N43" i="101"/>
  <c r="N38" i="101"/>
  <c r="N91" i="101"/>
  <c r="J63" i="101"/>
  <c r="S17" i="101"/>
  <c r="G86" i="101"/>
  <c r="M78" i="101"/>
  <c r="Q78" i="101"/>
  <c r="J36" i="101"/>
  <c r="Q47" i="101"/>
  <c r="N75" i="101"/>
  <c r="L40" i="101"/>
  <c r="L60" i="101"/>
  <c r="C68" i="101"/>
  <c r="V20" i="101"/>
  <c r="M49" i="101"/>
  <c r="Q70" i="101"/>
  <c r="Q52" i="101"/>
  <c r="E21" i="101"/>
  <c r="V44" i="101"/>
  <c r="K56" i="101"/>
  <c r="C70" i="101"/>
  <c r="J82" i="101"/>
  <c r="H58" i="101"/>
  <c r="W20" i="101"/>
  <c r="D82" i="101"/>
  <c r="H55" i="101"/>
  <c r="W88" i="101"/>
  <c r="V14" i="101"/>
  <c r="U19" i="101"/>
  <c r="D84" i="101"/>
  <c r="C78" i="101"/>
  <c r="S44" i="101"/>
  <c r="T71" i="101"/>
  <c r="C88" i="101"/>
  <c r="Q71" i="101"/>
  <c r="U91" i="101"/>
  <c r="H82" i="101"/>
  <c r="K32" i="101"/>
  <c r="V58" i="101"/>
  <c r="G28" i="154"/>
  <c r="M15" i="101"/>
  <c r="Q26" i="101"/>
  <c r="F58" i="101"/>
  <c r="L85" i="101"/>
  <c r="G58" i="101"/>
  <c r="R27" i="101"/>
  <c r="M46" i="101"/>
  <c r="I19" i="101"/>
  <c r="U84" i="101"/>
  <c r="E23" i="101"/>
  <c r="L55" i="101"/>
  <c r="D80" i="101"/>
  <c r="Q16" i="101"/>
  <c r="F65" i="101"/>
  <c r="C76" i="101"/>
  <c r="R11" i="101"/>
  <c r="X18" i="101"/>
  <c r="W86" i="101"/>
  <c r="K29" i="101"/>
  <c r="U51" i="101"/>
  <c r="S77" i="101"/>
  <c r="X29" i="101"/>
  <c r="G22" i="154"/>
  <c r="G77" i="101"/>
  <c r="M71" i="101"/>
  <c r="G89" i="101"/>
  <c r="R22" i="101"/>
  <c r="L84" i="101"/>
  <c r="I17" i="101"/>
  <c r="H61" i="101"/>
  <c r="L82" i="101"/>
  <c r="G40" i="101"/>
  <c r="D56" i="101"/>
  <c r="R17" i="101"/>
  <c r="F38" i="101"/>
  <c r="R72" i="101"/>
  <c r="W81" i="101"/>
  <c r="S74" i="101"/>
  <c r="L52" i="101"/>
  <c r="J37" i="101"/>
  <c r="M51" i="101"/>
  <c r="Q56" i="101"/>
  <c r="W80" i="101"/>
  <c r="G44" i="154"/>
  <c r="S86" i="101"/>
  <c r="J30" i="101"/>
  <c r="R63" i="101"/>
  <c r="W16" i="101"/>
  <c r="S38" i="101"/>
  <c r="I59" i="101"/>
  <c r="F62" i="101"/>
  <c r="E44" i="101"/>
  <c r="F49" i="101"/>
  <c r="N64" i="101"/>
  <c r="V67" i="101"/>
  <c r="V46" i="101"/>
  <c r="X75" i="101"/>
  <c r="E54" i="101"/>
  <c r="J43" i="101"/>
  <c r="X69" i="101"/>
  <c r="F17" i="101"/>
  <c r="S43" i="101"/>
  <c r="X27" i="101"/>
  <c r="K59" i="101"/>
  <c r="P26" i="101"/>
  <c r="T29" i="101"/>
  <c r="D88" i="101"/>
  <c r="D60" i="101"/>
  <c r="G57" i="101"/>
  <c r="W19" i="101"/>
  <c r="Q37" i="101"/>
  <c r="M85" i="101"/>
  <c r="V38" i="101"/>
  <c r="Q85" i="101"/>
  <c r="R55" i="101"/>
  <c r="X66" i="101"/>
  <c r="J91" i="101"/>
  <c r="Q14" i="101"/>
  <c r="H32" i="101"/>
  <c r="M79" i="101"/>
  <c r="G27" i="154"/>
  <c r="L56" i="101"/>
  <c r="L24" i="101"/>
  <c r="F87" i="101"/>
  <c r="U18" i="101"/>
  <c r="J84" i="101"/>
  <c r="W76" i="101"/>
  <c r="R28" i="101"/>
  <c r="S81" i="101"/>
  <c r="L78" i="101"/>
  <c r="T67" i="101"/>
  <c r="H45" i="101"/>
  <c r="T80" i="101"/>
  <c r="G29" i="101"/>
  <c r="F61" i="101"/>
  <c r="C16" i="101"/>
  <c r="N16" i="101"/>
  <c r="N35" i="101"/>
  <c r="E26" i="101"/>
  <c r="I72" i="101"/>
  <c r="K85" i="101"/>
  <c r="I87" i="101"/>
  <c r="V83" i="101"/>
  <c r="O56" i="101"/>
  <c r="G88" i="101"/>
  <c r="P39" i="101"/>
  <c r="I91" i="101"/>
  <c r="J59" i="101"/>
  <c r="V60" i="101"/>
  <c r="E46" i="101"/>
  <c r="U24" i="101"/>
  <c r="I93" i="101"/>
  <c r="R59" i="101"/>
  <c r="V84" i="101"/>
  <c r="G39" i="101"/>
  <c r="T55" i="101"/>
  <c r="W72" i="101"/>
  <c r="H77" i="101"/>
  <c r="I27" i="101"/>
  <c r="T12" i="101"/>
  <c r="G22" i="101"/>
  <c r="I85" i="101"/>
  <c r="N76" i="101"/>
  <c r="I20" i="101"/>
  <c r="P61" i="101"/>
  <c r="J24" i="101"/>
  <c r="F66" i="101"/>
  <c r="S36" i="101"/>
  <c r="E55" i="101"/>
  <c r="I61" i="101"/>
  <c r="X59" i="101"/>
  <c r="V54" i="101"/>
  <c r="P88" i="101"/>
  <c r="F76" i="101"/>
  <c r="J48" i="101"/>
  <c r="G74" i="101"/>
  <c r="T34" i="101"/>
  <c r="F67" i="101"/>
  <c r="U71" i="101"/>
  <c r="V77" i="101"/>
  <c r="L19" i="101"/>
  <c r="V66" i="101"/>
  <c r="P60" i="101"/>
  <c r="J80" i="101"/>
  <c r="E30" i="101"/>
  <c r="G46" i="101"/>
  <c r="L12" i="101"/>
  <c r="N46" i="101"/>
  <c r="S72" i="101"/>
  <c r="D57" i="101"/>
  <c r="G54" i="154"/>
  <c r="V49" i="101"/>
  <c r="M26" i="101"/>
  <c r="W38" i="101"/>
  <c r="E39" i="101"/>
  <c r="G34" i="101"/>
  <c r="D54" i="101"/>
  <c r="T75" i="101"/>
  <c r="W54" i="101"/>
  <c r="M72" i="101"/>
  <c r="O86" i="101"/>
  <c r="F40" i="101"/>
  <c r="W29" i="101"/>
  <c r="D58" i="101"/>
  <c r="Q15" i="101"/>
  <c r="C74" i="101"/>
  <c r="X79" i="101"/>
  <c r="X68" i="101"/>
  <c r="J62" i="101"/>
  <c r="R70" i="101"/>
  <c r="U56" i="101"/>
  <c r="O89" i="101"/>
  <c r="G81" i="101"/>
  <c r="C58" i="101"/>
  <c r="X64" i="101"/>
  <c r="S71" i="101"/>
  <c r="M16" i="101"/>
  <c r="H39" i="101"/>
  <c r="P82" i="101"/>
  <c r="S35" i="101"/>
  <c r="Q84" i="101"/>
  <c r="Q63" i="101"/>
  <c r="T76" i="101"/>
  <c r="U45" i="101"/>
  <c r="X86" i="101"/>
  <c r="K24" i="101"/>
  <c r="P85" i="116"/>
  <c r="C85" i="257" s="1"/>
  <c r="G85" i="257"/>
  <c r="E85" i="257" s="1"/>
  <c r="D85" i="257" s="1"/>
  <c r="G85" i="116"/>
  <c r="F85" i="116" s="1"/>
  <c r="H55" i="116"/>
  <c r="O55" i="116"/>
  <c r="F55" i="257"/>
  <c r="G88" i="257"/>
  <c r="E88" i="257" s="1"/>
  <c r="D88" i="257" s="1"/>
  <c r="G88" i="116"/>
  <c r="F88" i="116" s="1"/>
  <c r="P81" i="116"/>
  <c r="C81" i="257" s="1"/>
  <c r="G81" i="257"/>
  <c r="E81" i="257" s="1"/>
  <c r="D81" i="257" s="1"/>
  <c r="G81" i="116"/>
  <c r="F81" i="116" s="1"/>
  <c r="G74" i="257"/>
  <c r="E74" i="257" s="1"/>
  <c r="D74" i="257" s="1"/>
  <c r="G74" i="116"/>
  <c r="F74" i="116" s="1"/>
  <c r="G71" i="116"/>
  <c r="F71" i="116" s="1"/>
  <c r="G71" i="257"/>
  <c r="E71" i="257" s="1"/>
  <c r="D71" i="257" s="1"/>
  <c r="G57" i="116"/>
  <c r="F57" i="116" s="1"/>
  <c r="D57" i="116" s="1"/>
  <c r="B57" i="116" s="1"/>
  <c r="C57" i="116" s="1"/>
  <c r="G57" i="257"/>
  <c r="E57" i="257" s="1"/>
  <c r="D57" i="257" s="1"/>
  <c r="P88" i="116"/>
  <c r="C88" i="257" s="1"/>
  <c r="N89" i="116"/>
  <c r="P69" i="116"/>
  <c r="C69" i="257" s="1"/>
  <c r="G69" i="257"/>
  <c r="E69" i="257" s="1"/>
  <c r="D69" i="257" s="1"/>
  <c r="G69" i="116"/>
  <c r="F69" i="116" s="1"/>
  <c r="G60" i="257"/>
  <c r="E60" i="257" s="1"/>
  <c r="D60" i="257" s="1"/>
  <c r="G60" i="116"/>
  <c r="F60" i="116" s="1"/>
  <c r="G61" i="116"/>
  <c r="F61" i="116" s="1"/>
  <c r="D61" i="116" s="1"/>
  <c r="B61" i="116" s="1"/>
  <c r="J61" i="257" s="1"/>
  <c r="K61" i="257" s="1"/>
  <c r="G61" i="257"/>
  <c r="E61" i="257" s="1"/>
  <c r="D61" i="257" s="1"/>
  <c r="P59" i="116"/>
  <c r="C59" i="257" s="1"/>
  <c r="G59" i="257"/>
  <c r="E59" i="257" s="1"/>
  <c r="D59" i="257" s="1"/>
  <c r="G59" i="116"/>
  <c r="F59" i="116" s="1"/>
  <c r="H67" i="116"/>
  <c r="F67" i="257"/>
  <c r="O67" i="116"/>
  <c r="P67" i="116" s="1"/>
  <c r="C67" i="257" s="1"/>
  <c r="G87" i="257"/>
  <c r="E87" i="257" s="1"/>
  <c r="D87" i="257" s="1"/>
  <c r="G87" i="116"/>
  <c r="F87" i="116" s="1"/>
  <c r="D87" i="116" s="1"/>
  <c r="B87" i="116" s="1"/>
  <c r="C87" i="116" s="1"/>
  <c r="P66" i="116"/>
  <c r="C66" i="257" s="1"/>
  <c r="G66" i="257"/>
  <c r="E66" i="257" s="1"/>
  <c r="D66" i="257" s="1"/>
  <c r="G66" i="116"/>
  <c r="F66" i="116" s="1"/>
  <c r="D66" i="116" s="1"/>
  <c r="B66" i="116" s="1"/>
  <c r="G68" i="257"/>
  <c r="E68" i="257" s="1"/>
  <c r="D68" i="257" s="1"/>
  <c r="G68" i="116"/>
  <c r="F68" i="116" s="1"/>
  <c r="D68" i="116" s="1"/>
  <c r="B68" i="116" s="1"/>
  <c r="C68" i="116" s="1"/>
  <c r="G76" i="257"/>
  <c r="E76" i="257" s="1"/>
  <c r="D76" i="257" s="1"/>
  <c r="G76" i="116"/>
  <c r="F76" i="116" s="1"/>
  <c r="D76" i="116" s="1"/>
  <c r="B76" i="116" s="1"/>
  <c r="J76" i="257" s="1"/>
  <c r="K76" i="257" s="1"/>
  <c r="F77" i="257"/>
  <c r="H77" i="116"/>
  <c r="O77" i="116"/>
  <c r="P70" i="116"/>
  <c r="C70" i="257" s="1"/>
  <c r="G70" i="116"/>
  <c r="F70" i="116" s="1"/>
  <c r="G70" i="257"/>
  <c r="E70" i="257" s="1"/>
  <c r="D70" i="257" s="1"/>
  <c r="P57" i="116"/>
  <c r="C57" i="257" s="1"/>
  <c r="J57" i="257" s="1"/>
  <c r="K57" i="257" s="1"/>
  <c r="F62" i="257"/>
  <c r="O62" i="116"/>
  <c r="H62" i="116"/>
  <c r="N83" i="116"/>
  <c r="G65" i="257"/>
  <c r="E65" i="257" s="1"/>
  <c r="D65" i="257" s="1"/>
  <c r="G65" i="116"/>
  <c r="F65" i="116" s="1"/>
  <c r="D65" i="116" s="1"/>
  <c r="B65" i="116" s="1"/>
  <c r="C65" i="116" s="1"/>
  <c r="K54" i="17"/>
  <c r="J83" i="19"/>
  <c r="G86" i="257"/>
  <c r="E86" i="257" s="1"/>
  <c r="D86" i="257" s="1"/>
  <c r="P86" i="116"/>
  <c r="C86" i="257" s="1"/>
  <c r="G86" i="116"/>
  <c r="F86" i="116" s="1"/>
  <c r="G79" i="257"/>
  <c r="E79" i="257" s="1"/>
  <c r="D79" i="257" s="1"/>
  <c r="P79" i="116"/>
  <c r="C79" i="257" s="1"/>
  <c r="G79" i="116"/>
  <c r="F79" i="116" s="1"/>
  <c r="M91" i="17"/>
  <c r="F91" i="17"/>
  <c r="G78" i="257"/>
  <c r="E78" i="257" s="1"/>
  <c r="D78" i="257" s="1"/>
  <c r="G78" i="116"/>
  <c r="F78" i="116" s="1"/>
  <c r="D78" i="116" s="1"/>
  <c r="B78" i="116" s="1"/>
  <c r="C78" i="116" s="1"/>
  <c r="G75" i="257"/>
  <c r="E75" i="257" s="1"/>
  <c r="D75" i="257" s="1"/>
  <c r="G75" i="116"/>
  <c r="F75" i="116" s="1"/>
  <c r="O54" i="116"/>
  <c r="P54" i="116" s="1"/>
  <c r="H54" i="116"/>
  <c r="F54" i="257"/>
  <c r="G56" i="257"/>
  <c r="E56" i="257" s="1"/>
  <c r="D56" i="257" s="1"/>
  <c r="G56" i="116"/>
  <c r="F56" i="116" s="1"/>
  <c r="P56" i="116"/>
  <c r="C56" i="257" s="1"/>
  <c r="P73" i="116"/>
  <c r="C73" i="257" s="1"/>
  <c r="G73" i="116"/>
  <c r="F73" i="116" s="1"/>
  <c r="G73" i="257"/>
  <c r="E73" i="257" s="1"/>
  <c r="D73" i="257" s="1"/>
  <c r="H48" i="162"/>
  <c r="E98" i="19"/>
  <c r="G82" i="257"/>
  <c r="E82" i="257" s="1"/>
  <c r="D82" i="257" s="1"/>
  <c r="G82" i="116"/>
  <c r="F82" i="116" s="1"/>
  <c r="G84" i="257"/>
  <c r="E84" i="257" s="1"/>
  <c r="D84" i="257" s="1"/>
  <c r="G84" i="116"/>
  <c r="F84" i="116" s="1"/>
  <c r="D84" i="116" s="1"/>
  <c r="B84" i="116" s="1"/>
  <c r="C84" i="116" s="1"/>
  <c r="O58" i="116"/>
  <c r="F58" i="257"/>
  <c r="H58" i="116"/>
  <c r="J53" i="17"/>
  <c r="N72" i="116"/>
  <c r="G63" i="257"/>
  <c r="E63" i="257" s="1"/>
  <c r="D63" i="257" s="1"/>
  <c r="G63" i="116"/>
  <c r="F63" i="116" s="1"/>
  <c r="P80" i="116"/>
  <c r="C80" i="257" s="1"/>
  <c r="G80" i="257"/>
  <c r="E80" i="257" s="1"/>
  <c r="D80" i="257" s="1"/>
  <c r="G80" i="116"/>
  <c r="F80" i="116" s="1"/>
  <c r="D80" i="116" s="1"/>
  <c r="B80" i="116" s="1"/>
  <c r="C80" i="116" s="1"/>
  <c r="G64" i="257"/>
  <c r="E64" i="257" s="1"/>
  <c r="D64" i="257" s="1"/>
  <c r="G64" i="116"/>
  <c r="F64" i="116" s="1"/>
  <c r="P64" i="116"/>
  <c r="C64" i="257" s="1"/>
  <c r="P68" i="116"/>
  <c r="C68" i="257" s="1"/>
  <c r="P87" i="116"/>
  <c r="C87" i="257" s="1"/>
  <c r="I46" i="260"/>
  <c r="Q46" i="261" s="1"/>
  <c r="P88" i="260"/>
  <c r="N88" i="260" s="1"/>
  <c r="R88" i="261" s="1"/>
  <c r="S88" i="261" s="1"/>
  <c r="W88" i="261" s="1"/>
  <c r="Z88" i="261" s="1"/>
  <c r="D88" i="260"/>
  <c r="P88" i="261" s="1"/>
  <c r="P86" i="260"/>
  <c r="N86" i="260" s="1"/>
  <c r="R86" i="261" s="1"/>
  <c r="S86" i="261" s="1"/>
  <c r="W86" i="261" s="1"/>
  <c r="Z86" i="261" s="1"/>
  <c r="D86" i="260"/>
  <c r="P86" i="261" s="1"/>
  <c r="P70" i="260"/>
  <c r="N70" i="260" s="1"/>
  <c r="R70" i="261" s="1"/>
  <c r="T70" i="261" s="1"/>
  <c r="X70" i="261" s="1"/>
  <c r="AA70" i="261" s="1"/>
  <c r="D70" i="260"/>
  <c r="P70" i="261" s="1"/>
  <c r="D69" i="260"/>
  <c r="P69" i="261" s="1"/>
  <c r="P69" i="260"/>
  <c r="N69" i="260" s="1"/>
  <c r="R69" i="261" s="1"/>
  <c r="U69" i="261" s="1"/>
  <c r="Y69" i="261" s="1"/>
  <c r="AB69" i="261" s="1"/>
  <c r="P64" i="260"/>
  <c r="N64" i="260" s="1"/>
  <c r="R64" i="261" s="1"/>
  <c r="U64" i="261" s="1"/>
  <c r="Y64" i="261" s="1"/>
  <c r="AB64" i="261" s="1"/>
  <c r="D64" i="260"/>
  <c r="P64" i="261" s="1"/>
  <c r="D76" i="260"/>
  <c r="P76" i="261" s="1"/>
  <c r="P76" i="260"/>
  <c r="N76" i="260" s="1"/>
  <c r="R76" i="261" s="1"/>
  <c r="U76" i="261" s="1"/>
  <c r="Y76" i="261" s="1"/>
  <c r="AB76" i="261" s="1"/>
  <c r="P61" i="260"/>
  <c r="D61" i="260"/>
  <c r="P50" i="260"/>
  <c r="N50" i="260" s="1"/>
  <c r="R50" i="261" s="1"/>
  <c r="T50" i="261" s="1"/>
  <c r="X50" i="261" s="1"/>
  <c r="AA50" i="261" s="1"/>
  <c r="P23" i="260"/>
  <c r="D23" i="260"/>
  <c r="P23" i="261" s="1"/>
  <c r="P48" i="260"/>
  <c r="N48" i="260" s="1"/>
  <c r="R48" i="261" s="1"/>
  <c r="T48" i="261" s="1"/>
  <c r="X48" i="261" s="1"/>
  <c r="AA48" i="261" s="1"/>
  <c r="D48" i="260"/>
  <c r="P48" i="261" s="1"/>
  <c r="D41" i="260"/>
  <c r="P41" i="261" s="1"/>
  <c r="P41" i="260"/>
  <c r="N41" i="260" s="1"/>
  <c r="I10" i="260"/>
  <c r="P60" i="260"/>
  <c r="D60" i="260"/>
  <c r="D85" i="260"/>
  <c r="P85" i="261" s="1"/>
  <c r="P85" i="260"/>
  <c r="N85" i="260" s="1"/>
  <c r="R85" i="261" s="1"/>
  <c r="S85" i="261" s="1"/>
  <c r="W85" i="261" s="1"/>
  <c r="Z85" i="261" s="1"/>
  <c r="D80" i="260"/>
  <c r="P80" i="261" s="1"/>
  <c r="P80" i="260"/>
  <c r="N80" i="260" s="1"/>
  <c r="R80" i="261" s="1"/>
  <c r="U80" i="261" s="1"/>
  <c r="Y80" i="261" s="1"/>
  <c r="AB80" i="261" s="1"/>
  <c r="P75" i="260"/>
  <c r="N75" i="260" s="1"/>
  <c r="R75" i="261" s="1"/>
  <c r="T75" i="261" s="1"/>
  <c r="X75" i="261" s="1"/>
  <c r="AA75" i="261" s="1"/>
  <c r="D75" i="260"/>
  <c r="P75" i="261" s="1"/>
  <c r="D63" i="260"/>
  <c r="P63" i="261" s="1"/>
  <c r="P63" i="260"/>
  <c r="N63" i="260" s="1"/>
  <c r="R63" i="261" s="1"/>
  <c r="S63" i="261" s="1"/>
  <c r="W63" i="261" s="1"/>
  <c r="Z63" i="261" s="1"/>
  <c r="D62" i="260"/>
  <c r="P55" i="260"/>
  <c r="N55" i="260" s="1"/>
  <c r="R55" i="261" s="1"/>
  <c r="U55" i="261" s="1"/>
  <c r="Y55" i="261" s="1"/>
  <c r="AB55" i="261" s="1"/>
  <c r="D55" i="260"/>
  <c r="P55" i="261" s="1"/>
  <c r="P28" i="260"/>
  <c r="D28" i="260"/>
  <c r="P28" i="261" s="1"/>
  <c r="P33" i="260"/>
  <c r="N33" i="260" s="1"/>
  <c r="R33" i="261" s="1"/>
  <c r="S33" i="261" s="1"/>
  <c r="W33" i="261" s="1"/>
  <c r="Z33" i="261" s="1"/>
  <c r="D33" i="260"/>
  <c r="P33" i="261" s="1"/>
  <c r="P84" i="260"/>
  <c r="N84" i="260" s="1"/>
  <c r="R84" i="261" s="1"/>
  <c r="T84" i="261" s="1"/>
  <c r="X84" i="261" s="1"/>
  <c r="AA84" i="261" s="1"/>
  <c r="D84" i="260"/>
  <c r="P84" i="261" s="1"/>
  <c r="P78" i="260"/>
  <c r="N78" i="260" s="1"/>
  <c r="R78" i="261" s="1"/>
  <c r="U78" i="261" s="1"/>
  <c r="Y78" i="261" s="1"/>
  <c r="AB78" i="261" s="1"/>
  <c r="D78" i="260"/>
  <c r="P78" i="261" s="1"/>
  <c r="P83" i="260"/>
  <c r="N83" i="260" s="1"/>
  <c r="D83" i="260"/>
  <c r="P83" i="261" s="1"/>
  <c r="P66" i="260"/>
  <c r="N66" i="260" s="1"/>
  <c r="R66" i="261" s="1"/>
  <c r="T66" i="261" s="1"/>
  <c r="X66" i="261" s="1"/>
  <c r="AA66" i="261" s="1"/>
  <c r="D66" i="260"/>
  <c r="P66" i="261" s="1"/>
  <c r="P89" i="260"/>
  <c r="N89" i="260" s="1"/>
  <c r="D89" i="260"/>
  <c r="P89" i="261" s="1"/>
  <c r="P71" i="260"/>
  <c r="N71" i="260" s="1"/>
  <c r="R71" i="261" s="1"/>
  <c r="S71" i="261" s="1"/>
  <c r="W71" i="261" s="1"/>
  <c r="Z71" i="261" s="1"/>
  <c r="D71" i="260"/>
  <c r="P71" i="261" s="1"/>
  <c r="D57" i="260"/>
  <c r="P57" i="261" s="1"/>
  <c r="P57" i="260"/>
  <c r="N57" i="260" s="1"/>
  <c r="R57" i="261" s="1"/>
  <c r="T57" i="261" s="1"/>
  <c r="X57" i="261" s="1"/>
  <c r="AA57" i="261" s="1"/>
  <c r="F45" i="260"/>
  <c r="P46" i="260"/>
  <c r="D46" i="260"/>
  <c r="P46" i="261" s="1"/>
  <c r="P59" i="260"/>
  <c r="N59" i="260" s="1"/>
  <c r="D59" i="260"/>
  <c r="P31" i="260"/>
  <c r="N31" i="260" s="1"/>
  <c r="R31" i="261" s="1"/>
  <c r="S31" i="261" s="1"/>
  <c r="W31" i="261" s="1"/>
  <c r="Z31" i="261" s="1"/>
  <c r="D31" i="260"/>
  <c r="P31" i="261" s="1"/>
  <c r="P52" i="260"/>
  <c r="N52" i="260" s="1"/>
  <c r="R52" i="261" s="1"/>
  <c r="S52" i="261" s="1"/>
  <c r="W52" i="261" s="1"/>
  <c r="Z52" i="261" s="1"/>
  <c r="P14" i="260"/>
  <c r="N14" i="260" s="1"/>
  <c r="R14" i="261" s="1"/>
  <c r="U14" i="261" s="1"/>
  <c r="Y14" i="261" s="1"/>
  <c r="AB14" i="261" s="1"/>
  <c r="D14" i="260"/>
  <c r="P14" i="261" s="1"/>
  <c r="P27" i="260"/>
  <c r="N27" i="260" s="1"/>
  <c r="D27" i="260"/>
  <c r="P27" i="261" s="1"/>
  <c r="P87" i="260"/>
  <c r="N87" i="260" s="1"/>
  <c r="R87" i="261" s="1"/>
  <c r="S87" i="261" s="1"/>
  <c r="W87" i="261" s="1"/>
  <c r="Z87" i="261" s="1"/>
  <c r="D87" i="260"/>
  <c r="P87" i="261" s="1"/>
  <c r="P82" i="260"/>
  <c r="N82" i="260" s="1"/>
  <c r="R82" i="261" s="1"/>
  <c r="U82" i="261" s="1"/>
  <c r="Y82" i="261" s="1"/>
  <c r="AB82" i="261" s="1"/>
  <c r="D82" i="260"/>
  <c r="P82" i="261" s="1"/>
  <c r="P74" i="260"/>
  <c r="N74" i="260" s="1"/>
  <c r="R74" i="261" s="1"/>
  <c r="T74" i="261" s="1"/>
  <c r="X74" i="261" s="1"/>
  <c r="AA74" i="261" s="1"/>
  <c r="D74" i="260"/>
  <c r="P74" i="261" s="1"/>
  <c r="D73" i="260"/>
  <c r="P73" i="261" s="1"/>
  <c r="P73" i="260"/>
  <c r="N73" i="260" s="1"/>
  <c r="R73" i="261" s="1"/>
  <c r="S73" i="261" s="1"/>
  <c r="W73" i="261" s="1"/>
  <c r="Z73" i="261" s="1"/>
  <c r="D65" i="260"/>
  <c r="P65" i="261" s="1"/>
  <c r="P65" i="260"/>
  <c r="N65" i="260" s="1"/>
  <c r="R65" i="261" s="1"/>
  <c r="T65" i="261" s="1"/>
  <c r="X65" i="261" s="1"/>
  <c r="AA65" i="261" s="1"/>
  <c r="D79" i="260"/>
  <c r="P79" i="261" s="1"/>
  <c r="P79" i="260"/>
  <c r="N79" i="260" s="1"/>
  <c r="R79" i="261" s="1"/>
  <c r="S79" i="261" s="1"/>
  <c r="W79" i="261" s="1"/>
  <c r="Z79" i="261" s="1"/>
  <c r="P68" i="260"/>
  <c r="N68" i="260" s="1"/>
  <c r="R68" i="261" s="1"/>
  <c r="T68" i="261" s="1"/>
  <c r="X68" i="261" s="1"/>
  <c r="AA68" i="261" s="1"/>
  <c r="D68" i="260"/>
  <c r="P68" i="261" s="1"/>
  <c r="P54" i="260"/>
  <c r="N54" i="260" s="1"/>
  <c r="R54" i="261" s="1"/>
  <c r="T54" i="261" s="1"/>
  <c r="X54" i="261" s="1"/>
  <c r="AA54" i="261" s="1"/>
  <c r="D54" i="260"/>
  <c r="P54" i="261" s="1"/>
  <c r="D44" i="260"/>
  <c r="P44" i="261" s="1"/>
  <c r="P44" i="260"/>
  <c r="N44" i="260" s="1"/>
  <c r="D56" i="260"/>
  <c r="P56" i="261" s="1"/>
  <c r="P56" i="260"/>
  <c r="N56" i="260" s="1"/>
  <c r="R56" i="261" s="1"/>
  <c r="T56" i="261" s="1"/>
  <c r="X56" i="261" s="1"/>
  <c r="AA56" i="261" s="1"/>
  <c r="P25" i="260"/>
  <c r="N25" i="260" s="1"/>
  <c r="R25" i="261" s="1"/>
  <c r="T25" i="261" s="1"/>
  <c r="X25" i="261" s="1"/>
  <c r="AA25" i="261" s="1"/>
  <c r="D25" i="260"/>
  <c r="P25" i="261" s="1"/>
  <c r="P51" i="260"/>
  <c r="N51" i="260" s="1"/>
  <c r="R51" i="261" s="1"/>
  <c r="U51" i="261" s="1"/>
  <c r="Y51" i="261" s="1"/>
  <c r="AB51" i="261" s="1"/>
  <c r="D51" i="260"/>
  <c r="P51" i="261" s="1"/>
  <c r="P10" i="260"/>
  <c r="D10" i="260"/>
  <c r="P10" i="261" s="1"/>
  <c r="P13" i="260"/>
  <c r="N13" i="260" s="1"/>
  <c r="R13" i="261" s="1"/>
  <c r="T13" i="261" s="1"/>
  <c r="X13" i="261" s="1"/>
  <c r="AA13" i="261" s="1"/>
  <c r="D13" i="260"/>
  <c r="P13" i="261" s="1"/>
  <c r="J78" i="257"/>
  <c r="K78" i="257" s="1"/>
  <c r="C76" i="116"/>
  <c r="C66" i="116"/>
  <c r="J78" i="116"/>
  <c r="J76" i="116"/>
  <c r="C61" i="116"/>
  <c r="K76" i="116"/>
  <c r="J61" i="116"/>
  <c r="K66" i="116"/>
  <c r="K61" i="116"/>
  <c r="G37" i="154" l="1"/>
  <c r="K78" i="116"/>
  <c r="K84" i="116"/>
  <c r="T92" i="101"/>
  <c r="C87" i="101"/>
  <c r="E87" i="128" s="1"/>
  <c r="R80" i="101"/>
  <c r="O52" i="101"/>
  <c r="I52" i="128" s="1"/>
  <c r="O52" i="128" s="1"/>
  <c r="D17" i="101"/>
  <c r="T30" i="101"/>
  <c r="I24" i="101"/>
  <c r="U17" i="101"/>
  <c r="P47" i="101"/>
  <c r="P74" i="101"/>
  <c r="E18" i="101"/>
  <c r="M89" i="101"/>
  <c r="N49" i="101"/>
  <c r="N15" i="101"/>
  <c r="H15" i="128" s="1"/>
  <c r="N14" i="101"/>
  <c r="D43" i="101"/>
  <c r="F43" i="128" s="1"/>
  <c r="L43" i="128" s="1"/>
  <c r="D11" i="101"/>
  <c r="E10" i="127" s="1"/>
  <c r="D44" i="101"/>
  <c r="F44" i="128" s="1"/>
  <c r="K82" i="101"/>
  <c r="Q38" i="101"/>
  <c r="R62" i="101"/>
  <c r="U70" i="101"/>
  <c r="J38" i="101"/>
  <c r="F80" i="101"/>
  <c r="V82" i="101"/>
  <c r="D77" i="101"/>
  <c r="E76" i="127" s="1"/>
  <c r="P64" i="101"/>
  <c r="O20" i="101"/>
  <c r="N19" i="101"/>
  <c r="N36" i="101"/>
  <c r="I37" i="154" s="1"/>
  <c r="N37" i="154" s="1"/>
  <c r="C17" i="101"/>
  <c r="C22" i="101"/>
  <c r="E22" i="128" s="1"/>
  <c r="X76" i="101"/>
  <c r="H88" i="101"/>
  <c r="G29" i="154"/>
  <c r="K49" i="101"/>
  <c r="K75" i="101"/>
  <c r="K45" i="101"/>
  <c r="T17" i="101"/>
  <c r="N88" i="101"/>
  <c r="G87" i="127" s="1"/>
  <c r="S88" i="101"/>
  <c r="E51" i="101"/>
  <c r="H86" i="101"/>
  <c r="O51" i="101"/>
  <c r="I51" i="128" s="1"/>
  <c r="O51" i="128" s="1"/>
  <c r="N34" i="101"/>
  <c r="C26" i="101"/>
  <c r="D25" i="127" s="1"/>
  <c r="D29" i="101"/>
  <c r="C24" i="101"/>
  <c r="D23" i="127" s="1"/>
  <c r="H12" i="101"/>
  <c r="G51" i="101"/>
  <c r="W91" i="101"/>
  <c r="F57" i="101"/>
  <c r="R34" i="101"/>
  <c r="C86" i="101"/>
  <c r="D85" i="127" s="1"/>
  <c r="Q92" i="101"/>
  <c r="Q34" i="101"/>
  <c r="M60" i="101"/>
  <c r="D90" i="101"/>
  <c r="F90" i="128" s="1"/>
  <c r="P56" i="101"/>
  <c r="S68" i="101"/>
  <c r="S67" i="101"/>
  <c r="H41" i="101"/>
  <c r="G90" i="101"/>
  <c r="V15" i="101"/>
  <c r="P11" i="101"/>
  <c r="V16" i="101"/>
  <c r="V29" i="101"/>
  <c r="R20" i="101"/>
  <c r="G11" i="101"/>
  <c r="Q48" i="101"/>
  <c r="S69" i="101"/>
  <c r="M38" i="101"/>
  <c r="L75" i="101"/>
  <c r="G75" i="101"/>
  <c r="Q79" i="101"/>
  <c r="S46" i="101"/>
  <c r="W78" i="101"/>
  <c r="X53" i="101"/>
  <c r="U36" i="101"/>
  <c r="P49" i="101"/>
  <c r="M67" i="101"/>
  <c r="R57" i="101"/>
  <c r="J72" i="101"/>
  <c r="U91" i="17"/>
  <c r="L91" i="17"/>
  <c r="T91" i="17" s="1"/>
  <c r="K68" i="116"/>
  <c r="M68" i="116" s="1"/>
  <c r="B80" i="257"/>
  <c r="B57" i="257"/>
  <c r="B61" i="257"/>
  <c r="J65" i="257"/>
  <c r="K65" i="257" s="1"/>
  <c r="J87" i="257"/>
  <c r="K87" i="257" s="1"/>
  <c r="I69" i="101"/>
  <c r="P78" i="101"/>
  <c r="G83" i="101"/>
  <c r="G44" i="101"/>
  <c r="W63" i="101"/>
  <c r="R41" i="101"/>
  <c r="L61" i="101"/>
  <c r="U76" i="101"/>
  <c r="J65" i="116"/>
  <c r="J84" i="257"/>
  <c r="K84" i="257" s="1"/>
  <c r="J84" i="116"/>
  <c r="L68" i="101"/>
  <c r="H84" i="101"/>
  <c r="J46" i="101"/>
  <c r="P81" i="101"/>
  <c r="E57" i="101"/>
  <c r="R58" i="101"/>
  <c r="H17" i="101"/>
  <c r="E75" i="101"/>
  <c r="L86" i="101"/>
  <c r="G92" i="154"/>
  <c r="L92" i="154" s="1"/>
  <c r="D65" i="101"/>
  <c r="O40" i="101"/>
  <c r="H39" i="127" s="1"/>
  <c r="V72" i="101"/>
  <c r="C89" i="101"/>
  <c r="E89" i="128" s="1"/>
  <c r="C81" i="101"/>
  <c r="E81" i="128" s="1"/>
  <c r="W58" i="101"/>
  <c r="X61" i="101"/>
  <c r="W40" i="101"/>
  <c r="O65" i="101"/>
  <c r="I73" i="101"/>
  <c r="V40" i="101"/>
  <c r="Q41" i="101"/>
  <c r="H40" i="101"/>
  <c r="H75" i="101"/>
  <c r="L79" i="101"/>
  <c r="U85" i="101"/>
  <c r="S78" i="101"/>
  <c r="H87" i="101"/>
  <c r="G59" i="101"/>
  <c r="M57" i="101"/>
  <c r="P55" i="101"/>
  <c r="T70" i="101"/>
  <c r="H70" i="101"/>
  <c r="G42" i="154"/>
  <c r="E42" i="154" s="1"/>
  <c r="J42" i="154" s="1"/>
  <c r="U11" i="101"/>
  <c r="J87" i="101"/>
  <c r="W85" i="101"/>
  <c r="F27" i="101"/>
  <c r="R77" i="101"/>
  <c r="Q77" i="101"/>
  <c r="X36" i="101"/>
  <c r="D37" i="101"/>
  <c r="F37" i="128" s="1"/>
  <c r="R27" i="261"/>
  <c r="U27" i="261" s="1"/>
  <c r="Y27" i="261" s="1"/>
  <c r="AB27" i="261" s="1"/>
  <c r="R89" i="261"/>
  <c r="S89" i="261" s="1"/>
  <c r="W89" i="261" s="1"/>
  <c r="Z89" i="261" s="1"/>
  <c r="R83" i="261"/>
  <c r="T83" i="261" s="1"/>
  <c r="X83" i="261" s="1"/>
  <c r="AA83" i="261" s="1"/>
  <c r="R44" i="261"/>
  <c r="U44" i="261" s="1"/>
  <c r="Y44" i="261" s="1"/>
  <c r="AB44" i="261" s="1"/>
  <c r="R41" i="261"/>
  <c r="T41" i="261" s="1"/>
  <c r="X41" i="261" s="1"/>
  <c r="AA41" i="261" s="1"/>
  <c r="AA9" i="261" s="1"/>
  <c r="Q10" i="261"/>
  <c r="S64" i="261"/>
  <c r="W64" i="261" s="1"/>
  <c r="Z64" i="261" s="1"/>
  <c r="S57" i="261"/>
  <c r="W57" i="261" s="1"/>
  <c r="Z57" i="261" s="1"/>
  <c r="U75" i="261"/>
  <c r="Y75" i="261" s="1"/>
  <c r="AB75" i="261" s="1"/>
  <c r="S56" i="261"/>
  <c r="W56" i="261" s="1"/>
  <c r="Z56" i="261" s="1"/>
  <c r="U52" i="261"/>
  <c r="Y52" i="261" s="1"/>
  <c r="AB52" i="261" s="1"/>
  <c r="T76" i="261"/>
  <c r="X76" i="261" s="1"/>
  <c r="AA76" i="261" s="1"/>
  <c r="U54" i="261"/>
  <c r="Y54" i="261" s="1"/>
  <c r="AB54" i="261" s="1"/>
  <c r="S80" i="261"/>
  <c r="W80" i="261" s="1"/>
  <c r="Z80" i="261" s="1"/>
  <c r="U13" i="261"/>
  <c r="Y13" i="261" s="1"/>
  <c r="AB13" i="261" s="1"/>
  <c r="S82" i="261"/>
  <c r="W82" i="261" s="1"/>
  <c r="Z82" i="261" s="1"/>
  <c r="U31" i="261"/>
  <c r="Y31" i="261" s="1"/>
  <c r="AB31" i="261" s="1"/>
  <c r="T79" i="261"/>
  <c r="X79" i="261" s="1"/>
  <c r="AA79" i="261" s="1"/>
  <c r="T73" i="261"/>
  <c r="X73" i="261" s="1"/>
  <c r="AA73" i="261" s="1"/>
  <c r="U50" i="261"/>
  <c r="Y50" i="261" s="1"/>
  <c r="AB50" i="261" s="1"/>
  <c r="U65" i="261"/>
  <c r="Y65" i="261" s="1"/>
  <c r="AB65" i="261" s="1"/>
  <c r="S69" i="261"/>
  <c r="W69" i="261" s="1"/>
  <c r="Z69" i="261" s="1"/>
  <c r="U84" i="261"/>
  <c r="Y84" i="261" s="1"/>
  <c r="AB84" i="261" s="1"/>
  <c r="J57" i="116"/>
  <c r="B76" i="257"/>
  <c r="V23" i="101"/>
  <c r="E61" i="101"/>
  <c r="J15" i="101"/>
  <c r="J11" i="101"/>
  <c r="F15" i="101"/>
  <c r="W90" i="101"/>
  <c r="S48" i="101"/>
  <c r="D85" i="101"/>
  <c r="F85" i="128" s="1"/>
  <c r="P44" i="101"/>
  <c r="V30" i="101"/>
  <c r="Q50" i="101"/>
  <c r="J52" i="101"/>
  <c r="O45" i="101"/>
  <c r="H44" i="127" s="1"/>
  <c r="S13" i="261"/>
  <c r="W13" i="261" s="1"/>
  <c r="Z13" i="261" s="1"/>
  <c r="S50" i="261"/>
  <c r="W50" i="261" s="1"/>
  <c r="Z50" i="261" s="1"/>
  <c r="U63" i="261"/>
  <c r="Y63" i="261" s="1"/>
  <c r="AB63" i="261" s="1"/>
  <c r="T64" i="261"/>
  <c r="X64" i="261" s="1"/>
  <c r="AA64" i="261" s="1"/>
  <c r="T80" i="261"/>
  <c r="X80" i="261" s="1"/>
  <c r="AA80" i="261" s="1"/>
  <c r="S70" i="261"/>
  <c r="W70" i="261" s="1"/>
  <c r="Z70" i="261" s="1"/>
  <c r="S14" i="261"/>
  <c r="W14" i="261" s="1"/>
  <c r="Z14" i="261" s="1"/>
  <c r="T51" i="261"/>
  <c r="X51" i="261" s="1"/>
  <c r="AA51" i="261" s="1"/>
  <c r="U57" i="261"/>
  <c r="Y57" i="261" s="1"/>
  <c r="AB57" i="261" s="1"/>
  <c r="S75" i="261"/>
  <c r="W75" i="261" s="1"/>
  <c r="Z75" i="261" s="1"/>
  <c r="U33" i="261"/>
  <c r="Y33" i="261" s="1"/>
  <c r="AB33" i="261" s="1"/>
  <c r="T55" i="261"/>
  <c r="X55" i="261" s="1"/>
  <c r="AA55" i="261" s="1"/>
  <c r="S65" i="261"/>
  <c r="W65" i="261" s="1"/>
  <c r="Z65" i="261" s="1"/>
  <c r="S76" i="261"/>
  <c r="W76" i="261" s="1"/>
  <c r="Z76" i="261" s="1"/>
  <c r="U66" i="261"/>
  <c r="Y66" i="261" s="1"/>
  <c r="AB66" i="261" s="1"/>
  <c r="S74" i="261"/>
  <c r="W74" i="261" s="1"/>
  <c r="Z74" i="261" s="1"/>
  <c r="U56" i="261"/>
  <c r="Y56" i="261" s="1"/>
  <c r="AB56" i="261" s="1"/>
  <c r="T52" i="261"/>
  <c r="X52" i="261" s="1"/>
  <c r="AA52" i="261" s="1"/>
  <c r="S68" i="261"/>
  <c r="W68" i="261" s="1"/>
  <c r="Z68" i="261" s="1"/>
  <c r="T69" i="261"/>
  <c r="X69" i="261" s="1"/>
  <c r="AA69" i="261" s="1"/>
  <c r="S78" i="261"/>
  <c r="W78" i="261" s="1"/>
  <c r="Z78" i="261" s="1"/>
  <c r="U88" i="261"/>
  <c r="Y88" i="261" s="1"/>
  <c r="AB88" i="261" s="1"/>
  <c r="U73" i="261"/>
  <c r="Y73" i="261" s="1"/>
  <c r="AB73" i="261" s="1"/>
  <c r="T86" i="261"/>
  <c r="X86" i="261" s="1"/>
  <c r="AA86" i="261" s="1"/>
  <c r="J66" i="257"/>
  <c r="K66" i="257" s="1"/>
  <c r="T63" i="261"/>
  <c r="X63" i="261" s="1"/>
  <c r="AA63" i="261" s="1"/>
  <c r="T71" i="261"/>
  <c r="X71" i="261" s="1"/>
  <c r="AA71" i="261" s="1"/>
  <c r="U70" i="261"/>
  <c r="Y70" i="261" s="1"/>
  <c r="AB70" i="261" s="1"/>
  <c r="T82" i="261"/>
  <c r="X82" i="261" s="1"/>
  <c r="AA82" i="261" s="1"/>
  <c r="S51" i="261"/>
  <c r="W51" i="261" s="1"/>
  <c r="Z51" i="261" s="1"/>
  <c r="S25" i="261"/>
  <c r="W25" i="261" s="1"/>
  <c r="Z25" i="261" s="1"/>
  <c r="T87" i="261"/>
  <c r="X87" i="261" s="1"/>
  <c r="AA87" i="261" s="1"/>
  <c r="T33" i="261"/>
  <c r="X33" i="261" s="1"/>
  <c r="AA33" i="261" s="1"/>
  <c r="T31" i="261"/>
  <c r="X31" i="261" s="1"/>
  <c r="AA31" i="261" s="1"/>
  <c r="S66" i="261"/>
  <c r="W66" i="261" s="1"/>
  <c r="Z66" i="261" s="1"/>
  <c r="T85" i="261"/>
  <c r="X85" i="261" s="1"/>
  <c r="AA85" i="261" s="1"/>
  <c r="U74" i="261"/>
  <c r="Y74" i="261" s="1"/>
  <c r="AB74" i="261" s="1"/>
  <c r="S48" i="261"/>
  <c r="W48" i="261" s="1"/>
  <c r="Z48" i="261" s="1"/>
  <c r="U68" i="261"/>
  <c r="Y68" i="261" s="1"/>
  <c r="AB68" i="261" s="1"/>
  <c r="U79" i="261"/>
  <c r="Y79" i="261" s="1"/>
  <c r="AB79" i="261" s="1"/>
  <c r="T88" i="261"/>
  <c r="X88" i="261" s="1"/>
  <c r="AA88" i="261" s="1"/>
  <c r="S54" i="261"/>
  <c r="W54" i="261" s="1"/>
  <c r="Z54" i="261" s="1"/>
  <c r="U86" i="261"/>
  <c r="Y86" i="261" s="1"/>
  <c r="AB86" i="261" s="1"/>
  <c r="S84" i="261"/>
  <c r="W84" i="261" s="1"/>
  <c r="Z84" i="261" s="1"/>
  <c r="U71" i="261"/>
  <c r="Y71" i="261" s="1"/>
  <c r="AB71" i="261" s="1"/>
  <c r="T14" i="261"/>
  <c r="X14" i="261" s="1"/>
  <c r="AA14" i="261" s="1"/>
  <c r="U25" i="261"/>
  <c r="Y25" i="261" s="1"/>
  <c r="AB25" i="261" s="1"/>
  <c r="U87" i="261"/>
  <c r="Y87" i="261" s="1"/>
  <c r="AB87" i="261" s="1"/>
  <c r="S55" i="261"/>
  <c r="W55" i="261" s="1"/>
  <c r="Z55" i="261" s="1"/>
  <c r="U85" i="261"/>
  <c r="Y85" i="261" s="1"/>
  <c r="AB85" i="261" s="1"/>
  <c r="U48" i="261"/>
  <c r="Y48" i="261" s="1"/>
  <c r="AB48" i="261" s="1"/>
  <c r="T78" i="261"/>
  <c r="X78" i="261" s="1"/>
  <c r="AA78" i="261" s="1"/>
  <c r="B66" i="257"/>
  <c r="B78" i="257"/>
  <c r="K80" i="116"/>
  <c r="K57" i="116"/>
  <c r="M57" i="116" s="1"/>
  <c r="J80" i="257"/>
  <c r="K80" i="257" s="1"/>
  <c r="B84" i="257"/>
  <c r="B65" i="257"/>
  <c r="H64" i="101"/>
  <c r="T79" i="101"/>
  <c r="W18" i="101"/>
  <c r="I83" i="101"/>
  <c r="Q81" i="101"/>
  <c r="F63" i="101"/>
  <c r="P52" i="101"/>
  <c r="Q74" i="101"/>
  <c r="F56" i="101"/>
  <c r="Q64" i="101"/>
  <c r="W52" i="101"/>
  <c r="X80" i="101"/>
  <c r="R19" i="101"/>
  <c r="J68" i="257"/>
  <c r="K68" i="257" s="1"/>
  <c r="I91" i="19"/>
  <c r="J91" i="261" s="1"/>
  <c r="K72" i="17"/>
  <c r="K72" i="261"/>
  <c r="J68" i="116"/>
  <c r="K65" i="116"/>
  <c r="M65" i="116" s="1"/>
  <c r="D38" i="101"/>
  <c r="C43" i="101"/>
  <c r="H44" i="154" s="1"/>
  <c r="M44" i="154" s="1"/>
  <c r="N48" i="101"/>
  <c r="I49" i="154" s="1"/>
  <c r="N49" i="154" s="1"/>
  <c r="C57" i="101"/>
  <c r="E57" i="128" s="1"/>
  <c r="G41" i="101"/>
  <c r="U62" i="101"/>
  <c r="U20" i="101"/>
  <c r="V27" i="101"/>
  <c r="T45" i="101"/>
  <c r="T43" i="101"/>
  <c r="W64" i="101"/>
  <c r="Q75" i="101"/>
  <c r="M69" i="101"/>
  <c r="R54" i="101"/>
  <c r="X88" i="101"/>
  <c r="J86" i="101"/>
  <c r="G17" i="101"/>
  <c r="V70" i="101"/>
  <c r="N77" i="101"/>
  <c r="R93" i="101"/>
  <c r="F70" i="101"/>
  <c r="R21" i="101"/>
  <c r="I21" i="101"/>
  <c r="R71" i="101"/>
  <c r="W92" i="101"/>
  <c r="V19" i="101"/>
  <c r="I30" i="101"/>
  <c r="F72" i="101"/>
  <c r="R45" i="101"/>
  <c r="H68" i="101"/>
  <c r="U81" i="101"/>
  <c r="W37" i="101"/>
  <c r="S56" i="101"/>
  <c r="L18" i="101"/>
  <c r="C82" i="101"/>
  <c r="D81" i="127" s="1"/>
  <c r="U32" i="101"/>
  <c r="R56" i="101"/>
  <c r="F84" i="101"/>
  <c r="V73" i="101"/>
  <c r="M86" i="101"/>
  <c r="T52" i="101"/>
  <c r="L59" i="101"/>
  <c r="U46" i="101"/>
  <c r="S93" i="101"/>
  <c r="X81" i="101"/>
  <c r="X72" i="101"/>
  <c r="H30" i="101"/>
  <c r="O74" i="101"/>
  <c r="H73" i="127" s="1"/>
  <c r="G16" i="101"/>
  <c r="P36" i="101"/>
  <c r="W48" i="101"/>
  <c r="K81" i="101"/>
  <c r="O84" i="101"/>
  <c r="H83" i="127" s="1"/>
  <c r="M54" i="101"/>
  <c r="I36" i="101"/>
  <c r="J28" i="101"/>
  <c r="C48" i="101"/>
  <c r="D49" i="101"/>
  <c r="F49" i="128" s="1"/>
  <c r="L49" i="128" s="1"/>
  <c r="D48" i="101"/>
  <c r="E47" i="127" s="1"/>
  <c r="C34" i="101"/>
  <c r="E34" i="128" s="1"/>
  <c r="D22" i="101"/>
  <c r="N22" i="101"/>
  <c r="H22" i="128" s="1"/>
  <c r="N28" i="101"/>
  <c r="I29" i="154" s="1"/>
  <c r="N29" i="154" s="1"/>
  <c r="O49" i="101"/>
  <c r="I49" i="128" s="1"/>
  <c r="O49" i="128" s="1"/>
  <c r="N21" i="101"/>
  <c r="H21" i="128" s="1"/>
  <c r="O24" i="101"/>
  <c r="I24" i="128" s="1"/>
  <c r="O24" i="128" s="1"/>
  <c r="R76" i="101"/>
  <c r="X12" i="101"/>
  <c r="X71" i="101"/>
  <c r="S89" i="101"/>
  <c r="K87" i="101"/>
  <c r="T78" i="101"/>
  <c r="Q73" i="101"/>
  <c r="O90" i="101"/>
  <c r="I90" i="128" s="1"/>
  <c r="S90" i="101"/>
  <c r="F32" i="101"/>
  <c r="I14" i="101"/>
  <c r="N56" i="101"/>
  <c r="G55" i="127" s="1"/>
  <c r="T32" i="101"/>
  <c r="O69" i="101"/>
  <c r="I69" i="128" s="1"/>
  <c r="N85" i="101"/>
  <c r="G84" i="127" s="1"/>
  <c r="R26" i="101"/>
  <c r="R75" i="101"/>
  <c r="E88" i="101"/>
  <c r="T60" i="101"/>
  <c r="S45" i="101"/>
  <c r="F20" i="101"/>
  <c r="P53" i="101"/>
  <c r="E11" i="101"/>
  <c r="K88" i="101"/>
  <c r="G45" i="154"/>
  <c r="L45" i="154" s="1"/>
  <c r="V11" i="101"/>
  <c r="V34" i="101"/>
  <c r="K16" i="101"/>
  <c r="E28" i="101"/>
  <c r="C79" i="101"/>
  <c r="D78" i="127" s="1"/>
  <c r="E16" i="101"/>
  <c r="G72" i="101"/>
  <c r="U12" i="101"/>
  <c r="Q76" i="101"/>
  <c r="X92" i="101"/>
  <c r="H36" i="101"/>
  <c r="Q19" i="101"/>
  <c r="T58" i="101"/>
  <c r="R43" i="101"/>
  <c r="S52" i="101"/>
  <c r="T69" i="101"/>
  <c r="F68" i="101"/>
  <c r="E41" i="101"/>
  <c r="U21" i="101"/>
  <c r="J21" i="101"/>
  <c r="I81" i="101"/>
  <c r="X63" i="101"/>
  <c r="K12" i="101"/>
  <c r="V90" i="101"/>
  <c r="G12" i="154"/>
  <c r="E12" i="154" s="1"/>
  <c r="J12" i="154" s="1"/>
  <c r="U73" i="101"/>
  <c r="D61" i="101"/>
  <c r="E60" i="127" s="1"/>
  <c r="T83" i="101"/>
  <c r="S87" i="101"/>
  <c r="G12" i="101"/>
  <c r="Q61" i="101"/>
  <c r="T61" i="101"/>
  <c r="F23" i="101"/>
  <c r="L88" i="101"/>
  <c r="R74" i="101"/>
  <c r="V56" i="101"/>
  <c r="I43" i="101"/>
  <c r="O54" i="101"/>
  <c r="I54" i="128" s="1"/>
  <c r="Q69" i="101"/>
  <c r="P38" i="101"/>
  <c r="S30" i="101"/>
  <c r="H19" i="101"/>
  <c r="V55" i="101"/>
  <c r="C11" i="101"/>
  <c r="N10" i="116" s="1"/>
  <c r="D40" i="101"/>
  <c r="E39" i="127" s="1"/>
  <c r="D35" i="101"/>
  <c r="E34" i="127" s="1"/>
  <c r="C30" i="101"/>
  <c r="E30" i="128" s="1"/>
  <c r="O12" i="101"/>
  <c r="I12" i="128" s="1"/>
  <c r="O44" i="101"/>
  <c r="H43" i="127" s="1"/>
  <c r="O22" i="101"/>
  <c r="I22" i="128" s="1"/>
  <c r="O22" i="128" s="1"/>
  <c r="O30" i="101"/>
  <c r="H29" i="127" s="1"/>
  <c r="O53" i="101"/>
  <c r="H52" i="127" s="1"/>
  <c r="R79" i="101"/>
  <c r="E20" i="101"/>
  <c r="D70" i="101"/>
  <c r="E69" i="127" s="1"/>
  <c r="R29" i="101"/>
  <c r="K52" i="101"/>
  <c r="J32" i="101"/>
  <c r="M45" i="101"/>
  <c r="W14" i="101"/>
  <c r="M34" i="101"/>
  <c r="I82" i="101"/>
  <c r="R91" i="101"/>
  <c r="J49" i="101"/>
  <c r="J18" i="101"/>
  <c r="Q17" i="101"/>
  <c r="J12" i="101"/>
  <c r="J92" i="101"/>
  <c r="J61" i="101"/>
  <c r="I38" i="101"/>
  <c r="R37" i="101"/>
  <c r="I45" i="101"/>
  <c r="R66" i="101"/>
  <c r="P16" i="101"/>
  <c r="M83" i="101"/>
  <c r="V45" i="101"/>
  <c r="J60" i="101"/>
  <c r="P93" i="101"/>
  <c r="E43" i="101"/>
  <c r="U37" i="101"/>
  <c r="X46" i="101"/>
  <c r="J71" i="101"/>
  <c r="J53" i="101"/>
  <c r="I32" i="101"/>
  <c r="I53" i="101"/>
  <c r="W87" i="101"/>
  <c r="I63" i="101"/>
  <c r="L22" i="101"/>
  <c r="I68" i="101"/>
  <c r="O83" i="101"/>
  <c r="I83" i="128" s="1"/>
  <c r="N73" i="101"/>
  <c r="G72" i="127" s="1"/>
  <c r="I55" i="101"/>
  <c r="W79" i="101"/>
  <c r="Q60" i="101"/>
  <c r="M20" i="101"/>
  <c r="L38" i="101"/>
  <c r="W15" i="101"/>
  <c r="X58" i="101"/>
  <c r="G24" i="101"/>
  <c r="P86" i="101"/>
  <c r="M27" i="101"/>
  <c r="L46" i="101"/>
  <c r="F35" i="101"/>
  <c r="V81" i="101"/>
  <c r="N83" i="101"/>
  <c r="G82" i="127" s="1"/>
  <c r="C65" i="101"/>
  <c r="D64" i="127" s="1"/>
  <c r="L47" i="101"/>
  <c r="K15" i="101"/>
  <c r="H59" i="101"/>
  <c r="I35" i="101"/>
  <c r="U29" i="101"/>
  <c r="S80" i="101"/>
  <c r="W55" i="101"/>
  <c r="T46" i="101"/>
  <c r="G48" i="101"/>
  <c r="R92" i="101"/>
  <c r="Q21" i="101"/>
  <c r="F21" i="101"/>
  <c r="I86" i="101"/>
  <c r="D92" i="101"/>
  <c r="F92" i="128" s="1"/>
  <c r="G92" i="128" s="1"/>
  <c r="D47" i="101"/>
  <c r="E46" i="127" s="1"/>
  <c r="C91" i="101"/>
  <c r="N90" i="116" s="1"/>
  <c r="O91" i="101"/>
  <c r="I91" i="128" s="1"/>
  <c r="K39" i="101"/>
  <c r="P71" i="101"/>
  <c r="N69" i="101"/>
  <c r="H69" i="128" s="1"/>
  <c r="K34" i="101"/>
  <c r="G26" i="101"/>
  <c r="F89" i="101"/>
  <c r="G85" i="101"/>
  <c r="E92" i="101"/>
  <c r="F93" i="101"/>
  <c r="S55" i="101"/>
  <c r="C80" i="101"/>
  <c r="K28" i="101"/>
  <c r="U74" i="101"/>
  <c r="O73" i="101"/>
  <c r="I73" i="128" s="1"/>
  <c r="S73" i="101"/>
  <c r="U38" i="101"/>
  <c r="L29" i="101"/>
  <c r="E58" i="101"/>
  <c r="G49" i="101"/>
  <c r="T49" i="101"/>
  <c r="E78" i="101"/>
  <c r="U34" i="101"/>
  <c r="M75" i="101"/>
  <c r="F12" i="101"/>
  <c r="V48" i="101"/>
  <c r="U87" i="101"/>
  <c r="E19" i="101"/>
  <c r="T22" i="101"/>
  <c r="V80" i="101"/>
  <c r="V87" i="101"/>
  <c r="J40" i="101"/>
  <c r="E52" i="101"/>
  <c r="C71" i="101"/>
  <c r="D70" i="127" s="1"/>
  <c r="G53" i="101"/>
  <c r="N55" i="101"/>
  <c r="T38" i="101"/>
  <c r="Q27" i="101"/>
  <c r="E15" i="101"/>
  <c r="L41" i="101"/>
  <c r="D87" i="101"/>
  <c r="E86" i="127" s="1"/>
  <c r="I52" i="101"/>
  <c r="D83" i="101"/>
  <c r="E82" i="127" s="1"/>
  <c r="E63" i="101"/>
  <c r="C62" i="101"/>
  <c r="E62" i="128" s="1"/>
  <c r="V65" i="101"/>
  <c r="W39" i="101"/>
  <c r="I60" i="101"/>
  <c r="J65" i="101"/>
  <c r="M22" i="101"/>
  <c r="E80" i="101"/>
  <c r="I70" i="101"/>
  <c r="W45" i="101"/>
  <c r="Q54" i="101"/>
  <c r="G79" i="101"/>
  <c r="X78" i="101"/>
  <c r="K83" i="101"/>
  <c r="T18" i="101"/>
  <c r="V88" i="101"/>
  <c r="T51" i="101"/>
  <c r="S20" i="101"/>
  <c r="G28" i="101"/>
  <c r="F54" i="101"/>
  <c r="G19" i="101"/>
  <c r="Q24" i="101"/>
  <c r="I16" i="101"/>
  <c r="C59" i="101"/>
  <c r="D58" i="127" s="1"/>
  <c r="C14" i="101"/>
  <c r="W93" i="101"/>
  <c r="T19" i="101"/>
  <c r="N67" i="101"/>
  <c r="G66" i="127" s="1"/>
  <c r="E37" i="101"/>
  <c r="K70" i="101"/>
  <c r="R12" i="101"/>
  <c r="L50" i="101"/>
  <c r="M65" i="101"/>
  <c r="U61" i="101"/>
  <c r="I79" i="101"/>
  <c r="P45" i="101"/>
  <c r="C73" i="101"/>
  <c r="E73" i="128" s="1"/>
  <c r="G73" i="128" s="1"/>
  <c r="K63" i="101"/>
  <c r="D15" i="101"/>
  <c r="F15" i="128" s="1"/>
  <c r="L15" i="128" s="1"/>
  <c r="D41" i="101"/>
  <c r="F41" i="128" s="1"/>
  <c r="N40" i="101"/>
  <c r="O85" i="101"/>
  <c r="H84" i="127" s="1"/>
  <c r="P66" i="101"/>
  <c r="J93" i="101"/>
  <c r="E86" i="101"/>
  <c r="W26" i="101"/>
  <c r="J20" i="101"/>
  <c r="J29" i="101"/>
  <c r="D72" i="101"/>
  <c r="F72" i="128" s="1"/>
  <c r="E91" i="101"/>
  <c r="M77" i="101"/>
  <c r="D67" i="101"/>
  <c r="F67" i="128" s="1"/>
  <c r="K74" i="101"/>
  <c r="V76" i="101"/>
  <c r="D69" i="101"/>
  <c r="F69" i="128" s="1"/>
  <c r="U14" i="101"/>
  <c r="I46" i="101"/>
  <c r="N70" i="101"/>
  <c r="G69" i="127" s="1"/>
  <c r="G41" i="154"/>
  <c r="L41" i="154" s="1"/>
  <c r="P35" i="101"/>
  <c r="P62" i="101"/>
  <c r="Q83" i="101"/>
  <c r="S79" i="101"/>
  <c r="E89" i="101"/>
  <c r="D71" i="101"/>
  <c r="H71" i="101"/>
  <c r="W35" i="101"/>
  <c r="P32" i="101"/>
  <c r="P46" i="101"/>
  <c r="X19" i="101"/>
  <c r="H66" i="101"/>
  <c r="E27" i="101"/>
  <c r="T40" i="101"/>
  <c r="T16" i="101"/>
  <c r="D76" i="101"/>
  <c r="E75" i="127" s="1"/>
  <c r="H50" i="101"/>
  <c r="U41" i="101"/>
  <c r="J23" i="101"/>
  <c r="M53" i="101"/>
  <c r="H93" i="101"/>
  <c r="P91" i="101"/>
  <c r="F78" i="101"/>
  <c r="S12" i="101"/>
  <c r="K35" i="101"/>
  <c r="L64" i="101"/>
  <c r="J87" i="116"/>
  <c r="J80" i="116"/>
  <c r="K87" i="116"/>
  <c r="L87" i="116" s="1"/>
  <c r="J66" i="116"/>
  <c r="K83" i="17"/>
  <c r="K83" i="261"/>
  <c r="R35" i="101"/>
  <c r="T88" i="101"/>
  <c r="K17" i="101"/>
  <c r="U44" i="101"/>
  <c r="K50" i="101"/>
  <c r="F48" i="101"/>
  <c r="D46" i="101"/>
  <c r="E45" i="127" s="1"/>
  <c r="G23" i="154"/>
  <c r="L23" i="154" s="1"/>
  <c r="H65" i="101"/>
  <c r="T64" i="101"/>
  <c r="E12" i="101"/>
  <c r="M93" i="101"/>
  <c r="G56" i="101"/>
  <c r="X70" i="101"/>
  <c r="V21" i="101"/>
  <c r="N63" i="101"/>
  <c r="G62" i="127" s="1"/>
  <c r="L71" i="101"/>
  <c r="K57" i="101"/>
  <c r="P73" i="101"/>
  <c r="G20" i="154"/>
  <c r="L20" i="154" s="1"/>
  <c r="P30" i="101"/>
  <c r="E76" i="101"/>
  <c r="S91" i="101"/>
  <c r="N72" i="101"/>
  <c r="G71" i="127" s="1"/>
  <c r="M48" i="101"/>
  <c r="Q89" i="101"/>
  <c r="U22" i="101"/>
  <c r="G43" i="101"/>
  <c r="M92" i="101"/>
  <c r="N61" i="101"/>
  <c r="G60" i="127" s="1"/>
  <c r="C41" i="101"/>
  <c r="E41" i="128" s="1"/>
  <c r="H81" i="101"/>
  <c r="K41" i="101"/>
  <c r="X48" i="101"/>
  <c r="H69" i="101"/>
  <c r="V39" i="101"/>
  <c r="Q57" i="101"/>
  <c r="E53" i="101"/>
  <c r="U63" i="101"/>
  <c r="G38" i="101"/>
  <c r="P20" i="101"/>
  <c r="N65" i="101"/>
  <c r="M23" i="101"/>
  <c r="L14" i="101"/>
  <c r="C56" i="101"/>
  <c r="D55" i="127" s="1"/>
  <c r="P22" i="101"/>
  <c r="F59" i="101"/>
  <c r="F45" i="101"/>
  <c r="H52" i="101"/>
  <c r="O46" i="101"/>
  <c r="H45" i="127" s="1"/>
  <c r="E74" i="101"/>
  <c r="X52" i="101"/>
  <c r="E29" i="101"/>
  <c r="F50" i="101"/>
  <c r="G82" i="101"/>
  <c r="G84" i="101"/>
  <c r="M37" i="101"/>
  <c r="G21" i="154"/>
  <c r="R15" i="101"/>
  <c r="I51" i="101"/>
  <c r="F71" i="101"/>
  <c r="O72" i="101"/>
  <c r="I72" i="128" s="1"/>
  <c r="O82" i="101"/>
  <c r="H81" i="127" s="1"/>
  <c r="D81" i="101"/>
  <c r="F81" i="128" s="1"/>
  <c r="G69" i="101"/>
  <c r="U58" i="101"/>
  <c r="P17" i="101"/>
  <c r="K76" i="101"/>
  <c r="X54" i="101"/>
  <c r="L37" i="101"/>
  <c r="E47" i="101"/>
  <c r="H80" i="101"/>
  <c r="K86" i="101"/>
  <c r="W56" i="101"/>
  <c r="K43" i="101"/>
  <c r="N47" i="101"/>
  <c r="G46" i="127" s="1"/>
  <c r="C12" i="101"/>
  <c r="E12" i="128" s="1"/>
  <c r="D34" i="101"/>
  <c r="C77" i="101"/>
  <c r="D76" i="127" s="1"/>
  <c r="P72" i="101"/>
  <c r="U49" i="101"/>
  <c r="F16" i="101"/>
  <c r="I90" i="101"/>
  <c r="R64" i="101"/>
  <c r="U67" i="101"/>
  <c r="E79" i="101"/>
  <c r="W24" i="101"/>
  <c r="N45" i="101"/>
  <c r="H45" i="128" s="1"/>
  <c r="G52" i="154"/>
  <c r="W36" i="101"/>
  <c r="G19" i="154"/>
  <c r="E19" i="154" s="1"/>
  <c r="J19" i="154" s="1"/>
  <c r="L27" i="101"/>
  <c r="L43" i="101"/>
  <c r="X45" i="101"/>
  <c r="L45" i="101"/>
  <c r="G87" i="101"/>
  <c r="O60" i="101"/>
  <c r="H59" i="127" s="1"/>
  <c r="S29" i="101"/>
  <c r="C46" i="101"/>
  <c r="D45" i="127" s="1"/>
  <c r="F45" i="127" s="1"/>
  <c r="W57" i="101"/>
  <c r="F36" i="101"/>
  <c r="X60" i="101"/>
  <c r="P24" i="101"/>
  <c r="U40" i="101"/>
  <c r="S59" i="101"/>
  <c r="W46" i="101"/>
  <c r="K60" i="101"/>
  <c r="S53" i="101"/>
  <c r="M61" i="101"/>
  <c r="W27" i="101"/>
  <c r="N66" i="101"/>
  <c r="H66" i="128" s="1"/>
  <c r="H56" i="101"/>
  <c r="E56" i="101"/>
  <c r="W84" i="101"/>
  <c r="Q18" i="101"/>
  <c r="O55" i="101"/>
  <c r="H54" i="127" s="1"/>
  <c r="F11" i="101"/>
  <c r="U16" i="101"/>
  <c r="H91" i="101"/>
  <c r="J70" i="101"/>
  <c r="R85" i="101"/>
  <c r="X28" i="101"/>
  <c r="W47" i="101"/>
  <c r="O43" i="101"/>
  <c r="I43" i="128" s="1"/>
  <c r="O43" i="128" s="1"/>
  <c r="C45" i="101"/>
  <c r="H46" i="154" s="1"/>
  <c r="M46" i="154" s="1"/>
  <c r="G67" i="101"/>
  <c r="R46" i="101"/>
  <c r="I56" i="101"/>
  <c r="L30" i="101"/>
  <c r="G38" i="154"/>
  <c r="F69" i="101"/>
  <c r="P79" i="101"/>
  <c r="D89" i="101"/>
  <c r="F89" i="128" s="1"/>
  <c r="M80" i="101"/>
  <c r="P90" i="101"/>
  <c r="N37" i="101"/>
  <c r="I38" i="154" s="1"/>
  <c r="N38" i="154" s="1"/>
  <c r="F29" i="101"/>
  <c r="S62" i="101"/>
  <c r="R30" i="101"/>
  <c r="R53" i="101"/>
  <c r="K68" i="101"/>
  <c r="R14" i="101"/>
  <c r="M81" i="101"/>
  <c r="X41" i="101"/>
  <c r="R73" i="101"/>
  <c r="G50" i="154"/>
  <c r="E50" i="154" s="1"/>
  <c r="J50" i="154" s="1"/>
  <c r="L87" i="101"/>
  <c r="P34" i="101"/>
  <c r="U65" i="101"/>
  <c r="X22" i="101"/>
  <c r="F92" i="101"/>
  <c r="Q32" i="101"/>
  <c r="R52" i="101"/>
  <c r="E68" i="101"/>
  <c r="M82" i="101"/>
  <c r="M17" i="101"/>
  <c r="E60" i="101"/>
  <c r="W60" i="101"/>
  <c r="X30" i="101"/>
  <c r="N78" i="101"/>
  <c r="H78" i="128" s="1"/>
  <c r="H60" i="101"/>
  <c r="G45" i="101"/>
  <c r="J73" i="101"/>
  <c r="L57" i="101"/>
  <c r="G36" i="101"/>
  <c r="C75" i="101"/>
  <c r="G18" i="101"/>
  <c r="I76" i="101"/>
  <c r="C72" i="101"/>
  <c r="E72" i="128" s="1"/>
  <c r="W75" i="101"/>
  <c r="N92" i="101"/>
  <c r="H92" i="128" s="1"/>
  <c r="T73" i="101"/>
  <c r="J88" i="101"/>
  <c r="T85" i="101"/>
  <c r="R78" i="101"/>
  <c r="Q49" i="101"/>
  <c r="H20" i="101"/>
  <c r="P75" i="101"/>
  <c r="W32" i="101"/>
  <c r="M36" i="101"/>
  <c r="K66" i="101"/>
  <c r="X35" i="101"/>
  <c r="F79" i="101"/>
  <c r="L91" i="101"/>
  <c r="G73" i="101"/>
  <c r="R48" i="101"/>
  <c r="N20" i="101"/>
  <c r="H20" i="128" s="1"/>
  <c r="J83" i="101"/>
  <c r="S49" i="101"/>
  <c r="J26" i="101"/>
  <c r="I29" i="101"/>
  <c r="Q72" i="101"/>
  <c r="T26" i="101"/>
  <c r="S76" i="101"/>
  <c r="F43" i="101"/>
  <c r="G27" i="101"/>
  <c r="I66" i="101"/>
  <c r="M91" i="101"/>
  <c r="E84" i="101"/>
  <c r="N86" i="101"/>
  <c r="G85" i="127" s="1"/>
  <c r="I71" i="101"/>
  <c r="K67" i="101"/>
  <c r="G15" i="101"/>
  <c r="E49" i="101"/>
  <c r="M84" i="101"/>
  <c r="C64" i="101"/>
  <c r="E64" i="128" s="1"/>
  <c r="X91" i="101"/>
  <c r="R81" i="101"/>
  <c r="I41" i="101"/>
  <c r="J16" i="101"/>
  <c r="T39" i="101"/>
  <c r="L67" i="101"/>
  <c r="F53" i="101"/>
  <c r="M63" i="101"/>
  <c r="D93" i="101"/>
  <c r="E92" i="127" s="1"/>
  <c r="J58" i="101"/>
  <c r="Q11" i="101"/>
  <c r="I26" i="101"/>
  <c r="X73" i="101"/>
  <c r="U30" i="101"/>
  <c r="M55" i="101"/>
  <c r="P15" i="101"/>
  <c r="Q20" i="101"/>
  <c r="U50" i="101"/>
  <c r="X40" i="101"/>
  <c r="J68" i="101"/>
  <c r="V47" i="101"/>
  <c r="W89" i="101"/>
  <c r="V52" i="101"/>
  <c r="L74" i="101"/>
  <c r="F55" i="101"/>
  <c r="K73" i="101"/>
  <c r="V62" i="101"/>
  <c r="T84" i="101"/>
  <c r="H34" i="101"/>
  <c r="H48" i="101"/>
  <c r="H44" i="101"/>
  <c r="L23" i="101"/>
  <c r="N50" i="101"/>
  <c r="H50" i="128" s="1"/>
  <c r="O36" i="101"/>
  <c r="H35" i="127" s="1"/>
  <c r="O28" i="101"/>
  <c r="O38" i="101"/>
  <c r="I38" i="128" s="1"/>
  <c r="O38" i="128" s="1"/>
  <c r="D32" i="101"/>
  <c r="E31" i="127" s="1"/>
  <c r="C19" i="101"/>
  <c r="D18" i="127" s="1"/>
  <c r="D21" i="101"/>
  <c r="E20" i="127" s="1"/>
  <c r="C52" i="101"/>
  <c r="R23" i="101"/>
  <c r="T15" i="101"/>
  <c r="I65" i="101"/>
  <c r="W12" i="101"/>
  <c r="T54" i="101"/>
  <c r="U82" i="101"/>
  <c r="K89" i="101"/>
  <c r="C67" i="101"/>
  <c r="R87" i="101"/>
  <c r="U83" i="101"/>
  <c r="K30" i="101"/>
  <c r="J19" i="101"/>
  <c r="W22" i="101"/>
  <c r="E83" i="101"/>
  <c r="M73" i="101"/>
  <c r="X93" i="101"/>
  <c r="J67" i="101"/>
  <c r="R67" i="101"/>
  <c r="J66" i="101"/>
  <c r="R82" i="101"/>
  <c r="P57" i="101"/>
  <c r="V69" i="101"/>
  <c r="F91" i="101"/>
  <c r="J27" i="101"/>
  <c r="M14" i="101"/>
  <c r="X90" i="101"/>
  <c r="I48" i="101"/>
  <c r="N81" i="101"/>
  <c r="S66" i="101"/>
  <c r="P14" i="101"/>
  <c r="O58" i="101"/>
  <c r="H57" i="127" s="1"/>
  <c r="O78" i="101"/>
  <c r="H77" i="127" s="1"/>
  <c r="M56" i="101"/>
  <c r="K80" i="101"/>
  <c r="U86" i="101"/>
  <c r="H51" i="101"/>
  <c r="H54" i="101"/>
  <c r="H29" i="101"/>
  <c r="S85" i="101"/>
  <c r="J79" i="101"/>
  <c r="E24" i="101"/>
  <c r="I11" i="101"/>
  <c r="R88" i="101"/>
  <c r="L34" i="101"/>
  <c r="V61" i="101"/>
  <c r="R16" i="101"/>
  <c r="S75" i="101"/>
  <c r="T91" i="101"/>
  <c r="T65" i="101"/>
  <c r="Q67" i="101"/>
  <c r="R51" i="101"/>
  <c r="N26" i="101"/>
  <c r="N11" i="101"/>
  <c r="G10" i="127" s="1"/>
  <c r="N41" i="101"/>
  <c r="G40" i="127" s="1"/>
  <c r="C40" i="101"/>
  <c r="E40" i="128" s="1"/>
  <c r="C15" i="101"/>
  <c r="D36" i="101"/>
  <c r="F36" i="128" s="1"/>
  <c r="D23" i="101"/>
  <c r="F23" i="128" s="1"/>
  <c r="K37" i="101"/>
  <c r="O63" i="101"/>
  <c r="H62" i="127" s="1"/>
  <c r="F73" i="101"/>
  <c r="W61" i="101"/>
  <c r="S37" i="101"/>
  <c r="P48" i="101"/>
  <c r="O93" i="101"/>
  <c r="H92" i="127" s="1"/>
  <c r="I92" i="127" s="1"/>
  <c r="R38" i="101"/>
  <c r="T66" i="101"/>
  <c r="M58" i="101"/>
  <c r="K40" i="101"/>
  <c r="I80" i="101"/>
  <c r="E36" i="101"/>
  <c r="R69" i="101"/>
  <c r="Q55" i="101"/>
  <c r="G61" i="101"/>
  <c r="G55" i="101"/>
  <c r="T59" i="101"/>
  <c r="T72" i="101"/>
  <c r="V51" i="101"/>
  <c r="T21" i="101"/>
  <c r="T36" i="101"/>
  <c r="X32" i="101"/>
  <c r="L89" i="101"/>
  <c r="P41" i="101"/>
  <c r="R36" i="101"/>
  <c r="V93" i="101"/>
  <c r="I84" i="101"/>
  <c r="W77" i="101"/>
  <c r="E93" i="101"/>
  <c r="W41" i="101"/>
  <c r="F14" i="101"/>
  <c r="P59" i="101"/>
  <c r="R86" i="101"/>
  <c r="K46" i="101"/>
  <c r="P70" i="101"/>
  <c r="P23" i="101"/>
  <c r="R50" i="101"/>
  <c r="L92" i="101"/>
  <c r="N58" i="101"/>
  <c r="H58" i="128" s="1"/>
  <c r="D91" i="101"/>
  <c r="E90" i="127" s="1"/>
  <c r="D30" i="101"/>
  <c r="F30" i="128" s="1"/>
  <c r="N54" i="101"/>
  <c r="H54" i="128" s="1"/>
  <c r="O47" i="101"/>
  <c r="H46" i="127" s="1"/>
  <c r="O14" i="101"/>
  <c r="H13" i="127" s="1"/>
  <c r="O16" i="101"/>
  <c r="I16" i="128" s="1"/>
  <c r="O16" i="128" s="1"/>
  <c r="O32" i="101"/>
  <c r="H31" i="127" s="1"/>
  <c r="O37" i="101"/>
  <c r="I37" i="128" s="1"/>
  <c r="O37" i="128" s="1"/>
  <c r="C21" i="101"/>
  <c r="N20" i="116" s="1"/>
  <c r="D50" i="101"/>
  <c r="E49" i="127" s="1"/>
  <c r="C51" i="101"/>
  <c r="H52" i="154" s="1"/>
  <c r="M52" i="154" s="1"/>
  <c r="D12" i="101"/>
  <c r="E11" i="127" s="1"/>
  <c r="D19" i="101"/>
  <c r="F19" i="128" s="1"/>
  <c r="P29" i="101"/>
  <c r="N44" i="101"/>
  <c r="G43" i="127" s="1"/>
  <c r="O18" i="101"/>
  <c r="I18" i="128" s="1"/>
  <c r="O18" i="128" s="1"/>
  <c r="O48" i="101"/>
  <c r="I48" i="128" s="1"/>
  <c r="O48" i="128" s="1"/>
  <c r="O26" i="101"/>
  <c r="H25" i="127" s="1"/>
  <c r="O21" i="101"/>
  <c r="I21" i="128" s="1"/>
  <c r="O21" i="128" s="1"/>
  <c r="D14" i="101"/>
  <c r="E13" i="127" s="1"/>
  <c r="C28" i="101"/>
  <c r="N27" i="116" s="1"/>
  <c r="C37" i="101"/>
  <c r="N36" i="116" s="1"/>
  <c r="C39" i="101"/>
  <c r="N38" i="116" s="1"/>
  <c r="D51" i="101"/>
  <c r="F51" i="128" s="1"/>
  <c r="L51" i="128" s="1"/>
  <c r="N12" i="101"/>
  <c r="I13" i="154" s="1"/>
  <c r="N13" i="154" s="1"/>
  <c r="O50" i="101"/>
  <c r="I50" i="128" s="1"/>
  <c r="O50" i="128" s="1"/>
  <c r="O41" i="101"/>
  <c r="I41" i="128" s="1"/>
  <c r="O41" i="128" s="1"/>
  <c r="O11" i="101"/>
  <c r="I11" i="128" s="1"/>
  <c r="O17" i="101"/>
  <c r="H16" i="127" s="1"/>
  <c r="C53" i="101"/>
  <c r="D52" i="127" s="1"/>
  <c r="D45" i="101"/>
  <c r="F45" i="128" s="1"/>
  <c r="C18" i="101"/>
  <c r="E18" i="128" s="1"/>
  <c r="C20" i="101"/>
  <c r="E20" i="128" s="1"/>
  <c r="C54" i="257"/>
  <c r="D64" i="116"/>
  <c r="J64" i="116" s="1"/>
  <c r="H23" i="162"/>
  <c r="H20" i="162"/>
  <c r="H47" i="162"/>
  <c r="H15" i="162"/>
  <c r="H41" i="162"/>
  <c r="H21" i="162"/>
  <c r="H28" i="162"/>
  <c r="H42" i="162"/>
  <c r="H35" i="162"/>
  <c r="H12" i="162"/>
  <c r="H26" i="162"/>
  <c r="H36" i="162"/>
  <c r="H27" i="162"/>
  <c r="H19" i="162"/>
  <c r="H44" i="162"/>
  <c r="H22" i="162"/>
  <c r="H32" i="162"/>
  <c r="H45" i="162"/>
  <c r="H39" i="162"/>
  <c r="H9" i="162"/>
  <c r="H30" i="162"/>
  <c r="H40" i="162"/>
  <c r="H31" i="162"/>
  <c r="H33" i="162"/>
  <c r="H17" i="162"/>
  <c r="H46" i="162"/>
  <c r="H34" i="162"/>
  <c r="H25" i="162"/>
  <c r="H13" i="162"/>
  <c r="H8" i="162"/>
  <c r="H16" i="162"/>
  <c r="H43" i="162"/>
  <c r="H14" i="162"/>
  <c r="H37" i="162"/>
  <c r="H18" i="162"/>
  <c r="H24" i="162"/>
  <c r="H38" i="162"/>
  <c r="H29" i="162"/>
  <c r="H10" i="162"/>
  <c r="H11" i="162"/>
  <c r="D73" i="116"/>
  <c r="K73" i="116" s="1"/>
  <c r="D75" i="116"/>
  <c r="J75" i="116" s="1"/>
  <c r="B87" i="257"/>
  <c r="O89" i="116"/>
  <c r="P89" i="116" s="1"/>
  <c r="C89" i="257" s="1"/>
  <c r="H89" i="116"/>
  <c r="F89" i="257"/>
  <c r="D71" i="116"/>
  <c r="B71" i="116" s="1"/>
  <c r="D88" i="116"/>
  <c r="B88" i="116" s="1"/>
  <c r="G55" i="116"/>
  <c r="F55" i="116" s="1"/>
  <c r="G55" i="257"/>
  <c r="E55" i="257" s="1"/>
  <c r="D55" i="257" s="1"/>
  <c r="H88" i="127"/>
  <c r="I89" i="128"/>
  <c r="E74" i="128"/>
  <c r="D73" i="127"/>
  <c r="F54" i="128"/>
  <c r="E53" i="127"/>
  <c r="L54" i="154"/>
  <c r="E54" i="154"/>
  <c r="J54" i="154" s="1"/>
  <c r="G45" i="127"/>
  <c r="I47" i="154"/>
  <c r="G15" i="127"/>
  <c r="I17" i="154"/>
  <c r="N17" i="154" s="1"/>
  <c r="H16" i="128"/>
  <c r="E87" i="127"/>
  <c r="F88" i="128"/>
  <c r="G90" i="127"/>
  <c r="H91" i="128"/>
  <c r="I92" i="154"/>
  <c r="N92" i="154" s="1"/>
  <c r="G38" i="127"/>
  <c r="H39" i="128"/>
  <c r="I40" i="154"/>
  <c r="N40" i="154" s="1"/>
  <c r="E25" i="127"/>
  <c r="F26" i="128"/>
  <c r="L26" i="128" s="1"/>
  <c r="H62" i="128"/>
  <c r="G61" i="127"/>
  <c r="D92" i="127"/>
  <c r="C10" i="160"/>
  <c r="E90" i="128"/>
  <c r="D89" i="127"/>
  <c r="L13" i="154"/>
  <c r="E13" i="154"/>
  <c r="J13" i="154" s="1"/>
  <c r="H30" i="128"/>
  <c r="I31" i="154"/>
  <c r="N31" i="154" s="1"/>
  <c r="G29" i="127"/>
  <c r="E47" i="128"/>
  <c r="N46" i="116"/>
  <c r="D46" i="127"/>
  <c r="H48" i="154"/>
  <c r="M48" i="154" s="1"/>
  <c r="H70" i="127"/>
  <c r="I71" i="128"/>
  <c r="F74" i="128"/>
  <c r="E73" i="127"/>
  <c r="E48" i="154"/>
  <c r="J48" i="154" s="1"/>
  <c r="L48" i="154"/>
  <c r="H63" i="127"/>
  <c r="I64" i="128"/>
  <c r="G81" i="127"/>
  <c r="H82" i="128"/>
  <c r="L35" i="154"/>
  <c r="E35" i="154"/>
  <c r="J35" i="154" s="1"/>
  <c r="H24" i="128"/>
  <c r="G23" i="127"/>
  <c r="I25" i="154"/>
  <c r="N25" i="154" s="1"/>
  <c r="E32" i="128"/>
  <c r="N31" i="116"/>
  <c r="D31" i="127"/>
  <c r="H33" i="154"/>
  <c r="M33" i="154" s="1"/>
  <c r="E24" i="154"/>
  <c r="J24" i="154" s="1"/>
  <c r="L24" i="154"/>
  <c r="I67" i="128"/>
  <c r="H66" i="127"/>
  <c r="F79" i="128"/>
  <c r="E78" i="127"/>
  <c r="L53" i="154"/>
  <c r="E53" i="154"/>
  <c r="J53" i="154" s="1"/>
  <c r="H60" i="128"/>
  <c r="G59" i="127"/>
  <c r="H29" i="128"/>
  <c r="I30" i="154"/>
  <c r="N30" i="154" s="1"/>
  <c r="G28" i="127"/>
  <c r="H51" i="128"/>
  <c r="G50" i="127"/>
  <c r="I52" i="154"/>
  <c r="N52" i="154" s="1"/>
  <c r="I29" i="128"/>
  <c r="O29" i="128" s="1"/>
  <c r="H28" i="127"/>
  <c r="I23" i="128"/>
  <c r="O23" i="128" s="1"/>
  <c r="H22" i="127"/>
  <c r="F32" i="128"/>
  <c r="L32" i="128" s="1"/>
  <c r="N37" i="116"/>
  <c r="D37" i="127"/>
  <c r="H39" i="154"/>
  <c r="M39" i="154" s="1"/>
  <c r="E38" i="128"/>
  <c r="E51" i="127"/>
  <c r="F52" i="128"/>
  <c r="L52" i="128" s="1"/>
  <c r="F53" i="128"/>
  <c r="L53" i="128" s="1"/>
  <c r="E52" i="127"/>
  <c r="D59" i="127"/>
  <c r="E60" i="128"/>
  <c r="G73" i="127"/>
  <c r="H74" i="128"/>
  <c r="E54" i="127"/>
  <c r="F55" i="128"/>
  <c r="H89" i="128"/>
  <c r="G88" i="127"/>
  <c r="I77" i="128"/>
  <c r="H76" i="127"/>
  <c r="H51" i="127"/>
  <c r="H17" i="128"/>
  <c r="I18" i="154"/>
  <c r="N18" i="154" s="1"/>
  <c r="G16" i="127"/>
  <c r="H27" i="154"/>
  <c r="M27" i="154" s="1"/>
  <c r="N16" i="116"/>
  <c r="D16" i="127"/>
  <c r="H18" i="154"/>
  <c r="M18" i="154" s="1"/>
  <c r="E17" i="128"/>
  <c r="E28" i="127"/>
  <c r="F29" i="128"/>
  <c r="L29" i="128" s="1"/>
  <c r="L29" i="154"/>
  <c r="E29" i="154"/>
  <c r="J29" i="154" s="1"/>
  <c r="L42" i="154"/>
  <c r="D20" i="127"/>
  <c r="D63" i="116"/>
  <c r="H72" i="116"/>
  <c r="O72" i="116"/>
  <c r="P72" i="116" s="1"/>
  <c r="C72" i="257" s="1"/>
  <c r="F72" i="257"/>
  <c r="I98" i="19"/>
  <c r="G58" i="257"/>
  <c r="E58" i="257" s="1"/>
  <c r="D58" i="257" s="1"/>
  <c r="G58" i="116"/>
  <c r="F58" i="116" s="1"/>
  <c r="D86" i="116"/>
  <c r="J53" i="19"/>
  <c r="K53" i="261" s="1"/>
  <c r="P62" i="116"/>
  <c r="C62" i="257" s="1"/>
  <c r="G62" i="116"/>
  <c r="F62" i="116" s="1"/>
  <c r="G62" i="257"/>
  <c r="E62" i="257" s="1"/>
  <c r="D62" i="257" s="1"/>
  <c r="D70" i="116"/>
  <c r="B70" i="116" s="1"/>
  <c r="D69" i="116"/>
  <c r="D74" i="116"/>
  <c r="J74" i="116" s="1"/>
  <c r="H72" i="128"/>
  <c r="H61" i="128"/>
  <c r="D40" i="127"/>
  <c r="E56" i="128"/>
  <c r="I48" i="154"/>
  <c r="N48" i="154" s="1"/>
  <c r="N11" i="116"/>
  <c r="D11" i="127"/>
  <c r="L52" i="154"/>
  <c r="E52" i="154"/>
  <c r="J52" i="154" s="1"/>
  <c r="E18" i="154"/>
  <c r="J18" i="154" s="1"/>
  <c r="L18" i="154"/>
  <c r="G89" i="127"/>
  <c r="H90" i="128"/>
  <c r="E61" i="128"/>
  <c r="D60" i="127"/>
  <c r="I88" i="128"/>
  <c r="H87" i="127"/>
  <c r="I75" i="128"/>
  <c r="H74" i="127"/>
  <c r="E63" i="127"/>
  <c r="F64" i="128"/>
  <c r="H27" i="128"/>
  <c r="G26" i="127"/>
  <c r="I28" i="154"/>
  <c r="N28" i="154" s="1"/>
  <c r="H51" i="154"/>
  <c r="M51" i="154" s="1"/>
  <c r="E50" i="128"/>
  <c r="N49" i="116"/>
  <c r="D49" i="127"/>
  <c r="F66" i="128"/>
  <c r="E65" i="127"/>
  <c r="E88" i="127"/>
  <c r="I68" i="128"/>
  <c r="H67" i="127"/>
  <c r="I87" i="128"/>
  <c r="H86" i="127"/>
  <c r="E46" i="154"/>
  <c r="J46" i="154" s="1"/>
  <c r="L46" i="154"/>
  <c r="E69" i="128"/>
  <c r="D68" i="127"/>
  <c r="D71" i="127"/>
  <c r="H61" i="127"/>
  <c r="I62" i="128"/>
  <c r="H65" i="127"/>
  <c r="I66" i="128"/>
  <c r="I79" i="128"/>
  <c r="H78" i="127"/>
  <c r="E61" i="127"/>
  <c r="F62" i="128"/>
  <c r="E84" i="128"/>
  <c r="D83" i="127"/>
  <c r="H38" i="127"/>
  <c r="I39" i="128"/>
  <c r="O39" i="128" s="1"/>
  <c r="G19" i="127"/>
  <c r="H36" i="154"/>
  <c r="M36" i="154" s="1"/>
  <c r="D34" i="127"/>
  <c r="E35" i="128"/>
  <c r="N34" i="116"/>
  <c r="E16" i="154"/>
  <c r="J16" i="154" s="1"/>
  <c r="L16" i="154"/>
  <c r="E74" i="127"/>
  <c r="F75" i="128"/>
  <c r="H79" i="127"/>
  <c r="I80" i="128"/>
  <c r="H60" i="127"/>
  <c r="I61" i="128"/>
  <c r="F73" i="128"/>
  <c r="E72" i="127"/>
  <c r="L31" i="154"/>
  <c r="E31" i="154"/>
  <c r="J31" i="154" s="1"/>
  <c r="H23" i="128"/>
  <c r="I24" i="154"/>
  <c r="N24" i="154" s="1"/>
  <c r="G22" i="127"/>
  <c r="H53" i="128"/>
  <c r="G52" i="127"/>
  <c r="I54" i="154"/>
  <c r="N54" i="154" s="1"/>
  <c r="H27" i="127"/>
  <c r="I28" i="128"/>
  <c r="O28" i="128" s="1"/>
  <c r="I15" i="128"/>
  <c r="O15" i="128" s="1"/>
  <c r="H14" i="127"/>
  <c r="I19" i="128"/>
  <c r="O19" i="128" s="1"/>
  <c r="H18" i="127"/>
  <c r="D35" i="127"/>
  <c r="H37" i="154"/>
  <c r="M37" i="154" s="1"/>
  <c r="E36" i="128"/>
  <c r="N35" i="116"/>
  <c r="D26" i="127"/>
  <c r="E27" i="128"/>
  <c r="N26" i="116"/>
  <c r="H28" i="154"/>
  <c r="M28" i="154" s="1"/>
  <c r="D28" i="127"/>
  <c r="E29" i="128"/>
  <c r="N28" i="116"/>
  <c r="H30" i="154"/>
  <c r="M30" i="154" s="1"/>
  <c r="I70" i="128"/>
  <c r="H69" i="127"/>
  <c r="L36" i="154"/>
  <c r="E36" i="154"/>
  <c r="J36" i="154" s="1"/>
  <c r="I58" i="128"/>
  <c r="E51" i="154"/>
  <c r="J51" i="154" s="1"/>
  <c r="L51" i="154"/>
  <c r="F86" i="128"/>
  <c r="E85" i="127"/>
  <c r="H88" i="128"/>
  <c r="I20" i="154"/>
  <c r="N20" i="154" s="1"/>
  <c r="H41" i="154"/>
  <c r="M41" i="154" s="1"/>
  <c r="N48" i="116"/>
  <c r="H50" i="154"/>
  <c r="M50" i="154" s="1"/>
  <c r="D48" i="127"/>
  <c r="E49" i="128"/>
  <c r="L37" i="154"/>
  <c r="E37" i="154"/>
  <c r="J37" i="154" s="1"/>
  <c r="E92" i="154"/>
  <c r="I26" i="128"/>
  <c r="O26" i="128" s="1"/>
  <c r="E28" i="128"/>
  <c r="E39" i="128"/>
  <c r="E50" i="127"/>
  <c r="P58" i="116"/>
  <c r="C58" i="257" s="1"/>
  <c r="D82" i="116"/>
  <c r="B82" i="116" s="1"/>
  <c r="D79" i="116"/>
  <c r="B79" i="116" s="1"/>
  <c r="C79" i="116" s="1"/>
  <c r="B79" i="257" s="1"/>
  <c r="D59" i="116"/>
  <c r="J59" i="116" s="1"/>
  <c r="D81" i="116"/>
  <c r="B81" i="116" s="1"/>
  <c r="P55" i="116"/>
  <c r="C55" i="257" s="1"/>
  <c r="D85" i="116"/>
  <c r="B85" i="116" s="1"/>
  <c r="E58" i="128"/>
  <c r="D57" i="127"/>
  <c r="F57" i="128"/>
  <c r="E56" i="127"/>
  <c r="H76" i="128"/>
  <c r="G75" i="127"/>
  <c r="H17" i="154"/>
  <c r="M17" i="154" s="1"/>
  <c r="D15" i="127"/>
  <c r="E16" i="128"/>
  <c r="N15" i="116"/>
  <c r="E27" i="154"/>
  <c r="J27" i="154" s="1"/>
  <c r="L27" i="154"/>
  <c r="G63" i="127"/>
  <c r="H64" i="128"/>
  <c r="E55" i="127"/>
  <c r="F56" i="128"/>
  <c r="D75" i="127"/>
  <c r="E76" i="128"/>
  <c r="F80" i="128"/>
  <c r="E79" i="127"/>
  <c r="L28" i="154"/>
  <c r="E28" i="154"/>
  <c r="J28" i="154" s="1"/>
  <c r="E88" i="128"/>
  <c r="D87" i="127"/>
  <c r="E78" i="128"/>
  <c r="D77" i="127"/>
  <c r="E81" i="127"/>
  <c r="F82" i="128"/>
  <c r="D67" i="127"/>
  <c r="E68" i="128"/>
  <c r="H75" i="128"/>
  <c r="G74" i="127"/>
  <c r="G37" i="127"/>
  <c r="H38" i="128"/>
  <c r="I39" i="154"/>
  <c r="N39" i="154" s="1"/>
  <c r="F27" i="128"/>
  <c r="E26" i="127"/>
  <c r="G70" i="127"/>
  <c r="H71" i="128"/>
  <c r="G67" i="127"/>
  <c r="H68" i="128"/>
  <c r="E38" i="127"/>
  <c r="F39" i="128"/>
  <c r="E66" i="127"/>
  <c r="E71" i="127"/>
  <c r="I85" i="128"/>
  <c r="D72" i="127"/>
  <c r="D61" i="127"/>
  <c r="F83" i="128"/>
  <c r="F87" i="128"/>
  <c r="E71" i="128"/>
  <c r="H72" i="127"/>
  <c r="G68" i="127"/>
  <c r="E65" i="128"/>
  <c r="I53" i="128"/>
  <c r="O53" i="128" s="1"/>
  <c r="H21" i="127"/>
  <c r="N29" i="116"/>
  <c r="E11" i="128"/>
  <c r="F61" i="128"/>
  <c r="E45" i="154"/>
  <c r="J45" i="154" s="1"/>
  <c r="H85" i="128"/>
  <c r="H89" i="127"/>
  <c r="I22" i="154"/>
  <c r="N22" i="154" s="1"/>
  <c r="G27" i="127"/>
  <c r="G21" i="127"/>
  <c r="D33" i="127"/>
  <c r="D47" i="127"/>
  <c r="G76" i="127"/>
  <c r="H77" i="128"/>
  <c r="H10" i="127"/>
  <c r="D19" i="127"/>
  <c r="D56" i="116"/>
  <c r="J56" i="116" s="1"/>
  <c r="N53" i="116"/>
  <c r="G54" i="257"/>
  <c r="G54" i="116"/>
  <c r="F83" i="257"/>
  <c r="H83" i="116"/>
  <c r="O83" i="116"/>
  <c r="P77" i="116"/>
  <c r="C77" i="257" s="1"/>
  <c r="G77" i="116"/>
  <c r="F77" i="116" s="1"/>
  <c r="G77" i="257"/>
  <c r="E77" i="257" s="1"/>
  <c r="D77" i="257" s="1"/>
  <c r="B68" i="257"/>
  <c r="G67" i="257"/>
  <c r="E67" i="257" s="1"/>
  <c r="D67" i="257" s="1"/>
  <c r="G67" i="116"/>
  <c r="F67" i="116" s="1"/>
  <c r="D60" i="116"/>
  <c r="K60" i="116" s="1"/>
  <c r="E57" i="127"/>
  <c r="F58" i="128"/>
  <c r="H85" i="127"/>
  <c r="I86" i="128"/>
  <c r="I56" i="128"/>
  <c r="H55" i="127"/>
  <c r="I36" i="154"/>
  <c r="N36" i="154" s="1"/>
  <c r="G34" i="127"/>
  <c r="H35" i="128"/>
  <c r="F60" i="128"/>
  <c r="E59" i="127"/>
  <c r="E44" i="154"/>
  <c r="J44" i="154" s="1"/>
  <c r="L44" i="154"/>
  <c r="E22" i="154"/>
  <c r="J22" i="154" s="1"/>
  <c r="L22" i="154"/>
  <c r="E83" i="127"/>
  <c r="F84" i="128"/>
  <c r="E70" i="128"/>
  <c r="D69" i="127"/>
  <c r="I44" i="154"/>
  <c r="N44" i="154" s="1"/>
  <c r="H43" i="128"/>
  <c r="G42" i="127"/>
  <c r="E19" i="127"/>
  <c r="F20" i="128"/>
  <c r="I76" i="128"/>
  <c r="H75" i="127"/>
  <c r="G79" i="127"/>
  <c r="H80" i="128"/>
  <c r="H57" i="128"/>
  <c r="G56" i="127"/>
  <c r="H59" i="128"/>
  <c r="G58" i="127"/>
  <c r="L40" i="154"/>
  <c r="E40" i="154"/>
  <c r="J40" i="154" s="1"/>
  <c r="F59" i="128"/>
  <c r="E58" i="127"/>
  <c r="H52" i="128"/>
  <c r="I53" i="154"/>
  <c r="N53" i="154" s="1"/>
  <c r="G51" i="127"/>
  <c r="I51" i="127" s="1"/>
  <c r="AA14" i="101"/>
  <c r="AC14" i="101" s="1"/>
  <c r="N44" i="116"/>
  <c r="L49" i="154"/>
  <c r="E49" i="154"/>
  <c r="J49" i="154" s="1"/>
  <c r="D82" i="127"/>
  <c r="E83" i="128"/>
  <c r="D65" i="127"/>
  <c r="E66" i="128"/>
  <c r="L50" i="154"/>
  <c r="E25" i="154"/>
  <c r="J25" i="154" s="1"/>
  <c r="L25" i="154"/>
  <c r="E54" i="128"/>
  <c r="D53" i="127"/>
  <c r="I59" i="128"/>
  <c r="H58" i="127"/>
  <c r="E39" i="154"/>
  <c r="J39" i="154" s="1"/>
  <c r="L39" i="154"/>
  <c r="H84" i="128"/>
  <c r="G83" i="127"/>
  <c r="L17" i="154"/>
  <c r="E17" i="154"/>
  <c r="J17" i="154" s="1"/>
  <c r="H91" i="127"/>
  <c r="I92" i="128"/>
  <c r="E62" i="127"/>
  <c r="F63" i="128"/>
  <c r="H32" i="128"/>
  <c r="I33" i="154"/>
  <c r="N33" i="154" s="1"/>
  <c r="G31" i="127"/>
  <c r="E23" i="128"/>
  <c r="N22" i="116"/>
  <c r="H24" i="154"/>
  <c r="M24" i="154" s="1"/>
  <c r="D22" i="127"/>
  <c r="E63" i="128"/>
  <c r="G63" i="128" s="1"/>
  <c r="D62" i="127"/>
  <c r="L30" i="154"/>
  <c r="E30" i="154"/>
  <c r="J30" i="154" s="1"/>
  <c r="D63" i="127"/>
  <c r="F78" i="128"/>
  <c r="E77" i="127"/>
  <c r="E33" i="154"/>
  <c r="J33" i="154" s="1"/>
  <c r="L33" i="154"/>
  <c r="H33" i="127"/>
  <c r="I34" i="128"/>
  <c r="O34" i="128" s="1"/>
  <c r="I27" i="128"/>
  <c r="O27" i="128" s="1"/>
  <c r="H26" i="127"/>
  <c r="I35" i="128"/>
  <c r="O35" i="128" s="1"/>
  <c r="H34" i="127"/>
  <c r="H45" i="154"/>
  <c r="M45" i="154" s="1"/>
  <c r="D43" i="127"/>
  <c r="E44" i="128"/>
  <c r="N43" i="116"/>
  <c r="F18" i="128"/>
  <c r="E17" i="127"/>
  <c r="F16" i="128"/>
  <c r="E15" i="127"/>
  <c r="F21" i="128"/>
  <c r="F28" i="128"/>
  <c r="L28" i="128" s="1"/>
  <c r="E27" i="127"/>
  <c r="H80" i="127"/>
  <c r="I81" i="128"/>
  <c r="L15" i="154"/>
  <c r="E15" i="154"/>
  <c r="J15" i="154" s="1"/>
  <c r="I57" i="128"/>
  <c r="H56" i="127"/>
  <c r="G78" i="127"/>
  <c r="H79" i="128"/>
  <c r="F68" i="128"/>
  <c r="E67" i="127"/>
  <c r="D54" i="127"/>
  <c r="E55" i="128"/>
  <c r="H87" i="128"/>
  <c r="G86" i="127"/>
  <c r="D86" i="127"/>
  <c r="I20" i="128"/>
  <c r="O20" i="128" s="1"/>
  <c r="H19" i="127"/>
  <c r="H14" i="128"/>
  <c r="G13" i="127"/>
  <c r="I15" i="154"/>
  <c r="N15" i="154" s="1"/>
  <c r="H18" i="128"/>
  <c r="I19" i="154"/>
  <c r="N19" i="154" s="1"/>
  <c r="G17" i="127"/>
  <c r="N14" i="116"/>
  <c r="D21" i="127"/>
  <c r="H23" i="154"/>
  <c r="M23" i="154" s="1"/>
  <c r="E24" i="128"/>
  <c r="N23" i="116"/>
  <c r="D84" i="127"/>
  <c r="E85" i="128"/>
  <c r="E86" i="128"/>
  <c r="I45" i="128"/>
  <c r="F91" i="128"/>
  <c r="L91" i="128" s="1"/>
  <c r="I40" i="128"/>
  <c r="O40" i="128" s="1"/>
  <c r="D42" i="127"/>
  <c r="E36" i="127"/>
  <c r="E23" i="127"/>
  <c r="F24" i="128"/>
  <c r="L24" i="128" s="1"/>
  <c r="N10" i="260"/>
  <c r="N46" i="260"/>
  <c r="R46" i="261" s="1"/>
  <c r="S46" i="261" s="1"/>
  <c r="W46" i="261" s="1"/>
  <c r="Z46" i="261" s="1"/>
  <c r="M78" i="116"/>
  <c r="L78" i="116"/>
  <c r="L84" i="116"/>
  <c r="M84" i="116"/>
  <c r="M61" i="116"/>
  <c r="L61" i="116"/>
  <c r="M76" i="116"/>
  <c r="L76" i="116"/>
  <c r="M66" i="116"/>
  <c r="L66" i="116"/>
  <c r="M87" i="116"/>
  <c r="L68" i="116"/>
  <c r="M80" i="116"/>
  <c r="L80" i="116"/>
  <c r="D14" i="127" l="1"/>
  <c r="H16" i="154"/>
  <c r="M16" i="154" s="1"/>
  <c r="G25" i="127"/>
  <c r="I25" i="127" s="1"/>
  <c r="H26" i="128"/>
  <c r="I27" i="154"/>
  <c r="N27" i="154" s="1"/>
  <c r="G80" i="127"/>
  <c r="H81" i="128"/>
  <c r="J81" i="128" s="1"/>
  <c r="D66" i="127"/>
  <c r="E67" i="128"/>
  <c r="N51" i="116"/>
  <c r="H51" i="116" s="1"/>
  <c r="E52" i="128"/>
  <c r="G52" i="128" s="1"/>
  <c r="M52" i="128" s="1"/>
  <c r="D51" i="127"/>
  <c r="F51" i="127" s="1"/>
  <c r="E75" i="128"/>
  <c r="D74" i="127"/>
  <c r="F74" i="127" s="1"/>
  <c r="E38" i="154"/>
  <c r="J38" i="154" s="1"/>
  <c r="L38" i="154"/>
  <c r="F34" i="128"/>
  <c r="L34" i="128" s="1"/>
  <c r="E33" i="127"/>
  <c r="E21" i="154"/>
  <c r="J21" i="154" s="1"/>
  <c r="L21" i="154"/>
  <c r="E70" i="127"/>
  <c r="F71" i="128"/>
  <c r="I41" i="154"/>
  <c r="N41" i="154" s="1"/>
  <c r="G39" i="127"/>
  <c r="I39" i="127" s="1"/>
  <c r="E14" i="128"/>
  <c r="N13" i="116"/>
  <c r="F13" i="257" s="1"/>
  <c r="G54" i="127"/>
  <c r="I54" i="127" s="1"/>
  <c r="H55" i="128"/>
  <c r="E80" i="128"/>
  <c r="D79" i="127"/>
  <c r="F79" i="127" s="1"/>
  <c r="F22" i="128"/>
  <c r="E21" i="127"/>
  <c r="F21" i="127" s="1"/>
  <c r="E48" i="128"/>
  <c r="N47" i="116"/>
  <c r="F47" i="257" s="1"/>
  <c r="E37" i="127"/>
  <c r="F37" i="127" s="1"/>
  <c r="F38" i="128"/>
  <c r="G33" i="127"/>
  <c r="I35" i="154"/>
  <c r="N35" i="154" s="1"/>
  <c r="H19" i="128"/>
  <c r="N19" i="128" s="1"/>
  <c r="G18" i="127"/>
  <c r="I18" i="127" s="1"/>
  <c r="I50" i="154"/>
  <c r="N50" i="154" s="1"/>
  <c r="G48" i="127"/>
  <c r="E29" i="127"/>
  <c r="E15" i="128"/>
  <c r="I78" i="128"/>
  <c r="H37" i="127"/>
  <c r="G54" i="128"/>
  <c r="G20" i="127"/>
  <c r="F35" i="128"/>
  <c r="L35" i="128" s="1"/>
  <c r="D90" i="127"/>
  <c r="D80" i="127"/>
  <c r="F11" i="128"/>
  <c r="H49" i="128"/>
  <c r="I84" i="128"/>
  <c r="J84" i="128" s="1"/>
  <c r="D13" i="127"/>
  <c r="H40" i="128"/>
  <c r="E37" i="128"/>
  <c r="H65" i="128"/>
  <c r="G64" i="127"/>
  <c r="H92" i="154"/>
  <c r="E91" i="128"/>
  <c r="H64" i="127"/>
  <c r="I65" i="128"/>
  <c r="J65" i="128" s="1"/>
  <c r="E64" i="127"/>
  <c r="F64" i="127" s="1"/>
  <c r="F65" i="128"/>
  <c r="F17" i="128"/>
  <c r="L17" i="128" s="1"/>
  <c r="E16" i="127"/>
  <c r="H71" i="127"/>
  <c r="I71" i="127" s="1"/>
  <c r="E84" i="127"/>
  <c r="H49" i="154"/>
  <c r="M49" i="154" s="1"/>
  <c r="H53" i="127"/>
  <c r="H82" i="127"/>
  <c r="I82" i="127" s="1"/>
  <c r="H15" i="154"/>
  <c r="M15" i="154" s="1"/>
  <c r="H34" i="128"/>
  <c r="D44" i="127"/>
  <c r="D27" i="127"/>
  <c r="F27" i="127" s="1"/>
  <c r="D88" i="127"/>
  <c r="H25" i="154"/>
  <c r="M25" i="154" s="1"/>
  <c r="N21" i="116"/>
  <c r="F21" i="257" s="1"/>
  <c r="E42" i="127"/>
  <c r="H50" i="127"/>
  <c r="I74" i="128"/>
  <c r="H48" i="127"/>
  <c r="E40" i="127"/>
  <c r="F40" i="127" s="1"/>
  <c r="D39" i="127"/>
  <c r="H13" i="154"/>
  <c r="M13" i="154" s="1"/>
  <c r="H22" i="154"/>
  <c r="M22" i="154" s="1"/>
  <c r="E45" i="128"/>
  <c r="H12" i="128"/>
  <c r="H68" i="127"/>
  <c r="I68" i="127" s="1"/>
  <c r="E79" i="128"/>
  <c r="G79" i="128" s="1"/>
  <c r="I44" i="128"/>
  <c r="O44" i="128" s="1"/>
  <c r="F47" i="128"/>
  <c r="E59" i="128"/>
  <c r="N39" i="116"/>
  <c r="O39" i="116" s="1"/>
  <c r="P39" i="116" s="1"/>
  <c r="C39" i="257" s="1"/>
  <c r="I60" i="128"/>
  <c r="G47" i="154"/>
  <c r="E47" i="154" s="1"/>
  <c r="L19" i="154"/>
  <c r="H36" i="128"/>
  <c r="N36" i="128" s="1"/>
  <c r="I82" i="128"/>
  <c r="N25" i="116"/>
  <c r="I16" i="154"/>
  <c r="N16" i="154" s="1"/>
  <c r="H47" i="154"/>
  <c r="L57" i="116"/>
  <c r="N42" i="116"/>
  <c r="G85" i="128"/>
  <c r="H56" i="128"/>
  <c r="J56" i="128" s="1"/>
  <c r="I30" i="128"/>
  <c r="O30" i="128" s="1"/>
  <c r="E43" i="128"/>
  <c r="I12" i="154"/>
  <c r="N12" i="154" s="1"/>
  <c r="I86" i="127"/>
  <c r="J79" i="128"/>
  <c r="I51" i="154"/>
  <c r="N51" i="154" s="1"/>
  <c r="E44" i="127"/>
  <c r="E48" i="127"/>
  <c r="F48" i="127" s="1"/>
  <c r="H23" i="127"/>
  <c r="I23" i="127" s="1"/>
  <c r="H73" i="128"/>
  <c r="H90" i="127"/>
  <c r="I90" i="127" s="1"/>
  <c r="H70" i="128"/>
  <c r="J70" i="128" s="1"/>
  <c r="G35" i="127"/>
  <c r="I35" i="127" s="1"/>
  <c r="I32" i="128"/>
  <c r="O32" i="128" s="1"/>
  <c r="E89" i="127"/>
  <c r="F89" i="127" s="1"/>
  <c r="E43" i="127"/>
  <c r="F43" i="127" s="1"/>
  <c r="E26" i="128"/>
  <c r="G14" i="127"/>
  <c r="F77" i="128"/>
  <c r="G91" i="127"/>
  <c r="I91" i="127" s="1"/>
  <c r="H31" i="154"/>
  <c r="M31" i="154" s="1"/>
  <c r="H42" i="154"/>
  <c r="M42" i="154" s="1"/>
  <c r="H11" i="128"/>
  <c r="I23" i="154"/>
  <c r="N23" i="154" s="1"/>
  <c r="D29" i="127"/>
  <c r="F70" i="128"/>
  <c r="G70" i="128" s="1"/>
  <c r="H15" i="127"/>
  <c r="I10" i="101"/>
  <c r="H10" i="101"/>
  <c r="G10" i="101"/>
  <c r="J77" i="128"/>
  <c r="J87" i="128"/>
  <c r="F42" i="127"/>
  <c r="I84" i="127"/>
  <c r="T44" i="261"/>
  <c r="X44" i="261" s="1"/>
  <c r="AA44" i="261" s="1"/>
  <c r="S44" i="261"/>
  <c r="W44" i="261" s="1"/>
  <c r="Z44" i="261" s="1"/>
  <c r="J58" i="128"/>
  <c r="T10" i="101"/>
  <c r="L10" i="101"/>
  <c r="S10" i="101"/>
  <c r="I21" i="127"/>
  <c r="J72" i="128"/>
  <c r="S41" i="261"/>
  <c r="W41" i="261" s="1"/>
  <c r="Z41" i="261" s="1"/>
  <c r="Z9" i="261" s="1"/>
  <c r="U83" i="261"/>
  <c r="Y83" i="261" s="1"/>
  <c r="AB83" i="261" s="1"/>
  <c r="X9" i="261"/>
  <c r="U89" i="261"/>
  <c r="Y89" i="261" s="1"/>
  <c r="AB89" i="261" s="1"/>
  <c r="T27" i="261"/>
  <c r="X27" i="261" s="1"/>
  <c r="AA27" i="261" s="1"/>
  <c r="U41" i="261"/>
  <c r="Y41" i="261" s="1"/>
  <c r="Y9" i="261" s="1"/>
  <c r="S83" i="261"/>
  <c r="W83" i="261" s="1"/>
  <c r="Z83" i="261" s="1"/>
  <c r="S27" i="261"/>
  <c r="W27" i="261" s="1"/>
  <c r="Z27" i="261" s="1"/>
  <c r="R10" i="261"/>
  <c r="S10" i="261" s="1"/>
  <c r="W10" i="261" s="1"/>
  <c r="Z10" i="261" s="1"/>
  <c r="T89" i="261"/>
  <c r="X89" i="261" s="1"/>
  <c r="AA89" i="261" s="1"/>
  <c r="G89" i="128"/>
  <c r="H11" i="127"/>
  <c r="E91" i="127"/>
  <c r="F91" i="127" s="1"/>
  <c r="E14" i="127"/>
  <c r="E22" i="127"/>
  <c r="F22" i="127" s="1"/>
  <c r="D10" i="101"/>
  <c r="E9" i="127" s="1"/>
  <c r="G36" i="127"/>
  <c r="F25" i="127"/>
  <c r="I36" i="128"/>
  <c r="O36" i="128" s="1"/>
  <c r="W10" i="101"/>
  <c r="F78" i="127"/>
  <c r="V10" i="101"/>
  <c r="X10" i="101"/>
  <c r="T46" i="261"/>
  <c r="X46" i="261" s="1"/>
  <c r="AA46" i="261" s="1"/>
  <c r="U10" i="261"/>
  <c r="Y10" i="261" s="1"/>
  <c r="AB10" i="261" s="1"/>
  <c r="R10" i="101"/>
  <c r="K10" i="101"/>
  <c r="C10" i="101"/>
  <c r="H11" i="154" s="1"/>
  <c r="U10" i="101"/>
  <c r="U46" i="261"/>
  <c r="Y46" i="261" s="1"/>
  <c r="AB46" i="261" s="1"/>
  <c r="G47" i="127"/>
  <c r="G86" i="128"/>
  <c r="F86" i="127"/>
  <c r="H86" i="128"/>
  <c r="J86" i="128" s="1"/>
  <c r="I83" i="127"/>
  <c r="H21" i="154"/>
  <c r="M21" i="154" s="1"/>
  <c r="G11" i="127"/>
  <c r="I11" i="127" s="1"/>
  <c r="D10" i="127"/>
  <c r="F10" i="127" s="1"/>
  <c r="F72" i="127"/>
  <c r="J71" i="128"/>
  <c r="J75" i="128"/>
  <c r="G88" i="128"/>
  <c r="H29" i="154"/>
  <c r="M29" i="154" s="1"/>
  <c r="H47" i="127"/>
  <c r="H20" i="154"/>
  <c r="M20" i="154" s="1"/>
  <c r="I46" i="154"/>
  <c r="N46" i="154" s="1"/>
  <c r="H63" i="128"/>
  <c r="E18" i="127"/>
  <c r="F18" i="127" s="1"/>
  <c r="E21" i="128"/>
  <c r="I14" i="128"/>
  <c r="O14" i="128" s="1"/>
  <c r="I63" i="128"/>
  <c r="H53" i="154"/>
  <c r="M53" i="154" s="1"/>
  <c r="I45" i="127"/>
  <c r="M10" i="101"/>
  <c r="Q10" i="101"/>
  <c r="E10" i="101"/>
  <c r="F10" i="101"/>
  <c r="J10" i="101"/>
  <c r="J80" i="128"/>
  <c r="N17" i="116"/>
  <c r="O17" i="116" s="1"/>
  <c r="P17" i="116" s="1"/>
  <c r="C17" i="257" s="1"/>
  <c r="J64" i="128"/>
  <c r="F14" i="128"/>
  <c r="L14" i="128" s="1"/>
  <c r="H17" i="127"/>
  <c r="G77" i="127"/>
  <c r="F12" i="128"/>
  <c r="L12" i="128" s="1"/>
  <c r="H36" i="127"/>
  <c r="I47" i="128"/>
  <c r="J47" i="128" s="1"/>
  <c r="H41" i="128"/>
  <c r="F52" i="127"/>
  <c r="F66" i="127"/>
  <c r="I46" i="127"/>
  <c r="I62" i="127"/>
  <c r="G67" i="128"/>
  <c r="G57" i="127"/>
  <c r="I57" i="127" s="1"/>
  <c r="I55" i="128"/>
  <c r="J55" i="128" s="1"/>
  <c r="I76" i="127"/>
  <c r="H35" i="154"/>
  <c r="M35" i="154" s="1"/>
  <c r="I27" i="127"/>
  <c r="L12" i="154"/>
  <c r="F40" i="128"/>
  <c r="G40" i="128" s="1"/>
  <c r="M40" i="128" s="1"/>
  <c r="H83" i="128"/>
  <c r="J83" i="128" s="1"/>
  <c r="G62" i="128"/>
  <c r="H67" i="128"/>
  <c r="J67" i="128" s="1"/>
  <c r="G81" i="128"/>
  <c r="I87" i="127"/>
  <c r="N18" i="116"/>
  <c r="H18" i="116" s="1"/>
  <c r="G44" i="127"/>
  <c r="I44" i="127" s="1"/>
  <c r="E80" i="127"/>
  <c r="E20" i="154"/>
  <c r="J20" i="154" s="1"/>
  <c r="E23" i="154"/>
  <c r="J23" i="154" s="1"/>
  <c r="L65" i="116"/>
  <c r="H48" i="128"/>
  <c r="J48" i="128" s="1"/>
  <c r="P48" i="128" s="1"/>
  <c r="F84" i="127"/>
  <c r="G49" i="127"/>
  <c r="I79" i="127"/>
  <c r="D17" i="127"/>
  <c r="F17" i="127" s="1"/>
  <c r="H40" i="127"/>
  <c r="I40" i="127" s="1"/>
  <c r="D56" i="127"/>
  <c r="F56" i="127" s="1"/>
  <c r="E82" i="128"/>
  <c r="G82" i="128" s="1"/>
  <c r="F48" i="128"/>
  <c r="L48" i="128" s="1"/>
  <c r="N33" i="116"/>
  <c r="O33" i="116" s="1"/>
  <c r="H28" i="128"/>
  <c r="J28" i="128" s="1"/>
  <c r="P28" i="128" s="1"/>
  <c r="G11" i="154"/>
  <c r="E11" i="154" s="1"/>
  <c r="E93" i="154" s="1"/>
  <c r="H12" i="154"/>
  <c r="M12" i="154" s="1"/>
  <c r="E68" i="127"/>
  <c r="F68" i="127" s="1"/>
  <c r="E41" i="154"/>
  <c r="J41" i="154" s="1"/>
  <c r="F76" i="128"/>
  <c r="I63" i="127"/>
  <c r="H44" i="128"/>
  <c r="N44" i="128" s="1"/>
  <c r="J88" i="128"/>
  <c r="F28" i="127"/>
  <c r="E19" i="128"/>
  <c r="C17" i="155" s="1"/>
  <c r="I21" i="154"/>
  <c r="N21" i="154" s="1"/>
  <c r="H37" i="128"/>
  <c r="J37" i="128" s="1"/>
  <c r="P37" i="128" s="1"/>
  <c r="H42" i="127"/>
  <c r="I42" i="127" s="1"/>
  <c r="E77" i="128"/>
  <c r="H47" i="128"/>
  <c r="N40" i="116"/>
  <c r="F40" i="257" s="1"/>
  <c r="J91" i="17"/>
  <c r="D50" i="127"/>
  <c r="F50" i="127" s="1"/>
  <c r="G53" i="127"/>
  <c r="E35" i="127"/>
  <c r="F35" i="127" s="1"/>
  <c r="I42" i="154"/>
  <c r="N42" i="154" s="1"/>
  <c r="I88" i="127"/>
  <c r="G65" i="127"/>
  <c r="I65" i="127" s="1"/>
  <c r="P10" i="101"/>
  <c r="G87" i="128"/>
  <c r="F54" i="127"/>
  <c r="F53" i="127"/>
  <c r="G83" i="128"/>
  <c r="F69" i="127"/>
  <c r="H19" i="154"/>
  <c r="M19" i="154" s="1"/>
  <c r="H54" i="154"/>
  <c r="M54" i="154" s="1"/>
  <c r="G65" i="128"/>
  <c r="I67" i="127"/>
  <c r="I74" i="127"/>
  <c r="F87" i="127"/>
  <c r="D36" i="127"/>
  <c r="F36" i="127" s="1"/>
  <c r="F50" i="128"/>
  <c r="L50" i="128" s="1"/>
  <c r="F92" i="127"/>
  <c r="I17" i="127"/>
  <c r="I13" i="127"/>
  <c r="N10" i="101"/>
  <c r="I11" i="154" s="1"/>
  <c r="I93" i="154" s="1"/>
  <c r="G64" i="128"/>
  <c r="I31" i="127"/>
  <c r="F82" i="127"/>
  <c r="N52" i="116"/>
  <c r="F52" i="257" s="1"/>
  <c r="H49" i="127"/>
  <c r="F33" i="127"/>
  <c r="J73" i="128"/>
  <c r="I69" i="127"/>
  <c r="K85" i="116"/>
  <c r="M85" i="116" s="1"/>
  <c r="D38" i="127"/>
  <c r="F38" i="127" s="1"/>
  <c r="AA13" i="101"/>
  <c r="AC13" i="101" s="1"/>
  <c r="J63" i="128"/>
  <c r="K70" i="116"/>
  <c r="L70" i="116" s="1"/>
  <c r="N50" i="116"/>
  <c r="O50" i="116" s="1"/>
  <c r="J89" i="128"/>
  <c r="F63" i="127"/>
  <c r="I85" i="127"/>
  <c r="G66" i="128"/>
  <c r="N19" i="116"/>
  <c r="H19" i="116" s="1"/>
  <c r="E53" i="128"/>
  <c r="G53" i="128" s="1"/>
  <c r="M53" i="128" s="1"/>
  <c r="I17" i="128"/>
  <c r="O17" i="128" s="1"/>
  <c r="O10" i="101"/>
  <c r="H9" i="127" s="1"/>
  <c r="G71" i="128"/>
  <c r="F13" i="127"/>
  <c r="I70" i="127"/>
  <c r="J85" i="116"/>
  <c r="H40" i="154"/>
  <c r="M40" i="154" s="1"/>
  <c r="H38" i="154"/>
  <c r="M38" i="154" s="1"/>
  <c r="H20" i="127"/>
  <c r="I20" i="127" s="1"/>
  <c r="I45" i="154"/>
  <c r="N45" i="154" s="1"/>
  <c r="F49" i="127"/>
  <c r="F11" i="127"/>
  <c r="E51" i="128"/>
  <c r="K51" i="128" s="1"/>
  <c r="F88" i="127"/>
  <c r="F85" i="127"/>
  <c r="F14" i="127"/>
  <c r="I10" i="127"/>
  <c r="G55" i="128"/>
  <c r="I78" i="127"/>
  <c r="F65" i="127"/>
  <c r="J79" i="257"/>
  <c r="K79" i="257" s="1"/>
  <c r="G57" i="128"/>
  <c r="F81" i="127"/>
  <c r="F47" i="127"/>
  <c r="J85" i="128"/>
  <c r="G80" i="128"/>
  <c r="F70" i="127"/>
  <c r="F61" i="127"/>
  <c r="I66" i="127"/>
  <c r="J68" i="128"/>
  <c r="I22" i="127"/>
  <c r="F76" i="127"/>
  <c r="J81" i="116"/>
  <c r="J79" i="116"/>
  <c r="F53" i="257"/>
  <c r="F73" i="127"/>
  <c r="K88" i="116"/>
  <c r="M88" i="116" s="1"/>
  <c r="G76" i="128"/>
  <c r="H53" i="116"/>
  <c r="F75" i="127"/>
  <c r="J88" i="116"/>
  <c r="L60" i="116"/>
  <c r="M60" i="116"/>
  <c r="M73" i="116"/>
  <c r="L73" i="116"/>
  <c r="L38" i="128"/>
  <c r="F23" i="127"/>
  <c r="G22" i="128"/>
  <c r="M22" i="128" s="1"/>
  <c r="K22" i="128"/>
  <c r="C20" i="155"/>
  <c r="J18" i="128"/>
  <c r="P18" i="128" s="1"/>
  <c r="N18" i="128"/>
  <c r="L16" i="128"/>
  <c r="G44" i="128"/>
  <c r="M44" i="128" s="1"/>
  <c r="K44" i="128"/>
  <c r="C42" i="155"/>
  <c r="F62" i="127"/>
  <c r="H22" i="116"/>
  <c r="F22" i="257"/>
  <c r="O22" i="116"/>
  <c r="N32" i="128"/>
  <c r="J32" i="128"/>
  <c r="P32" i="128" s="1"/>
  <c r="J52" i="128"/>
  <c r="P52" i="128" s="1"/>
  <c r="N52" i="128"/>
  <c r="J59" i="128"/>
  <c r="L20" i="128"/>
  <c r="I34" i="127"/>
  <c r="F19" i="127"/>
  <c r="L45" i="128"/>
  <c r="K34" i="128"/>
  <c r="G34" i="128"/>
  <c r="M34" i="128" s="1"/>
  <c r="C32" i="155"/>
  <c r="N22" i="128"/>
  <c r="J22" i="128"/>
  <c r="P22" i="128" s="1"/>
  <c r="D9" i="127"/>
  <c r="F9" i="127" s="1"/>
  <c r="C28" i="155"/>
  <c r="G30" i="128"/>
  <c r="M30" i="128" s="1"/>
  <c r="K30" i="128"/>
  <c r="I72" i="127"/>
  <c r="C89" i="155"/>
  <c r="K91" i="128"/>
  <c r="F89" i="155" s="1"/>
  <c r="G91" i="128"/>
  <c r="M91" i="128" s="1"/>
  <c r="J69" i="128"/>
  <c r="F58" i="127"/>
  <c r="H13" i="116"/>
  <c r="O13" i="116"/>
  <c r="L41" i="128"/>
  <c r="L27" i="128"/>
  <c r="F15" i="127"/>
  <c r="C85" i="116"/>
  <c r="B85" i="257" s="1"/>
  <c r="J85" i="257"/>
  <c r="K85" i="257" s="1"/>
  <c r="K81" i="116"/>
  <c r="B59" i="116"/>
  <c r="K59" i="116"/>
  <c r="K39" i="128"/>
  <c r="C37" i="155"/>
  <c r="G39" i="128"/>
  <c r="M39" i="128" s="1"/>
  <c r="G37" i="128"/>
  <c r="M37" i="128" s="1"/>
  <c r="K37" i="128"/>
  <c r="C35" i="155"/>
  <c r="G28" i="128"/>
  <c r="M28" i="128" s="1"/>
  <c r="C26" i="155"/>
  <c r="K28" i="128"/>
  <c r="J44" i="128"/>
  <c r="P44" i="128" s="1"/>
  <c r="L11" i="128"/>
  <c r="O48" i="116"/>
  <c r="H48" i="116"/>
  <c r="F48" i="257"/>
  <c r="F39" i="127"/>
  <c r="J19" i="128"/>
  <c r="P19" i="128" s="1"/>
  <c r="H28" i="116"/>
  <c r="F28" i="257"/>
  <c r="O28" i="116"/>
  <c r="P28" i="116" s="1"/>
  <c r="C28" i="257" s="1"/>
  <c r="F26" i="257"/>
  <c r="O26" i="116"/>
  <c r="H26" i="116"/>
  <c r="G36" i="128"/>
  <c r="M36" i="128" s="1"/>
  <c r="C34" i="155"/>
  <c r="K36" i="128"/>
  <c r="F71" i="127"/>
  <c r="I77" i="127"/>
  <c r="H49" i="116"/>
  <c r="F49" i="257"/>
  <c r="O49" i="116"/>
  <c r="P49" i="116" s="1"/>
  <c r="C49" i="257" s="1"/>
  <c r="F60" i="127"/>
  <c r="J90" i="128"/>
  <c r="J45" i="128"/>
  <c r="N45" i="128"/>
  <c r="K12" i="128"/>
  <c r="C10" i="155"/>
  <c r="G12" i="128"/>
  <c r="N47" i="128"/>
  <c r="G56" i="128"/>
  <c r="J61" i="128"/>
  <c r="J70" i="116"/>
  <c r="F20" i="127"/>
  <c r="O47" i="128"/>
  <c r="L36" i="128"/>
  <c r="N17" i="128"/>
  <c r="I73" i="127"/>
  <c r="F51" i="257"/>
  <c r="H37" i="116"/>
  <c r="F37" i="257"/>
  <c r="O37" i="116"/>
  <c r="I50" i="127"/>
  <c r="I28" i="127"/>
  <c r="J60" i="128"/>
  <c r="O31" i="116"/>
  <c r="P31" i="116" s="1"/>
  <c r="C31" i="257" s="1"/>
  <c r="H31" i="116"/>
  <c r="F31" i="257"/>
  <c r="J24" i="128"/>
  <c r="P24" i="128" s="1"/>
  <c r="N24" i="128"/>
  <c r="I81" i="127"/>
  <c r="J92" i="128"/>
  <c r="G90" i="128"/>
  <c r="J62" i="128"/>
  <c r="J39" i="128"/>
  <c r="P39" i="128" s="1"/>
  <c r="N39" i="128"/>
  <c r="J16" i="128"/>
  <c r="P16" i="128" s="1"/>
  <c r="N16" i="128"/>
  <c r="J71" i="116"/>
  <c r="G89" i="257"/>
  <c r="E89" i="257" s="1"/>
  <c r="D89" i="257" s="1"/>
  <c r="G89" i="116"/>
  <c r="F89" i="116" s="1"/>
  <c r="B75" i="116"/>
  <c r="K75" i="116"/>
  <c r="B64" i="116"/>
  <c r="K64" i="116"/>
  <c r="O42" i="116"/>
  <c r="H42" i="116"/>
  <c r="F42" i="257"/>
  <c r="O45" i="128"/>
  <c r="O23" i="116"/>
  <c r="F23" i="257"/>
  <c r="H23" i="116"/>
  <c r="L21" i="128"/>
  <c r="J50" i="128"/>
  <c r="P50" i="128" s="1"/>
  <c r="N50" i="128"/>
  <c r="C21" i="155"/>
  <c r="K23" i="128"/>
  <c r="G23" i="128"/>
  <c r="M23" i="128" s="1"/>
  <c r="G45" i="128"/>
  <c r="C43" i="155"/>
  <c r="K45" i="128"/>
  <c r="I56" i="127"/>
  <c r="P83" i="116"/>
  <c r="C83" i="257" s="1"/>
  <c r="G83" i="257"/>
  <c r="E83" i="257" s="1"/>
  <c r="D83" i="257" s="1"/>
  <c r="G83" i="116"/>
  <c r="F83" i="116" s="1"/>
  <c r="O53" i="116"/>
  <c r="O11" i="128"/>
  <c r="N12" i="128"/>
  <c r="J12" i="128"/>
  <c r="H47" i="116"/>
  <c r="O47" i="116"/>
  <c r="O10" i="116"/>
  <c r="F10" i="257"/>
  <c r="H10" i="116"/>
  <c r="L47" i="128"/>
  <c r="M92" i="154"/>
  <c r="G59" i="128"/>
  <c r="K14" i="128"/>
  <c r="C12" i="155"/>
  <c r="L39" i="128"/>
  <c r="J82" i="116"/>
  <c r="J92" i="154"/>
  <c r="G49" i="128"/>
  <c r="M49" i="128" s="1"/>
  <c r="K49" i="128"/>
  <c r="C47" i="155"/>
  <c r="F39" i="257"/>
  <c r="J34" i="128"/>
  <c r="P34" i="128" s="1"/>
  <c r="N34" i="128"/>
  <c r="J26" i="128"/>
  <c r="P26" i="128" s="1"/>
  <c r="N26" i="128"/>
  <c r="G29" i="128"/>
  <c r="M29" i="128" s="1"/>
  <c r="K29" i="128"/>
  <c r="C27" i="155"/>
  <c r="K27" i="128"/>
  <c r="C25" i="155"/>
  <c r="G27" i="128"/>
  <c r="M27" i="128" s="1"/>
  <c r="O18" i="116"/>
  <c r="F34" i="257"/>
  <c r="O34" i="116"/>
  <c r="H34" i="116"/>
  <c r="I19" i="127"/>
  <c r="G72" i="128"/>
  <c r="J78" i="128"/>
  <c r="C48" i="155"/>
  <c r="K50" i="128"/>
  <c r="I26" i="127"/>
  <c r="G61" i="128"/>
  <c r="I89" i="127"/>
  <c r="F11" i="257"/>
  <c r="O11" i="116"/>
  <c r="H11" i="116"/>
  <c r="C39" i="155"/>
  <c r="G41" i="128"/>
  <c r="M41" i="128" s="1"/>
  <c r="K41" i="128"/>
  <c r="B69" i="116"/>
  <c r="K69" i="116"/>
  <c r="M70" i="116"/>
  <c r="J91" i="19"/>
  <c r="K91" i="261" s="1"/>
  <c r="K53" i="17"/>
  <c r="G72" i="116"/>
  <c r="F72" i="116" s="1"/>
  <c r="G72" i="257"/>
  <c r="G53" i="257" s="1"/>
  <c r="B63" i="116"/>
  <c r="J63" i="116"/>
  <c r="F16" i="127"/>
  <c r="J41" i="128"/>
  <c r="P41" i="128" s="1"/>
  <c r="N41" i="128"/>
  <c r="K52" i="128"/>
  <c r="G38" i="128"/>
  <c r="M38" i="128" s="1"/>
  <c r="C36" i="155"/>
  <c r="K38" i="128"/>
  <c r="J51" i="128"/>
  <c r="P51" i="128" s="1"/>
  <c r="N51" i="128"/>
  <c r="G32" i="128"/>
  <c r="M32" i="128" s="1"/>
  <c r="K32" i="128"/>
  <c r="C30" i="155"/>
  <c r="L47" i="154"/>
  <c r="F46" i="127"/>
  <c r="I29" i="127"/>
  <c r="I38" i="127"/>
  <c r="L37" i="128"/>
  <c r="K43" i="128"/>
  <c r="C41" i="155"/>
  <c r="G43" i="128"/>
  <c r="M43" i="128" s="1"/>
  <c r="C22" i="155"/>
  <c r="K24" i="128"/>
  <c r="G24" i="128"/>
  <c r="M24" i="128" s="1"/>
  <c r="H14" i="116"/>
  <c r="F14" i="257"/>
  <c r="O14" i="116"/>
  <c r="L18" i="128"/>
  <c r="F44" i="257"/>
  <c r="O44" i="116"/>
  <c r="H44" i="116"/>
  <c r="J57" i="128"/>
  <c r="B60" i="116"/>
  <c r="J60" i="116"/>
  <c r="B56" i="116"/>
  <c r="K56" i="116"/>
  <c r="O19" i="116"/>
  <c r="P19" i="116" s="1"/>
  <c r="C19" i="257" s="1"/>
  <c r="H17" i="116"/>
  <c r="K48" i="128"/>
  <c r="C46" i="155"/>
  <c r="L22" i="128"/>
  <c r="K11" i="128"/>
  <c r="G11" i="128"/>
  <c r="C9" i="155"/>
  <c r="L40" i="128"/>
  <c r="F90" i="127"/>
  <c r="J38" i="128"/>
  <c r="P38" i="128" s="1"/>
  <c r="N38" i="128"/>
  <c r="G68" i="128"/>
  <c r="F77" i="127"/>
  <c r="F15" i="257"/>
  <c r="O15" i="116"/>
  <c r="H15" i="116"/>
  <c r="I75" i="127"/>
  <c r="F57" i="127"/>
  <c r="C81" i="116"/>
  <c r="B81" i="257" s="1"/>
  <c r="J81" i="257"/>
  <c r="K81" i="257" s="1"/>
  <c r="C82" i="116"/>
  <c r="B82" i="257" s="1"/>
  <c r="J82" i="257"/>
  <c r="K82" i="257" s="1"/>
  <c r="L23" i="128"/>
  <c r="K40" i="128"/>
  <c r="C38" i="155"/>
  <c r="J49" i="128"/>
  <c r="P49" i="128" s="1"/>
  <c r="N49" i="128"/>
  <c r="I80" i="127"/>
  <c r="F26" i="127"/>
  <c r="I52" i="127"/>
  <c r="J23" i="128"/>
  <c r="P23" i="128" s="1"/>
  <c r="N23" i="128"/>
  <c r="G35" i="128"/>
  <c r="M35" i="128" s="1"/>
  <c r="K35" i="128"/>
  <c r="C33" i="155"/>
  <c r="F83" i="127"/>
  <c r="N37" i="128"/>
  <c r="J27" i="128"/>
  <c r="P27" i="128" s="1"/>
  <c r="N27" i="128"/>
  <c r="N47" i="154"/>
  <c r="I64" i="127"/>
  <c r="B74" i="116"/>
  <c r="K74" i="116"/>
  <c r="J69" i="116"/>
  <c r="B86" i="116"/>
  <c r="K86" i="116"/>
  <c r="K63" i="116"/>
  <c r="L19" i="128"/>
  <c r="F20" i="257"/>
  <c r="H20" i="116"/>
  <c r="O20" i="116"/>
  <c r="P20" i="116" s="1"/>
  <c r="C20" i="257" s="1"/>
  <c r="J54" i="128"/>
  <c r="L44" i="128"/>
  <c r="H16" i="116"/>
  <c r="F16" i="257"/>
  <c r="O16" i="116"/>
  <c r="F25" i="257"/>
  <c r="O25" i="116"/>
  <c r="H25" i="116"/>
  <c r="I16" i="127"/>
  <c r="I14" i="127"/>
  <c r="G60" i="128"/>
  <c r="J29" i="128"/>
  <c r="P29" i="128" s="1"/>
  <c r="N29" i="128"/>
  <c r="H46" i="116"/>
  <c r="O46" i="116"/>
  <c r="F46" i="257"/>
  <c r="J66" i="128"/>
  <c r="I15" i="127"/>
  <c r="G74" i="128"/>
  <c r="D55" i="116"/>
  <c r="B55" i="116" s="1"/>
  <c r="C55" i="116" s="1"/>
  <c r="B55" i="257" s="1"/>
  <c r="J71" i="257"/>
  <c r="K71" i="257" s="1"/>
  <c r="C71" i="116"/>
  <c r="B71" i="257" s="1"/>
  <c r="E54" i="257"/>
  <c r="D54" i="257" s="1"/>
  <c r="L30" i="128"/>
  <c r="H21" i="116"/>
  <c r="C13" i="155"/>
  <c r="K15" i="128"/>
  <c r="G15" i="128"/>
  <c r="M15" i="128" s="1"/>
  <c r="J14" i="128"/>
  <c r="P14" i="128" s="1"/>
  <c r="N14" i="128"/>
  <c r="J11" i="128"/>
  <c r="N11" i="128"/>
  <c r="O43" i="116"/>
  <c r="P43" i="116" s="1"/>
  <c r="C43" i="257" s="1"/>
  <c r="H43" i="116"/>
  <c r="F43" i="257"/>
  <c r="I58" i="127"/>
  <c r="N43" i="128"/>
  <c r="J43" i="128"/>
  <c r="P43" i="128" s="1"/>
  <c r="J35" i="128"/>
  <c r="P35" i="128" s="1"/>
  <c r="N35" i="128"/>
  <c r="D67" i="116"/>
  <c r="B67" i="116" s="1"/>
  <c r="D77" i="116"/>
  <c r="B77" i="116" s="1"/>
  <c r="C77" i="116" s="1"/>
  <c r="B77" i="257" s="1"/>
  <c r="F54" i="116"/>
  <c r="G20" i="128"/>
  <c r="M20" i="128" s="1"/>
  <c r="K20" i="128"/>
  <c r="C18" i="155"/>
  <c r="C16" i="155"/>
  <c r="G18" i="128"/>
  <c r="M18" i="128" s="1"/>
  <c r="K18" i="128"/>
  <c r="N28" i="128"/>
  <c r="J21" i="128"/>
  <c r="P21" i="128" s="1"/>
  <c r="N21" i="128"/>
  <c r="I55" i="127"/>
  <c r="O29" i="116"/>
  <c r="H29" i="116"/>
  <c r="F29" i="257"/>
  <c r="O12" i="128"/>
  <c r="O90" i="116"/>
  <c r="H90" i="116"/>
  <c r="F90" i="257"/>
  <c r="O91" i="128"/>
  <c r="N40" i="128"/>
  <c r="J40" i="128"/>
  <c r="P40" i="128" s="1"/>
  <c r="I37" i="127"/>
  <c r="F67" i="127"/>
  <c r="G78" i="128"/>
  <c r="G16" i="128"/>
  <c r="M16" i="128" s="1"/>
  <c r="K16" i="128"/>
  <c r="C14" i="155"/>
  <c r="J76" i="128"/>
  <c r="G58" i="128"/>
  <c r="K79" i="116"/>
  <c r="K82" i="116"/>
  <c r="O38" i="116"/>
  <c r="H38" i="116"/>
  <c r="F38" i="257"/>
  <c r="O36" i="116"/>
  <c r="H36" i="116"/>
  <c r="F36" i="257"/>
  <c r="H27" i="116"/>
  <c r="F27" i="257"/>
  <c r="O27" i="116"/>
  <c r="I43" i="127"/>
  <c r="I33" i="127"/>
  <c r="I48" i="127"/>
  <c r="F35" i="257"/>
  <c r="H35" i="116"/>
  <c r="O35" i="116"/>
  <c r="J53" i="128"/>
  <c r="P53" i="128" s="1"/>
  <c r="N53" i="128"/>
  <c r="F34" i="127"/>
  <c r="N20" i="128"/>
  <c r="J20" i="128"/>
  <c r="P20" i="128" s="1"/>
  <c r="G84" i="128"/>
  <c r="G75" i="128"/>
  <c r="G69" i="128"/>
  <c r="F55" i="127"/>
  <c r="I60" i="127"/>
  <c r="C70" i="116"/>
  <c r="B70" i="257" s="1"/>
  <c r="J70" i="257"/>
  <c r="K70" i="257" s="1"/>
  <c r="D62" i="116"/>
  <c r="B62" i="116" s="1"/>
  <c r="C62" i="116" s="1"/>
  <c r="B62" i="257" s="1"/>
  <c r="J86" i="116"/>
  <c r="D58" i="116"/>
  <c r="B58" i="116" s="1"/>
  <c r="C58" i="116" s="1"/>
  <c r="B58" i="257" s="1"/>
  <c r="C19" i="155"/>
  <c r="G21" i="128"/>
  <c r="M21" i="128" s="1"/>
  <c r="K21" i="128"/>
  <c r="G17" i="128"/>
  <c r="M17" i="128" s="1"/>
  <c r="K17" i="128"/>
  <c r="C15" i="155"/>
  <c r="C24" i="155"/>
  <c r="G26" i="128"/>
  <c r="M26" i="128" s="1"/>
  <c r="K26" i="128"/>
  <c r="N15" i="128"/>
  <c r="J15" i="128"/>
  <c r="P15" i="128" s="1"/>
  <c r="J74" i="128"/>
  <c r="F59" i="127"/>
  <c r="I59" i="127"/>
  <c r="F31" i="127"/>
  <c r="J82" i="128"/>
  <c r="J47" i="154"/>
  <c r="G47" i="128"/>
  <c r="C45" i="155"/>
  <c r="K47" i="128"/>
  <c r="N30" i="128"/>
  <c r="J30" i="128"/>
  <c r="P30" i="128" s="1"/>
  <c r="I61" i="127"/>
  <c r="J91" i="128"/>
  <c r="P91" i="128" s="1"/>
  <c r="N91" i="128"/>
  <c r="J88" i="257"/>
  <c r="K88" i="257" s="1"/>
  <c r="C88" i="116"/>
  <c r="B88" i="257" s="1"/>
  <c r="K71" i="116"/>
  <c r="B73" i="116"/>
  <c r="J73" i="116"/>
  <c r="P53" i="116"/>
  <c r="C53" i="257" s="1"/>
  <c r="I53" i="127" l="1"/>
  <c r="F29" i="127"/>
  <c r="I36" i="127"/>
  <c r="O21" i="116"/>
  <c r="P21" i="116" s="1"/>
  <c r="C21" i="257" s="1"/>
  <c r="J36" i="128"/>
  <c r="P36" i="128" s="1"/>
  <c r="F17" i="257"/>
  <c r="C50" i="155"/>
  <c r="H39" i="116"/>
  <c r="G14" i="128"/>
  <c r="M14" i="128" s="1"/>
  <c r="O51" i="116"/>
  <c r="P51" i="116" s="1"/>
  <c r="C51" i="257" s="1"/>
  <c r="C11" i="126"/>
  <c r="L11" i="154"/>
  <c r="J17" i="128"/>
  <c r="P17" i="128" s="1"/>
  <c r="H93" i="154"/>
  <c r="F18" i="257"/>
  <c r="E18" i="257" s="1"/>
  <c r="D18" i="257" s="1"/>
  <c r="I46" i="128"/>
  <c r="O40" i="116"/>
  <c r="P40" i="116" s="1"/>
  <c r="C40" i="257" s="1"/>
  <c r="F44" i="127"/>
  <c r="H33" i="116"/>
  <c r="H9" i="116" s="1"/>
  <c r="H40" i="116"/>
  <c r="F10" i="128"/>
  <c r="G77" i="128"/>
  <c r="F80" i="127"/>
  <c r="I47" i="127"/>
  <c r="F19" i="257"/>
  <c r="N48" i="128"/>
  <c r="L88" i="116"/>
  <c r="N11" i="154"/>
  <c r="N93" i="154" s="1"/>
  <c r="I49" i="127"/>
  <c r="J11" i="154"/>
  <c r="W9" i="261"/>
  <c r="AB41" i="261"/>
  <c r="AB9" i="261" s="1"/>
  <c r="T10" i="261"/>
  <c r="X10" i="261" s="1"/>
  <c r="AA10" i="261" s="1"/>
  <c r="M11" i="154"/>
  <c r="L85" i="116"/>
  <c r="G53" i="116"/>
  <c r="C51" i="155"/>
  <c r="G9" i="127"/>
  <c r="I9" i="127" s="1"/>
  <c r="F50" i="257"/>
  <c r="F45" i="257" s="1"/>
  <c r="M47" i="154"/>
  <c r="F33" i="257"/>
  <c r="G19" i="128"/>
  <c r="M19" i="128" s="1"/>
  <c r="F46" i="128"/>
  <c r="F93" i="128" s="1"/>
  <c r="L93" i="128" s="1"/>
  <c r="N9" i="116"/>
  <c r="H52" i="116"/>
  <c r="K19" i="128"/>
  <c r="F17" i="155" s="1"/>
  <c r="G50" i="128"/>
  <c r="M50" i="128" s="1"/>
  <c r="O52" i="116"/>
  <c r="G52" i="116" s="1"/>
  <c r="F52" i="116" s="1"/>
  <c r="J62" i="116"/>
  <c r="G93" i="154"/>
  <c r="G48" i="128"/>
  <c r="M48" i="128" s="1"/>
  <c r="K53" i="128"/>
  <c r="F51" i="155" s="1"/>
  <c r="C49" i="155"/>
  <c r="H50" i="116"/>
  <c r="H45" i="116" s="1"/>
  <c r="J55" i="257"/>
  <c r="K55" i="257" s="1"/>
  <c r="N45" i="116"/>
  <c r="G51" i="128"/>
  <c r="M51" i="128" s="1"/>
  <c r="E53" i="257"/>
  <c r="D53" i="257" s="1"/>
  <c r="I53" i="257" s="1"/>
  <c r="I10" i="128"/>
  <c r="I93" i="128" s="1"/>
  <c r="O93" i="128" s="1"/>
  <c r="E72" i="257"/>
  <c r="D72" i="257" s="1"/>
  <c r="L93" i="154"/>
  <c r="K58" i="116"/>
  <c r="M58" i="116" s="1"/>
  <c r="G36" i="257"/>
  <c r="E36" i="257" s="1"/>
  <c r="D36" i="257" s="1"/>
  <c r="G36" i="116"/>
  <c r="F36" i="116" s="1"/>
  <c r="G38" i="257"/>
  <c r="E38" i="257" s="1"/>
  <c r="D38" i="257" s="1"/>
  <c r="G38" i="116"/>
  <c r="F38" i="116" s="1"/>
  <c r="P38" i="116"/>
  <c r="C38" i="257" s="1"/>
  <c r="F14" i="155"/>
  <c r="P90" i="116"/>
  <c r="C90" i="257" s="1"/>
  <c r="G90" i="257"/>
  <c r="E90" i="257" s="1"/>
  <c r="D90" i="257" s="1"/>
  <c r="G90" i="116"/>
  <c r="G33" i="257"/>
  <c r="G33" i="116"/>
  <c r="P33" i="116"/>
  <c r="C33" i="257" s="1"/>
  <c r="K77" i="116"/>
  <c r="K67" i="116"/>
  <c r="K55" i="116"/>
  <c r="P46" i="116"/>
  <c r="G46" i="257"/>
  <c r="G46" i="116"/>
  <c r="P25" i="116"/>
  <c r="C25" i="257" s="1"/>
  <c r="G25" i="116"/>
  <c r="F25" i="116" s="1"/>
  <c r="G25" i="257"/>
  <c r="E25" i="257" s="1"/>
  <c r="D25" i="257" s="1"/>
  <c r="L56" i="116"/>
  <c r="M56" i="116"/>
  <c r="C63" i="116"/>
  <c r="B63" i="257" s="1"/>
  <c r="J63" i="257"/>
  <c r="K63" i="257" s="1"/>
  <c r="L69" i="116"/>
  <c r="M69" i="116"/>
  <c r="P11" i="116"/>
  <c r="C11" i="257" s="1"/>
  <c r="G11" i="257"/>
  <c r="E11" i="257" s="1"/>
  <c r="D11" i="257" s="1"/>
  <c r="G11" i="116"/>
  <c r="F11" i="116" s="1"/>
  <c r="D11" i="116" s="1"/>
  <c r="F25" i="155"/>
  <c r="F47" i="155"/>
  <c r="G47" i="257"/>
  <c r="E47" i="257" s="1"/>
  <c r="D47" i="257" s="1"/>
  <c r="G47" i="116"/>
  <c r="F47" i="116" s="1"/>
  <c r="D47" i="116" s="1"/>
  <c r="B47" i="116" s="1"/>
  <c r="C47" i="116" s="1"/>
  <c r="P47" i="116"/>
  <c r="C47" i="257" s="1"/>
  <c r="J47" i="257" s="1"/>
  <c r="M45" i="128"/>
  <c r="C75" i="116"/>
  <c r="B75" i="257" s="1"/>
  <c r="J75" i="257"/>
  <c r="K75" i="257" s="1"/>
  <c r="P37" i="116"/>
  <c r="C37" i="257" s="1"/>
  <c r="G37" i="257"/>
  <c r="G37" i="116"/>
  <c r="F37" i="116" s="1"/>
  <c r="J62" i="257"/>
  <c r="K62" i="257" s="1"/>
  <c r="G26" i="257"/>
  <c r="E26" i="257" s="1"/>
  <c r="D26" i="257" s="1"/>
  <c r="G26" i="116"/>
  <c r="F26" i="116" s="1"/>
  <c r="P26" i="116"/>
  <c r="C26" i="257" s="1"/>
  <c r="F26" i="155"/>
  <c r="F35" i="155"/>
  <c r="J59" i="257"/>
  <c r="K59" i="257" s="1"/>
  <c r="C59" i="116"/>
  <c r="B59" i="257" s="1"/>
  <c r="G22" i="257"/>
  <c r="E22" i="257" s="1"/>
  <c r="D22" i="257" s="1"/>
  <c r="P22" i="116"/>
  <c r="C22" i="257" s="1"/>
  <c r="G22" i="116"/>
  <c r="F22" i="116" s="1"/>
  <c r="C73" i="116"/>
  <c r="B73" i="257" s="1"/>
  <c r="J73" i="257"/>
  <c r="K73" i="257" s="1"/>
  <c r="M47" i="128"/>
  <c r="F24" i="155"/>
  <c r="F15" i="155"/>
  <c r="F19" i="155"/>
  <c r="P27" i="116"/>
  <c r="C27" i="257" s="1"/>
  <c r="G27" i="257"/>
  <c r="E27" i="257" s="1"/>
  <c r="D27" i="257" s="1"/>
  <c r="G27" i="116"/>
  <c r="F27" i="116" s="1"/>
  <c r="J77" i="116"/>
  <c r="C67" i="116"/>
  <c r="B67" i="257" s="1"/>
  <c r="J67" i="257"/>
  <c r="K67" i="257" s="1"/>
  <c r="G43" i="116"/>
  <c r="F43" i="116" s="1"/>
  <c r="G43" i="257"/>
  <c r="E43" i="257" s="1"/>
  <c r="D43" i="257" s="1"/>
  <c r="J10" i="128"/>
  <c r="P11" i="128"/>
  <c r="F13" i="155"/>
  <c r="G21" i="257"/>
  <c r="E21" i="257" s="1"/>
  <c r="D21" i="257" s="1"/>
  <c r="G21" i="116"/>
  <c r="F21" i="116" s="1"/>
  <c r="D21" i="116" s="1"/>
  <c r="B21" i="116" s="1"/>
  <c r="C21" i="116" s="1"/>
  <c r="J55" i="116"/>
  <c r="L63" i="116"/>
  <c r="M63" i="116"/>
  <c r="M74" i="116"/>
  <c r="L74" i="116"/>
  <c r="J58" i="257"/>
  <c r="K58" i="257" s="1"/>
  <c r="G15" i="257"/>
  <c r="E15" i="257" s="1"/>
  <c r="D15" i="257" s="1"/>
  <c r="G15" i="116"/>
  <c r="F15" i="116" s="1"/>
  <c r="D15" i="116" s="1"/>
  <c r="B15" i="116" s="1"/>
  <c r="C15" i="116" s="1"/>
  <c r="P15" i="116"/>
  <c r="C15" i="257" s="1"/>
  <c r="C8" i="155"/>
  <c r="G17" i="116"/>
  <c r="F17" i="116" s="1"/>
  <c r="D17" i="116" s="1"/>
  <c r="B17" i="116" s="1"/>
  <c r="C17" i="116" s="1"/>
  <c r="G17" i="257"/>
  <c r="E17" i="257" s="1"/>
  <c r="D17" i="257" s="1"/>
  <c r="G19" i="257"/>
  <c r="E19" i="257" s="1"/>
  <c r="D19" i="257" s="1"/>
  <c r="G19" i="116"/>
  <c r="F19" i="116" s="1"/>
  <c r="D19" i="116" s="1"/>
  <c r="B19" i="116" s="1"/>
  <c r="J19" i="257" s="1"/>
  <c r="C56" i="116"/>
  <c r="B56" i="257" s="1"/>
  <c r="J56" i="257"/>
  <c r="K56" i="257" s="1"/>
  <c r="F41" i="155"/>
  <c r="K91" i="17"/>
  <c r="J98" i="19"/>
  <c r="C69" i="116"/>
  <c r="B69" i="257" s="1"/>
  <c r="J69" i="257"/>
  <c r="K69" i="257" s="1"/>
  <c r="F12" i="155"/>
  <c r="P10" i="116"/>
  <c r="G10" i="257"/>
  <c r="O9" i="116"/>
  <c r="G10" i="116"/>
  <c r="P23" i="116"/>
  <c r="C23" i="257" s="1"/>
  <c r="G23" i="257"/>
  <c r="E23" i="257" s="1"/>
  <c r="D23" i="257" s="1"/>
  <c r="G23" i="116"/>
  <c r="F23" i="116" s="1"/>
  <c r="D23" i="116" s="1"/>
  <c r="B23" i="116" s="1"/>
  <c r="C23" i="116" s="1"/>
  <c r="M64" i="116"/>
  <c r="L64" i="116"/>
  <c r="D89" i="116"/>
  <c r="B89" i="116" s="1"/>
  <c r="E37" i="257"/>
  <c r="D37" i="257" s="1"/>
  <c r="G40" i="257"/>
  <c r="G40" i="116"/>
  <c r="F40" i="116" s="1"/>
  <c r="F10" i="155"/>
  <c r="P45" i="128"/>
  <c r="G49" i="257"/>
  <c r="E49" i="257" s="1"/>
  <c r="D49" i="257" s="1"/>
  <c r="G49" i="116"/>
  <c r="F49" i="116" s="1"/>
  <c r="D49" i="116" s="1"/>
  <c r="B49" i="116" s="1"/>
  <c r="C49" i="116" s="1"/>
  <c r="P48" i="116"/>
  <c r="C48" i="257" s="1"/>
  <c r="J48" i="257" s="1"/>
  <c r="G48" i="257"/>
  <c r="E48" i="257" s="1"/>
  <c r="D48" i="257" s="1"/>
  <c r="G48" i="116"/>
  <c r="F48" i="116" s="1"/>
  <c r="D48" i="116" s="1"/>
  <c r="B48" i="116" s="1"/>
  <c r="C48" i="116" s="1"/>
  <c r="F37" i="155"/>
  <c r="L81" i="116"/>
  <c r="M81" i="116"/>
  <c r="F28" i="155"/>
  <c r="F32" i="155"/>
  <c r="M71" i="116"/>
  <c r="L71" i="116"/>
  <c r="P35" i="116"/>
  <c r="C35" i="257" s="1"/>
  <c r="G35" i="257"/>
  <c r="E35" i="257" s="1"/>
  <c r="D35" i="257" s="1"/>
  <c r="G35" i="116"/>
  <c r="F35" i="116" s="1"/>
  <c r="M82" i="116"/>
  <c r="L82" i="116"/>
  <c r="G29" i="257"/>
  <c r="E29" i="257" s="1"/>
  <c r="D29" i="257" s="1"/>
  <c r="G29" i="116"/>
  <c r="F29" i="116" s="1"/>
  <c r="D29" i="116" s="1"/>
  <c r="B29" i="116" s="1"/>
  <c r="C29" i="116" s="1"/>
  <c r="P29" i="116"/>
  <c r="C29" i="257" s="1"/>
  <c r="F16" i="155"/>
  <c r="G20" i="257"/>
  <c r="E20" i="257" s="1"/>
  <c r="D20" i="257" s="1"/>
  <c r="G20" i="116"/>
  <c r="F20" i="116" s="1"/>
  <c r="D20" i="116" s="1"/>
  <c r="B20" i="116" s="1"/>
  <c r="M86" i="116"/>
  <c r="L86" i="116"/>
  <c r="C74" i="116"/>
  <c r="B74" i="257" s="1"/>
  <c r="J74" i="257"/>
  <c r="K74" i="257" s="1"/>
  <c r="F33" i="155"/>
  <c r="M11" i="128"/>
  <c r="F46" i="155"/>
  <c r="P44" i="116"/>
  <c r="C44" i="257" s="1"/>
  <c r="G44" i="116"/>
  <c r="F44" i="116" s="1"/>
  <c r="G44" i="257"/>
  <c r="E44" i="257" s="1"/>
  <c r="D44" i="257" s="1"/>
  <c r="G14" i="116"/>
  <c r="F14" i="116" s="1"/>
  <c r="P14" i="116"/>
  <c r="C14" i="257" s="1"/>
  <c r="G14" i="257"/>
  <c r="F30" i="155"/>
  <c r="F36" i="155"/>
  <c r="F49" i="155"/>
  <c r="D72" i="116"/>
  <c r="B72" i="116" s="1"/>
  <c r="F39" i="155"/>
  <c r="G34" i="257"/>
  <c r="E34" i="257" s="1"/>
  <c r="D34" i="257" s="1"/>
  <c r="G34" i="116"/>
  <c r="F34" i="116" s="1"/>
  <c r="G18" i="257"/>
  <c r="P18" i="116"/>
  <c r="C18" i="257" s="1"/>
  <c r="G18" i="116"/>
  <c r="F18" i="116" s="1"/>
  <c r="D18" i="116" s="1"/>
  <c r="B18" i="116" s="1"/>
  <c r="C18" i="116" s="1"/>
  <c r="G39" i="116"/>
  <c r="F39" i="116" s="1"/>
  <c r="G39" i="257"/>
  <c r="E39" i="257" s="1"/>
  <c r="D39" i="257" s="1"/>
  <c r="J93" i="154"/>
  <c r="H97" i="116"/>
  <c r="O10" i="128"/>
  <c r="D83" i="116"/>
  <c r="B83" i="116" s="1"/>
  <c r="C83" i="116" s="1"/>
  <c r="B83" i="257" s="1"/>
  <c r="F43" i="155"/>
  <c r="C64" i="116"/>
  <c r="B64" i="257" s="1"/>
  <c r="J64" i="257"/>
  <c r="K64" i="257" s="1"/>
  <c r="P47" i="128"/>
  <c r="J46" i="128"/>
  <c r="H46" i="128" s="1"/>
  <c r="J77" i="257"/>
  <c r="K77" i="257" s="1"/>
  <c r="F42" i="155"/>
  <c r="F20" i="155"/>
  <c r="F45" i="155"/>
  <c r="J58" i="116"/>
  <c r="K62" i="116"/>
  <c r="P36" i="116"/>
  <c r="C36" i="257" s="1"/>
  <c r="M79" i="116"/>
  <c r="L79" i="116"/>
  <c r="F18" i="155"/>
  <c r="D54" i="116"/>
  <c r="J54" i="116" s="1"/>
  <c r="F53" i="116"/>
  <c r="D53" i="116" s="1"/>
  <c r="J67" i="116"/>
  <c r="P16" i="116"/>
  <c r="C16" i="257" s="1"/>
  <c r="G16" i="257"/>
  <c r="E16" i="257" s="1"/>
  <c r="D16" i="257" s="1"/>
  <c r="G16" i="116"/>
  <c r="F16" i="116" s="1"/>
  <c r="C86" i="116"/>
  <c r="B86" i="257" s="1"/>
  <c r="J86" i="257"/>
  <c r="K86" i="257" s="1"/>
  <c r="F38" i="155"/>
  <c r="F9" i="155"/>
  <c r="J60" i="257"/>
  <c r="K60" i="257" s="1"/>
  <c r="C60" i="116"/>
  <c r="B60" i="257" s="1"/>
  <c r="E14" i="257"/>
  <c r="D14" i="257" s="1"/>
  <c r="F22" i="155"/>
  <c r="F50" i="155"/>
  <c r="F48" i="155"/>
  <c r="P34" i="116"/>
  <c r="C34" i="257" s="1"/>
  <c r="F27" i="155"/>
  <c r="P12" i="128"/>
  <c r="F21" i="155"/>
  <c r="P42" i="116"/>
  <c r="C42" i="257" s="1"/>
  <c r="G42" i="257"/>
  <c r="E42" i="257" s="1"/>
  <c r="D42" i="257" s="1"/>
  <c r="G42" i="116"/>
  <c r="F42" i="116" s="1"/>
  <c r="D42" i="116" s="1"/>
  <c r="B42" i="116" s="1"/>
  <c r="C42" i="116" s="1"/>
  <c r="M75" i="116"/>
  <c r="L75" i="116"/>
  <c r="G31" i="257"/>
  <c r="E31" i="257" s="1"/>
  <c r="D31" i="257" s="1"/>
  <c r="G31" i="116"/>
  <c r="F31" i="116" s="1"/>
  <c r="G51" i="257"/>
  <c r="E51" i="257" s="1"/>
  <c r="D51" i="257" s="1"/>
  <c r="G51" i="116"/>
  <c r="F51" i="116" s="1"/>
  <c r="O46" i="128"/>
  <c r="P50" i="116"/>
  <c r="C50" i="257" s="1"/>
  <c r="G50" i="257"/>
  <c r="G50" i="116"/>
  <c r="E40" i="257"/>
  <c r="D40" i="257" s="1"/>
  <c r="M12" i="128"/>
  <c r="F34" i="155"/>
  <c r="G28" i="116"/>
  <c r="F28" i="116" s="1"/>
  <c r="D28" i="116" s="1"/>
  <c r="B28" i="116" s="1"/>
  <c r="C28" i="116" s="1"/>
  <c r="G28" i="257"/>
  <c r="E28" i="257" s="1"/>
  <c r="D28" i="257" s="1"/>
  <c r="L10" i="128"/>
  <c r="L59" i="116"/>
  <c r="M59" i="116"/>
  <c r="P13" i="116"/>
  <c r="C13" i="257" s="1"/>
  <c r="G13" i="116"/>
  <c r="F13" i="116" s="1"/>
  <c r="G13" i="257"/>
  <c r="E13" i="257" s="1"/>
  <c r="D13" i="257" s="1"/>
  <c r="K19" i="116"/>
  <c r="C20" i="116"/>
  <c r="J20" i="257"/>
  <c r="J29" i="116"/>
  <c r="J20" i="116"/>
  <c r="J19" i="116"/>
  <c r="K23" i="116"/>
  <c r="K20" i="116"/>
  <c r="F33" i="116" l="1"/>
  <c r="C44" i="155"/>
  <c r="J29" i="257"/>
  <c r="F9" i="257"/>
  <c r="L46" i="128"/>
  <c r="M93" i="154"/>
  <c r="J49" i="257"/>
  <c r="K49" i="116"/>
  <c r="M49" i="116" s="1"/>
  <c r="O45" i="116"/>
  <c r="O91" i="116" s="1"/>
  <c r="P52" i="116"/>
  <c r="C52" i="257" s="1"/>
  <c r="M42" i="257"/>
  <c r="B49" i="257"/>
  <c r="M19" i="257"/>
  <c r="C91" i="155"/>
  <c r="C9" i="160" s="1"/>
  <c r="K15" i="116"/>
  <c r="M15" i="116" s="1"/>
  <c r="K29" i="116"/>
  <c r="M29" i="116" s="1"/>
  <c r="C19" i="116"/>
  <c r="K21" i="116"/>
  <c r="L21" i="116" s="1"/>
  <c r="E50" i="257"/>
  <c r="D50" i="257" s="1"/>
  <c r="G10" i="128"/>
  <c r="M29" i="257"/>
  <c r="P29" i="257" s="1"/>
  <c r="Q29" i="257" s="1"/>
  <c r="L58" i="116"/>
  <c r="B48" i="257"/>
  <c r="G52" i="257"/>
  <c r="E52" i="257" s="1"/>
  <c r="D52" i="257" s="1"/>
  <c r="B19" i="257"/>
  <c r="J42" i="257"/>
  <c r="K42" i="257" s="1"/>
  <c r="B21" i="257"/>
  <c r="M47" i="257"/>
  <c r="P47" i="257" s="1"/>
  <c r="Q47" i="257" s="1"/>
  <c r="E33" i="257"/>
  <c r="D33" i="257" s="1"/>
  <c r="K47" i="116"/>
  <c r="M47" i="116" s="1"/>
  <c r="J15" i="116"/>
  <c r="B28" i="257"/>
  <c r="F50" i="116"/>
  <c r="D50" i="116" s="1"/>
  <c r="B50" i="116" s="1"/>
  <c r="C50" i="116" s="1"/>
  <c r="M48" i="257"/>
  <c r="P48" i="257" s="1"/>
  <c r="Q48" i="257" s="1"/>
  <c r="B17" i="257"/>
  <c r="M15" i="257"/>
  <c r="N15" i="257" s="1"/>
  <c r="N91" i="116"/>
  <c r="F91" i="257" s="1"/>
  <c r="J47" i="116"/>
  <c r="K17" i="116"/>
  <c r="L17" i="116" s="1"/>
  <c r="B20" i="257"/>
  <c r="G46" i="128"/>
  <c r="E46" i="128" s="1"/>
  <c r="K46" i="128" s="1"/>
  <c r="F44" i="155" s="1"/>
  <c r="H91" i="116"/>
  <c r="G48" i="162" s="1"/>
  <c r="M48" i="162" s="1"/>
  <c r="M49" i="257"/>
  <c r="N49" i="257" s="1"/>
  <c r="J48" i="116"/>
  <c r="J49" i="116"/>
  <c r="J11" i="116"/>
  <c r="J28" i="116"/>
  <c r="K48" i="116"/>
  <c r="M48" i="116" s="1"/>
  <c r="M18" i="257"/>
  <c r="N18" i="257" s="1"/>
  <c r="M21" i="257"/>
  <c r="N21" i="257" s="1"/>
  <c r="J23" i="116"/>
  <c r="J18" i="257"/>
  <c r="K18" i="257" s="1"/>
  <c r="J21" i="116"/>
  <c r="J17" i="257"/>
  <c r="J17" i="116"/>
  <c r="J21" i="257"/>
  <c r="K11" i="116"/>
  <c r="M11" i="116" s="1"/>
  <c r="K28" i="116"/>
  <c r="M28" i="116" s="1"/>
  <c r="K18" i="116"/>
  <c r="M18" i="116" s="1"/>
  <c r="J53" i="116"/>
  <c r="J18" i="116"/>
  <c r="K53" i="116"/>
  <c r="M53" i="116" s="1"/>
  <c r="K42" i="116"/>
  <c r="M42" i="116" s="1"/>
  <c r="M28" i="257"/>
  <c r="N28" i="257" s="1"/>
  <c r="B42" i="257"/>
  <c r="J89" i="116"/>
  <c r="J72" i="116"/>
  <c r="M23" i="257"/>
  <c r="N23" i="257" s="1"/>
  <c r="J28" i="257"/>
  <c r="K28" i="257" s="1"/>
  <c r="K72" i="116"/>
  <c r="M72" i="116" s="1"/>
  <c r="M20" i="257"/>
  <c r="P20" i="257" s="1"/>
  <c r="Q20" i="257" s="1"/>
  <c r="N29" i="257"/>
  <c r="N42" i="257"/>
  <c r="D13" i="116"/>
  <c r="B13" i="116" s="1"/>
  <c r="B54" i="116"/>
  <c r="K54" i="116"/>
  <c r="M62" i="116"/>
  <c r="L62" i="116"/>
  <c r="P46" i="128"/>
  <c r="K83" i="116"/>
  <c r="B18" i="257"/>
  <c r="B29" i="257"/>
  <c r="C89" i="116"/>
  <c r="B89" i="257" s="1"/>
  <c r="J89" i="257"/>
  <c r="K89" i="257" s="1"/>
  <c r="D52" i="116"/>
  <c r="J52" i="116" s="1"/>
  <c r="C10" i="257"/>
  <c r="P9" i="116"/>
  <c r="C9" i="257" s="1"/>
  <c r="J15" i="257"/>
  <c r="P10" i="128"/>
  <c r="H10" i="128"/>
  <c r="H93" i="128" s="1"/>
  <c r="D22" i="116"/>
  <c r="B22" i="116" s="1"/>
  <c r="C22" i="116" s="1"/>
  <c r="B22" i="257" s="1"/>
  <c r="D26" i="116"/>
  <c r="B26" i="116" s="1"/>
  <c r="J83" i="257"/>
  <c r="K83" i="257" s="1"/>
  <c r="F46" i="116"/>
  <c r="G45" i="116"/>
  <c r="L55" i="116"/>
  <c r="M55" i="116"/>
  <c r="D33" i="116"/>
  <c r="B33" i="116" s="1"/>
  <c r="D36" i="116"/>
  <c r="J36" i="116" s="1"/>
  <c r="N19" i="257"/>
  <c r="N46" i="128"/>
  <c r="D31" i="116"/>
  <c r="J31" i="116" s="1"/>
  <c r="C72" i="116"/>
  <c r="B72" i="257" s="1"/>
  <c r="J72" i="257"/>
  <c r="K72" i="257" s="1"/>
  <c r="D14" i="116"/>
  <c r="J14" i="116" s="1"/>
  <c r="J23" i="257"/>
  <c r="F10" i="116"/>
  <c r="G9" i="116"/>
  <c r="G97" i="116"/>
  <c r="B15" i="257"/>
  <c r="M67" i="116"/>
  <c r="L67" i="116"/>
  <c r="J42" i="116"/>
  <c r="D16" i="116"/>
  <c r="B16" i="116" s="1"/>
  <c r="B53" i="116"/>
  <c r="J83" i="116"/>
  <c r="D35" i="116"/>
  <c r="B35" i="116" s="1"/>
  <c r="D40" i="116"/>
  <c r="B40" i="116" s="1"/>
  <c r="K89" i="116"/>
  <c r="M17" i="257"/>
  <c r="P17" i="257" s="1"/>
  <c r="Q17" i="257" s="1"/>
  <c r="D43" i="116"/>
  <c r="B43" i="116" s="1"/>
  <c r="B47" i="257"/>
  <c r="D25" i="116"/>
  <c r="J25" i="116" s="1"/>
  <c r="E46" i="257"/>
  <c r="D46" i="257" s="1"/>
  <c r="L77" i="116"/>
  <c r="M77" i="116"/>
  <c r="D38" i="116"/>
  <c r="B38" i="116" s="1"/>
  <c r="C38" i="116" s="1"/>
  <c r="B38" i="257" s="1"/>
  <c r="N48" i="257"/>
  <c r="D51" i="116"/>
  <c r="B51" i="116" s="1"/>
  <c r="D39" i="116"/>
  <c r="B39" i="116" s="1"/>
  <c r="D34" i="116"/>
  <c r="B34" i="116" s="1"/>
  <c r="M34" i="257" s="1"/>
  <c r="L72" i="116"/>
  <c r="D44" i="116"/>
  <c r="J44" i="116" s="1"/>
  <c r="B23" i="257"/>
  <c r="E10" i="257"/>
  <c r="D10" i="257" s="1"/>
  <c r="G9" i="257"/>
  <c r="D27" i="116"/>
  <c r="K27" i="116" s="1"/>
  <c r="D37" i="116"/>
  <c r="K37" i="116" s="1"/>
  <c r="B11" i="116"/>
  <c r="C46" i="257"/>
  <c r="J33" i="257"/>
  <c r="F90" i="116"/>
  <c r="D90" i="116" s="1"/>
  <c r="B90" i="116" s="1"/>
  <c r="C90" i="116" s="1"/>
  <c r="B90" i="257" s="1"/>
  <c r="K29" i="257"/>
  <c r="M23" i="116"/>
  <c r="L23" i="116"/>
  <c r="L53" i="116"/>
  <c r="L42" i="116"/>
  <c r="K19" i="257"/>
  <c r="P19" i="257"/>
  <c r="Q19" i="257" s="1"/>
  <c r="K49" i="257"/>
  <c r="P49" i="257"/>
  <c r="Q49" i="257" s="1"/>
  <c r="K47" i="257"/>
  <c r="M19" i="116"/>
  <c r="L19" i="116"/>
  <c r="K17" i="257"/>
  <c r="M20" i="116"/>
  <c r="L20" i="116"/>
  <c r="L49" i="116"/>
  <c r="K20" i="257"/>
  <c r="K48" i="257"/>
  <c r="P42" i="257" l="1"/>
  <c r="Q42" i="257" s="1"/>
  <c r="M21" i="116"/>
  <c r="P21" i="257"/>
  <c r="Q21" i="257" s="1"/>
  <c r="P18" i="257"/>
  <c r="Q18" i="257" s="1"/>
  <c r="L28" i="116"/>
  <c r="P45" i="116"/>
  <c r="J90" i="257"/>
  <c r="K90" i="257" s="1"/>
  <c r="L47" i="116"/>
  <c r="J40" i="116"/>
  <c r="K21" i="257"/>
  <c r="L29" i="116"/>
  <c r="L18" i="116"/>
  <c r="G45" i="257"/>
  <c r="E45" i="257" s="1"/>
  <c r="D45" i="257" s="1"/>
  <c r="L48" i="116"/>
  <c r="N47" i="257"/>
  <c r="G91" i="116"/>
  <c r="M10" i="128"/>
  <c r="E10" i="128"/>
  <c r="K10" i="128" s="1"/>
  <c r="F8" i="155" s="1"/>
  <c r="M17" i="116"/>
  <c r="L15" i="116"/>
  <c r="N20" i="257"/>
  <c r="E93" i="128"/>
  <c r="B50" i="257"/>
  <c r="P28" i="257"/>
  <c r="Q28" i="257" s="1"/>
  <c r="K51" i="116"/>
  <c r="L11" i="116"/>
  <c r="J22" i="257"/>
  <c r="K22" i="257" s="1"/>
  <c r="M46" i="128"/>
  <c r="J43" i="116"/>
  <c r="J39" i="116"/>
  <c r="K43" i="116"/>
  <c r="L43" i="116" s="1"/>
  <c r="K40" i="116"/>
  <c r="M40" i="116" s="1"/>
  <c r="J16" i="116"/>
  <c r="J13" i="116"/>
  <c r="K38" i="116"/>
  <c r="M38" i="116" s="1"/>
  <c r="M22" i="257"/>
  <c r="K16" i="116"/>
  <c r="K26" i="116"/>
  <c r="L26" i="116" s="1"/>
  <c r="J35" i="116"/>
  <c r="J33" i="116"/>
  <c r="J26" i="116"/>
  <c r="N34" i="257"/>
  <c r="J90" i="116"/>
  <c r="K90" i="116"/>
  <c r="M90" i="116" s="1"/>
  <c r="C45" i="257"/>
  <c r="P91" i="116"/>
  <c r="C91" i="257" s="1"/>
  <c r="B37" i="116"/>
  <c r="J37" i="116"/>
  <c r="B27" i="116"/>
  <c r="J27" i="116"/>
  <c r="E9" i="257"/>
  <c r="D9" i="257" s="1"/>
  <c r="B44" i="116"/>
  <c r="K44" i="116"/>
  <c r="J34" i="116"/>
  <c r="K39" i="116"/>
  <c r="J51" i="116"/>
  <c r="N17" i="257"/>
  <c r="J40" i="257"/>
  <c r="C40" i="116"/>
  <c r="B40" i="257" s="1"/>
  <c r="M16" i="257"/>
  <c r="J16" i="257"/>
  <c r="C16" i="116"/>
  <c r="B16" i="257" s="1"/>
  <c r="J93" i="128"/>
  <c r="P93" i="128" s="1"/>
  <c r="N93" i="128"/>
  <c r="K50" i="116"/>
  <c r="K33" i="116"/>
  <c r="D46" i="116"/>
  <c r="F45" i="116"/>
  <c r="L83" i="116"/>
  <c r="M83" i="116"/>
  <c r="M54" i="116"/>
  <c r="L54" i="116"/>
  <c r="M13" i="257"/>
  <c r="C13" i="116"/>
  <c r="B13" i="257" s="1"/>
  <c r="K93" i="128"/>
  <c r="G93" i="128"/>
  <c r="M93" i="128" s="1"/>
  <c r="L37" i="116"/>
  <c r="M37" i="116"/>
  <c r="M27" i="116"/>
  <c r="L27" i="116"/>
  <c r="K34" i="116"/>
  <c r="M51" i="257"/>
  <c r="C51" i="116"/>
  <c r="B51" i="257" s="1"/>
  <c r="J51" i="257"/>
  <c r="J38" i="116"/>
  <c r="B25" i="116"/>
  <c r="K25" i="116"/>
  <c r="J43" i="257"/>
  <c r="C43" i="116"/>
  <c r="B43" i="257" s="1"/>
  <c r="L89" i="116"/>
  <c r="M89" i="116"/>
  <c r="K35" i="116"/>
  <c r="F9" i="116"/>
  <c r="D9" i="116" s="1"/>
  <c r="B9" i="116" s="1"/>
  <c r="C9" i="116" s="1"/>
  <c r="F97" i="116"/>
  <c r="D10" i="116"/>
  <c r="B14" i="116"/>
  <c r="K14" i="116"/>
  <c r="J50" i="116"/>
  <c r="B36" i="116"/>
  <c r="K36" i="116"/>
  <c r="N10" i="128"/>
  <c r="K15" i="257"/>
  <c r="P15" i="257"/>
  <c r="Q15" i="257" s="1"/>
  <c r="B52" i="116"/>
  <c r="K52" i="116"/>
  <c r="J54" i="257"/>
  <c r="K54" i="257" s="1"/>
  <c r="C54" i="116"/>
  <c r="B54" i="257" s="1"/>
  <c r="C39" i="116"/>
  <c r="B39" i="257" s="1"/>
  <c r="J39" i="257"/>
  <c r="M51" i="116"/>
  <c r="L51" i="116"/>
  <c r="C53" i="116"/>
  <c r="J53" i="257"/>
  <c r="K53" i="257" s="1"/>
  <c r="J38" i="257"/>
  <c r="K23" i="257"/>
  <c r="P23" i="257"/>
  <c r="Q23" i="257" s="1"/>
  <c r="C33" i="116"/>
  <c r="B33" i="257" s="1"/>
  <c r="M33" i="257"/>
  <c r="C26" i="116"/>
  <c r="B26" i="257" s="1"/>
  <c r="J26" i="257"/>
  <c r="M26" i="257"/>
  <c r="K22" i="116"/>
  <c r="M43" i="257"/>
  <c r="K13" i="116"/>
  <c r="J13" i="257"/>
  <c r="K33" i="257"/>
  <c r="C11" i="116"/>
  <c r="J11" i="257"/>
  <c r="M11" i="257"/>
  <c r="C34" i="116"/>
  <c r="B34" i="257" s="1"/>
  <c r="J34" i="257"/>
  <c r="J35" i="257"/>
  <c r="M35" i="257"/>
  <c r="C35" i="116"/>
  <c r="B35" i="257" s="1"/>
  <c r="M38" i="257"/>
  <c r="B31" i="116"/>
  <c r="K31" i="116"/>
  <c r="M26" i="116"/>
  <c r="J22" i="116"/>
  <c r="M40" i="257"/>
  <c r="J50" i="257"/>
  <c r="M39" i="257"/>
  <c r="M50" i="257"/>
  <c r="G91" i="257" l="1"/>
  <c r="E91" i="257" s="1"/>
  <c r="D91" i="257" s="1"/>
  <c r="I91" i="257" s="1"/>
  <c r="M9" i="257"/>
  <c r="M43" i="116"/>
  <c r="L90" i="116"/>
  <c r="L40" i="116"/>
  <c r="L38" i="116"/>
  <c r="B9" i="257"/>
  <c r="J9" i="257"/>
  <c r="K9" i="257" s="1"/>
  <c r="M16" i="116"/>
  <c r="N22" i="257"/>
  <c r="L16" i="116"/>
  <c r="P22" i="257"/>
  <c r="Q22" i="257" s="1"/>
  <c r="K9" i="116"/>
  <c r="L9" i="116" s="1"/>
  <c r="J9" i="116"/>
  <c r="P39" i="257"/>
  <c r="Q39" i="257" s="1"/>
  <c r="K39" i="257"/>
  <c r="C25" i="116"/>
  <c r="B25" i="257" s="1"/>
  <c r="J25" i="257"/>
  <c r="M25" i="257"/>
  <c r="N51" i="257"/>
  <c r="L33" i="116"/>
  <c r="M33" i="116"/>
  <c r="N16" i="257"/>
  <c r="M44" i="116"/>
  <c r="L44" i="116"/>
  <c r="C37" i="116"/>
  <c r="B37" i="257" s="1"/>
  <c r="J37" i="257"/>
  <c r="M37" i="257"/>
  <c r="N38" i="257"/>
  <c r="N40" i="257"/>
  <c r="P35" i="257"/>
  <c r="Q35" i="257" s="1"/>
  <c r="K35" i="257"/>
  <c r="K11" i="257"/>
  <c r="P11" i="257"/>
  <c r="Q11" i="257" s="1"/>
  <c r="P13" i="257"/>
  <c r="Q13" i="257" s="1"/>
  <c r="K13" i="257"/>
  <c r="L22" i="116"/>
  <c r="M22" i="116"/>
  <c r="N33" i="257"/>
  <c r="B53" i="257"/>
  <c r="L14" i="116"/>
  <c r="M14" i="116"/>
  <c r="M34" i="116"/>
  <c r="L34" i="116"/>
  <c r="N13" i="257"/>
  <c r="M50" i="116"/>
  <c r="L50" i="116"/>
  <c r="K50" i="257"/>
  <c r="P50" i="257"/>
  <c r="Q50" i="257" s="1"/>
  <c r="N35" i="257"/>
  <c r="N11" i="257"/>
  <c r="N50" i="257"/>
  <c r="M31" i="116"/>
  <c r="L31" i="116"/>
  <c r="P34" i="257"/>
  <c r="Q34" i="257" s="1"/>
  <c r="K34" i="257"/>
  <c r="B11" i="257"/>
  <c r="M13" i="116"/>
  <c r="L13" i="116"/>
  <c r="N26" i="257"/>
  <c r="M52" i="116"/>
  <c r="L52" i="116"/>
  <c r="M36" i="116"/>
  <c r="L36" i="116"/>
  <c r="C14" i="116"/>
  <c r="B14" i="257" s="1"/>
  <c r="J14" i="257"/>
  <c r="M14" i="257"/>
  <c r="M35" i="116"/>
  <c r="L35" i="116"/>
  <c r="K43" i="257"/>
  <c r="P43" i="257"/>
  <c r="Q43" i="257" s="1"/>
  <c r="K51" i="257"/>
  <c r="P51" i="257"/>
  <c r="Q51" i="257" s="1"/>
  <c r="D45" i="116"/>
  <c r="P40" i="257"/>
  <c r="Q40" i="257" s="1"/>
  <c r="K40" i="257"/>
  <c r="M39" i="116"/>
  <c r="L39" i="116"/>
  <c r="M44" i="257"/>
  <c r="J44" i="257"/>
  <c r="C44" i="116"/>
  <c r="C27" i="116"/>
  <c r="B27" i="257" s="1"/>
  <c r="J27" i="257"/>
  <c r="M27" i="257"/>
  <c r="N39" i="257"/>
  <c r="C31" i="116"/>
  <c r="B31" i="257" s="1"/>
  <c r="J31" i="257"/>
  <c r="M31" i="257"/>
  <c r="P33" i="257"/>
  <c r="Q33" i="257" s="1"/>
  <c r="N43" i="257"/>
  <c r="K26" i="257"/>
  <c r="P26" i="257"/>
  <c r="Q26" i="257" s="1"/>
  <c r="K38" i="257"/>
  <c r="P38" i="257"/>
  <c r="Q38" i="257" s="1"/>
  <c r="C52" i="116"/>
  <c r="B52" i="257" s="1"/>
  <c r="M52" i="257"/>
  <c r="J52" i="257"/>
  <c r="J36" i="257"/>
  <c r="C36" i="116"/>
  <c r="B36" i="257" s="1"/>
  <c r="M36" i="257"/>
  <c r="J10" i="116"/>
  <c r="B10" i="116"/>
  <c r="D97" i="116"/>
  <c r="J97" i="116" s="1"/>
  <c r="K10" i="116"/>
  <c r="M25" i="116"/>
  <c r="L25" i="116"/>
  <c r="F91" i="155"/>
  <c r="B46" i="116"/>
  <c r="K46" i="116"/>
  <c r="J46" i="116"/>
  <c r="P16" i="257"/>
  <c r="Q16" i="257" s="1"/>
  <c r="K16" i="257"/>
  <c r="F91" i="116"/>
  <c r="D91" i="116" s="1"/>
  <c r="B91" i="116" s="1"/>
  <c r="M9" i="116"/>
  <c r="F48" i="162" l="1"/>
  <c r="K48" i="162" s="1"/>
  <c r="K47" i="162" s="1"/>
  <c r="K91" i="116"/>
  <c r="M91" i="116" s="1"/>
  <c r="M46" i="257"/>
  <c r="C46" i="116"/>
  <c r="B46" i="257" s="1"/>
  <c r="J46" i="257"/>
  <c r="M10" i="116"/>
  <c r="L10" i="116"/>
  <c r="P52" i="257"/>
  <c r="Q52" i="257" s="1"/>
  <c r="K52" i="257"/>
  <c r="N31" i="257"/>
  <c r="B44" i="257"/>
  <c r="K37" i="257"/>
  <c r="P37" i="257"/>
  <c r="Q37" i="257" s="1"/>
  <c r="J91" i="116"/>
  <c r="N36" i="257"/>
  <c r="N52" i="257"/>
  <c r="P31" i="257"/>
  <c r="Q31" i="257" s="1"/>
  <c r="K31" i="257"/>
  <c r="N27" i="257"/>
  <c r="K44" i="257"/>
  <c r="P44" i="257"/>
  <c r="Q44" i="257" s="1"/>
  <c r="N14" i="257"/>
  <c r="K97" i="116"/>
  <c r="M10" i="257"/>
  <c r="J10" i="257"/>
  <c r="C10" i="116"/>
  <c r="B97" i="116"/>
  <c r="K27" i="257"/>
  <c r="P27" i="257"/>
  <c r="Q27" i="257" s="1"/>
  <c r="N44" i="257"/>
  <c r="B45" i="116"/>
  <c r="C45" i="116" s="1"/>
  <c r="J45" i="116"/>
  <c r="K14" i="257"/>
  <c r="P14" i="257"/>
  <c r="Q14" i="257" s="1"/>
  <c r="N25" i="257"/>
  <c r="M46" i="116"/>
  <c r="L46" i="116"/>
  <c r="P36" i="257"/>
  <c r="Q36" i="257" s="1"/>
  <c r="K36" i="257"/>
  <c r="K45" i="116"/>
  <c r="N37" i="257"/>
  <c r="K25" i="257"/>
  <c r="P25" i="257"/>
  <c r="Q25" i="257" s="1"/>
  <c r="C91" i="116"/>
  <c r="C48" i="162"/>
  <c r="J91" i="257"/>
  <c r="K91" i="257" s="1"/>
  <c r="L91" i="116" l="1"/>
  <c r="M45" i="116"/>
  <c r="L45" i="116"/>
  <c r="B45" i="257"/>
  <c r="B10" i="257"/>
  <c r="C97" i="116"/>
  <c r="P10" i="257"/>
  <c r="Q10" i="257" s="1"/>
  <c r="K10" i="257"/>
  <c r="K46" i="257"/>
  <c r="P46" i="257"/>
  <c r="Q46" i="257" s="1"/>
  <c r="B91" i="257"/>
  <c r="N10" i="257"/>
  <c r="M97" i="116"/>
  <c r="L97" i="116"/>
  <c r="N46" i="257"/>
  <c r="E48" i="162"/>
  <c r="J48" i="162" s="1"/>
  <c r="J9" i="162" s="1"/>
  <c r="I48" i="162"/>
  <c r="I9" i="162" s="1"/>
  <c r="K46" i="162"/>
  <c r="K45" i="162" l="1"/>
  <c r="I10" i="162"/>
  <c r="D9" i="162"/>
  <c r="E9" i="162" s="1"/>
  <c r="F9" i="162" s="1"/>
  <c r="J10" i="162"/>
  <c r="I11" i="162" l="1"/>
  <c r="D10" i="162"/>
  <c r="E10" i="162" s="1"/>
  <c r="F10" i="162" s="1"/>
  <c r="J11" i="162"/>
  <c r="K44" i="162"/>
  <c r="J12" i="162" l="1"/>
  <c r="K43" i="162"/>
  <c r="I12" i="162"/>
  <c r="D11" i="162"/>
  <c r="E11" i="162" s="1"/>
  <c r="F11" i="162" s="1"/>
  <c r="K42" i="162" l="1"/>
  <c r="I13" i="162"/>
  <c r="D12" i="162"/>
  <c r="E12" i="162" s="1"/>
  <c r="F12" i="162" s="1"/>
  <c r="J13" i="162"/>
  <c r="I14" i="162" l="1"/>
  <c r="D13" i="162"/>
  <c r="E13" i="162" s="1"/>
  <c r="F13" i="162" s="1"/>
  <c r="K41" i="162"/>
  <c r="J14" i="162"/>
  <c r="K40" i="162" l="1"/>
  <c r="J15" i="162"/>
  <c r="D14" i="162"/>
  <c r="E14" i="162" s="1"/>
  <c r="F14" i="162" s="1"/>
  <c r="I15" i="162"/>
  <c r="J16" i="162" l="1"/>
  <c r="I16" i="162"/>
  <c r="D15" i="162"/>
  <c r="E15" i="162" s="1"/>
  <c r="F15" i="162" s="1"/>
  <c r="K39" i="162"/>
  <c r="G77" i="260"/>
  <c r="L77" i="260" s="1"/>
  <c r="G37" i="260"/>
  <c r="L37" i="260" s="1"/>
  <c r="G49" i="260"/>
  <c r="L49" i="260" s="1"/>
  <c r="G67" i="260"/>
  <c r="L67" i="260" s="1"/>
  <c r="G47" i="260"/>
  <c r="L47" i="260" s="1"/>
  <c r="G58" i="260"/>
  <c r="L58" i="260" s="1"/>
  <c r="G39" i="260"/>
  <c r="L39" i="260" s="1"/>
  <c r="G72" i="260"/>
  <c r="L72" i="260" s="1"/>
  <c r="G42" i="260"/>
  <c r="L42" i="260" s="1"/>
  <c r="G81" i="260"/>
  <c r="L81" i="260" s="1"/>
  <c r="D42" i="260" l="1"/>
  <c r="P42" i="261" s="1"/>
  <c r="C42" i="260"/>
  <c r="Q42" i="260"/>
  <c r="D72" i="260"/>
  <c r="P72" i="261" s="1"/>
  <c r="Q72" i="260"/>
  <c r="C72" i="260"/>
  <c r="Q58" i="260"/>
  <c r="C58" i="260"/>
  <c r="D58" i="260"/>
  <c r="C67" i="260"/>
  <c r="D67" i="260"/>
  <c r="P67" i="261" s="1"/>
  <c r="C81" i="260"/>
  <c r="D81" i="260"/>
  <c r="C39" i="260"/>
  <c r="D39" i="260"/>
  <c r="P39" i="261" s="1"/>
  <c r="D49" i="260"/>
  <c r="P49" i="261" s="1"/>
  <c r="Q49" i="260"/>
  <c r="C49" i="260"/>
  <c r="C77" i="260"/>
  <c r="D77" i="260"/>
  <c r="P77" i="261" s="1"/>
  <c r="Q77" i="260"/>
  <c r="C47" i="260"/>
  <c r="D47" i="260"/>
  <c r="P47" i="261" s="1"/>
  <c r="G45" i="260"/>
  <c r="C37" i="260"/>
  <c r="D37" i="260"/>
  <c r="P37" i="261" s="1"/>
  <c r="G9" i="260"/>
  <c r="I17" i="162"/>
  <c r="D16" i="162"/>
  <c r="E16" i="162" s="1"/>
  <c r="F16" i="162" s="1"/>
  <c r="K38" i="162"/>
  <c r="J17" i="162"/>
  <c r="M49" i="260" l="1"/>
  <c r="M58" i="260"/>
  <c r="C9" i="260"/>
  <c r="D9" i="260"/>
  <c r="P9" i="261" s="1"/>
  <c r="I37" i="260"/>
  <c r="Q37" i="261" s="1"/>
  <c r="H37" i="260"/>
  <c r="L9" i="260"/>
  <c r="M77" i="260"/>
  <c r="N77" i="260"/>
  <c r="R77" i="261" s="1"/>
  <c r="Q37" i="260"/>
  <c r="D45" i="260"/>
  <c r="P45" i="261" s="1"/>
  <c r="C45" i="260"/>
  <c r="H47" i="260"/>
  <c r="L45" i="260"/>
  <c r="K47" i="260"/>
  <c r="I47" i="260" s="1"/>
  <c r="Q47" i="261" s="1"/>
  <c r="H81" i="260"/>
  <c r="K81" i="260"/>
  <c r="P81" i="260" s="1"/>
  <c r="H67" i="260"/>
  <c r="I67" i="260"/>
  <c r="Q67" i="261" s="1"/>
  <c r="D8" i="259"/>
  <c r="B8" i="259" s="1"/>
  <c r="H77" i="260"/>
  <c r="I77" i="260"/>
  <c r="Q77" i="261" s="1"/>
  <c r="H39" i="260"/>
  <c r="I39" i="260"/>
  <c r="Q39" i="261" s="1"/>
  <c r="M72" i="260"/>
  <c r="M42" i="260"/>
  <c r="Q47" i="260"/>
  <c r="Q81" i="260"/>
  <c r="Q67" i="260"/>
  <c r="H42" i="260"/>
  <c r="K42" i="260"/>
  <c r="H49" i="260"/>
  <c r="K49" i="260"/>
  <c r="P49" i="260" s="1"/>
  <c r="N49" i="260" s="1"/>
  <c r="R49" i="261" s="1"/>
  <c r="Q39" i="260"/>
  <c r="H72" i="260"/>
  <c r="K72" i="260"/>
  <c r="P72" i="260" s="1"/>
  <c r="N72" i="260" s="1"/>
  <c r="H58" i="260"/>
  <c r="K58" i="260"/>
  <c r="P58" i="260" s="1"/>
  <c r="N58" i="260" s="1"/>
  <c r="K37" i="162"/>
  <c r="J18" i="162"/>
  <c r="D17" i="162"/>
  <c r="E17" i="162" s="1"/>
  <c r="F17" i="162" s="1"/>
  <c r="I18" i="162"/>
  <c r="R72" i="261" l="1"/>
  <c r="T77" i="261"/>
  <c r="X77" i="261" s="1"/>
  <c r="AA77" i="261" s="1"/>
  <c r="S77" i="261"/>
  <c r="W77" i="261" s="1"/>
  <c r="Z77" i="261" s="1"/>
  <c r="U77" i="261"/>
  <c r="Y77" i="261" s="1"/>
  <c r="AB77" i="261" s="1"/>
  <c r="I42" i="260"/>
  <c r="Q42" i="261" s="1"/>
  <c r="K9" i="260"/>
  <c r="I9" i="260" s="1"/>
  <c r="Q9" i="261" s="1"/>
  <c r="M39" i="260"/>
  <c r="N39" i="260"/>
  <c r="R39" i="261" s="1"/>
  <c r="T39" i="261" s="1"/>
  <c r="X39" i="261" s="1"/>
  <c r="AA39" i="261" s="1"/>
  <c r="M47" i="260"/>
  <c r="Q45" i="260"/>
  <c r="I81" i="260"/>
  <c r="Q81" i="261" s="1"/>
  <c r="M37" i="260"/>
  <c r="N37" i="260"/>
  <c r="R37" i="261" s="1"/>
  <c r="S37" i="261" s="1"/>
  <c r="W37" i="261" s="1"/>
  <c r="Z37" i="261" s="1"/>
  <c r="Q9" i="260"/>
  <c r="H45" i="260"/>
  <c r="H9" i="260"/>
  <c r="D7" i="259"/>
  <c r="I58" i="260"/>
  <c r="I72" i="260"/>
  <c r="I49" i="260"/>
  <c r="Q49" i="261" s="1"/>
  <c r="M67" i="260"/>
  <c r="N67" i="260"/>
  <c r="R67" i="261" s="1"/>
  <c r="U67" i="261" s="1"/>
  <c r="Y67" i="261" s="1"/>
  <c r="AB67" i="261" s="1"/>
  <c r="G8" i="259"/>
  <c r="E8" i="259" s="1"/>
  <c r="H8" i="259" s="1"/>
  <c r="P42" i="260"/>
  <c r="P9" i="260" s="1"/>
  <c r="M81" i="260"/>
  <c r="N81" i="260"/>
  <c r="R81" i="261" s="1"/>
  <c r="K45" i="260"/>
  <c r="I45" i="260" s="1"/>
  <c r="Q45" i="261" s="1"/>
  <c r="P47" i="260"/>
  <c r="P45" i="260" s="1"/>
  <c r="J19" i="162"/>
  <c r="D18" i="162"/>
  <c r="E18" i="162" s="1"/>
  <c r="F18" i="162" s="1"/>
  <c r="I19" i="162"/>
  <c r="K36" i="162"/>
  <c r="Q72" i="261" l="1"/>
  <c r="T72" i="261" s="1"/>
  <c r="X72" i="261" s="1"/>
  <c r="AA72" i="261" s="1"/>
  <c r="U37" i="261"/>
  <c r="Y37" i="261" s="1"/>
  <c r="AB37" i="261" s="1"/>
  <c r="U39" i="261"/>
  <c r="Y39" i="261" s="1"/>
  <c r="AB39" i="261" s="1"/>
  <c r="S67" i="261"/>
  <c r="W67" i="261" s="1"/>
  <c r="Z67" i="261" s="1"/>
  <c r="T67" i="261"/>
  <c r="X67" i="261" s="1"/>
  <c r="AA67" i="261" s="1"/>
  <c r="T49" i="261"/>
  <c r="X49" i="261" s="1"/>
  <c r="AA49" i="261" s="1"/>
  <c r="S49" i="261"/>
  <c r="W49" i="261" s="1"/>
  <c r="Z49" i="261" s="1"/>
  <c r="U49" i="261"/>
  <c r="Y49" i="261" s="1"/>
  <c r="AB49" i="261" s="1"/>
  <c r="T37" i="261"/>
  <c r="X37" i="261" s="1"/>
  <c r="AA37" i="261" s="1"/>
  <c r="S39" i="261"/>
  <c r="W39" i="261" s="1"/>
  <c r="Z39" i="261" s="1"/>
  <c r="T81" i="261"/>
  <c r="X81" i="261" s="1"/>
  <c r="AA81" i="261" s="1"/>
  <c r="S81" i="261"/>
  <c r="W81" i="261" s="1"/>
  <c r="Z81" i="261" s="1"/>
  <c r="U81" i="261"/>
  <c r="Y81" i="261" s="1"/>
  <c r="AB81" i="261" s="1"/>
  <c r="B7" i="259"/>
  <c r="D9" i="259"/>
  <c r="B9" i="259" s="1"/>
  <c r="N45" i="260"/>
  <c r="R45" i="261" s="1"/>
  <c r="S45" i="261" s="1"/>
  <c r="M45" i="260"/>
  <c r="N9" i="260"/>
  <c r="R9" i="261" s="1"/>
  <c r="N42" i="260"/>
  <c r="R42" i="261" s="1"/>
  <c r="T42" i="261" s="1"/>
  <c r="X42" i="261" s="1"/>
  <c r="AA42" i="261" s="1"/>
  <c r="M9" i="260"/>
  <c r="G7" i="259"/>
  <c r="N47" i="260"/>
  <c r="R47" i="261" s="1"/>
  <c r="I20" i="162"/>
  <c r="D19" i="162"/>
  <c r="E19" i="162" s="1"/>
  <c r="F19" i="162" s="1"/>
  <c r="J20" i="162"/>
  <c r="K35" i="162"/>
  <c r="U72" i="261" l="1"/>
  <c r="Y72" i="261" s="1"/>
  <c r="AB72" i="261" s="1"/>
  <c r="AB53" i="261" s="1"/>
  <c r="AB91" i="261" s="1"/>
  <c r="S72" i="261"/>
  <c r="W72" i="261" s="1"/>
  <c r="Z72" i="261" s="1"/>
  <c r="Z53" i="261" s="1"/>
  <c r="Z91" i="261" s="1"/>
  <c r="U42" i="261"/>
  <c r="Y42" i="261" s="1"/>
  <c r="AB42" i="261" s="1"/>
  <c r="U45" i="261"/>
  <c r="S42" i="261"/>
  <c r="W42" i="261" s="1"/>
  <c r="Z42" i="261" s="1"/>
  <c r="T45" i="261"/>
  <c r="AA53" i="261"/>
  <c r="AA91" i="261" s="1"/>
  <c r="S47" i="261"/>
  <c r="W47" i="261" s="1"/>
  <c r="Z47" i="261" s="1"/>
  <c r="T47" i="261"/>
  <c r="X47" i="261" s="1"/>
  <c r="AA47" i="261" s="1"/>
  <c r="U47" i="261"/>
  <c r="Y47" i="261" s="1"/>
  <c r="AB47" i="261" s="1"/>
  <c r="E7" i="259"/>
  <c r="H7" i="259" s="1"/>
  <c r="G9" i="259"/>
  <c r="E9" i="259" s="1"/>
  <c r="H9" i="259" s="1"/>
  <c r="J21" i="162"/>
  <c r="K34" i="162"/>
  <c r="I21" i="162"/>
  <c r="D20" i="162"/>
  <c r="E20" i="162" s="1"/>
  <c r="F20" i="162" s="1"/>
  <c r="D21" i="162" l="1"/>
  <c r="E21" i="162" s="1"/>
  <c r="F21" i="162" s="1"/>
  <c r="I22" i="162"/>
  <c r="K33" i="162"/>
  <c r="J22" i="162"/>
  <c r="D22" i="162" l="1"/>
  <c r="E22" i="162" s="1"/>
  <c r="F22" i="162" s="1"/>
  <c r="I23" i="162"/>
  <c r="K32" i="162"/>
  <c r="J23" i="162"/>
  <c r="J24" i="162" l="1"/>
  <c r="K31" i="162"/>
  <c r="I24" i="162"/>
  <c r="D23" i="162"/>
  <c r="E23" i="162" s="1"/>
  <c r="F23" i="162" s="1"/>
  <c r="K30" i="162" l="1"/>
  <c r="J25" i="162"/>
  <c r="I25" i="162"/>
  <c r="D24" i="162"/>
  <c r="E24" i="162" s="1"/>
  <c r="F24" i="162" s="1"/>
  <c r="J26" i="162" l="1"/>
  <c r="K29" i="162"/>
  <c r="I26" i="162"/>
  <c r="D25" i="162"/>
  <c r="E25" i="162" s="1"/>
  <c r="F25" i="162" s="1"/>
  <c r="K28" i="162" l="1"/>
  <c r="J27" i="162"/>
  <c r="D26" i="162"/>
  <c r="E26" i="162" s="1"/>
  <c r="F26" i="162" s="1"/>
  <c r="I27" i="162"/>
  <c r="J28" i="162" l="1"/>
  <c r="I28" i="162"/>
  <c r="D27" i="162"/>
  <c r="E27" i="162" s="1"/>
  <c r="F27" i="162" s="1"/>
  <c r="K27" i="162"/>
  <c r="G27" i="162" l="1"/>
  <c r="M27" i="162" s="1"/>
  <c r="K26" i="162"/>
  <c r="I29" i="162"/>
  <c r="D28" i="162"/>
  <c r="E28" i="162" s="1"/>
  <c r="F28" i="162" s="1"/>
  <c r="G28" i="162" s="1"/>
  <c r="M28" i="162" s="1"/>
  <c r="J29" i="162"/>
  <c r="I30" i="162" l="1"/>
  <c r="D29" i="162"/>
  <c r="E29" i="162" s="1"/>
  <c r="F29" i="162" s="1"/>
  <c r="G29" i="162" s="1"/>
  <c r="M29" i="162" s="1"/>
  <c r="J30" i="162"/>
  <c r="K25" i="162"/>
  <c r="G26" i="162"/>
  <c r="M26" i="162" s="1"/>
  <c r="J31" i="162" l="1"/>
  <c r="K24" i="162"/>
  <c r="G25" i="162"/>
  <c r="M25" i="162" s="1"/>
  <c r="D30" i="162"/>
  <c r="E30" i="162" s="1"/>
  <c r="F30" i="162" s="1"/>
  <c r="G30" i="162" s="1"/>
  <c r="M30" i="162" s="1"/>
  <c r="I31" i="162"/>
  <c r="K23" i="162" l="1"/>
  <c r="G24" i="162"/>
  <c r="M24" i="162" s="1"/>
  <c r="I32" i="162"/>
  <c r="D31" i="162"/>
  <c r="E31" i="162" s="1"/>
  <c r="F31" i="162" s="1"/>
  <c r="G31" i="162" s="1"/>
  <c r="M31" i="162" s="1"/>
  <c r="J32" i="162"/>
  <c r="D32" i="162" l="1"/>
  <c r="E32" i="162" s="1"/>
  <c r="F32" i="162" s="1"/>
  <c r="G32" i="162" s="1"/>
  <c r="M32" i="162" s="1"/>
  <c r="I33" i="162"/>
  <c r="J33" i="162"/>
  <c r="G23" i="162"/>
  <c r="M23" i="162" s="1"/>
  <c r="K22" i="162"/>
  <c r="J34" i="162" l="1"/>
  <c r="K21" i="162"/>
  <c r="G22" i="162"/>
  <c r="M22" i="162" s="1"/>
  <c r="I34" i="162"/>
  <c r="D33" i="162"/>
  <c r="E33" i="162" s="1"/>
  <c r="F33" i="162" s="1"/>
  <c r="G33" i="162" s="1"/>
  <c r="M33" i="162" s="1"/>
  <c r="B12" i="179"/>
  <c r="C5" i="174"/>
  <c r="D12" i="179" l="1"/>
  <c r="K20" i="162"/>
  <c r="G21" i="162"/>
  <c r="M21" i="162" s="1"/>
  <c r="I35" i="162"/>
  <c r="D34" i="162"/>
  <c r="E34" i="162" s="1"/>
  <c r="F34" i="162" s="1"/>
  <c r="G34" i="162" s="1"/>
  <c r="M34" i="162" s="1"/>
  <c r="J35" i="162"/>
  <c r="K19" i="162" l="1"/>
  <c r="G20" i="162"/>
  <c r="M20" i="162" s="1"/>
  <c r="J36" i="162"/>
  <c r="I36" i="162"/>
  <c r="D35" i="162"/>
  <c r="E35" i="162" s="1"/>
  <c r="F35" i="162" s="1"/>
  <c r="G35" i="162" s="1"/>
  <c r="M35" i="162" s="1"/>
  <c r="D36" i="162" l="1"/>
  <c r="E36" i="162" s="1"/>
  <c r="F36" i="162" s="1"/>
  <c r="G36" i="162" s="1"/>
  <c r="M36" i="162" s="1"/>
  <c r="I37" i="162"/>
  <c r="K18" i="162"/>
  <c r="G19" i="162"/>
  <c r="M19" i="162" s="1"/>
  <c r="J37" i="162"/>
  <c r="K17" i="162" l="1"/>
  <c r="G18" i="162"/>
  <c r="M18" i="162" s="1"/>
  <c r="J38" i="162"/>
  <c r="I38" i="162"/>
  <c r="D37" i="162"/>
  <c r="E37" i="162" s="1"/>
  <c r="F37" i="162" s="1"/>
  <c r="G37" i="162" s="1"/>
  <c r="M37" i="162" s="1"/>
  <c r="J39" i="162" l="1"/>
  <c r="I39" i="162"/>
  <c r="D38" i="162"/>
  <c r="E38" i="162" s="1"/>
  <c r="F38" i="162" s="1"/>
  <c r="G38" i="162" s="1"/>
  <c r="M38" i="162" s="1"/>
  <c r="K16" i="162"/>
  <c r="G17" i="162"/>
  <c r="M17" i="162" s="1"/>
  <c r="I40" i="162" l="1"/>
  <c r="D39" i="162"/>
  <c r="E39" i="162" s="1"/>
  <c r="F39" i="162" s="1"/>
  <c r="G39" i="162" s="1"/>
  <c r="M39" i="162" s="1"/>
  <c r="J40" i="162"/>
  <c r="K15" i="162"/>
  <c r="G16" i="162"/>
  <c r="M16" i="162" s="1"/>
  <c r="J41" i="162" l="1"/>
  <c r="K14" i="162"/>
  <c r="G15" i="162"/>
  <c r="M15" i="162" s="1"/>
  <c r="D40" i="162"/>
  <c r="E40" i="162" s="1"/>
  <c r="F40" i="162" s="1"/>
  <c r="G40" i="162" s="1"/>
  <c r="M40" i="162" s="1"/>
  <c r="I41" i="162"/>
  <c r="K13" i="162" l="1"/>
  <c r="G14" i="162"/>
  <c r="M14" i="162" s="1"/>
  <c r="I42" i="162"/>
  <c r="D41" i="162"/>
  <c r="E41" i="162" s="1"/>
  <c r="F41" i="162" s="1"/>
  <c r="G41" i="162" s="1"/>
  <c r="M41" i="162" s="1"/>
  <c r="J42" i="162"/>
  <c r="B5" i="174" l="1"/>
  <c r="D42" i="162"/>
  <c r="E42" i="162" s="1"/>
  <c r="F42" i="162" s="1"/>
  <c r="G42" i="162" s="1"/>
  <c r="M42" i="162" s="1"/>
  <c r="I43" i="162"/>
  <c r="J43" i="162"/>
  <c r="G13" i="162"/>
  <c r="M13" i="162" s="1"/>
  <c r="B11" i="179" s="1"/>
  <c r="K12" i="162"/>
  <c r="D5" i="174" l="1"/>
  <c r="B13" i="179"/>
  <c r="G12" i="162"/>
  <c r="M12" i="162" s="1"/>
  <c r="K11" i="162"/>
  <c r="D11" i="179"/>
  <c r="D10" i="179"/>
  <c r="J44" i="162"/>
  <c r="D43" i="162"/>
  <c r="E43" i="162" s="1"/>
  <c r="F43" i="162" s="1"/>
  <c r="G43" i="162" s="1"/>
  <c r="M43" i="162" s="1"/>
  <c r="I44" i="162"/>
  <c r="D9" i="179" l="1"/>
  <c r="D13" i="179"/>
  <c r="J45" i="162"/>
  <c r="G11" i="162"/>
  <c r="M11" i="162" s="1"/>
  <c r="K10" i="162"/>
  <c r="I45" i="162"/>
  <c r="D44" i="162"/>
  <c r="E44" i="162" s="1"/>
  <c r="F44" i="162" s="1"/>
  <c r="G44" i="162" s="1"/>
  <c r="M44" i="162" s="1"/>
  <c r="D8" i="179" l="1"/>
  <c r="J46" i="162"/>
  <c r="I46" i="162"/>
  <c r="D45" i="162"/>
  <c r="E45" i="162" s="1"/>
  <c r="F45" i="162" s="1"/>
  <c r="G45" i="162" s="1"/>
  <c r="M45" i="162" s="1"/>
  <c r="K9" i="162"/>
  <c r="G10" i="162"/>
  <c r="M10" i="162" s="1"/>
  <c r="D7" i="179" l="1"/>
  <c r="J47" i="162"/>
  <c r="G9" i="162"/>
  <c r="M9" i="162" s="1"/>
  <c r="K8" i="162"/>
  <c r="G8" i="162" s="1"/>
  <c r="M8" i="162" s="1"/>
  <c r="I47" i="162"/>
  <c r="D47" i="162" s="1"/>
  <c r="E47" i="162" s="1"/>
  <c r="D46" i="162"/>
  <c r="E46" i="162" s="1"/>
  <c r="F46" i="162" s="1"/>
  <c r="G46" i="162" s="1"/>
  <c r="M46" i="162" s="1"/>
  <c r="F47" i="162" l="1"/>
  <c r="G47" i="162" s="1"/>
  <c r="M47" i="162" s="1"/>
  <c r="E5" i="174" s="1"/>
  <c r="D6" i="179"/>
  <c r="B14" i="179" l="1"/>
  <c r="D14" i="17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Gabriel Zucman</author>
  </authors>
  <commentList>
    <comment ref="A62" authorId="0" shapeId="0" xr:uid="{00000000-0006-0000-0B00-000001000000}">
      <text>
        <r>
          <rPr>
            <b/>
            <sz val="9"/>
            <color indexed="81"/>
            <rFont val="Garamond"/>
            <family val="2"/>
          </rPr>
          <t>Gabriel Zucman:</t>
        </r>
        <r>
          <rPr>
            <sz val="9"/>
            <color indexed="81"/>
            <rFont val="Garamond"/>
            <family val="2"/>
          </rPr>
          <t xml:space="preserve">
British Virgin Islands, Cayman Islands, Montserrat, and Turks and Caicos Islands. </t>
        </r>
      </text>
    </comment>
    <comment ref="A63" authorId="0" shapeId="0" xr:uid="{00000000-0006-0000-0B00-000002000000}">
      <text>
        <r>
          <rPr>
            <b/>
            <sz val="9"/>
            <color indexed="81"/>
            <rFont val="Garamond"/>
            <family val="2"/>
          </rPr>
          <t>Gabriel Zucman:</t>
        </r>
        <r>
          <rPr>
            <sz val="9"/>
            <color indexed="81"/>
            <rFont val="Garamond"/>
            <family val="2"/>
          </rPr>
          <t xml:space="preserve">
Includes Bahamas, Aruba, Anguilla, Dominica,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Gabriel Zucman</author>
  </authors>
  <commentList>
    <comment ref="A62" authorId="0" shapeId="0" xr:uid="{00000000-0006-0000-0C00-000001000000}">
      <text>
        <r>
          <rPr>
            <b/>
            <sz val="9"/>
            <color indexed="81"/>
            <rFont val="Garamond"/>
            <family val="2"/>
          </rPr>
          <t>Gabriel Zucman:</t>
        </r>
        <r>
          <rPr>
            <sz val="9"/>
            <color indexed="81"/>
            <rFont val="Garamond"/>
            <family val="2"/>
          </rPr>
          <t xml:space="preserve">
British Virgin Islands, Cayman Islands, Montserrat, and Turks and Caicos Islands. </t>
        </r>
      </text>
    </comment>
    <comment ref="A63" authorId="0" shapeId="0" xr:uid="{00000000-0006-0000-0C00-000002000000}">
      <text>
        <r>
          <rPr>
            <b/>
            <sz val="9"/>
            <color indexed="81"/>
            <rFont val="Garamond"/>
            <family val="2"/>
          </rPr>
          <t>Gabriel Zucman:</t>
        </r>
        <r>
          <rPr>
            <sz val="9"/>
            <color indexed="81"/>
            <rFont val="Garamond"/>
            <family val="2"/>
          </rPr>
          <t xml:space="preserve">
Includes Bahamas, Aruba, Anguilla, Dominica,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Gabriel Zucman</author>
  </authors>
  <commentList>
    <comment ref="B27" authorId="0" shapeId="0" xr:uid="{00000000-0006-0000-1100-000001000000}">
      <text>
        <r>
          <rPr>
            <b/>
            <sz val="9"/>
            <color indexed="81"/>
            <rFont val="Garamond"/>
            <family val="2"/>
          </rPr>
          <t>Gabriel Zucman:</t>
        </r>
        <r>
          <rPr>
            <sz val="9"/>
            <color indexed="81"/>
            <rFont val="Garamond"/>
            <family val="2"/>
          </rPr>
          <t xml:space="preserve">
Uses asset/liability data rather than directional</t>
        </r>
      </text>
    </comment>
  </commentList>
</comments>
</file>

<file path=xl/sharedStrings.xml><?xml version="1.0" encoding="utf-8"?>
<sst xmlns="http://schemas.openxmlformats.org/spreadsheetml/2006/main" count="5535" uniqueCount="942">
  <si>
    <t>United States</t>
  </si>
  <si>
    <t>Switzerland</t>
  </si>
  <si>
    <t>Belgium</t>
  </si>
  <si>
    <t>Corporate income tax</t>
  </si>
  <si>
    <t>Retained earnings</t>
  </si>
  <si>
    <t>Net dividends paid</t>
  </si>
  <si>
    <t>Dividends received</t>
  </si>
  <si>
    <t>Dividends paid</t>
  </si>
  <si>
    <t>Corporate profits</t>
  </si>
  <si>
    <t>Capital share (gross)</t>
  </si>
  <si>
    <t>Depreciation</t>
  </si>
  <si>
    <t>Net interest paid</t>
  </si>
  <si>
    <t>Net operating surplus</t>
  </si>
  <si>
    <t>Compensation of employees</t>
  </si>
  <si>
    <t>Value-added of the corporate sector</t>
  </si>
  <si>
    <t>Value-added at factor cost</t>
  </si>
  <si>
    <t>Taxes on production net of subsidies</t>
  </si>
  <si>
    <t>GDP</t>
  </si>
  <si>
    <t>Retained earnings / net-of-tax profits</t>
  </si>
  <si>
    <t>Ireland</t>
  </si>
  <si>
    <t>[1]</t>
  </si>
  <si>
    <t>[2]</t>
  </si>
  <si>
    <t>[3]</t>
  </si>
  <si>
    <t>[4]</t>
  </si>
  <si>
    <t>[5]</t>
  </si>
  <si>
    <t>[6]</t>
  </si>
  <si>
    <t>[7]</t>
  </si>
  <si>
    <t>Corporate sector</t>
  </si>
  <si>
    <t>Government sector</t>
  </si>
  <si>
    <t>Non-corporate businesses, households &amp; NPISH</t>
  </si>
  <si>
    <t>Table A.1: Value-added by sector (2015)</t>
  </si>
  <si>
    <t>Capital share         (net)</t>
  </si>
  <si>
    <t>Labor share          (net)</t>
  </si>
  <si>
    <t>[8]</t>
  </si>
  <si>
    <t>[9]</t>
  </si>
  <si>
    <t>Table A.2: Value-added in the corporate sector: decomposition by cost component (2015)</t>
  </si>
  <si>
    <t>Deprecia-tion</t>
  </si>
  <si>
    <t>[10]</t>
  </si>
  <si>
    <t>Table A.3: Distribution of corporate profits (2015)</t>
  </si>
  <si>
    <t>Memo: corporate tax revenue</t>
  </si>
  <si>
    <t>Memo: central bank profits</t>
  </si>
  <si>
    <t>Foreign-controlled firms</t>
  </si>
  <si>
    <r>
      <rPr>
        <u/>
        <sz val="12"/>
        <color theme="1"/>
        <rFont val="Arial"/>
        <family val="2"/>
      </rPr>
      <t>Notes</t>
    </r>
    <r>
      <rPr>
        <sz val="12"/>
        <color theme="1"/>
        <rFont val="Arial"/>
        <family val="2"/>
      </rPr>
      <t>: Depreciation and net interest are imputed when no data is available, see Online Appendix Section A.2.</t>
    </r>
  </si>
  <si>
    <t>Gross operating surplus</t>
  </si>
  <si>
    <t>Local firms</t>
  </si>
  <si>
    <r>
      <t xml:space="preserve">Net </t>
    </r>
    <r>
      <rPr>
        <sz val="12"/>
        <color theme="1"/>
        <rFont val="Arial"/>
        <family val="2"/>
      </rPr>
      <t>interest</t>
    </r>
    <r>
      <rPr>
        <sz val="12"/>
        <color theme="1"/>
        <rFont val="Arial"/>
        <family val="2"/>
      </rPr>
      <t xml:space="preserve"> paid</t>
    </r>
  </si>
  <si>
    <t>Interest paid</t>
  </si>
  <si>
    <r>
      <rPr>
        <sz val="12"/>
        <color theme="1"/>
        <rFont val="Arial"/>
        <family val="2"/>
      </rPr>
      <t>Interest</t>
    </r>
    <r>
      <rPr>
        <sz val="12"/>
        <color theme="1"/>
        <rFont val="Arial"/>
        <family val="2"/>
      </rPr>
      <t xml:space="preserve"> received</t>
    </r>
  </si>
  <si>
    <t>France</t>
  </si>
  <si>
    <t>Direct investment income paid</t>
  </si>
  <si>
    <t>To foreign parent</t>
  </si>
  <si>
    <t>Reinvested earnings</t>
  </si>
  <si>
    <r>
      <rPr>
        <sz val="12"/>
        <color theme="1"/>
        <rFont val="Arial"/>
        <family val="2"/>
      </rPr>
      <t>Billion c</t>
    </r>
    <r>
      <rPr>
        <sz val="12"/>
        <color theme="1"/>
        <rFont val="Arial"/>
        <family val="2"/>
      </rPr>
      <t>urrent US$</t>
    </r>
  </si>
  <si>
    <r>
      <t xml:space="preserve">Billion current </t>
    </r>
    <r>
      <rPr>
        <sz val="12"/>
        <color theme="1"/>
        <rFont val="Arial"/>
        <family val="2"/>
      </rPr>
      <t>US$</t>
    </r>
  </si>
  <si>
    <t>Australia</t>
  </si>
  <si>
    <t>Austria</t>
  </si>
  <si>
    <t>Canada</t>
  </si>
  <si>
    <t>Chile</t>
  </si>
  <si>
    <t>Czech Republic</t>
  </si>
  <si>
    <t>Denmark</t>
  </si>
  <si>
    <t>Estonia</t>
  </si>
  <si>
    <t>Finland</t>
  </si>
  <si>
    <t>Germany</t>
  </si>
  <si>
    <t>Greece</t>
  </si>
  <si>
    <t>Hungary</t>
  </si>
  <si>
    <t>Iceland</t>
  </si>
  <si>
    <t>Italy</t>
  </si>
  <si>
    <t>Japan</t>
  </si>
  <si>
    <t>Korea</t>
  </si>
  <si>
    <t>Latvia</t>
  </si>
  <si>
    <t>Luxembourg</t>
  </si>
  <si>
    <t>Mexico</t>
  </si>
  <si>
    <t>Netherlands</t>
  </si>
  <si>
    <t>New Zealand</t>
  </si>
  <si>
    <t>Norway</t>
  </si>
  <si>
    <t>Poland</t>
  </si>
  <si>
    <t>Portugal</t>
  </si>
  <si>
    <t>Slovak Republic</t>
  </si>
  <si>
    <t>Slovenia</t>
  </si>
  <si>
    <t>Spain</t>
  </si>
  <si>
    <t>Sweden</t>
  </si>
  <si>
    <t>Turkey</t>
  </si>
  <si>
    <t>United Kingdom</t>
  </si>
  <si>
    <t xml:space="preserve">  Brazil</t>
  </si>
  <si>
    <t>Direct investment income received</t>
  </si>
  <si>
    <t>From foreign affiliates</t>
  </si>
  <si>
    <t>From fellow enterprises with domestic UCP</t>
  </si>
  <si>
    <t>Interest received</t>
  </si>
  <si>
    <t>From foreign parent</t>
  </si>
  <si>
    <t>From foreign parents</t>
  </si>
  <si>
    <t>From fellow enterprises with foreign UCP</t>
  </si>
  <si>
    <t>To fellow enterprises with domestic UCP</t>
  </si>
  <si>
    <t>Brazil</t>
  </si>
  <si>
    <t>Colombia</t>
  </si>
  <si>
    <t>Costa Rica</t>
  </si>
  <si>
    <t>Israel</t>
  </si>
  <si>
    <t>Slovakia</t>
  </si>
  <si>
    <t>South Africa</t>
  </si>
  <si>
    <t>OECD countries</t>
  </si>
  <si>
    <t>Main developing countries</t>
  </si>
  <si>
    <t>Non-OECD tax havens</t>
  </si>
  <si>
    <t>China</t>
  </si>
  <si>
    <t>India</t>
  </si>
  <si>
    <t>Russia</t>
  </si>
  <si>
    <t>Net interest paid / net operating surplus</t>
  </si>
  <si>
    <t>[11]</t>
  </si>
  <si>
    <t>To foreign affiliates</t>
  </si>
  <si>
    <t>Profits / compensation</t>
  </si>
  <si>
    <t>Current account</t>
  </si>
  <si>
    <r>
      <t>Local firms (π</t>
    </r>
    <r>
      <rPr>
        <vertAlign val="subscript"/>
        <sz val="12"/>
        <color theme="1"/>
        <rFont val="Arial"/>
        <family val="2"/>
      </rPr>
      <t>l</t>
    </r>
    <r>
      <rPr>
        <sz val="12"/>
        <color theme="1"/>
        <rFont val="Arial"/>
        <family val="2"/>
      </rPr>
      <t>)</t>
    </r>
  </si>
  <si>
    <r>
      <t>Foreign controlled firms       (π</t>
    </r>
    <r>
      <rPr>
        <vertAlign val="subscript"/>
        <sz val="12"/>
        <color theme="1"/>
        <rFont val="Arial"/>
        <family val="2"/>
      </rPr>
      <t>f</t>
    </r>
    <r>
      <rPr>
        <sz val="12"/>
        <color theme="1"/>
        <rFont val="Arial"/>
        <family val="2"/>
      </rPr>
      <t>)</t>
    </r>
  </si>
  <si>
    <t>Billion current US$</t>
  </si>
  <si>
    <t>Foreign-controlled       (% total)</t>
  </si>
  <si>
    <t>Gap</t>
  </si>
  <si>
    <t>Reported by Ireland</t>
  </si>
  <si>
    <t>Reported by partner countries</t>
  </si>
  <si>
    <t>Cyprus</t>
  </si>
  <si>
    <t>Reported by Cyprus</t>
  </si>
  <si>
    <t>Reported by Luxembourg</t>
  </si>
  <si>
    <t>Reported by Netherlands</t>
  </si>
  <si>
    <t>EU28</t>
  </si>
  <si>
    <t>Reported by Belgium</t>
  </si>
  <si>
    <t>EUR/dollar exchange rate</t>
  </si>
  <si>
    <t xml:space="preserve">  Germany</t>
  </si>
  <si>
    <t xml:space="preserve">  France</t>
  </si>
  <si>
    <t xml:space="preserve">  Luxembourg</t>
  </si>
  <si>
    <t xml:space="preserve">  Sweden</t>
  </si>
  <si>
    <t xml:space="preserve">  United Kingdom</t>
  </si>
  <si>
    <t xml:space="preserve">  Ireland</t>
  </si>
  <si>
    <t xml:space="preserve">  Other</t>
  </si>
  <si>
    <t xml:space="preserve">  Belgium</t>
  </si>
  <si>
    <t xml:space="preserve">  Netherlands</t>
  </si>
  <si>
    <t>USA</t>
  </si>
  <si>
    <t>Table A.7: Discrepancies in FATS statistics: E.U. tax havens (2015)</t>
  </si>
  <si>
    <t>Turnover</t>
  </si>
  <si>
    <t>Number of employees</t>
  </si>
  <si>
    <t>Total</t>
  </si>
  <si>
    <t>(EU+US)/total</t>
  </si>
  <si>
    <t>[12]</t>
  </si>
  <si>
    <t>[13]</t>
  </si>
  <si>
    <t>[14]</t>
  </si>
  <si>
    <t>[15]</t>
  </si>
  <si>
    <t>Turnover (billion current US$)</t>
  </si>
  <si>
    <t>Number of employees (thousands)</t>
  </si>
  <si>
    <t>Gross operating surplus (billion current US$)</t>
  </si>
  <si>
    <t>Compensation of employees (billion current US$)</t>
  </si>
  <si>
    <t>To fellow enterprises with foreign UCP</t>
  </si>
  <si>
    <t>Check</t>
  </si>
  <si>
    <t>Table B.3: Direct investment income received (2015)</t>
  </si>
  <si>
    <t>Table B.4: Direct investment income paid (2015)</t>
  </si>
  <si>
    <t>Inward direct investment</t>
  </si>
  <si>
    <t>Outward direct investment</t>
  </si>
  <si>
    <t>Net dividends</t>
  </si>
  <si>
    <t>Net interest</t>
  </si>
  <si>
    <t>Income</t>
  </si>
  <si>
    <t>Positions</t>
  </si>
  <si>
    <t>Equity</t>
  </si>
  <si>
    <t>Debt</t>
  </si>
  <si>
    <t>Table B.5: Direct investment income and positions of Special Purposes Entities (SPEs)</t>
  </si>
  <si>
    <t>Table B.2: Direct investment income and positions (2015)</t>
  </si>
  <si>
    <t>Table B.6: Returns on direct investment (2015)</t>
  </si>
  <si>
    <t xml:space="preserve">Equity </t>
  </si>
  <si>
    <t>Euro/dollar 2015</t>
  </si>
  <si>
    <t>In euros, from Eursotat</t>
  </si>
  <si>
    <t>Table A.9: Operating surplus: FATS vs. National accounts</t>
  </si>
  <si>
    <t>Missing from FATS</t>
  </si>
  <si>
    <t/>
  </si>
  <si>
    <t>Tax rate</t>
  </si>
  <si>
    <t>Top 6 havens</t>
  </si>
  <si>
    <t>Of which: non-financial corp.</t>
  </si>
  <si>
    <t>Of which: financial corp.</t>
  </si>
  <si>
    <t>Compensation of employees, national accounts</t>
  </si>
  <si>
    <t>Gross operating surplus, national accounts</t>
  </si>
  <si>
    <t>Local + foreign-controlled firms</t>
  </si>
  <si>
    <t>Gross value added</t>
  </si>
  <si>
    <t>Foreign controlled firms (FATS)</t>
  </si>
  <si>
    <r>
      <rPr>
        <u/>
        <sz val="12"/>
        <color theme="1"/>
        <rFont val="Arial"/>
        <family val="2"/>
      </rPr>
      <t>Notes</t>
    </r>
    <r>
      <rPr>
        <sz val="12"/>
        <color theme="1"/>
        <rFont val="Arial"/>
        <family val="2"/>
      </rPr>
      <t>: For both foreign-controlled and local firms, corporate value-added is at factor costs (i.e., net of indirect taxes). For Luxembourg, we assume that 100% of value-added in the financial sector (which is not reported in the FATS) is in foreign-controlled firms.</t>
    </r>
  </si>
  <si>
    <t>Profits of operating units</t>
  </si>
  <si>
    <t>Table A.7: Artificially shifted profits (2015)</t>
  </si>
  <si>
    <t>Corporate profits, total</t>
  </si>
  <si>
    <t>Corporate income tax rate</t>
  </si>
  <si>
    <t>Table A.4: Corporate value-added: local firms vs. foreign-controlled firms (excl. SPEs) (2015)</t>
  </si>
  <si>
    <r>
      <t>Artificially shifted profits   (π</t>
    </r>
    <r>
      <rPr>
        <b/>
        <vertAlign val="subscript"/>
        <sz val="12"/>
        <color theme="1"/>
        <rFont val="Arial"/>
        <family val="2"/>
      </rPr>
      <t>f</t>
    </r>
    <r>
      <rPr>
        <b/>
        <sz val="12"/>
        <color theme="1"/>
        <rFont val="Arial"/>
        <family val="2"/>
      </rPr>
      <t xml:space="preserve"> = π</t>
    </r>
    <r>
      <rPr>
        <b/>
        <vertAlign val="subscript"/>
        <sz val="12"/>
        <color theme="1"/>
        <rFont val="Arial"/>
        <family val="2"/>
      </rPr>
      <t>l</t>
    </r>
    <r>
      <rPr>
        <b/>
        <sz val="12"/>
        <color theme="1"/>
        <rFont val="Arial"/>
        <family val="2"/>
      </rPr>
      <t>)</t>
    </r>
  </si>
  <si>
    <t>To the U.S.</t>
  </si>
  <si>
    <t>Missing profit outflows</t>
  </si>
  <si>
    <t>FDI income</t>
  </si>
  <si>
    <t xml:space="preserve"> Billions of current USD</t>
  </si>
  <si>
    <t>Service trade</t>
  </si>
  <si>
    <t>FDI equity income</t>
  </si>
  <si>
    <t>FDI debt income</t>
  </si>
  <si>
    <t>Table B.7: The World Current Account: Credits</t>
  </si>
  <si>
    <t>Table B.8: The World Current Account: Debits</t>
  </si>
  <si>
    <t>Primary income</t>
  </si>
  <si>
    <t>Secondary income</t>
  </si>
  <si>
    <t>Portfolio &amp; other income</t>
  </si>
  <si>
    <t>Of which: US affiliates</t>
  </si>
  <si>
    <t>Notes: copied from U.S. MNE Activities: Preliminary 2015 Statistics, Majority-Owned Foreign Affiliates, Table II.F.1</t>
  </si>
  <si>
    <t>Profit-type return</t>
  </si>
  <si>
    <t xml:space="preserve">Net interest paid </t>
  </si>
  <si>
    <t xml:space="preserve">Taxes on production and imports </t>
  </si>
  <si>
    <t>Capital consumption allowances</t>
  </si>
  <si>
    <t>(D)</t>
  </si>
  <si>
    <t>Other</t>
  </si>
  <si>
    <t>South America</t>
  </si>
  <si>
    <t>Argentina</t>
  </si>
  <si>
    <t>Ecuador</t>
  </si>
  <si>
    <t>Peru</t>
  </si>
  <si>
    <t>Venezuela</t>
  </si>
  <si>
    <t>Central America</t>
  </si>
  <si>
    <t>Honduras</t>
  </si>
  <si>
    <t>Panama</t>
  </si>
  <si>
    <t>Other Western Hemisphere</t>
  </si>
  <si>
    <t>Barbados</t>
  </si>
  <si>
    <t>Bermuda</t>
  </si>
  <si>
    <t>Dominican Republic</t>
  </si>
  <si>
    <t>United Kingdom Islands, Caribbean</t>
  </si>
  <si>
    <t>Egypt</t>
  </si>
  <si>
    <t>Nigeria</t>
  </si>
  <si>
    <t>Saudi Arabia</t>
  </si>
  <si>
    <t>United Arab Emirates</t>
  </si>
  <si>
    <t>Hong Kong</t>
  </si>
  <si>
    <t>Indonesia</t>
  </si>
  <si>
    <t>Korea, Republic of</t>
  </si>
  <si>
    <t>Malaysia</t>
  </si>
  <si>
    <t>Philippines</t>
  </si>
  <si>
    <t>Singapore</t>
  </si>
  <si>
    <t>Taiwan</t>
  </si>
  <si>
    <t>Thailand</t>
  </si>
  <si>
    <t>European Union (28)</t>
  </si>
  <si>
    <t>OPEC</t>
  </si>
  <si>
    <r>
      <rPr>
        <b/>
        <u/>
        <sz val="12"/>
        <color theme="1"/>
        <rFont val="Arial"/>
        <family val="2"/>
      </rPr>
      <t>Notes</t>
    </r>
    <r>
      <rPr>
        <b/>
        <sz val="12"/>
        <color theme="1"/>
        <rFont val="Arial"/>
        <family val="2"/>
      </rPr>
      <t xml:space="preserve">: For the US </t>
    </r>
    <r>
      <rPr>
        <sz val="12"/>
        <color theme="1"/>
        <rFont val="Arial"/>
        <family val="2"/>
      </rPr>
      <t xml:space="preserve">we use the exact figures for majority-owned affiliates of foreign multinationals, from the BEA Survey Table II.F1. (They are broadly consistent with the method used here which infers profits of foreign-controlled corporations from balance of payments data; the main difference is that net interest paid is about $12bn lower in the BEA data, probably due to differences between DI (&gt;10% owned, apportioned) and FATS stats (&gt;50% owned, not apportioned). </t>
    </r>
  </si>
  <si>
    <r>
      <rPr>
        <b/>
        <sz val="12"/>
        <color theme="1"/>
        <rFont val="Arial"/>
        <family val="2"/>
      </rPr>
      <t>For Luxembourg</t>
    </r>
    <r>
      <rPr>
        <sz val="12"/>
        <color theme="1"/>
        <rFont val="Arial"/>
        <family val="2"/>
      </rPr>
      <t>, we set depreciation at 24% (= economy average) (and corp tax rate out of operating surplus = 5%) and compute net interest as a residual. Otherwise the Luxembourg FATS and balance of payments data are not consistent (due to different scope: DI: &gt;10% owned vs. FATS: &gt;50% owned).</t>
    </r>
  </si>
  <si>
    <t>V.A. non financial corp:                 FATS / National accounts</t>
  </si>
  <si>
    <t>Compensation of employees (FATS)</t>
  </si>
  <si>
    <r>
      <t>Gross operating surplus</t>
    </r>
    <r>
      <rPr>
        <sz val="12"/>
        <color theme="1"/>
        <rFont val="Arial"/>
        <family val="2"/>
      </rPr>
      <t xml:space="preserve"> (</t>
    </r>
    <r>
      <rPr>
        <sz val="12"/>
        <color theme="1"/>
        <rFont val="Arial"/>
        <family val="2"/>
      </rPr>
      <t>FATS</t>
    </r>
    <r>
      <rPr>
        <sz val="12"/>
        <color theme="1"/>
        <rFont val="Arial"/>
        <family val="2"/>
      </rPr>
      <t>)</t>
    </r>
  </si>
  <si>
    <t>Costs and expenses</t>
  </si>
  <si>
    <t>Net income</t>
  </si>
  <si>
    <t>Sales</t>
  </si>
  <si>
    <t>Income from equity investments</t>
  </si>
  <si>
    <t>Cost of goods sold and selling, general, and administrative expenses</t>
  </si>
  <si>
    <t>Foreign income taxes</t>
  </si>
  <si>
    <t>(*)</t>
  </si>
  <si>
    <r>
      <rPr>
        <b/>
        <sz val="12"/>
        <rFont val="Arial"/>
        <family val="2"/>
      </rPr>
      <t>All countries</t>
    </r>
  </si>
  <si>
    <r>
      <rPr>
        <b/>
        <sz val="12"/>
        <rFont val="Arial"/>
        <family val="2"/>
      </rPr>
      <t>Canada</t>
    </r>
  </si>
  <si>
    <r>
      <rPr>
        <b/>
        <sz val="12"/>
        <rFont val="Arial"/>
        <family val="2"/>
      </rPr>
      <t>Europe</t>
    </r>
  </si>
  <si>
    <r>
      <rPr>
        <b/>
        <sz val="12"/>
        <rFont val="Arial"/>
        <family val="2"/>
      </rPr>
      <t>Latin America &amp; Other Western Hemisphere</t>
    </r>
  </si>
  <si>
    <r>
      <rPr>
        <b/>
        <sz val="12"/>
        <rFont val="Arial"/>
        <family val="2"/>
      </rPr>
      <t>Africa</t>
    </r>
  </si>
  <si>
    <r>
      <rPr>
        <b/>
        <sz val="12"/>
        <rFont val="Arial"/>
        <family val="2"/>
      </rPr>
      <t>Middle East</t>
    </r>
  </si>
  <si>
    <r>
      <rPr>
        <b/>
        <sz val="12"/>
        <rFont val="Arial"/>
        <family val="2"/>
      </rPr>
      <t>Asia and Pacific</t>
    </r>
  </si>
  <si>
    <r>
      <rPr>
        <b/>
        <sz val="12"/>
        <rFont val="Arial"/>
        <family val="2"/>
      </rPr>
      <t>Addenda:</t>
    </r>
  </si>
  <si>
    <t>Table A.10: Value-added of majority-owned foreign affiliates of U.S. multinationals (2015)</t>
  </si>
  <si>
    <t>Million current US$</t>
  </si>
  <si>
    <r>
      <rPr>
        <b/>
        <sz val="12"/>
        <rFont val="Arial"/>
        <family val="2"/>
      </rPr>
      <t>Latin America and Other Western Hemisphere</t>
    </r>
  </si>
  <si>
    <t>Main non-OECD Non havens</t>
  </si>
  <si>
    <t>Main OECD non havens</t>
  </si>
  <si>
    <t>[16]</t>
  </si>
  <si>
    <t>Outward - inward differential</t>
  </si>
  <si>
    <t>Goods trade (total trade before 2009)</t>
  </si>
  <si>
    <t>Memo: number of countries used for estimation of FDI income</t>
  </si>
  <si>
    <t>Non-financial corporations</t>
  </si>
  <si>
    <t>Financial corporations</t>
  </si>
  <si>
    <t>Table A.2b: Value-added in the non-financial corporate sector: decomposition by cost component (2015)</t>
  </si>
  <si>
    <t>Value-added of the non-financial corporate sector</t>
  </si>
  <si>
    <t>OECD</t>
  </si>
  <si>
    <t>Average shares</t>
  </si>
  <si>
    <t>Taxes on production net of subsidies/GDP</t>
  </si>
  <si>
    <t>Corporate sector/Value-added at factor cost</t>
  </si>
  <si>
    <t>Developing</t>
  </si>
  <si>
    <t>Havens</t>
  </si>
  <si>
    <t>Depreciation all sectors</t>
  </si>
  <si>
    <t>Percent of value added</t>
  </si>
  <si>
    <t>Percent of corporate depreciation</t>
  </si>
  <si>
    <t>Andorra</t>
  </si>
  <si>
    <t>Anguilla</t>
  </si>
  <si>
    <t>Aruba</t>
  </si>
  <si>
    <t>Bahamas</t>
  </si>
  <si>
    <t>Bahrain</t>
  </si>
  <si>
    <t>Belize</t>
  </si>
  <si>
    <t>Bonaire</t>
  </si>
  <si>
    <t>BVI</t>
  </si>
  <si>
    <t>Curacao</t>
  </si>
  <si>
    <t>Jersey</t>
  </si>
  <si>
    <t>Guernsey</t>
  </si>
  <si>
    <t>Gribraltar</t>
  </si>
  <si>
    <t>Isle of man</t>
  </si>
  <si>
    <t>Lebanon</t>
  </si>
  <si>
    <t>Liechtenstein</t>
  </si>
  <si>
    <t>Macau</t>
  </si>
  <si>
    <t>Sint Maarten</t>
  </si>
  <si>
    <t>Mauritius</t>
  </si>
  <si>
    <t>Puerto Rico</t>
  </si>
  <si>
    <t>Cayman Islands</t>
  </si>
  <si>
    <t>To the rest of the world</t>
  </si>
  <si>
    <r>
      <rPr>
        <sz val="12"/>
        <color theme="1"/>
        <rFont val="Arial"/>
        <family val="2"/>
      </rPr>
      <t>Recorded p</t>
    </r>
    <r>
      <rPr>
        <sz val="12"/>
        <color theme="1"/>
        <rFont val="Arial"/>
        <family val="2"/>
      </rPr>
      <t>rofits of SPEs (net)</t>
    </r>
  </si>
  <si>
    <t>Grenada</t>
  </si>
  <si>
    <t>Gibraltar</t>
  </si>
  <si>
    <t>Monaco</t>
  </si>
  <si>
    <t>Seychelles</t>
  </si>
  <si>
    <t>St. Kitts and Nevis</t>
  </si>
  <si>
    <t>St. Lucia</t>
  </si>
  <si>
    <t>Turks and Caicos</t>
  </si>
  <si>
    <t>Malta</t>
  </si>
  <si>
    <t>Marshall Islands</t>
  </si>
  <si>
    <t>Taxable profits / compens.           (π)</t>
  </si>
  <si>
    <t>Reported profits / compensation</t>
  </si>
  <si>
    <t>Of U.S. multinationals</t>
  </si>
  <si>
    <t>Of E.U. multinationals</t>
  </si>
  <si>
    <t>Missing profits</t>
  </si>
  <si>
    <t>Table A.10: Value-added of majority-owned foreign affiliates of U.S. multinationals (2014)</t>
  </si>
  <si>
    <t>All countries</t>
  </si>
  <si>
    <t>Europe</t>
  </si>
  <si>
    <t>Latin America and Other Western Hemisphere</t>
  </si>
  <si>
    <t>Africa</t>
  </si>
  <si>
    <t>Middle East</t>
  </si>
  <si>
    <t>Asia and Pacific</t>
  </si>
  <si>
    <t>Addenda:</t>
  </si>
  <si>
    <t>Table A.11 Income Statement of of majority-owned foreign affiliates of U.S. multinationals (2014)</t>
  </si>
  <si>
    <t>Table A.11 Income Statement of of majority-owned foreign affiliates of U.S. multinationals (2015)</t>
  </si>
  <si>
    <t>Russian Federation</t>
  </si>
  <si>
    <t>Antigua and Barbuda</t>
  </si>
  <si>
    <t>Bahamas, The</t>
  </si>
  <si>
    <t>British Virgin Islands</t>
  </si>
  <si>
    <t>St. Vincent and the Grenadines</t>
  </si>
  <si>
    <t>Non-OECD haven average share of compensation in foreign sector</t>
  </si>
  <si>
    <t>Classified or undeclared</t>
  </si>
  <si>
    <t>Zimbabwe</t>
  </si>
  <si>
    <t>Zambia</t>
  </si>
  <si>
    <t>Yemen</t>
  </si>
  <si>
    <t>Yemen, Republic of</t>
  </si>
  <si>
    <t>West Bank and Gaza</t>
  </si>
  <si>
    <t>Vietnam</t>
  </si>
  <si>
    <t>Venezuela, Republica Bolivariana de</t>
  </si>
  <si>
    <t>Vanuatu</t>
  </si>
  <si>
    <t>Uruguay</t>
  </si>
  <si>
    <t>Ukraine</t>
  </si>
  <si>
    <t>Uganda</t>
  </si>
  <si>
    <t>Tuvalu</t>
  </si>
  <si>
    <t>Tunisia</t>
  </si>
  <si>
    <t>Trinidad and Tobago</t>
  </si>
  <si>
    <t>Tonga</t>
  </si>
  <si>
    <t>Togo</t>
  </si>
  <si>
    <t>Timor-Leste</t>
  </si>
  <si>
    <t>Timor-Leste, Dem. Rep. of</t>
  </si>
  <si>
    <t>Tanzania</t>
  </si>
  <si>
    <t>Tajikistan</t>
  </si>
  <si>
    <t>Syrian Arab Republic</t>
  </si>
  <si>
    <t>Syria</t>
  </si>
  <si>
    <t>Swaziland</t>
  </si>
  <si>
    <t>Suriname</t>
  </si>
  <si>
    <t>Sudan</t>
  </si>
  <si>
    <t>South Sudan</t>
  </si>
  <si>
    <t>Solomon Islands</t>
  </si>
  <si>
    <t>Sierra Leone</t>
  </si>
  <si>
    <t>Serbia</t>
  </si>
  <si>
    <t>Serbia, Republic of</t>
  </si>
  <si>
    <t>Senegal</t>
  </si>
  <si>
    <t>Sao Tome and Principe</t>
  </si>
  <si>
    <t>Samoa</t>
  </si>
  <si>
    <t>Rwanda</t>
  </si>
  <si>
    <t>Romania</t>
  </si>
  <si>
    <t>Qatar</t>
  </si>
  <si>
    <t>Paraguay</t>
  </si>
  <si>
    <t>Papua New Guinea</t>
  </si>
  <si>
    <t>Palau</t>
  </si>
  <si>
    <t>Pakistan</t>
  </si>
  <si>
    <t>Oman</t>
  </si>
  <si>
    <t>Niger</t>
  </si>
  <si>
    <t>Nicaragua</t>
  </si>
  <si>
    <t>Nepal</t>
  </si>
  <si>
    <t>Namibia</t>
  </si>
  <si>
    <t>Myanmar</t>
  </si>
  <si>
    <t>Mozambique</t>
  </si>
  <si>
    <t>Morocco</t>
  </si>
  <si>
    <t>Montserrat</t>
  </si>
  <si>
    <t>Montenegro</t>
  </si>
  <si>
    <t>Mongolia</t>
  </si>
  <si>
    <t>Moldova</t>
  </si>
  <si>
    <t>Micronesia</t>
  </si>
  <si>
    <t>Federated States of Micronesia</t>
  </si>
  <si>
    <t>Micronesia, Federated States of</t>
  </si>
  <si>
    <t>Mauritania</t>
  </si>
  <si>
    <t>Mali</t>
  </si>
  <si>
    <t>Maldives</t>
  </si>
  <si>
    <t>Malawi</t>
  </si>
  <si>
    <t>Madagascar</t>
  </si>
  <si>
    <t>Macedonia, FYR</t>
  </si>
  <si>
    <t>Former Yugoslav Republic of Macedonia, the</t>
  </si>
  <si>
    <t>Macedonia,</t>
  </si>
  <si>
    <t>Libya</t>
  </si>
  <si>
    <t>Liberia</t>
  </si>
  <si>
    <t>Lesotho</t>
  </si>
  <si>
    <t>Laos</t>
  </si>
  <si>
    <t>Lao People's Democratic Republic</t>
  </si>
  <si>
    <t>Kyrgyzstan</t>
  </si>
  <si>
    <t>Kyrgyz Republic</t>
  </si>
  <si>
    <t>Kuwait</t>
  </si>
  <si>
    <t>Kosovo, Republic of</t>
  </si>
  <si>
    <t>Kiribati</t>
  </si>
  <si>
    <t>Kenya</t>
  </si>
  <si>
    <t>Kazakhstan</t>
  </si>
  <si>
    <t>Jordan</t>
  </si>
  <si>
    <t>Jamaica</t>
  </si>
  <si>
    <t>Iraq</t>
  </si>
  <si>
    <t>Iran</t>
  </si>
  <si>
    <t>Iran, Islamic Republic of</t>
  </si>
  <si>
    <t>Haiti</t>
  </si>
  <si>
    <t>Guyana</t>
  </si>
  <si>
    <t>Guinea-Bissau</t>
  </si>
  <si>
    <t>GNB: Guinea-Bissau</t>
  </si>
  <si>
    <t>Guinea</t>
  </si>
  <si>
    <t>Guatemala</t>
  </si>
  <si>
    <t>Ghana</t>
  </si>
  <si>
    <t>Georgia</t>
  </si>
  <si>
    <t>Gambia, The</t>
  </si>
  <si>
    <t>GMB: Gambia</t>
  </si>
  <si>
    <t>Gabon</t>
  </si>
  <si>
    <t>Fiji</t>
  </si>
  <si>
    <t>Faroe Islands</t>
  </si>
  <si>
    <t>FRO: Faroe Islands</t>
  </si>
  <si>
    <t>Faroes (DK)</t>
  </si>
  <si>
    <t>Ethiopia</t>
  </si>
  <si>
    <t>Eritrea</t>
  </si>
  <si>
    <t>Equatorial Guinea</t>
  </si>
  <si>
    <t>GNQ: Equatorial Guinea</t>
  </si>
  <si>
    <t>El Salvador</t>
  </si>
  <si>
    <t xml:space="preserve">  SLV: El Salvador</t>
  </si>
  <si>
    <t xml:space="preserve">  DOM: Dominican Republic</t>
  </si>
  <si>
    <t>Dominica</t>
  </si>
  <si>
    <t>Djibouti</t>
  </si>
  <si>
    <t>Croatia</t>
  </si>
  <si>
    <t>Cote d'Ivoire</t>
  </si>
  <si>
    <t>CIV: Côte d'Ivoire</t>
  </si>
  <si>
    <t>Côte d'Ivoire</t>
  </si>
  <si>
    <t>Congo, Republic of</t>
  </si>
  <si>
    <t>COG: Congo</t>
  </si>
  <si>
    <t>Congo</t>
  </si>
  <si>
    <t>Congo, Democratic Republic of</t>
  </si>
  <si>
    <t xml:space="preserve">COD: Congo, the Democratic Republic of the </t>
  </si>
  <si>
    <t>Democratic Republic of the Congo</t>
  </si>
  <si>
    <t>Comoros</t>
  </si>
  <si>
    <t>Chad</t>
  </si>
  <si>
    <t>Central African Republic</t>
  </si>
  <si>
    <t>CAF: Central African Republic</t>
  </si>
  <si>
    <t>Cape Verde</t>
  </si>
  <si>
    <t>Cameroon</t>
  </si>
  <si>
    <t>Cambodia</t>
  </si>
  <si>
    <t>KHM: Cambodia (Kampuchea)</t>
  </si>
  <si>
    <t>Burundi</t>
  </si>
  <si>
    <t>Burkina Faso</t>
  </si>
  <si>
    <t>BFA: Burkina Faso</t>
  </si>
  <si>
    <t>Bulgaria</t>
  </si>
  <si>
    <t>Brunei Darussalam</t>
  </si>
  <si>
    <t>BRN: Brunei Darussalam</t>
  </si>
  <si>
    <t>Botswana</t>
  </si>
  <si>
    <t>Bosnia and Herzegovina</t>
  </si>
  <si>
    <t>BIH: Bosnia and Herzegovina</t>
  </si>
  <si>
    <t>Bolivia</t>
  </si>
  <si>
    <t xml:space="preserve">  BOL: Bolivia</t>
  </si>
  <si>
    <t>Bhutan</t>
  </si>
  <si>
    <t>Benin</t>
  </si>
  <si>
    <t>Belarus</t>
  </si>
  <si>
    <t>Bangladesh</t>
  </si>
  <si>
    <t>Azerbaijan, Republic of</t>
  </si>
  <si>
    <t xml:space="preserve">    AZE: Azerbaijan</t>
  </si>
  <si>
    <t>Azerbaijan</t>
  </si>
  <si>
    <t>Armenia, Republic of</t>
  </si>
  <si>
    <t xml:space="preserve">    ARM: Armenia</t>
  </si>
  <si>
    <t>Armenia</t>
  </si>
  <si>
    <t>Angola</t>
  </si>
  <si>
    <t>Algeria</t>
  </si>
  <si>
    <t>Albania</t>
  </si>
  <si>
    <t>Afghanistan, Islamic Republic of</t>
  </si>
  <si>
    <t>AFG: Afghanistan</t>
  </si>
  <si>
    <t>Afghanistan</t>
  </si>
  <si>
    <t>Rest of world</t>
  </si>
  <si>
    <t>Saint Vincent and the Grenadines</t>
  </si>
  <si>
    <t>Saint Lucia</t>
  </si>
  <si>
    <t>Saint Kitts and Nevis</t>
  </si>
  <si>
    <t>Marshall Islands, Republic of</t>
  </si>
  <si>
    <t>Macao</t>
  </si>
  <si>
    <t>China, P.R.: Macao</t>
  </si>
  <si>
    <t>China, P.R.: Hong Kong</t>
  </si>
  <si>
    <t>Hong Kong,</t>
  </si>
  <si>
    <t>Curaçao</t>
  </si>
  <si>
    <t>Virgin Islands, Brit</t>
  </si>
  <si>
    <t>Bonaire, S</t>
  </si>
  <si>
    <t>Bahrain, Kingdom of</t>
  </si>
  <si>
    <t>Non-EU tax havens</t>
  </si>
  <si>
    <t>China, P.R.: Mainland</t>
  </si>
  <si>
    <t>Lithuania</t>
  </si>
  <si>
    <t>Difference</t>
  </si>
  <si>
    <t>As reported by OECD and EU partners</t>
  </si>
  <si>
    <t>As reported by country (IMF numbers)</t>
  </si>
  <si>
    <t>As reported by country (OECD numbers otherwise IMF)</t>
  </si>
  <si>
    <t>EU countries reported in Eurostat</t>
  </si>
  <si>
    <t>Euro/USD</t>
  </si>
  <si>
    <t>Of which: paid to other countries</t>
  </si>
  <si>
    <t>Of which: paid to United States</t>
  </si>
  <si>
    <t>Rest of World</t>
  </si>
  <si>
    <t>World total</t>
  </si>
  <si>
    <t>World</t>
  </si>
  <si>
    <t>Trade</t>
  </si>
  <si>
    <t>Average OECD share</t>
  </si>
  <si>
    <t>Bahamas, the</t>
  </si>
  <si>
    <t>Virgin Islands, British</t>
  </si>
  <si>
    <t>Turks and Caicos Islands</t>
  </si>
  <si>
    <t xml:space="preserve"> Millions of current USD</t>
  </si>
  <si>
    <t>% of total value-added at factor cost</t>
  </si>
  <si>
    <r>
      <rPr>
        <u/>
        <sz val="12"/>
        <color theme="1"/>
        <rFont val="Arial"/>
        <family val="2"/>
      </rPr>
      <t>Notes</t>
    </r>
    <r>
      <rPr>
        <sz val="12"/>
        <color theme="1"/>
        <rFont val="Arial"/>
        <family val="2"/>
      </rPr>
      <t xml:space="preserve">: Values are imputed when no data is available, see Online Appendix Section A.2. </t>
    </r>
  </si>
  <si>
    <t>net divs</t>
  </si>
  <si>
    <r>
      <rPr>
        <u/>
        <sz val="12"/>
        <color theme="1"/>
        <rFont val="Arial"/>
        <family val="2"/>
      </rPr>
      <t>Notes</t>
    </r>
    <r>
      <rPr>
        <sz val="12"/>
        <color theme="1"/>
        <rFont val="Arial"/>
        <family val="2"/>
      </rPr>
      <t>: Dividends include "distributed income of corporations" (code D42) plus "investment income disbursement" (code D44), which includes investment income attributable to insurance policy holders, payable on pension entitlements, and attributable to collective investment funds  Retained earnings are computed as a residual, hence includes net rents (code D45) and net business transfers in addition to pure retained earnings. See Appendix A.2</t>
    </r>
  </si>
  <si>
    <r>
      <rPr>
        <u/>
        <sz val="12"/>
        <color theme="1"/>
        <rFont val="Arial"/>
        <family val="2"/>
      </rPr>
      <t>Notes</t>
    </r>
    <r>
      <rPr>
        <sz val="12"/>
        <color theme="1"/>
        <rFont val="Arial"/>
        <family val="2"/>
      </rPr>
      <t>:  The share of the corporate sector in total value-added at factor cost is imputed when no data is available, see formulas and Online Appendix Section A.2. In this and subsequent tables, data for Brazil and South Africa are for 2014</t>
    </r>
  </si>
  <si>
    <t>Checks</t>
  </si>
  <si>
    <t>V.A. foreign-controlled firms</t>
  </si>
  <si>
    <t>Comp. foreign-controlled firms</t>
  </si>
  <si>
    <t>Op. surplus foreign-controlled firms</t>
  </si>
  <si>
    <t>% of domestic economy total                     (local + foreign-controlled)</t>
  </si>
  <si>
    <t>Depreciation / gross operating surplus</t>
  </si>
  <si>
    <t>All domestic corporations</t>
  </si>
  <si>
    <t>Foreign-controlled corporations</t>
  </si>
  <si>
    <t>Affiliates of US multinationals</t>
  </si>
  <si>
    <t>Table A.5: Decomposition of operating surplus of foreign-controlled corporations (2015), excluding SPEs</t>
  </si>
  <si>
    <t>Reported profits</t>
  </si>
  <si>
    <t>Total corporate profits (corrected)</t>
  </si>
  <si>
    <t>Total local profits (corrected)</t>
  </si>
  <si>
    <t>Table A.6: Corrected corporate profits (2015)</t>
  </si>
  <si>
    <r>
      <rPr>
        <sz val="12"/>
        <color theme="1"/>
        <rFont val="Arial"/>
        <family val="2"/>
      </rPr>
      <t>Alt.</t>
    </r>
    <r>
      <rPr>
        <sz val="12"/>
        <color theme="1"/>
        <rFont val="Arial"/>
        <family val="2"/>
      </rPr>
      <t xml:space="preserve"> estimate (based on FDI stock)</t>
    </r>
  </si>
  <si>
    <t>Memo: Inward DI stock/GDP</t>
  </si>
  <si>
    <t>Avere developing</t>
  </si>
  <si>
    <t>VA foreign controlled % total VA</t>
  </si>
  <si>
    <t>Depreciation % VA</t>
  </si>
  <si>
    <t>Depreciation % GOS</t>
  </si>
  <si>
    <r>
      <rPr>
        <u/>
        <sz val="12"/>
        <color theme="1"/>
        <rFont val="Arial"/>
        <family val="2"/>
      </rPr>
      <t>Notes</t>
    </r>
    <r>
      <rPr>
        <sz val="12"/>
        <color theme="1"/>
        <rFont val="Arial"/>
        <family val="2"/>
      </rPr>
      <t>: For Luxembourg, we assume that 1/3 of dividend payments by SPEs on inward DI are disguised as interest payments (through hybrid securities); see Appendix A.3 for a full discussion.</t>
    </r>
  </si>
  <si>
    <t>EU havens</t>
  </si>
  <si>
    <t>Rest</t>
  </si>
  <si>
    <t>Germany (until 1990 former territory of the FRG)</t>
  </si>
  <si>
    <t>South Korea</t>
  </si>
  <si>
    <t>China (except Hong Kong)</t>
  </si>
  <si>
    <t>Table C2: Excessive high risk payments to tax havens</t>
  </si>
  <si>
    <t>Bonaire, Sint Eustatius and Saba</t>
  </si>
  <si>
    <t>Non-haven total</t>
  </si>
  <si>
    <t>Benchmark allocation: Excessive high risk payments</t>
  </si>
  <si>
    <t>All havens</t>
  </si>
  <si>
    <t xml:space="preserve"> FDI stocks in havens (million USD)</t>
  </si>
  <si>
    <t>FDI interest payments (million USD)</t>
  </si>
  <si>
    <t>Excessive royalty, insurance, ICT, financial and "other" service payments (million USD)</t>
  </si>
  <si>
    <t>Royalty, insurance, ICT, financial and "other" service payments (million USD)</t>
  </si>
  <si>
    <t>Reported income paid on inward direct investment</t>
  </si>
  <si>
    <t>Gap (reported by country) – (reported by partners)</t>
  </si>
  <si>
    <t>#2: Using stock data when no partner data</t>
  </si>
  <si>
    <t>Corrections for income paid</t>
  </si>
  <si>
    <t>Reported income received on outward direct investment</t>
  </si>
  <si>
    <t>DI income gap</t>
  </si>
  <si>
    <t>Table B.9: The World Current Account: Discrepancies</t>
  </si>
  <si>
    <t>Correction</t>
  </si>
  <si>
    <t xml:space="preserve"> #1: Adding missing income reported by partners</t>
  </si>
  <si>
    <t>#3: Allocating remaining global income gap</t>
  </si>
  <si>
    <t>#1: Adding missing income reported by partners</t>
  </si>
  <si>
    <t xml:space="preserve">Rest of world </t>
  </si>
  <si>
    <t>EU non SPEs</t>
  </si>
  <si>
    <t>Rest of world (imputed)</t>
  </si>
  <si>
    <t>European Union (Non-SPEs)</t>
  </si>
  <si>
    <t>Total (excl. ROW)</t>
  </si>
  <si>
    <t>Billions of current US$</t>
  </si>
  <si>
    <t>Host (line) /          Investor (col.)</t>
  </si>
  <si>
    <t>Investor (line) /         Host (col.)</t>
  </si>
  <si>
    <t>Foreign controlled firms</t>
  </si>
  <si>
    <r>
      <rPr>
        <sz val="12"/>
        <color theme="1"/>
        <rFont val="Arial"/>
        <family val="2"/>
      </rPr>
      <t>Offshore mutual funds</t>
    </r>
  </si>
  <si>
    <r>
      <rPr>
        <sz val="12"/>
        <color theme="1"/>
        <rFont val="Arial"/>
        <family val="2"/>
      </rPr>
      <t>Offshore m</t>
    </r>
    <r>
      <rPr>
        <sz val="12"/>
        <color theme="1"/>
        <rFont val="Arial"/>
        <family val="2"/>
      </rPr>
      <t>utual fund profits</t>
    </r>
  </si>
  <si>
    <t>Table B.1: Current account balances (2015)</t>
  </si>
  <si>
    <t>Table B.11: Bilateral DI income discrepancies (both investor &amp; host bilateral report exists)</t>
  </si>
  <si>
    <t>Outward DI by investor less Inward DI by host</t>
  </si>
  <si>
    <t>Outward DI by investor less inward DI by host</t>
  </si>
  <si>
    <t>Share of FDI interest non EU</t>
  </si>
  <si>
    <t>Share of rest of high risk payments non EU</t>
  </si>
  <si>
    <t>US</t>
  </si>
  <si>
    <t>EU</t>
  </si>
  <si>
    <t>Shifted profits (Mn.)</t>
  </si>
  <si>
    <t>Corporate tax base (Bn.)</t>
  </si>
  <si>
    <t>Table B.10: Corrections for direct investment income</t>
  </si>
  <si>
    <t>Table C.1: High-risk payments to tax havens</t>
  </si>
  <si>
    <t>Table A.8: Discrepancies in foreign affiliates statistics: Inward FATS of E.U. tax havens vs. Outward FATS of partners (2015)</t>
  </si>
  <si>
    <t>Gross value-added</t>
  </si>
  <si>
    <t>Capital gains (losses)</t>
  </si>
  <si>
    <t>Difference in net capital share</t>
  </si>
  <si>
    <t>National income</t>
  </si>
  <si>
    <t>Share of shifted profits</t>
  </si>
  <si>
    <t>Share of tax base</t>
  </si>
  <si>
    <t>Corporate profits (Bn. USD)</t>
  </si>
  <si>
    <t>Corporate tax revenue (Bn. USD)</t>
  </si>
  <si>
    <t xml:space="preserve">Corporate tax rate </t>
  </si>
  <si>
    <t>Memo: depreciation (billion US$)</t>
  </si>
  <si>
    <t>Memo: depreciation (% GDP)</t>
  </si>
  <si>
    <t>KD corp / KD all</t>
  </si>
  <si>
    <t>Shifted interest</t>
  </si>
  <si>
    <t>Shifted corporate profits</t>
  </si>
  <si>
    <t>Shifted operating surplus</t>
  </si>
  <si>
    <r>
      <rPr>
        <sz val="12"/>
        <color theme="1"/>
        <rFont val="Arial"/>
        <family val="2"/>
      </rPr>
      <t>Unrecorded</t>
    </r>
    <r>
      <rPr>
        <sz val="12"/>
        <color theme="1"/>
        <rFont val="Arial"/>
        <family val="2"/>
      </rPr>
      <t xml:space="preserve"> profits</t>
    </r>
  </si>
  <si>
    <t>Other OECD</t>
  </si>
  <si>
    <t>Share of EU rest FDI interest</t>
  </si>
  <si>
    <t>Share of EU rest service</t>
  </si>
  <si>
    <t>Direct investment income</t>
  </si>
  <si>
    <t>Portfolio investment income</t>
  </si>
  <si>
    <t>Other primary income</t>
  </si>
  <si>
    <t>Total primary investment income</t>
  </si>
  <si>
    <t>PI equity income</t>
  </si>
  <si>
    <t>PI debt income</t>
  </si>
  <si>
    <t>% of national income</t>
  </si>
  <si>
    <t>Net trade surplus</t>
  </si>
  <si>
    <t>Other net investment income</t>
  </si>
  <si>
    <t>Portfolio &amp; other primary income</t>
  </si>
  <si>
    <t>Total primary income</t>
  </si>
  <si>
    <t>Table B.1b: Current account balances, details for net income (2015)</t>
  </si>
  <si>
    <t>Unallocated &amp; rest of the world</t>
  </si>
  <si>
    <t>Net DI interest received</t>
  </si>
  <si>
    <t>Net DI equity income received</t>
  </si>
  <si>
    <t>Corrrected corporate income tax rate</t>
  </si>
  <si>
    <t>Net primary income</t>
  </si>
  <si>
    <r>
      <rPr>
        <b/>
        <sz val="12"/>
        <color theme="1"/>
        <rFont val="Arial"/>
        <family val="2"/>
      </rPr>
      <t>For Malta</t>
    </r>
    <r>
      <rPr>
        <sz val="12"/>
        <color theme="1"/>
        <rFont val="Arial"/>
        <family val="2"/>
      </rPr>
      <t>, the implied operating surplus of foreign-controlled corporations is way larger than the recorded operating surplus of domestic corporations; we set the gross operating surplus of foreign-controlled corporations to zero and correct in Table A6.</t>
    </r>
  </si>
  <si>
    <t>Setting local profitability = foreign</t>
  </si>
  <si>
    <t>Distributing remaining haven profits to parents</t>
  </si>
  <si>
    <t>Total loss</t>
  </si>
  <si>
    <t>Alternative allocation: profitability gap</t>
  </si>
  <si>
    <t>Revenue lost, % of corporate tax rev.</t>
  </si>
  <si>
    <t>Corporate tax revenue ($Bn.)</t>
  </si>
  <si>
    <t>Profits shifted to tax havens ($Bn.)</t>
  </si>
  <si>
    <t>Tax revenue loss ($Bn.)</t>
  </si>
  <si>
    <t>Clausing 2016</t>
  </si>
  <si>
    <t>World Total</t>
  </si>
  <si>
    <t>Crivelli 2016 / Cobham &amp; Jansky 2017</t>
  </si>
  <si>
    <t>Note:</t>
  </si>
  <si>
    <t>Non-havens</t>
  </si>
  <si>
    <t>OECD 2015</t>
  </si>
  <si>
    <t>UNCTAD 2015</t>
  </si>
  <si>
    <t>Our benchmark</t>
  </si>
  <si>
    <t>Global tax revenue loss</t>
  </si>
  <si>
    <t>Global base shifted</t>
  </si>
  <si>
    <t>$Bn.</t>
  </si>
  <si>
    <t>Year of estimate</t>
  </si>
  <si>
    <t>100-240</t>
  </si>
  <si>
    <t>Clausing</t>
  </si>
  <si>
    <t>Labour share in corporate sector</t>
  </si>
  <si>
    <t>Number of countries in sample</t>
  </si>
  <si>
    <t>Corporate sector share of GDP</t>
  </si>
  <si>
    <t>N/A</t>
  </si>
  <si>
    <t>Of internal EU loss: Loss going to EU havens</t>
  </si>
  <si>
    <t>Of tax loss: internal loss to EU countries</t>
  </si>
  <si>
    <t>Tax loss in percent of CIT</t>
  </si>
  <si>
    <t>FR</t>
  </si>
  <si>
    <t>UK</t>
  </si>
  <si>
    <t>DK</t>
  </si>
  <si>
    <t>Bernard et al 2006</t>
  </si>
  <si>
    <t>Davies et al 2016</t>
  </si>
  <si>
    <t>Liu et al 2017</t>
  </si>
  <si>
    <t>Cristeau &amp; Nguyen 2014</t>
  </si>
  <si>
    <t>[17]</t>
  </si>
  <si>
    <t>[18]</t>
  </si>
  <si>
    <t>[19]</t>
  </si>
  <si>
    <t>[20]</t>
  </si>
  <si>
    <t>[21]</t>
  </si>
  <si>
    <t>[22]</t>
  </si>
  <si>
    <t>Table D2: Studies of transfer mispricing of goods</t>
  </si>
  <si>
    <t>Country</t>
  </si>
  <si>
    <t>Tax loss in million Euro</t>
  </si>
  <si>
    <t>Corporate income tax revenue in mill. Euro</t>
  </si>
  <si>
    <t>Crivelli et al 2016 (long-run estimate)</t>
  </si>
  <si>
    <t>Crivelli et al 2016 (short-run estimate)</t>
  </si>
  <si>
    <t>Crivelli 2016 / Cobham &amp; Jansky 2017 (long run)</t>
  </si>
  <si>
    <t>Net corporate profits</t>
  </si>
  <si>
    <t>Of which: of foreign-controlled corporations</t>
  </si>
  <si>
    <t>Labor share in net corporate value-added</t>
  </si>
  <si>
    <t>Depreciation (% GDP)</t>
  </si>
  <si>
    <t>Corporate sector share of net output</t>
  </si>
  <si>
    <t>Net value-added</t>
  </si>
  <si>
    <t>Net corporate value-added</t>
  </si>
  <si>
    <t>Memo: Labor share in gross corporate value-added</t>
  </si>
  <si>
    <t>Aux: UN data on value-added</t>
  </si>
  <si>
    <t>Share of foreign corporations in profits</t>
  </si>
  <si>
    <t>Table C.6: World corporate profits 1975-2012</t>
  </si>
  <si>
    <t>Table C4e: Allocating the shifted profits: alternative estimate based on the reported profitability of foreign firm in non-haven countries</t>
  </si>
  <si>
    <t>World average</t>
  </si>
  <si>
    <t>Hong Kong SAR</t>
  </si>
  <si>
    <t>Sint Maarten (Dutch part)</t>
  </si>
  <si>
    <t>[23]</t>
  </si>
  <si>
    <t>[24]</t>
  </si>
  <si>
    <t>[25]</t>
  </si>
  <si>
    <t>[26]</t>
  </si>
  <si>
    <t>[27]</t>
  </si>
  <si>
    <t>[28]</t>
  </si>
  <si>
    <t>[29]</t>
  </si>
  <si>
    <t>[30]</t>
  </si>
  <si>
    <t>[31]</t>
  </si>
  <si>
    <t>[32]</t>
  </si>
  <si>
    <t>[33]</t>
  </si>
  <si>
    <t>[34]</t>
  </si>
  <si>
    <t>[35]</t>
  </si>
  <si>
    <t>[36]</t>
  </si>
  <si>
    <t>France, Germany, Italy, United Kingdom</t>
  </si>
  <si>
    <t>% of NNI</t>
  </si>
  <si>
    <t>OECD average</t>
  </si>
  <si>
    <t>European average</t>
  </si>
  <si>
    <t>Asian average</t>
  </si>
  <si>
    <t>African Average</t>
  </si>
  <si>
    <t>Latin american average</t>
  </si>
  <si>
    <t>[37]</t>
  </si>
  <si>
    <t>[38]</t>
  </si>
  <si>
    <t>Note: The calculations are made assuming that Assuming KD = 15% of GDP and NNI = 0.85 * GNI. Source: OECD accessed 1-10-2017</t>
  </si>
  <si>
    <t>Notes:</t>
  </si>
  <si>
    <t>Table F1a: Top statutory corporate income tax rates by country</t>
  </si>
  <si>
    <t>Table F1b: Top statutory corporate income tax rates of OECD countries</t>
  </si>
  <si>
    <t>Table F2: Corporate tax revenue as a share of GNI</t>
  </si>
  <si>
    <t>1981-1989</t>
  </si>
  <si>
    <t>1990-1999</t>
  </si>
  <si>
    <t>2000-2009</t>
  </si>
  <si>
    <t>2010-2018</t>
  </si>
  <si>
    <t>World average tax rate</t>
  </si>
  <si>
    <t>Multinational profits (% of all profits)</t>
  </si>
  <si>
    <t>1930-39</t>
  </si>
  <si>
    <t>1940-49</t>
  </si>
  <si>
    <t>1950-59</t>
  </si>
  <si>
    <t>1960-69</t>
  </si>
  <si>
    <t>1970-79</t>
  </si>
  <si>
    <t>1980-89</t>
  </si>
  <si>
    <t>1990-99</t>
  </si>
  <si>
    <t>2000-09</t>
  </si>
  <si>
    <t>2010-15</t>
  </si>
  <si>
    <t>MNE profits/Global profits</t>
  </si>
  <si>
    <t>MNE profits/Global profits - Including imputations</t>
  </si>
  <si>
    <t>US FDI/US profits</t>
  </si>
  <si>
    <t>Million euros</t>
  </si>
  <si>
    <t>EU22</t>
  </si>
  <si>
    <t>EU6</t>
  </si>
  <si>
    <t>The case of Luxembourg</t>
  </si>
  <si>
    <t xml:space="preserve">Source: Eurostat bop_its6_det </t>
  </si>
  <si>
    <t>Accessed: 1/10/2017</t>
  </si>
  <si>
    <t>Discrepancies in the EU service trade</t>
  </si>
  <si>
    <t>Sum of non-havens</t>
  </si>
  <si>
    <t>Sum of havens</t>
  </si>
  <si>
    <t>Sum of EU28</t>
  </si>
  <si>
    <t>Total services reported by importer subtracted total serviced reported by exporter</t>
  </si>
  <si>
    <t>Total services reported by importer</t>
  </si>
  <si>
    <t>Discrepancy</t>
  </si>
  <si>
    <t>As reported by importers</t>
  </si>
  <si>
    <t>As reported by exporters</t>
  </si>
  <si>
    <t>Total services reported by exporter</t>
  </si>
  <si>
    <t>Difference [2]-[1]</t>
  </si>
  <si>
    <t>Shares</t>
  </si>
  <si>
    <t>Exporter (importer)</t>
  </si>
  <si>
    <t>EU6 (EU6)</t>
  </si>
  <si>
    <t>EU6 (EU22)</t>
  </si>
  <si>
    <t>EU22 (EU22)</t>
  </si>
  <si>
    <t>EU22 (EU6)</t>
  </si>
  <si>
    <t>Million Euros</t>
  </si>
  <si>
    <t>Reported by exporter</t>
  </si>
  <si>
    <t>Reported by importer</t>
  </si>
  <si>
    <t>Exports to non-haven EU countries, Million Euros</t>
  </si>
  <si>
    <t>Luxembourg's service exports to rest of EU</t>
  </si>
  <si>
    <t>Rest of EU's service imports from Luxembourg</t>
  </si>
  <si>
    <t>% of service exports</t>
  </si>
  <si>
    <t>Service export gaps in the 6 EU havens vs. rest of non-haven EU</t>
  </si>
  <si>
    <t>Service export gaps in the 6 EU havens among themselves</t>
  </si>
  <si>
    <t>Gap when excluding haven partners</t>
  </si>
  <si>
    <t>C. Sum</t>
  </si>
  <si>
    <t>D. Sum</t>
  </si>
  <si>
    <t>Service export gap</t>
  </si>
  <si>
    <t>EU Total</t>
  </si>
  <si>
    <t>Total discrepancies (B+C+D+E)=(A)=</t>
  </si>
  <si>
    <t>Table F4c: Overview of EU service trade discrepancies</t>
  </si>
  <si>
    <t>E. Service exports gap of EU non-havens vs. EU havens</t>
  </si>
  <si>
    <t>Table B12a: EU service trade discrepancies</t>
  </si>
  <si>
    <t>Table B12b: Service import and export discrepancies</t>
  </si>
  <si>
    <r>
      <rPr>
        <u/>
        <sz val="10"/>
        <rFont val="Arial"/>
        <family val="2"/>
      </rPr>
      <t>Notes</t>
    </r>
    <r>
      <rPr>
        <sz val="10"/>
        <rFont val="Arial"/>
        <family val="2"/>
      </rPr>
      <t>: for Singapore, data on income are from http://www.mas.gov.sg/~/media/resource/publications/macro_review/2017/April%202017/MRapr17_AP.pdf Table 9 p. 103</t>
    </r>
  </si>
  <si>
    <t>Notes: Puerto Rico is treated as part of the United States for U.S. direct investment statistics, hence is included under "United States" in this table.</t>
  </si>
  <si>
    <r>
      <rPr>
        <u/>
        <sz val="12"/>
        <color theme="1"/>
        <rFont val="Arial"/>
        <family val="2"/>
      </rPr>
      <t>Notes</t>
    </r>
    <r>
      <rPr>
        <sz val="12"/>
        <color theme="1"/>
        <rFont val="Arial"/>
        <family val="2"/>
      </rPr>
      <t>: EU22 is the EU28 less Belgium, Cyprus, Ireland; Luxembourg; Netherlands and Malta</t>
    </r>
  </si>
  <si>
    <r>
      <rPr>
        <b/>
        <sz val="11"/>
        <color theme="1"/>
        <rFont val="Arial"/>
        <family val="2"/>
      </rPr>
      <t>Notes:</t>
    </r>
    <r>
      <rPr>
        <sz val="11"/>
        <color theme="1"/>
        <rFont val="Arial"/>
        <family val="2"/>
      </rPr>
      <t xml:space="preserve"> "Corporate profits" are after net interest payments.</t>
    </r>
  </si>
  <si>
    <r>
      <rPr>
        <u/>
        <sz val="11"/>
        <color theme="1"/>
        <rFont val="Arial"/>
        <family val="2"/>
      </rPr>
      <t>Notes:</t>
    </r>
    <r>
      <rPr>
        <sz val="11"/>
        <color theme="1"/>
        <rFont val="Arial"/>
        <family val="2"/>
      </rPr>
      <t xml:space="preserve"> A zero implies that data is missing and the sum of EU28 (a partner category in Eurostat)hence does not add up to the sum of bilateral accounts. Discrepancies are only calculated when both partner accounts exists.</t>
    </r>
  </si>
  <si>
    <t>Importer/Exporter</t>
  </si>
  <si>
    <t>Million Euros exported</t>
  </si>
  <si>
    <t>A. Lost exports of the EU: EU to EU exports less EU to EU imports</t>
  </si>
  <si>
    <t>Aux computations</t>
  </si>
  <si>
    <t>Table C3: Who are the ultimate owners of the FDI stocks in tax havens?</t>
  </si>
  <si>
    <t>Table C4: Allocating the profits shifted to tax havens</t>
  </si>
  <si>
    <t>Table C4b: Allocating the profits shifted to tax havens</t>
  </si>
  <si>
    <t>Excessive high risk payments</t>
  </si>
  <si>
    <t>Ultimate ownership</t>
  </si>
  <si>
    <t>Ultimate ownership (million USD)</t>
  </si>
  <si>
    <t>Excessive high risk payments (million USD)</t>
  </si>
  <si>
    <t>Table C4d: Lost tax revenue due to profit shifting</t>
  </si>
  <si>
    <t>Table C4c: Profits shifted to tax havens – share of tax base</t>
  </si>
  <si>
    <t>Tax losses (billion $US)</t>
  </si>
  <si>
    <t>Tax losses (% of corp. tax revenue)</t>
  </si>
  <si>
    <t>Memo: allocation based on excessive high risk payments</t>
  </si>
  <si>
    <t>Memo: allocation based on ultimate ownership</t>
  </si>
  <si>
    <t>Net domestic product</t>
  </si>
  <si>
    <r>
      <t>B. The EU's lost exports</t>
    </r>
    <r>
      <rPr>
        <sz val="12"/>
        <color theme="1"/>
        <rFont val="Arial"/>
        <family val="2"/>
      </rPr>
      <t xml:space="preserve"> </t>
    </r>
    <r>
      <rPr>
        <sz val="12"/>
        <color theme="1"/>
        <rFont val="Arial"/>
        <family val="2"/>
      </rPr>
      <t>(excluding havens)</t>
    </r>
  </si>
  <si>
    <t>OECD excl havens</t>
  </si>
  <si>
    <t>Table D1a: Comparison with other estimates</t>
  </si>
  <si>
    <t>Our benchmark estimate</t>
  </si>
  <si>
    <t>Tax revenue loss (% of corp. Tax revenue)</t>
  </si>
  <si>
    <t>Table D.1b: Comparison with other estimates (country details)</t>
  </si>
  <si>
    <t>Table F1c: Top statutory corporate income tax rates of OECD countries, decennial averages</t>
  </si>
  <si>
    <t>Table F3: Multinational profits as share of global profits (decennial averages)</t>
  </si>
  <si>
    <t>1999 Exchange rate USD/EUR</t>
  </si>
  <si>
    <t>source: Main national accounts tax aggregates [gov_10a_taxag]</t>
  </si>
  <si>
    <t>CIT in mill. Euro</t>
  </si>
  <si>
    <t>Tax loss in mill. Euro</t>
  </si>
  <si>
    <t>Place</t>
  </si>
  <si>
    <t>Income year of estimate</t>
  </si>
  <si>
    <t>Percent of CIT gained</t>
  </si>
  <si>
    <t>Gained revenue in million Euro</t>
  </si>
  <si>
    <t>Gained revenue in million USD</t>
  </si>
  <si>
    <t>Taxes on the income or profits of corporations including holding gains</t>
  </si>
  <si>
    <t>Huizinga &amp; Laeven 2008 corporate tax losses relative to total corporate tax incomes 1999</t>
  </si>
  <si>
    <t>Transfer mispricing of goods estimates</t>
  </si>
  <si>
    <t>Total profits of foreign corp. (corrected)</t>
  </si>
  <si>
    <t>Trade balance</t>
  </si>
  <si>
    <t>Equity income</t>
  </si>
  <si>
    <t>Debt income</t>
  </si>
  <si>
    <r>
      <t xml:space="preserve">Difference in </t>
    </r>
    <r>
      <rPr>
        <sz val="12"/>
        <color theme="1"/>
        <rFont val="Arial"/>
        <family val="2"/>
      </rPr>
      <t>trade balance</t>
    </r>
  </si>
  <si>
    <t>Trade balance / GDP (raw)</t>
  </si>
  <si>
    <t>Trade balance / GDP (corrected)</t>
  </si>
  <si>
    <t>Cross-border primary income</t>
  </si>
  <si>
    <t>Cross-border primary income / GDP (corrected)</t>
  </si>
  <si>
    <t>Cross-border primary income / GDP (raw)</t>
  </si>
  <si>
    <t>Luxembourg is a foreign-owned country (real mobility of finance + cross-border workers)</t>
  </si>
  <si>
    <t>Current account balance / GDP (corrected)</t>
  </si>
  <si>
    <t>Table C5b: Balance of payment statistics corrected for profit shifting</t>
  </si>
  <si>
    <t>Table C5: National account statistics corrected for profit shifting</t>
  </si>
  <si>
    <t>Difference in primary income balance</t>
  </si>
  <si>
    <t>Share interest</t>
  </si>
  <si>
    <r>
      <rPr>
        <u/>
        <sz val="12"/>
        <color theme="1"/>
        <rFont val="Arial"/>
        <family val="2"/>
      </rPr>
      <t>Notes</t>
    </r>
    <r>
      <rPr>
        <sz val="12"/>
        <color theme="1"/>
        <rFont val="Arial"/>
        <family val="2"/>
      </rPr>
      <t xml:space="preserve">: Consistent with the estimates reported in Table C2, we assume that interest account for 16% of shifted profits (and other transactions that reduce operating surplus for 84%). For tax havens, we assume the interest/other split that's specific to each haven, see formulas. For Luxembourg, we assume that two thirds of shifted profits are from interest (and 1/3 operating surplus). </t>
    </r>
  </si>
  <si>
    <t>Current account balance / GDP (raw)</t>
  </si>
  <si>
    <t>Difference in current account balance</t>
  </si>
  <si>
    <t>Real shifting: affects trande balance and income balance in opposite direction</t>
  </si>
  <si>
    <t>Debt shifting: does not affect trade balance nor income balance (but only the breakdown of DI income into debt and equity income); hence relatively little impact on Dutch BoP (lot of interest)</t>
  </si>
  <si>
    <t>CA balance of havens falls because we add the missing US profits as DI income paid (and assume that any service exports were appropriately recorded: consistent with fact that at global level, DI balance &lt; 0 but trade balance &gt; 0: if anything there are too much exports, not too little)</t>
  </si>
  <si>
    <t>This might be excessive in the case of Ireland (probably missing some exports)</t>
  </si>
  <si>
    <t>2000-2016</t>
  </si>
  <si>
    <t>Avg top 8 partners us (by comp)</t>
  </si>
  <si>
    <t>Avg top 10 partners us (by comp)</t>
  </si>
  <si>
    <t>All</t>
  </si>
  <si>
    <t>wL/K</t>
  </si>
  <si>
    <t>K</t>
  </si>
  <si>
    <t>wL</t>
  </si>
  <si>
    <t>Foreign /Local</t>
  </si>
  <si>
    <t>Local</t>
  </si>
  <si>
    <t>Foreign</t>
  </si>
  <si>
    <t>PRI</t>
  </si>
  <si>
    <t>PAN</t>
  </si>
  <si>
    <t>TCA</t>
  </si>
  <si>
    <t>VCT</t>
  </si>
  <si>
    <t>LCA</t>
  </si>
  <si>
    <t>KNA</t>
  </si>
  <si>
    <t>SGP</t>
  </si>
  <si>
    <t>SYC</t>
  </si>
  <si>
    <t>MUS</t>
  </si>
  <si>
    <t>SXM</t>
  </si>
  <si>
    <t>MCO</t>
  </si>
  <si>
    <t>MLT</t>
  </si>
  <si>
    <t>LIE</t>
  </si>
  <si>
    <t>LBN</t>
  </si>
  <si>
    <t>IMN</t>
  </si>
  <si>
    <t>HKG</t>
  </si>
  <si>
    <t>GIB</t>
  </si>
  <si>
    <t>GGY</t>
  </si>
  <si>
    <t>GRD</t>
  </si>
  <si>
    <t>JEY</t>
  </si>
  <si>
    <t>CYP</t>
  </si>
  <si>
    <t>CUW</t>
  </si>
  <si>
    <t>CYM</t>
  </si>
  <si>
    <t>BES</t>
  </si>
  <si>
    <t>BMU</t>
  </si>
  <si>
    <t>BLZ</t>
  </si>
  <si>
    <t>BRB</t>
  </si>
  <si>
    <t>BHS</t>
  </si>
  <si>
    <t>ABW</t>
  </si>
  <si>
    <t>ATG</t>
  </si>
  <si>
    <t>AIA</t>
  </si>
  <si>
    <t>AND</t>
  </si>
  <si>
    <t>ZAF</t>
  </si>
  <si>
    <t>RUS</t>
  </si>
  <si>
    <t>IND</t>
  </si>
  <si>
    <t>CRI</t>
  </si>
  <si>
    <t>COL</t>
  </si>
  <si>
    <t>CHN</t>
  </si>
  <si>
    <t>BRA</t>
  </si>
  <si>
    <t>GBR</t>
  </si>
  <si>
    <t>TUR</t>
  </si>
  <si>
    <t>CHE</t>
  </si>
  <si>
    <t>SWE</t>
  </si>
  <si>
    <t>ESP</t>
  </si>
  <si>
    <t>SVN</t>
  </si>
  <si>
    <t>SVK</t>
  </si>
  <si>
    <t>PRT</t>
  </si>
  <si>
    <t>POL</t>
  </si>
  <si>
    <t>NOR</t>
  </si>
  <si>
    <t>NZL</t>
  </si>
  <si>
    <t>NLD</t>
  </si>
  <si>
    <t>MEX</t>
  </si>
  <si>
    <t>LUX</t>
  </si>
  <si>
    <t>LVA</t>
  </si>
  <si>
    <t>KOR</t>
  </si>
  <si>
    <t>JPN</t>
  </si>
  <si>
    <t>ITA</t>
  </si>
  <si>
    <t>ISR</t>
  </si>
  <si>
    <t>IRL</t>
  </si>
  <si>
    <t>ISL</t>
  </si>
  <si>
    <t>HUN</t>
  </si>
  <si>
    <t>GRC</t>
  </si>
  <si>
    <t>DEU</t>
  </si>
  <si>
    <t>FRA</t>
  </si>
  <si>
    <t>FIN</t>
  </si>
  <si>
    <t>EST</t>
  </si>
  <si>
    <t>DNK</t>
  </si>
  <si>
    <t>CZE</t>
  </si>
  <si>
    <t>CHL</t>
  </si>
  <si>
    <t>CAN</t>
  </si>
  <si>
    <t>BEL</t>
  </si>
  <si>
    <t>AUT</t>
  </si>
  <si>
    <t>AUS</t>
  </si>
  <si>
    <t>Thousands</t>
  </si>
  <si>
    <t>Tangible fixed assets (K)</t>
  </si>
  <si>
    <t>Number of employees in FATS    (L)</t>
  </si>
  <si>
    <t>Compensation of employees (wL)</t>
  </si>
  <si>
    <t>K/L</t>
  </si>
  <si>
    <t>K/wL</t>
  </si>
  <si>
    <t>Foreign firms</t>
  </si>
  <si>
    <t>Full economy</t>
  </si>
  <si>
    <t>Table E1: Capital intensity: Local vs. foreign-controlled firms (2015)</t>
  </si>
  <si>
    <t>Tangible capital  / compens.           (K/L)</t>
  </si>
  <si>
    <r>
      <t>Foreign controlled firms       (K/L</t>
    </r>
    <r>
      <rPr>
        <sz val="12"/>
        <color theme="1"/>
        <rFont val="Arial"/>
        <family val="2"/>
      </rPr>
      <t>)</t>
    </r>
  </si>
  <si>
    <r>
      <t>Local firms (K/L</t>
    </r>
    <r>
      <rPr>
        <sz val="12"/>
        <color theme="1"/>
        <rFont val="Arial"/>
        <family val="2"/>
      </rPr>
      <t>)</t>
    </r>
  </si>
  <si>
    <r>
      <rPr>
        <u/>
        <sz val="12"/>
        <color theme="1"/>
        <rFont val="Arial"/>
        <family val="2"/>
      </rPr>
      <t>Notes</t>
    </r>
    <r>
      <rPr>
        <sz val="12"/>
        <color theme="1"/>
        <rFont val="Arial"/>
        <family val="2"/>
      </rPr>
      <t xml:space="preserve">: The foreign share of tangible fixed assets is computed as the share of gross investments in tangible assets in the preceding 9 years using FATS data. When local FATS data are unavailable, we use the ratio of tangible assets to compensation in US-owned firms. Data on tangible assets of foreign affiliates for Puerto Rico is taken from US Country-by-Country reports from 2016. For India, South Africa and Puerto Rico the local sector ratio of tangible assets to employee compensation is imputed as the developing country average. </t>
    </r>
  </si>
  <si>
    <t>σ=0.7</t>
  </si>
  <si>
    <t>σ=1</t>
  </si>
  <si>
    <t>σ=1.3</t>
  </si>
  <si>
    <t>Local firm profitability (π) corrected by setting local=foreign K/L ratio</t>
  </si>
  <si>
    <t>Benchmark</t>
  </si>
  <si>
    <r>
      <t>Artificially shifted profits (π</t>
    </r>
    <r>
      <rPr>
        <b/>
        <vertAlign val="subscript"/>
        <sz val="12"/>
        <color theme="1"/>
        <rFont val="Arial"/>
        <family val="2"/>
      </rPr>
      <t>f</t>
    </r>
    <r>
      <rPr>
        <b/>
        <sz val="12"/>
        <color theme="1"/>
        <rFont val="Arial"/>
        <family val="2"/>
      </rPr>
      <t xml:space="preserve"> = π</t>
    </r>
    <r>
      <rPr>
        <b/>
        <vertAlign val="subscript"/>
        <sz val="12"/>
        <color theme="1"/>
        <rFont val="Arial"/>
        <family val="2"/>
      </rPr>
      <t>l</t>
    </r>
    <r>
      <rPr>
        <b/>
        <sz val="12"/>
        <color theme="1"/>
        <rFont val="Arial"/>
        <family val="2"/>
      </rPr>
      <t>) with adjusted local firm profitability</t>
    </r>
  </si>
  <si>
    <t>Change relative to benchmark</t>
  </si>
  <si>
    <t>Table E2: Artificially shifted profits (2015) - Robustness of estimates to differing assumptions on capital intensity</t>
  </si>
  <si>
    <t>Table E2: Capital intensity: havens vs. Non-havens (billions of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</si>
</sst>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_(* #,##0.00_);_(* \(#,##0.00\);_(* &quot;-&quot;??_);_(@_)"/>
    <numFmt numFmtId="165" formatCode="_ * #,##0.00_ ;_ * \-#,##0.00_ ;_ * &quot;-&quot;??_ ;_ @_ "/>
    <numFmt numFmtId="166" formatCode="_-* #,##0.00\ _k_r_._-;\-* #,##0.00\ _k_r_._-;_-* &quot;-&quot;??\ _k_r_._-;_-@_-"/>
    <numFmt numFmtId="167" formatCode="0.0"/>
    <numFmt numFmtId="168" formatCode="_ * #,##0_ ;_ * \-#,##0_ ;_ * &quot;-&quot;??_ ;_ @_ "/>
    <numFmt numFmtId="169" formatCode="#,##0.0"/>
    <numFmt numFmtId="170" formatCode="_ * #,##0.0_ ;_ * \-#,##0.0_ ;_ * &quot;-&quot;??_ ;_ @_ "/>
    <numFmt numFmtId="171" formatCode="0.0%"/>
    <numFmt numFmtId="172" formatCode="#,##0.00000"/>
    <numFmt numFmtId="173" formatCode="\$#,##0\ ;\(\$#,##0\)"/>
    <numFmt numFmtId="174" formatCode="_-* #,##0.00\ _z_ł_-;\-* #,##0.00\ _z_ł_-;_-* &quot;-&quot;??\ _z_ł_-;_-@_-"/>
    <numFmt numFmtId="175" formatCode="#,##0;[Red]#,##0"/>
    <numFmt numFmtId="176" formatCode="0.00000000000"/>
    <numFmt numFmtId="177" formatCode="0.000"/>
    <numFmt numFmtId="178" formatCode="_-* #,##0.0\ _z_ł_-;\-* #,##0.0\ _z_ł_-;_-* &quot;-&quot;??\ _z_ł_-;_-@_-"/>
    <numFmt numFmtId="179" formatCode="_-* #,##0\ _z_ł_-;\-* #,##0\ _z_ł_-;_-* &quot;-&quot;??\ _z_ł_-;_-@_-"/>
  </numFmts>
  <fonts count="150" x14ac:knownFonts="1">
    <font>
      <sz val="12"/>
      <color theme="1"/>
      <name val="Garamond"/>
      <family val="2"/>
    </font>
    <font>
      <sz val="12"/>
      <color theme="1"/>
      <name val="Calibri"/>
      <family val="2"/>
      <scheme val="minor"/>
    </font>
    <font>
      <sz val="12"/>
      <color theme="1"/>
      <name val="Arial"/>
      <family val="2"/>
    </font>
    <font>
      <sz val="12"/>
      <color theme="1"/>
      <name val="Arial"/>
      <family val="2"/>
      <charset val="204"/>
    </font>
    <font>
      <sz val="12"/>
      <color theme="1"/>
      <name val="Arial"/>
      <family val="2"/>
      <charset val="204"/>
    </font>
    <font>
      <sz val="12"/>
      <color theme="1"/>
      <name val="Arial"/>
      <family val="2"/>
      <charset val="204"/>
    </font>
    <font>
      <sz val="12"/>
      <color theme="1"/>
      <name val="Arial"/>
      <family val="2"/>
      <charset val="204"/>
    </font>
    <font>
      <sz val="12"/>
      <name val="Arial"/>
      <family val="2"/>
    </font>
    <font>
      <sz val="12"/>
      <color theme="1"/>
      <name val="Arial"/>
      <family val="2"/>
      <charset val="204"/>
    </font>
    <font>
      <sz val="12"/>
      <color theme="1"/>
      <name val="Arial"/>
      <family val="2"/>
      <charset val="204"/>
    </font>
    <font>
      <sz val="11"/>
      <color theme="1"/>
      <name val="Calibri"/>
      <family val="2"/>
      <scheme val="minor"/>
    </font>
    <font>
      <sz val="12"/>
      <name val="Arial"/>
      <family val="2"/>
    </font>
    <font>
      <sz val="11"/>
      <color theme="1"/>
      <name val="Calibri"/>
      <family val="2"/>
      <scheme val="minor"/>
    </font>
    <font>
      <sz val="11"/>
      <color theme="1"/>
      <name val="Calibri"/>
      <family val="2"/>
      <scheme val="minor"/>
    </font>
    <font>
      <sz val="12"/>
      <color theme="1"/>
      <name val="Arial"/>
      <family val="2"/>
      <charset val="204"/>
    </font>
    <font>
      <sz val="11"/>
      <color theme="1"/>
      <name val="Calibri"/>
      <family val="2"/>
      <scheme val="minor"/>
    </font>
    <font>
      <sz val="11"/>
      <color theme="1"/>
      <name val="Calibri"/>
      <family val="2"/>
      <scheme val="minor"/>
    </font>
    <font>
      <sz val="11"/>
      <color theme="1"/>
      <name val="Calibri"/>
      <family val="2"/>
      <scheme val="minor"/>
    </font>
    <font>
      <sz val="12"/>
      <color theme="1"/>
      <name val="Arial"/>
      <family val="2"/>
      <charset val="204"/>
    </font>
    <font>
      <sz val="12"/>
      <name val="Arial"/>
      <family val="2"/>
    </font>
    <font>
      <sz val="12"/>
      <color theme="1"/>
      <name val="Arial"/>
      <family val="2"/>
      <charset val="204"/>
    </font>
    <font>
      <sz val="12"/>
      <name val="Arial"/>
      <family val="2"/>
    </font>
    <font>
      <sz val="12"/>
      <color theme="1"/>
      <name val="Arial"/>
      <family val="2"/>
      <charset val="204"/>
    </font>
    <font>
      <sz val="12"/>
      <name val="Arial"/>
      <family val="2"/>
    </font>
    <font>
      <sz val="12"/>
      <color theme="1"/>
      <name val="Arial"/>
      <family val="2"/>
      <charset val="204"/>
    </font>
    <font>
      <sz val="12"/>
      <name val="Arial"/>
      <family val="2"/>
    </font>
    <font>
      <sz val="12"/>
      <color theme="1"/>
      <name val="Arial"/>
      <family val="2"/>
      <charset val="204"/>
    </font>
    <font>
      <sz val="12"/>
      <name val="Arial"/>
      <family val="2"/>
    </font>
    <font>
      <sz val="12"/>
      <color theme="1"/>
      <name val="Arial"/>
      <family val="2"/>
      <charset val="204"/>
    </font>
    <font>
      <sz val="12"/>
      <name val="Arial"/>
      <family val="2"/>
    </font>
    <font>
      <sz val="12"/>
      <color theme="1"/>
      <name val="Arial"/>
      <family val="2"/>
      <charset val="204"/>
    </font>
    <font>
      <sz val="12"/>
      <name val="Arial"/>
      <family val="2"/>
    </font>
    <font>
      <sz val="12"/>
      <color theme="1"/>
      <name val="Arial"/>
      <family val="2"/>
      <charset val="204"/>
    </font>
    <font>
      <sz val="12"/>
      <name val="Arial"/>
      <family val="2"/>
    </font>
    <font>
      <sz val="12"/>
      <color theme="1"/>
      <name val="Arial"/>
      <family val="2"/>
      <charset val="204"/>
    </font>
    <font>
      <sz val="12"/>
      <color theme="1"/>
      <name val="Arial"/>
      <family val="2"/>
      <charset val="204"/>
    </font>
    <font>
      <sz val="11"/>
      <color theme="1"/>
      <name val="Calibri"/>
      <family val="2"/>
      <scheme val="minor"/>
    </font>
    <font>
      <sz val="11"/>
      <color theme="1"/>
      <name val="Calibri"/>
      <family val="2"/>
      <scheme val="minor"/>
    </font>
    <font>
      <sz val="12"/>
      <color theme="1"/>
      <name val="Arial"/>
      <family val="2"/>
    </font>
    <font>
      <sz val="12"/>
      <color theme="1"/>
      <name val="Arial"/>
      <family val="2"/>
    </font>
    <font>
      <sz val="12"/>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1"/>
      <color theme="1"/>
      <name val="Calibri"/>
      <family val="2"/>
      <scheme val="minor"/>
    </font>
    <font>
      <sz val="12"/>
      <color theme="1"/>
      <name val="Arial"/>
      <family val="2"/>
    </font>
    <font>
      <sz val="12"/>
      <color theme="1"/>
      <name val="Arial"/>
      <family val="2"/>
    </font>
    <font>
      <sz val="11"/>
      <color theme="1"/>
      <name val="Calibri"/>
      <family val="2"/>
      <scheme val="minor"/>
    </font>
    <font>
      <sz val="12"/>
      <color theme="1"/>
      <name val="Arial"/>
      <family val="2"/>
    </font>
    <font>
      <sz val="12"/>
      <color theme="1"/>
      <name val="Garamond"/>
      <family val="2"/>
    </font>
    <font>
      <sz val="12"/>
      <color theme="1"/>
      <name val="Arial"/>
      <family val="2"/>
    </font>
    <font>
      <sz val="10"/>
      <name val="Arial"/>
      <family val="2"/>
    </font>
    <font>
      <u/>
      <sz val="12"/>
      <color theme="10"/>
      <name val="Garamond"/>
      <family val="2"/>
    </font>
    <font>
      <u/>
      <sz val="12"/>
      <color theme="11"/>
      <name val="Garamond"/>
      <family val="2"/>
    </font>
    <font>
      <b/>
      <sz val="12"/>
      <color theme="1"/>
      <name val="Arial"/>
      <family val="2"/>
    </font>
    <font>
      <b/>
      <sz val="16"/>
      <color theme="1"/>
      <name val="Arial"/>
      <family val="2"/>
    </font>
    <font>
      <i/>
      <sz val="12"/>
      <color theme="1"/>
      <name val="Arial"/>
      <family val="2"/>
    </font>
    <font>
      <sz val="12"/>
      <color theme="1"/>
      <name val="Arial Narrow"/>
      <family val="2"/>
    </font>
    <font>
      <sz val="10"/>
      <color theme="1"/>
      <name val="Arial"/>
      <family val="2"/>
    </font>
    <font>
      <u/>
      <sz val="12"/>
      <color theme="1"/>
      <name val="Arial"/>
      <family val="2"/>
    </font>
    <font>
      <sz val="8"/>
      <name val="Garamond"/>
      <family val="2"/>
    </font>
    <font>
      <sz val="12"/>
      <color rgb="FFFF0000"/>
      <name val="Arial"/>
      <family val="2"/>
    </font>
    <font>
      <b/>
      <sz val="12"/>
      <color rgb="FF000000"/>
      <name val="Arial"/>
      <family val="2"/>
    </font>
    <font>
      <sz val="12"/>
      <name val="Arial"/>
      <family val="2"/>
    </font>
    <font>
      <b/>
      <sz val="12"/>
      <color theme="1"/>
      <name val="Arial Narrow"/>
      <family val="2"/>
    </font>
    <font>
      <vertAlign val="subscript"/>
      <sz val="12"/>
      <color theme="1"/>
      <name val="Arial"/>
      <family val="2"/>
    </font>
    <font>
      <b/>
      <vertAlign val="subscript"/>
      <sz val="12"/>
      <color theme="1"/>
      <name val="Arial"/>
      <family val="2"/>
    </font>
    <font>
      <b/>
      <sz val="12"/>
      <name val="Arial"/>
      <family val="2"/>
    </font>
    <font>
      <b/>
      <u/>
      <sz val="12"/>
      <color theme="1"/>
      <name val="Arial"/>
      <family val="2"/>
    </font>
    <font>
      <i/>
      <sz val="11"/>
      <name val="Arial"/>
      <family val="2"/>
    </font>
    <font>
      <sz val="11"/>
      <name val="Arial"/>
      <family val="2"/>
    </font>
    <font>
      <b/>
      <i/>
      <sz val="11"/>
      <name val="Arial"/>
      <family val="2"/>
    </font>
    <font>
      <b/>
      <sz val="11"/>
      <name val="Arial"/>
      <family val="2"/>
    </font>
    <font>
      <b/>
      <sz val="10"/>
      <name val="Arial"/>
      <family val="2"/>
    </font>
    <font>
      <i/>
      <sz val="10"/>
      <name val="Arial"/>
      <family val="2"/>
    </font>
    <font>
      <sz val="10"/>
      <name val="Verdana"/>
      <family val="2"/>
    </font>
    <font>
      <sz val="8"/>
      <name val="Arial"/>
      <family val="2"/>
    </font>
    <font>
      <sz val="12"/>
      <color indexed="24"/>
      <name val="Arial"/>
      <family val="2"/>
    </font>
    <font>
      <b/>
      <sz val="8"/>
      <color indexed="24"/>
      <name val="Times New Roman"/>
      <family val="1"/>
    </font>
    <font>
      <sz val="8"/>
      <color indexed="24"/>
      <name val="Times New Roman"/>
      <family val="1"/>
    </font>
    <font>
      <sz val="12"/>
      <color theme="1"/>
      <name val="Calibri"/>
      <family val="2"/>
      <scheme val="minor"/>
    </font>
    <font>
      <sz val="7"/>
      <name val="Helvetica"/>
      <family val="2"/>
    </font>
    <font>
      <sz val="9"/>
      <color indexed="81"/>
      <name val="Garamond"/>
      <family val="2"/>
    </font>
    <font>
      <b/>
      <sz val="9"/>
      <color indexed="81"/>
      <name val="Garamond"/>
      <family val="2"/>
    </font>
    <font>
      <b/>
      <sz val="14"/>
      <name val="Arial"/>
      <family val="2"/>
    </font>
    <font>
      <sz val="14"/>
      <name val="Arial"/>
      <family val="2"/>
    </font>
    <font>
      <sz val="12"/>
      <name val="Arial Narrow"/>
      <family val="2"/>
    </font>
    <font>
      <b/>
      <sz val="16"/>
      <name val="Arial"/>
      <family val="2"/>
    </font>
    <font>
      <sz val="16"/>
      <name val="Arial"/>
      <family val="2"/>
    </font>
    <font>
      <sz val="10"/>
      <name val="Verdana"/>
      <family val="2"/>
    </font>
    <font>
      <u/>
      <sz val="10"/>
      <color indexed="12"/>
      <name val="Verdana"/>
      <family val="2"/>
    </font>
    <font>
      <sz val="12"/>
      <color indexed="24"/>
      <name val="Arial"/>
      <family val="2"/>
    </font>
    <font>
      <b/>
      <sz val="8"/>
      <color indexed="24"/>
      <name val="Times New Roman"/>
      <family val="1"/>
    </font>
    <font>
      <sz val="8"/>
      <color indexed="24"/>
      <name val="Times New Roman"/>
      <family val="1"/>
    </font>
    <font>
      <sz val="11"/>
      <name val="Arial"/>
      <family val="2"/>
    </font>
    <font>
      <i/>
      <sz val="11"/>
      <name val="Arial"/>
      <family val="2"/>
    </font>
    <font>
      <b/>
      <sz val="12"/>
      <name val="Arial"/>
      <family val="2"/>
    </font>
    <font>
      <sz val="12"/>
      <color rgb="FF000000"/>
      <name val="Arial"/>
      <family val="2"/>
    </font>
    <font>
      <b/>
      <sz val="15"/>
      <color theme="3"/>
      <name val="Arial"/>
      <family val="2"/>
    </font>
    <font>
      <b/>
      <sz val="13"/>
      <color theme="3"/>
      <name val="Arial"/>
      <family val="2"/>
    </font>
    <font>
      <b/>
      <sz val="11"/>
      <color theme="3"/>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sz val="10"/>
      <color rgb="FF3F3F76"/>
      <name val="Arial"/>
      <family val="2"/>
    </font>
    <font>
      <u/>
      <sz val="12"/>
      <color theme="10"/>
      <name val="Calibri"/>
      <family val="2"/>
      <scheme val="minor"/>
    </font>
    <font>
      <sz val="10"/>
      <color rgb="FFFA7D00"/>
      <name val="Arial"/>
      <family val="2"/>
    </font>
    <font>
      <sz val="10"/>
      <color rgb="FF9C6500"/>
      <name val="Arial"/>
      <family val="2"/>
    </font>
    <font>
      <sz val="11"/>
      <color indexed="8"/>
      <name val="Calibri"/>
      <family val="2"/>
      <scheme val="minor"/>
    </font>
    <font>
      <sz val="11"/>
      <color rgb="FF000000"/>
      <name val="Calibri"/>
      <family val="2"/>
    </font>
    <font>
      <b/>
      <sz val="10"/>
      <color rgb="FF3F3F3F"/>
      <name val="Arial"/>
      <family val="2"/>
    </font>
    <font>
      <sz val="11"/>
      <color indexed="17"/>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0"/>
      <color theme="1"/>
      <name val="Arial"/>
      <family val="2"/>
    </font>
    <font>
      <b/>
      <sz val="11"/>
      <color indexed="9"/>
      <name val="Calibri"/>
      <family val="2"/>
    </font>
    <font>
      <sz val="10"/>
      <color rgb="FFFF0000"/>
      <name val="Arial"/>
      <family val="2"/>
    </font>
    <font>
      <b/>
      <sz val="12"/>
      <color rgb="FFFF0000"/>
      <name val="Arial"/>
      <family val="2"/>
    </font>
    <font>
      <sz val="12"/>
      <color theme="1"/>
      <name val="Garamond"/>
      <family val="1"/>
    </font>
    <font>
      <b/>
      <sz val="12"/>
      <color theme="1"/>
      <name val="Garamond"/>
      <family val="1"/>
    </font>
    <font>
      <b/>
      <sz val="12"/>
      <name val="Arial Narrow"/>
      <family val="2"/>
    </font>
    <font>
      <i/>
      <sz val="12"/>
      <name val="Arial"/>
      <family val="2"/>
    </font>
    <font>
      <b/>
      <i/>
      <sz val="12"/>
      <color theme="1"/>
      <name val="Arial"/>
      <family val="2"/>
    </font>
    <font>
      <sz val="10"/>
      <color theme="1"/>
      <name val="Garamond"/>
      <family val="2"/>
    </font>
    <font>
      <sz val="9"/>
      <name val="Times New Roman"/>
      <family val="1"/>
    </font>
    <font>
      <sz val="12"/>
      <color theme="0"/>
      <name val="Arial"/>
      <family val="2"/>
      <charset val="204"/>
    </font>
    <font>
      <i/>
      <sz val="12"/>
      <name val="Arial Narrow"/>
      <family val="2"/>
    </font>
    <font>
      <b/>
      <sz val="12"/>
      <color theme="0"/>
      <name val="Arial"/>
      <family val="2"/>
      <charset val="204"/>
    </font>
    <font>
      <sz val="16"/>
      <color theme="1"/>
      <name val="Arial"/>
      <family val="2"/>
    </font>
    <font>
      <sz val="11"/>
      <color theme="1"/>
      <name val="Garamond"/>
      <family val="1"/>
    </font>
    <font>
      <b/>
      <sz val="11"/>
      <color theme="1"/>
      <name val="Garamond"/>
      <family val="1"/>
    </font>
    <font>
      <sz val="14"/>
      <color theme="1"/>
      <name val="Arial"/>
      <family val="2"/>
    </font>
    <font>
      <sz val="11"/>
      <color theme="1"/>
      <name val="Arial"/>
      <family val="2"/>
    </font>
    <font>
      <b/>
      <sz val="16"/>
      <color theme="1"/>
      <name val="Calibri"/>
      <family val="2"/>
      <scheme val="minor"/>
    </font>
    <font>
      <i/>
      <sz val="11"/>
      <color theme="1"/>
      <name val="Arial"/>
      <family val="2"/>
    </font>
    <font>
      <b/>
      <sz val="11"/>
      <color theme="1"/>
      <name val="Arial"/>
      <family val="2"/>
    </font>
    <font>
      <sz val="14"/>
      <color rgb="FFFF0000"/>
      <name val="Arial"/>
      <family val="2"/>
    </font>
    <font>
      <u/>
      <sz val="10"/>
      <name val="Arial"/>
      <family val="2"/>
    </font>
    <font>
      <u/>
      <sz val="11"/>
      <color theme="1"/>
      <name val="Arial"/>
      <family val="2"/>
    </font>
    <font>
      <sz val="11"/>
      <name val="Garamond"/>
      <family val="1"/>
    </font>
    <font>
      <b/>
      <sz val="11"/>
      <name val="Garamond"/>
      <family val="1"/>
    </font>
    <font>
      <b/>
      <i/>
      <sz val="12"/>
      <name val="Arial"/>
      <family val="2"/>
    </font>
  </fonts>
  <fills count="4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indexed="42"/>
      </patternFill>
    </fill>
    <fill>
      <patternFill patternType="solid">
        <fgColor indexed="55"/>
      </patternFill>
    </fill>
    <fill>
      <patternFill patternType="solid">
        <fgColor rgb="FFC4D8ED"/>
        <bgColor indexed="64"/>
      </patternFill>
    </fill>
    <fill>
      <patternFill patternType="solid">
        <fgColor indexed="44"/>
        <bgColor indexed="64"/>
      </patternFill>
    </fill>
    <fill>
      <patternFill patternType="solid">
        <fgColor rgb="FFEEEEEE"/>
      </patternFill>
    </fill>
  </fills>
  <borders count="236">
    <border>
      <left/>
      <right/>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style="thin">
        <color auto="1"/>
      </left>
      <right/>
      <top/>
      <bottom style="thick">
        <color auto="1"/>
      </bottom>
      <diagonal/>
    </border>
    <border>
      <left/>
      <right style="thin">
        <color auto="1"/>
      </right>
      <top/>
      <bottom style="thick">
        <color auto="1"/>
      </bottom>
      <diagonal/>
    </border>
    <border>
      <left/>
      <right style="thick">
        <color auto="1"/>
      </right>
      <top/>
      <bottom style="thick">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thick">
        <color auto="1"/>
      </bottom>
      <diagonal/>
    </border>
    <border>
      <left/>
      <right style="medium">
        <color auto="1"/>
      </right>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diagonal/>
    </border>
    <border>
      <left/>
      <right style="thick">
        <color auto="1"/>
      </right>
      <top style="medium">
        <color auto="1"/>
      </top>
      <bottom/>
      <diagonal/>
    </border>
    <border>
      <left/>
      <right/>
      <top style="medium">
        <color auto="1"/>
      </top>
      <bottom/>
      <diagonal/>
    </border>
    <border>
      <left/>
      <right style="thin">
        <color auto="1"/>
      </right>
      <top style="medium">
        <color auto="1"/>
      </top>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ck">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ck">
        <color auto="1"/>
      </right>
      <top style="medium">
        <color auto="1"/>
      </top>
      <bottom style="thin">
        <color auto="1"/>
      </bottom>
      <diagonal/>
    </border>
    <border>
      <left style="medium">
        <color auto="1"/>
      </left>
      <right/>
      <top style="thin">
        <color auto="1"/>
      </top>
      <bottom style="thin">
        <color auto="1"/>
      </bottom>
      <diagonal/>
    </border>
    <border>
      <left/>
      <right style="thick">
        <color auto="1"/>
      </right>
      <top style="thin">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thick">
        <color auto="1"/>
      </right>
      <top style="thin">
        <color auto="1"/>
      </top>
      <bottom/>
      <diagonal/>
    </border>
    <border>
      <left style="thick">
        <color auto="1"/>
      </left>
      <right/>
      <top style="thin">
        <color auto="1"/>
      </top>
      <bottom/>
      <diagonal/>
    </border>
    <border>
      <left/>
      <right style="thin">
        <color auto="1"/>
      </right>
      <top style="thin">
        <color auto="1"/>
      </top>
      <bottom/>
      <diagonal/>
    </border>
    <border>
      <left style="thin">
        <color auto="1"/>
      </left>
      <right/>
      <top style="medium">
        <color auto="1"/>
      </top>
      <bottom/>
      <diagonal/>
    </border>
    <border>
      <left style="thick">
        <color auto="1"/>
      </left>
      <right style="medium">
        <color auto="1"/>
      </right>
      <top/>
      <bottom/>
      <diagonal/>
    </border>
    <border>
      <left/>
      <right/>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bottom style="medium">
        <color auto="1"/>
      </bottom>
      <diagonal/>
    </border>
    <border>
      <left/>
      <right style="medium">
        <color auto="1"/>
      </right>
      <top/>
      <bottom style="thin">
        <color auto="1"/>
      </bottom>
      <diagonal/>
    </border>
    <border>
      <left style="medium">
        <color auto="1"/>
      </left>
      <right/>
      <top/>
      <bottom style="thin">
        <color auto="1"/>
      </bottom>
      <diagonal/>
    </border>
    <border>
      <left/>
      <right style="thick">
        <color auto="1"/>
      </right>
      <top/>
      <bottom style="medium">
        <color auto="1"/>
      </bottom>
      <diagonal/>
    </border>
    <border>
      <left style="medium">
        <color auto="1"/>
      </left>
      <right style="thick">
        <color auto="1"/>
      </right>
      <top/>
      <bottom style="thick">
        <color auto="1"/>
      </bottom>
      <diagonal/>
    </border>
    <border>
      <left style="medium">
        <color auto="1"/>
      </left>
      <right style="thick">
        <color auto="1"/>
      </right>
      <top/>
      <bottom/>
      <diagonal/>
    </border>
    <border>
      <left style="medium">
        <color auto="1"/>
      </left>
      <right style="thin">
        <color auto="1"/>
      </right>
      <top/>
      <bottom style="thin">
        <color auto="1"/>
      </bottom>
      <diagonal/>
    </border>
    <border>
      <left style="medium">
        <color auto="1"/>
      </left>
      <right style="thick">
        <color auto="1"/>
      </right>
      <top style="thin">
        <color auto="1"/>
      </top>
      <bottom/>
      <diagonal/>
    </border>
    <border>
      <left/>
      <right style="medium">
        <color auto="1"/>
      </right>
      <top style="thin">
        <color auto="1"/>
      </top>
      <bottom style="thin">
        <color auto="1"/>
      </bottom>
      <diagonal/>
    </border>
    <border>
      <left style="thin">
        <color indexed="8"/>
      </left>
      <right/>
      <top/>
      <bottom/>
      <diagonal/>
    </border>
    <border>
      <left style="thin">
        <color auto="1"/>
      </left>
      <right style="medium">
        <color auto="1"/>
      </right>
      <top/>
      <bottom style="thin">
        <color auto="1"/>
      </bottom>
      <diagonal/>
    </border>
    <border>
      <left style="mediumDashed">
        <color auto="1"/>
      </left>
      <right/>
      <top/>
      <bottom/>
      <diagonal/>
    </border>
    <border>
      <left/>
      <right/>
      <top style="dashed">
        <color auto="1"/>
      </top>
      <bottom/>
      <diagonal/>
    </border>
    <border>
      <left style="thick">
        <color auto="1"/>
      </left>
      <right/>
      <top style="dashed">
        <color auto="1"/>
      </top>
      <bottom/>
      <diagonal/>
    </border>
    <border>
      <left/>
      <right style="thick">
        <color auto="1"/>
      </right>
      <top/>
      <bottom style="dashed">
        <color auto="1"/>
      </bottom>
      <diagonal/>
    </border>
    <border>
      <left/>
      <right/>
      <top/>
      <bottom style="dashed">
        <color auto="1"/>
      </bottom>
      <diagonal/>
    </border>
    <border>
      <left/>
      <right style="thin">
        <color auto="1"/>
      </right>
      <top/>
      <bottom style="dashed">
        <color auto="1"/>
      </bottom>
      <diagonal/>
    </border>
    <border>
      <left style="thick">
        <color auto="1"/>
      </left>
      <right/>
      <top/>
      <bottom style="dashed">
        <color auto="1"/>
      </bottom>
      <diagonal/>
    </border>
    <border>
      <left/>
      <right style="mediumDashed">
        <color auto="1"/>
      </right>
      <top/>
      <bottom/>
      <diagonal/>
    </border>
    <border>
      <left/>
      <right style="thin">
        <color auto="1"/>
      </right>
      <top/>
      <bottom style="medium">
        <color auto="1"/>
      </bottom>
      <diagonal/>
    </border>
    <border>
      <left style="thin">
        <color auto="1"/>
      </left>
      <right/>
      <top/>
      <bottom style="medium">
        <color auto="1"/>
      </bottom>
      <diagonal/>
    </border>
    <border>
      <left style="thick">
        <color auto="1"/>
      </left>
      <right/>
      <top/>
      <bottom style="medium">
        <color auto="1"/>
      </bottom>
      <diagonal/>
    </border>
    <border>
      <left/>
      <right/>
      <top style="thin">
        <color auto="1"/>
      </top>
      <bottom style="mediumDashed">
        <color auto="1"/>
      </bottom>
      <diagonal/>
    </border>
    <border>
      <left/>
      <right style="medium">
        <color auto="1"/>
      </right>
      <top style="medium">
        <color auto="1"/>
      </top>
      <bottom/>
      <diagonal/>
    </border>
    <border>
      <left/>
      <right/>
      <top style="medium">
        <color auto="1"/>
      </top>
      <bottom style="thick">
        <color auto="1"/>
      </bottom>
      <diagonal/>
    </border>
    <border>
      <left style="medium">
        <color auto="1"/>
      </left>
      <right/>
      <top style="medium">
        <color auto="1"/>
      </top>
      <bottom style="thick">
        <color auto="1"/>
      </bottom>
      <diagonal/>
    </border>
    <border>
      <left/>
      <right style="mediumDashed">
        <color auto="1"/>
      </right>
      <top/>
      <bottom style="dashed">
        <color auto="1"/>
      </bottom>
      <diagonal/>
    </border>
    <border>
      <left style="medium">
        <color auto="1"/>
      </left>
      <right/>
      <top style="dashed">
        <color auto="1"/>
      </top>
      <bottom/>
      <diagonal/>
    </border>
    <border>
      <left/>
      <right/>
      <top style="thin">
        <color auto="1"/>
      </top>
      <bottom style="medium">
        <color auto="1"/>
      </bottom>
      <diagonal/>
    </border>
    <border>
      <left style="thin">
        <color auto="1"/>
      </left>
      <right/>
      <top style="thin">
        <color auto="1"/>
      </top>
      <bottom style="medium">
        <color auto="1"/>
      </bottom>
      <diagonal/>
    </border>
    <border>
      <left/>
      <right style="thick">
        <color auto="1"/>
      </right>
      <top style="thin">
        <color auto="1"/>
      </top>
      <bottom style="medium">
        <color auto="1"/>
      </bottom>
      <diagonal/>
    </border>
    <border>
      <left style="mediumDashed">
        <color auto="1"/>
      </left>
      <right/>
      <top style="mediumDashed">
        <color auto="1"/>
      </top>
      <bottom style="medium">
        <color auto="1"/>
      </bottom>
      <diagonal/>
    </border>
    <border>
      <left/>
      <right style="mediumDashed">
        <color auto="1"/>
      </right>
      <top style="mediumDashed">
        <color auto="1"/>
      </top>
      <bottom style="medium">
        <color auto="1"/>
      </bottom>
      <diagonal/>
    </border>
    <border>
      <left style="mediumDashed">
        <color auto="1"/>
      </left>
      <right/>
      <top/>
      <bottom style="thick">
        <color auto="1"/>
      </bottom>
      <diagonal/>
    </border>
    <border>
      <left/>
      <right style="mediumDashed">
        <color auto="1"/>
      </right>
      <top/>
      <bottom style="thick">
        <color auto="1"/>
      </bottom>
      <diagonal/>
    </border>
    <border>
      <left style="mediumDashed">
        <color auto="1"/>
      </left>
      <right/>
      <top/>
      <bottom style="dashed">
        <color auto="1"/>
      </bottom>
      <diagonal/>
    </border>
    <border>
      <left style="thick">
        <color indexed="8"/>
      </left>
      <right/>
      <top style="thick">
        <color indexed="8"/>
      </top>
      <bottom/>
      <diagonal/>
    </border>
    <border>
      <left/>
      <right/>
      <top style="thick">
        <color indexed="8"/>
      </top>
      <bottom/>
      <diagonal/>
    </border>
    <border>
      <left/>
      <right style="thick">
        <color indexed="8"/>
      </right>
      <top style="thick">
        <color indexed="8"/>
      </top>
      <bottom/>
      <diagonal/>
    </border>
    <border>
      <left style="thick">
        <color indexed="8"/>
      </left>
      <right/>
      <top/>
      <bottom/>
      <diagonal/>
    </border>
    <border>
      <left/>
      <right style="thick">
        <color indexed="8"/>
      </right>
      <top/>
      <bottom/>
      <diagonal/>
    </border>
    <border>
      <left/>
      <right/>
      <top style="thin">
        <color indexed="8"/>
      </top>
      <bottom style="thin">
        <color indexed="8"/>
      </bottom>
      <diagonal/>
    </border>
    <border>
      <left/>
      <right style="thick">
        <color indexed="8"/>
      </right>
      <top style="thin">
        <color indexed="8"/>
      </top>
      <bottom style="thin">
        <color indexed="8"/>
      </bottom>
      <diagonal/>
    </border>
    <border>
      <left style="thick">
        <color indexed="8"/>
      </left>
      <right/>
      <top/>
      <bottom style="thin">
        <color indexed="8"/>
      </bottom>
      <diagonal/>
    </border>
    <border>
      <left style="thick">
        <color indexed="8"/>
      </left>
      <right/>
      <top/>
      <bottom style="thick">
        <color indexed="8"/>
      </bottom>
      <diagonal/>
    </border>
    <border>
      <left style="thin">
        <color indexed="8"/>
      </left>
      <right/>
      <top style="thin">
        <color indexed="8"/>
      </top>
      <bottom style="thin">
        <color indexed="8"/>
      </bottom>
      <diagonal/>
    </border>
    <border>
      <left style="medium">
        <color indexed="8"/>
      </left>
      <right style="medium">
        <color indexed="8"/>
      </right>
      <top/>
      <bottom/>
      <diagonal/>
    </border>
    <border>
      <left style="medium">
        <color indexed="8"/>
      </left>
      <right style="medium">
        <color indexed="8"/>
      </right>
      <top/>
      <bottom style="thick">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8"/>
      </left>
      <right/>
      <top/>
      <bottom style="thick">
        <color indexed="8"/>
      </bottom>
      <diagonal/>
    </border>
    <border>
      <left/>
      <right/>
      <top style="thin">
        <color indexed="8"/>
      </top>
      <bottom/>
      <diagonal/>
    </border>
    <border>
      <left/>
      <right/>
      <top/>
      <bottom style="thick">
        <color indexed="8"/>
      </bottom>
      <diagonal/>
    </border>
    <border>
      <left style="medium">
        <color indexed="8"/>
      </left>
      <right style="medium">
        <color indexed="8"/>
      </right>
      <top style="thin">
        <color indexed="8"/>
      </top>
      <bottom/>
      <diagonal/>
    </border>
    <border>
      <left style="medium">
        <color indexed="8"/>
      </left>
      <right style="medium">
        <color indexed="8"/>
      </right>
      <top/>
      <bottom style="thin">
        <color indexed="8"/>
      </bottom>
      <diagonal/>
    </border>
    <border>
      <left/>
      <right style="thick">
        <color indexed="8"/>
      </right>
      <top/>
      <bottom style="thick">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right style="thick">
        <color indexed="8"/>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top/>
      <bottom/>
      <diagonal/>
    </border>
    <border>
      <left style="medium">
        <color indexed="8"/>
      </left>
      <right/>
      <top/>
      <bottom style="thick">
        <color indexed="8"/>
      </bottom>
      <diagonal/>
    </border>
    <border>
      <left/>
      <right style="medium">
        <color indexed="8"/>
      </right>
      <top/>
      <bottom/>
      <diagonal/>
    </border>
    <border>
      <left/>
      <right style="medium">
        <color indexed="8"/>
      </right>
      <top/>
      <bottom style="thick">
        <color indexed="8"/>
      </bottom>
      <diagonal/>
    </border>
    <border>
      <left style="thick">
        <color indexed="8"/>
      </left>
      <right style="medium">
        <color indexed="8"/>
      </right>
      <top/>
      <bottom style="thin">
        <color indexed="8"/>
      </bottom>
      <diagonal/>
    </border>
    <border>
      <left style="thick">
        <color indexed="8"/>
      </left>
      <right style="medium">
        <color indexed="8"/>
      </right>
      <top/>
      <bottom/>
      <diagonal/>
    </border>
    <border>
      <left style="thin">
        <color auto="1"/>
      </left>
      <right/>
      <top/>
      <bottom style="dashed">
        <color auto="1"/>
      </bottom>
      <diagonal/>
    </border>
    <border>
      <left style="medium">
        <color auto="1"/>
      </left>
      <right/>
      <top/>
      <bottom style="dashed">
        <color auto="1"/>
      </bottom>
      <diagonal/>
    </border>
    <border>
      <left style="thin">
        <color auto="1"/>
      </left>
      <right/>
      <top/>
      <bottom style="thin">
        <color auto="1"/>
      </bottom>
      <diagonal/>
    </border>
    <border>
      <left/>
      <right/>
      <top/>
      <bottom style="thin">
        <color auto="1"/>
      </bottom>
      <diagonal/>
    </border>
    <border>
      <left style="thin">
        <color indexed="22"/>
      </left>
      <right style="thin">
        <color indexed="22"/>
      </right>
      <top style="thin">
        <color indexed="22"/>
      </top>
      <bottom style="thin">
        <color indexed="22"/>
      </bottom>
      <diagonal/>
    </border>
    <border>
      <left style="medium">
        <color auto="1"/>
      </left>
      <right/>
      <top/>
      <bottom/>
      <diagonal/>
    </border>
    <border>
      <left style="medium">
        <color auto="1"/>
      </left>
      <right style="thin">
        <color auto="1"/>
      </right>
      <top/>
      <bottom/>
      <diagonal/>
    </border>
    <border>
      <left style="medium">
        <color auto="1"/>
      </left>
      <right style="thick">
        <color auto="1"/>
      </right>
      <top/>
      <bottom/>
      <diagonal/>
    </border>
    <border>
      <left style="medium">
        <color auto="1"/>
      </left>
      <right style="medium">
        <color auto="1"/>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rgb="FFC0C0C0"/>
      </left>
      <right style="thin">
        <color rgb="FFC0C0C0"/>
      </right>
      <top style="thin">
        <color rgb="FFC0C0C0"/>
      </top>
      <bottom style="thin">
        <color rgb="FFC0C0C0"/>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medium">
        <color auto="1"/>
      </right>
      <top/>
      <bottom/>
      <diagonal/>
    </border>
    <border>
      <left style="medium">
        <color auto="1"/>
      </left>
      <right style="medium">
        <color auto="1"/>
      </right>
      <top/>
      <bottom/>
      <diagonal/>
    </border>
    <border>
      <left style="thin">
        <color auto="1"/>
      </left>
      <right/>
      <top style="thin">
        <color auto="1"/>
      </top>
      <bottom style="thick">
        <color auto="1"/>
      </bottom>
      <diagonal/>
    </border>
    <border>
      <left style="thick">
        <color auto="1"/>
      </left>
      <right/>
      <top/>
      <bottom style="thin">
        <color auto="1"/>
      </bottom>
      <diagonal/>
    </border>
    <border>
      <left/>
      <right style="thick">
        <color auto="1"/>
      </right>
      <top/>
      <bottom style="thin">
        <color auto="1"/>
      </bottom>
      <diagonal/>
    </border>
    <border>
      <left/>
      <right style="thin">
        <color auto="1"/>
      </right>
      <top/>
      <bottom style="thin">
        <color auto="1"/>
      </bottom>
      <diagonal/>
    </border>
    <border>
      <left style="thick">
        <color auto="1"/>
      </left>
      <right/>
      <top style="thin">
        <color auto="1"/>
      </top>
      <bottom style="thick">
        <color auto="1"/>
      </bottom>
      <diagonal/>
    </border>
    <border>
      <left style="medium">
        <color auto="1"/>
      </left>
      <right/>
      <top style="thin">
        <color auto="1"/>
      </top>
      <bottom style="thick">
        <color auto="1"/>
      </bottom>
      <diagonal/>
    </border>
    <border>
      <left/>
      <right/>
      <top style="thin">
        <color auto="1"/>
      </top>
      <bottom style="thick">
        <color auto="1"/>
      </bottom>
      <diagonal/>
    </border>
    <border>
      <left/>
      <right style="medium">
        <color auto="1"/>
      </right>
      <top style="thin">
        <color auto="1"/>
      </top>
      <bottom style="thick">
        <color auto="1"/>
      </bottom>
      <diagonal/>
    </border>
    <border>
      <left/>
      <right style="thick">
        <color auto="1"/>
      </right>
      <top style="thin">
        <color auto="1"/>
      </top>
      <bottom style="thick">
        <color auto="1"/>
      </bottom>
      <diagonal/>
    </border>
    <border>
      <left style="thin">
        <color auto="1"/>
      </left>
      <right style="medium">
        <color auto="1"/>
      </right>
      <top/>
      <bottom style="thick">
        <color auto="1"/>
      </bottom>
      <diagonal/>
    </border>
    <border>
      <left style="medium">
        <color auto="1"/>
      </left>
      <right style="thin">
        <color auto="1"/>
      </right>
      <top style="thin">
        <color auto="1"/>
      </top>
      <bottom style="thick">
        <color auto="1"/>
      </bottom>
      <diagonal/>
    </border>
    <border>
      <left/>
      <right/>
      <top style="thin">
        <color rgb="FFFFFFFF"/>
      </top>
      <bottom style="thin">
        <color rgb="FFFFFFFF"/>
      </bottom>
      <diagonal/>
    </border>
    <border>
      <left style="medium">
        <color auto="1"/>
      </left>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thin">
        <color auto="1"/>
      </bottom>
      <diagonal/>
    </border>
    <border>
      <left style="thin">
        <color auto="1"/>
      </left>
      <right style="thick">
        <color auto="1"/>
      </right>
      <top style="thin">
        <color auto="1"/>
      </top>
      <bottom/>
      <diagonal/>
    </border>
    <border>
      <left style="thin">
        <color auto="1"/>
      </left>
      <right style="thick">
        <color auto="1"/>
      </right>
      <top/>
      <bottom/>
      <diagonal/>
    </border>
    <border>
      <left style="thin">
        <color auto="1"/>
      </left>
      <right style="thick">
        <color auto="1"/>
      </right>
      <top/>
      <bottom style="thick">
        <color auto="1"/>
      </bottom>
      <diagonal/>
    </border>
    <border>
      <left style="thick">
        <color auto="1"/>
      </left>
      <right style="medium">
        <color auto="1"/>
      </right>
      <top style="thin">
        <color auto="1"/>
      </top>
      <bottom/>
      <diagonal/>
    </border>
    <border>
      <left style="medium">
        <color auto="1"/>
      </left>
      <right style="medium">
        <color auto="1"/>
      </right>
      <top/>
      <bottom style="medium">
        <color auto="1"/>
      </bottom>
      <diagonal/>
    </border>
    <border>
      <left style="medium">
        <color auto="1"/>
      </left>
      <right style="medium">
        <color auto="1"/>
      </right>
      <top/>
      <bottom style="dashed">
        <color auto="1"/>
      </bottom>
      <diagonal/>
    </border>
    <border>
      <left style="mediumDashed">
        <color auto="1"/>
      </left>
      <right/>
      <top style="thin">
        <color auto="1"/>
      </top>
      <bottom/>
      <diagonal/>
    </border>
    <border>
      <left/>
      <right style="mediumDashed">
        <color auto="1"/>
      </right>
      <top style="thin">
        <color auto="1"/>
      </top>
      <bottom/>
      <diagonal/>
    </border>
    <border>
      <left style="thin">
        <color auto="1"/>
      </left>
      <right style="thick">
        <color auto="1"/>
      </right>
      <top style="medium">
        <color auto="1"/>
      </top>
      <bottom style="thin">
        <color auto="1"/>
      </bottom>
      <diagonal/>
    </border>
    <border>
      <left style="thin">
        <color auto="1"/>
      </left>
      <right style="thick">
        <color auto="1"/>
      </right>
      <top/>
      <bottom style="thin">
        <color auto="1"/>
      </bottom>
      <diagonal/>
    </border>
    <border>
      <left style="thick">
        <color auto="1"/>
      </left>
      <right/>
      <top style="medium">
        <color auto="1"/>
      </top>
      <bottom/>
      <diagonal/>
    </border>
    <border>
      <left style="thin">
        <color auto="1"/>
      </left>
      <right style="medium">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Dashed">
        <color auto="1"/>
      </left>
      <right/>
      <top/>
      <bottom style="thin">
        <color auto="1"/>
      </bottom>
      <diagonal/>
    </border>
    <border>
      <left/>
      <right style="mediumDashed">
        <color auto="1"/>
      </right>
      <top/>
      <bottom style="thin">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diagonal/>
    </border>
    <border>
      <left style="thin">
        <color auto="1"/>
      </left>
      <right style="thin">
        <color auto="1"/>
      </right>
      <top/>
      <bottom style="thin">
        <color auto="1"/>
      </bottom>
      <diagonal/>
    </border>
    <border>
      <left/>
      <right style="medium">
        <color auto="1"/>
      </right>
      <top/>
      <bottom/>
      <diagonal/>
    </border>
    <border>
      <left/>
      <right/>
      <top/>
      <bottom style="double">
        <color auto="1"/>
      </bottom>
      <diagonal/>
    </border>
    <border>
      <left/>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top style="thin">
        <color auto="1"/>
      </top>
      <bottom style="double">
        <color auto="1"/>
      </bottom>
      <diagonal/>
    </border>
    <border>
      <left/>
      <right/>
      <top style="mediumDashed">
        <color auto="1"/>
      </top>
      <bottom/>
      <diagonal/>
    </border>
    <border>
      <left style="medium">
        <color auto="1"/>
      </left>
      <right style="medium">
        <color auto="1"/>
      </right>
      <top/>
      <bottom style="thick">
        <color auto="1"/>
      </bottom>
      <diagonal/>
    </border>
    <border>
      <left style="mediumDashed">
        <color auto="1"/>
      </left>
      <right/>
      <top style="mediumDashed">
        <color auto="1"/>
      </top>
      <bottom/>
      <diagonal/>
    </border>
    <border>
      <left/>
      <right style="thin">
        <color auto="1"/>
      </right>
      <top style="mediumDashed">
        <color auto="1"/>
      </top>
      <bottom/>
      <diagonal/>
    </border>
    <border>
      <left style="thin">
        <color auto="1"/>
      </left>
      <right style="thin">
        <color auto="1"/>
      </right>
      <top/>
      <bottom style="thick">
        <color auto="1"/>
      </bottom>
      <diagonal/>
    </border>
    <border>
      <left style="medium">
        <color auto="1"/>
      </left>
      <right style="thick">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ck">
        <color auto="1"/>
      </right>
      <top style="thin">
        <color auto="1"/>
      </top>
      <bottom style="thin">
        <color auto="1"/>
      </bottom>
      <diagonal/>
    </border>
    <border>
      <left style="thick">
        <color auto="1"/>
      </left>
      <right style="medium">
        <color auto="1"/>
      </right>
      <top/>
      <bottom style="thin">
        <color auto="1"/>
      </bottom>
      <diagonal/>
    </border>
    <border>
      <left style="medium">
        <color auto="1"/>
      </left>
      <right style="medium">
        <color auto="1"/>
      </right>
      <top style="thin">
        <color auto="1"/>
      </top>
      <bottom style="thick">
        <color auto="1"/>
      </bottom>
      <diagonal/>
    </border>
    <border>
      <left style="thick">
        <color auto="1"/>
      </left>
      <right style="medium">
        <color auto="1"/>
      </right>
      <top/>
      <bottom style="thick">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indexed="8"/>
      </left>
      <right style="thick">
        <color indexed="8"/>
      </right>
      <top style="thin">
        <color indexed="8"/>
      </top>
      <bottom/>
      <diagonal/>
    </border>
    <border>
      <left style="medium">
        <color indexed="8"/>
      </left>
      <right style="thick">
        <color indexed="8"/>
      </right>
      <top/>
      <bottom/>
      <diagonal/>
    </border>
    <border>
      <left style="medium">
        <color indexed="8"/>
      </left>
      <right style="thick">
        <color indexed="8"/>
      </right>
      <top/>
      <bottom style="thin">
        <color auto="1"/>
      </bottom>
      <diagonal/>
    </border>
    <border>
      <left style="medium">
        <color indexed="8"/>
      </left>
      <right/>
      <top/>
      <bottom style="thin">
        <color indexed="8"/>
      </bottom>
      <diagonal/>
    </border>
    <border>
      <left/>
      <right/>
      <top/>
      <bottom style="thin">
        <color indexed="8"/>
      </bottom>
      <diagonal/>
    </border>
    <border>
      <left/>
      <right style="medium">
        <color indexed="8"/>
      </right>
      <top/>
      <bottom style="thin">
        <color indexed="8"/>
      </bottom>
      <diagonal/>
    </border>
    <border>
      <left style="medium">
        <color indexed="8"/>
      </left>
      <right/>
      <top style="thin">
        <color indexed="8"/>
      </top>
      <bottom style="thin">
        <color auto="1"/>
      </bottom>
      <diagonal/>
    </border>
    <border>
      <left/>
      <right/>
      <top style="thin">
        <color indexed="8"/>
      </top>
      <bottom style="thin">
        <color auto="1"/>
      </bottom>
      <diagonal/>
    </border>
    <border>
      <left/>
      <right style="medium">
        <color indexed="8"/>
      </right>
      <top style="thin">
        <color indexed="8"/>
      </top>
      <bottom style="thin">
        <color auto="1"/>
      </bottom>
      <diagonal/>
    </border>
    <border>
      <left style="medium">
        <color indexed="8"/>
      </left>
      <right style="thick">
        <color indexed="8"/>
      </right>
      <top/>
      <bottom style="thin">
        <color auto="1"/>
      </bottom>
      <diagonal/>
    </border>
    <border>
      <left style="medium">
        <color auto="1"/>
      </left>
      <right/>
      <top/>
      <bottom style="thin">
        <color auto="1"/>
      </bottom>
      <diagonal/>
    </border>
    <border>
      <left style="thin">
        <color auto="1"/>
      </left>
      <right/>
      <top/>
      <bottom style="thin">
        <color auto="1"/>
      </bottom>
      <diagonal/>
    </border>
    <border>
      <left/>
      <right/>
      <top/>
      <bottom style="thin">
        <color auto="1"/>
      </bottom>
      <diagonal/>
    </border>
    <border>
      <left style="medium">
        <color auto="1"/>
      </left>
      <right style="thin">
        <color auto="1"/>
      </right>
      <top/>
      <bottom style="thin">
        <color auto="1"/>
      </bottom>
      <diagonal/>
    </border>
    <border>
      <left/>
      <right style="thick">
        <color auto="1"/>
      </right>
      <top/>
      <bottom style="thin">
        <color auto="1"/>
      </bottom>
      <diagonal/>
    </border>
    <border>
      <left/>
      <right style="medium">
        <color auto="1"/>
      </right>
      <top/>
      <bottom style="thin">
        <color auto="1"/>
      </bottom>
      <diagonal/>
    </border>
    <border>
      <left style="medium">
        <color auto="1"/>
      </left>
      <right/>
      <top/>
      <bottom style="thin">
        <color auto="1"/>
      </bottom>
      <diagonal/>
    </border>
    <border>
      <left style="medium">
        <color indexed="64"/>
      </left>
      <right/>
      <top/>
      <bottom/>
      <diagonal/>
    </border>
    <border>
      <left style="thin">
        <color auto="1"/>
      </left>
      <right style="medium">
        <color auto="1"/>
      </right>
      <top/>
      <bottom style="medium">
        <color indexed="64"/>
      </bottom>
      <diagonal/>
    </border>
  </borders>
  <cellStyleXfs count="1227">
    <xf numFmtId="0" fontId="0" fillId="0" borderId="0"/>
    <xf numFmtId="9" fontId="51" fillId="0" borderId="0" applyFont="0" applyFill="0" applyBorder="0" applyAlignment="0" applyProtection="0"/>
    <xf numFmtId="0" fontId="52" fillId="0" borderId="0"/>
    <xf numFmtId="0" fontId="53" fillId="0" borderId="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49" fillId="0" borderId="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165" fontId="51"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9" fontId="53"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3" fillId="0" borderId="0"/>
    <xf numFmtId="0" fontId="77" fillId="0" borderId="0"/>
    <xf numFmtId="0" fontId="79" fillId="0" borderId="0" applyFont="0" applyFill="0" applyBorder="0" applyAlignment="0" applyProtection="0"/>
    <xf numFmtId="0" fontId="80" fillId="0" borderId="0" applyNumberFormat="0" applyFill="0" applyBorder="0" applyAlignment="0" applyProtection="0"/>
    <xf numFmtId="0" fontId="81" fillId="0" borderId="0" applyNumberFormat="0" applyFill="0" applyBorder="0" applyAlignment="0" applyProtection="0"/>
    <xf numFmtId="3" fontId="79" fillId="0" borderId="0" applyFont="0" applyFill="0" applyBorder="0" applyAlignment="0" applyProtection="0"/>
    <xf numFmtId="173" fontId="79" fillId="0" borderId="0" applyFont="0" applyFill="0" applyBorder="0" applyAlignment="0" applyProtection="0"/>
    <xf numFmtId="0" fontId="77" fillId="0" borderId="0"/>
    <xf numFmtId="0" fontId="82" fillId="0" borderId="0"/>
    <xf numFmtId="0" fontId="82" fillId="0" borderId="0"/>
    <xf numFmtId="0" fontId="82" fillId="0" borderId="0"/>
    <xf numFmtId="0" fontId="82" fillId="0" borderId="0"/>
    <xf numFmtId="0" fontId="82" fillId="0" borderId="0"/>
    <xf numFmtId="9" fontId="82" fillId="0" borderId="0" applyFont="0" applyFill="0" applyBorder="0" applyAlignment="0" applyProtection="0"/>
    <xf numFmtId="9" fontId="82" fillId="0" borderId="0" applyFont="0" applyFill="0" applyBorder="0" applyAlignment="0" applyProtection="0"/>
    <xf numFmtId="9" fontId="82" fillId="0" borderId="0" applyFont="0" applyFill="0" applyBorder="0" applyAlignment="0" applyProtection="0"/>
    <xf numFmtId="9" fontId="82" fillId="0" borderId="0" applyFont="0" applyFill="0" applyBorder="0" applyAlignment="0" applyProtection="0"/>
    <xf numFmtId="0" fontId="53" fillId="0" borderId="0"/>
    <xf numFmtId="0" fontId="83" fillId="0" borderId="1">
      <alignment horizontal="center"/>
    </xf>
    <xf numFmtId="2" fontId="79"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1" fillId="0" borderId="0"/>
    <xf numFmtId="0" fontId="93" fillId="0" borderId="0" applyFont="0" applyFill="0" applyBorder="0" applyAlignment="0" applyProtection="0"/>
    <xf numFmtId="0" fontId="94" fillId="0" borderId="0" applyNumberFormat="0" applyFill="0" applyBorder="0" applyAlignment="0" applyProtection="0"/>
    <xf numFmtId="0" fontId="95" fillId="0" borderId="0" applyNumberFormat="0" applyFill="0" applyBorder="0" applyAlignment="0" applyProtection="0"/>
    <xf numFmtId="3" fontId="93" fillId="0" borderId="0" applyFont="0" applyFill="0" applyBorder="0" applyAlignment="0" applyProtection="0"/>
    <xf numFmtId="0" fontId="92" fillId="0" borderId="0" applyNumberFormat="0" applyFill="0" applyBorder="0" applyAlignment="0" applyProtection="0">
      <alignment vertical="top"/>
      <protection locked="0"/>
    </xf>
    <xf numFmtId="173" fontId="93" fillId="0" borderId="0" applyFont="0" applyFill="0" applyBorder="0" applyAlignment="0" applyProtection="0"/>
    <xf numFmtId="0" fontId="82" fillId="0" borderId="0"/>
    <xf numFmtId="9" fontId="91" fillId="0" borderId="0" applyFont="0" applyFill="0" applyBorder="0" applyAlignment="0" applyProtection="0"/>
    <xf numFmtId="2" fontId="93" fillId="0" borderId="0" applyFont="0" applyFill="0" applyBorder="0" applyAlignment="0" applyProtection="0"/>
    <xf numFmtId="0" fontId="82" fillId="0" borderId="0"/>
    <xf numFmtId="0" fontId="91" fillId="0" borderId="0"/>
    <xf numFmtId="0" fontId="46"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60" fillId="11" borderId="0" applyNumberFormat="0" applyBorder="0" applyAlignment="0" applyProtection="0"/>
    <xf numFmtId="0" fontId="60" fillId="15" borderId="0" applyNumberFormat="0" applyBorder="0" applyAlignment="0" applyProtection="0"/>
    <xf numFmtId="0" fontId="60" fillId="19" borderId="0" applyNumberFormat="0" applyBorder="0" applyAlignment="0" applyProtection="0"/>
    <xf numFmtId="0" fontId="60" fillId="23" borderId="0" applyNumberFormat="0" applyBorder="0" applyAlignment="0" applyProtection="0"/>
    <xf numFmtId="0" fontId="60" fillId="27" borderId="0" applyNumberFormat="0" applyBorder="0" applyAlignment="0" applyProtection="0"/>
    <xf numFmtId="0" fontId="60" fillId="31" borderId="0" applyNumberFormat="0" applyBorder="0" applyAlignment="0" applyProtection="0"/>
    <xf numFmtId="0" fontId="60" fillId="12" borderId="0" applyNumberFormat="0" applyBorder="0" applyAlignment="0" applyProtection="0"/>
    <xf numFmtId="0" fontId="60" fillId="16" borderId="0" applyNumberFormat="0" applyBorder="0" applyAlignment="0" applyProtection="0"/>
    <xf numFmtId="0" fontId="60" fillId="20" borderId="0" applyNumberFormat="0" applyBorder="0" applyAlignment="0" applyProtection="0"/>
    <xf numFmtId="0" fontId="60" fillId="24" borderId="0" applyNumberFormat="0" applyBorder="0" applyAlignment="0" applyProtection="0"/>
    <xf numFmtId="0" fontId="60" fillId="28" borderId="0" applyNumberFormat="0" applyBorder="0" applyAlignment="0" applyProtection="0"/>
    <xf numFmtId="0" fontId="60" fillId="32" borderId="0" applyNumberFormat="0" applyBorder="0" applyAlignment="0" applyProtection="0"/>
    <xf numFmtId="0" fontId="103" fillId="13" borderId="0" applyNumberFormat="0" applyBorder="0" applyAlignment="0" applyProtection="0"/>
    <xf numFmtId="0" fontId="103" fillId="17" borderId="0" applyNumberFormat="0" applyBorder="0" applyAlignment="0" applyProtection="0"/>
    <xf numFmtId="0" fontId="103" fillId="21" borderId="0" applyNumberFormat="0" applyBorder="0" applyAlignment="0" applyProtection="0"/>
    <xf numFmtId="0" fontId="103" fillId="25" borderId="0" applyNumberFormat="0" applyBorder="0" applyAlignment="0" applyProtection="0"/>
    <xf numFmtId="0" fontId="103" fillId="29" borderId="0" applyNumberFormat="0" applyBorder="0" applyAlignment="0" applyProtection="0"/>
    <xf numFmtId="0" fontId="103" fillId="33" borderId="0" applyNumberFormat="0" applyBorder="0" applyAlignment="0" applyProtection="0"/>
    <xf numFmtId="0" fontId="103" fillId="10" borderId="0" applyNumberFormat="0" applyBorder="0" applyAlignment="0" applyProtection="0"/>
    <xf numFmtId="0" fontId="103" fillId="14" borderId="0" applyNumberFormat="0" applyBorder="0" applyAlignment="0" applyProtection="0"/>
    <xf numFmtId="0" fontId="103" fillId="18" borderId="0" applyNumberFormat="0" applyBorder="0" applyAlignment="0" applyProtection="0"/>
    <xf numFmtId="0" fontId="103" fillId="22" borderId="0" applyNumberFormat="0" applyBorder="0" applyAlignment="0" applyProtection="0"/>
    <xf numFmtId="0" fontId="103" fillId="26" borderId="0" applyNumberFormat="0" applyBorder="0" applyAlignment="0" applyProtection="0"/>
    <xf numFmtId="0" fontId="103" fillId="30" borderId="0" applyNumberFormat="0" applyBorder="0" applyAlignment="0" applyProtection="0"/>
    <xf numFmtId="0" fontId="104" fillId="4" borderId="0" applyNumberFormat="0" applyBorder="0" applyAlignment="0" applyProtection="0"/>
    <xf numFmtId="0" fontId="105" fillId="7" borderId="130" applyNumberFormat="0" applyAlignment="0" applyProtection="0"/>
    <xf numFmtId="0" fontId="106" fillId="8" borderId="133" applyNumberFormat="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4" fontId="46" fillId="0" borderId="0" applyFont="0" applyFill="0" applyBorder="0" applyAlignment="0" applyProtection="0"/>
    <xf numFmtId="174" fontId="72" fillId="0" borderId="0" applyFont="0" applyFill="0" applyBorder="0" applyAlignment="0" applyProtection="0"/>
    <xf numFmtId="165" fontId="82" fillId="0" borderId="0" applyFont="0" applyFill="0" applyBorder="0" applyAlignment="0" applyProtection="0"/>
    <xf numFmtId="165" fontId="82" fillId="0" borderId="0" applyFont="0" applyFill="0" applyBorder="0" applyAlignment="0" applyProtection="0"/>
    <xf numFmtId="165" fontId="82"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74" fontId="72" fillId="0" borderId="0" applyFont="0" applyFill="0" applyBorder="0" applyAlignment="0" applyProtection="0"/>
    <xf numFmtId="165" fontId="46" fillId="0" borderId="0" applyFont="0" applyFill="0" applyBorder="0" applyAlignment="0" applyProtection="0"/>
    <xf numFmtId="3" fontId="65" fillId="0" borderId="0" applyFont="0" applyFill="0" applyBorder="0" applyAlignment="0" applyProtection="0"/>
    <xf numFmtId="0" fontId="107" fillId="34" borderId="122" applyNumberFormat="0" applyFont="0" applyAlignment="0" applyProtection="0"/>
    <xf numFmtId="0" fontId="108" fillId="0" borderId="0" applyNumberFormat="0" applyFill="0" applyBorder="0" applyAlignment="0" applyProtection="0"/>
    <xf numFmtId="0" fontId="109" fillId="3" borderId="0" applyNumberFormat="0" applyBorder="0" applyAlignment="0" applyProtection="0"/>
    <xf numFmtId="0" fontId="100" fillId="0" borderId="127" applyNumberFormat="0" applyFill="0" applyAlignment="0" applyProtection="0"/>
    <xf numFmtId="0" fontId="101" fillId="0" borderId="128" applyNumberFormat="0" applyFill="0" applyAlignment="0" applyProtection="0"/>
    <xf numFmtId="0" fontId="102" fillId="0" borderId="129" applyNumberFormat="0" applyFill="0" applyAlignment="0" applyProtection="0"/>
    <xf numFmtId="0" fontId="102" fillId="0" borderId="0" applyNumberFormat="0" applyFill="0" applyBorder="0" applyAlignment="0" applyProtection="0"/>
    <xf numFmtId="0" fontId="110" fillId="6" borderId="130" applyNumberFormat="0" applyAlignment="0" applyProtection="0"/>
    <xf numFmtId="0" fontId="111" fillId="0" borderId="0" applyNumberFormat="0" applyFill="0" applyBorder="0" applyAlignment="0" applyProtection="0"/>
    <xf numFmtId="0" fontId="112" fillId="0" borderId="132" applyNumberFormat="0" applyFill="0" applyAlignment="0" applyProtection="0"/>
    <xf numFmtId="0" fontId="113" fillId="5" borderId="0" applyNumberFormat="0" applyBorder="0" applyAlignment="0" applyProtection="0"/>
    <xf numFmtId="0" fontId="46" fillId="0" borderId="0"/>
    <xf numFmtId="0" fontId="53" fillId="0" borderId="0"/>
    <xf numFmtId="0" fontId="46" fillId="0" borderId="0"/>
    <xf numFmtId="0" fontId="46" fillId="0" borderId="0"/>
    <xf numFmtId="0" fontId="77" fillId="0" borderId="0"/>
    <xf numFmtId="0" fontId="46" fillId="0" borderId="0"/>
    <xf numFmtId="0" fontId="72" fillId="0" borderId="0"/>
    <xf numFmtId="0" fontId="53" fillId="0" borderId="0"/>
    <xf numFmtId="0" fontId="46" fillId="0" borderId="0"/>
    <xf numFmtId="0" fontId="46" fillId="0" borderId="0"/>
    <xf numFmtId="0" fontId="72" fillId="0" borderId="0"/>
    <xf numFmtId="0" fontId="114"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7" fillId="0" borderId="0" applyFill="0" applyProtection="0"/>
    <xf numFmtId="0" fontId="46" fillId="0" borderId="0"/>
    <xf numFmtId="0" fontId="46" fillId="0" borderId="0"/>
    <xf numFmtId="0" fontId="46" fillId="0" borderId="0"/>
    <xf numFmtId="0" fontId="46" fillId="0" borderId="0"/>
    <xf numFmtId="0" fontId="46" fillId="0" borderId="0"/>
    <xf numFmtId="0" fontId="53" fillId="0" borderId="0"/>
    <xf numFmtId="0" fontId="46" fillId="0" borderId="0"/>
    <xf numFmtId="0" fontId="46" fillId="0" borderId="0"/>
    <xf numFmtId="0" fontId="46" fillId="0" borderId="0"/>
    <xf numFmtId="0" fontId="72" fillId="0" borderId="0"/>
    <xf numFmtId="0" fontId="46" fillId="0" borderId="0"/>
    <xf numFmtId="0" fontId="46" fillId="0" borderId="0"/>
    <xf numFmtId="0" fontId="82" fillId="0" borderId="0"/>
    <xf numFmtId="0" fontId="53" fillId="0" borderId="0"/>
    <xf numFmtId="0" fontId="46" fillId="0" borderId="0"/>
    <xf numFmtId="0" fontId="46" fillId="0" borderId="0"/>
    <xf numFmtId="0" fontId="46" fillId="0" borderId="0"/>
    <xf numFmtId="0" fontId="46" fillId="0" borderId="0"/>
    <xf numFmtId="0" fontId="53" fillId="0" borderId="0"/>
    <xf numFmtId="0" fontId="46" fillId="0" borderId="0"/>
    <xf numFmtId="0" fontId="82" fillId="0" borderId="0"/>
    <xf numFmtId="0" fontId="115" fillId="0" borderId="0" applyNumberFormat="0" applyBorder="0" applyAlignment="0"/>
    <xf numFmtId="0" fontId="82" fillId="0" borderId="0"/>
    <xf numFmtId="0" fontId="82" fillId="0" borderId="0"/>
    <xf numFmtId="0" fontId="82" fillId="0" borderId="0"/>
    <xf numFmtId="0" fontId="82" fillId="0" borderId="0"/>
    <xf numFmtId="0" fontId="60" fillId="9" borderId="134" applyNumberFormat="0" applyFont="0" applyAlignment="0" applyProtection="0"/>
    <xf numFmtId="0" fontId="46" fillId="9" borderId="134" applyNumberFormat="0" applyFont="0" applyAlignment="0" applyProtection="0"/>
    <xf numFmtId="0" fontId="116" fillId="7" borderId="131" applyNumberFormat="0" applyAlignment="0" applyProtection="0"/>
    <xf numFmtId="9" fontId="46" fillId="0" borderId="0" applyFont="0" applyFill="0" applyBorder="0" applyAlignment="0" applyProtection="0"/>
    <xf numFmtId="9" fontId="77"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7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72" fillId="0" borderId="0" applyFont="0" applyFill="0" applyBorder="0" applyAlignment="0" applyProtection="0"/>
    <xf numFmtId="9" fontId="41" fillId="0" borderId="0" applyFont="0" applyFill="0" applyBorder="0" applyAlignment="0" applyProtection="0"/>
    <xf numFmtId="9" fontId="72" fillId="0" borderId="0" applyFont="0" applyFill="0" applyBorder="0" applyAlignment="0" applyProtection="0"/>
    <xf numFmtId="9" fontId="82" fillId="0" borderId="0" applyFont="0" applyFill="0" applyBorder="0" applyAlignment="0" applyProtection="0"/>
    <xf numFmtId="9" fontId="8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82" fillId="0" borderId="0" applyFont="0" applyFill="0" applyBorder="0" applyAlignment="0" applyProtection="0"/>
    <xf numFmtId="9" fontId="82" fillId="0" borderId="0" applyFont="0" applyFill="0" applyBorder="0" applyAlignment="0" applyProtection="0"/>
    <xf numFmtId="0" fontId="117" fillId="35" borderId="0" applyNumberFormat="0" applyBorder="0" applyAlignment="0" applyProtection="0"/>
    <xf numFmtId="0" fontId="118" fillId="0" borderId="0" applyNumberFormat="0" applyFill="0" applyBorder="0" applyAlignment="0" applyProtection="0"/>
    <xf numFmtId="0" fontId="119" fillId="0" borderId="136" applyNumberFormat="0" applyFill="0" applyAlignment="0" applyProtection="0"/>
    <xf numFmtId="0" fontId="120" fillId="0" borderId="137" applyNumberFormat="0" applyFill="0" applyAlignment="0" applyProtection="0"/>
    <xf numFmtId="0" fontId="121" fillId="0" borderId="138" applyNumberFormat="0" applyFill="0" applyAlignment="0" applyProtection="0"/>
    <xf numFmtId="0" fontId="121" fillId="0" borderId="0" applyNumberFormat="0" applyFill="0" applyBorder="0" applyAlignment="0" applyProtection="0"/>
    <xf numFmtId="0" fontId="122" fillId="0" borderId="135" applyNumberFormat="0" applyFill="0" applyAlignment="0" applyProtection="0"/>
    <xf numFmtId="0" fontId="123" fillId="36" borderId="139" applyNumberFormat="0" applyAlignment="0" applyProtection="0"/>
    <xf numFmtId="0" fontId="124" fillId="0" borderId="0" applyNumberFormat="0" applyFill="0" applyBorder="0" applyAlignment="0" applyProtection="0"/>
    <xf numFmtId="0" fontId="55" fillId="0" borderId="0" applyNumberFormat="0" applyFill="0" applyBorder="0" applyAlignment="0" applyProtection="0"/>
    <xf numFmtId="0" fontId="39" fillId="0" borderId="0"/>
    <xf numFmtId="9" fontId="39"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165" fontId="37" fillId="0" borderId="0" applyFont="0" applyFill="0" applyBorder="0" applyAlignment="0" applyProtection="0"/>
    <xf numFmtId="0" fontId="37" fillId="0" borderId="0"/>
    <xf numFmtId="165" fontId="36" fillId="0" borderId="0" applyFont="0" applyFill="0" applyBorder="0" applyAlignment="0" applyProtection="0"/>
    <xf numFmtId="165" fontId="36" fillId="0" borderId="0" applyFont="0" applyFill="0" applyBorder="0" applyAlignment="0" applyProtection="0"/>
    <xf numFmtId="0" fontId="36"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175" fontId="53" fillId="0" borderId="0" applyNumberFormat="0" applyFont="0" applyFill="0" applyBorder="0" applyAlignment="0" applyProtection="0"/>
    <xf numFmtId="0" fontId="53"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175" fontId="53" fillId="0" borderId="0" applyNumberFormat="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24" fillId="0" borderId="0"/>
    <xf numFmtId="9" fontId="24" fillId="0" borderId="0" applyFont="0" applyFill="0" applyBorder="0" applyAlignment="0" applyProtection="0"/>
    <xf numFmtId="0" fontId="36" fillId="0" borderId="0"/>
    <xf numFmtId="165" fontId="36" fillId="0" borderId="0" applyFont="0" applyFill="0" applyBorder="0" applyAlignment="0" applyProtection="0"/>
    <xf numFmtId="0" fontId="36" fillId="0" borderId="0"/>
    <xf numFmtId="0" fontId="51" fillId="0" borderId="0"/>
    <xf numFmtId="9" fontId="51"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6" fillId="0" borderId="0"/>
    <xf numFmtId="9" fontId="36" fillId="0" borderId="0" applyFont="0" applyFill="0" applyBorder="0" applyAlignment="0" applyProtection="0"/>
    <xf numFmtId="9" fontId="36"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20"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17" fillId="0" borderId="0"/>
    <xf numFmtId="165" fontId="82" fillId="0" borderId="0" applyFont="0" applyFill="0" applyBorder="0" applyAlignment="0" applyProtection="0"/>
    <xf numFmtId="165" fontId="17" fillId="0" borderId="0" applyFont="0" applyFill="0" applyBorder="0" applyAlignment="0" applyProtection="0"/>
    <xf numFmtId="9" fontId="17" fillId="0" borderId="0" applyFont="0" applyFill="0" applyBorder="0" applyAlignment="0" applyProtection="0"/>
    <xf numFmtId="0" fontId="15" fillId="0" borderId="0"/>
    <xf numFmtId="9" fontId="15"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15" fillId="0" borderId="0"/>
    <xf numFmtId="0" fontId="14" fillId="0" borderId="0"/>
    <xf numFmtId="9" fontId="14"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12" fillId="0" borderId="0"/>
    <xf numFmtId="0" fontId="10" fillId="0" borderId="0"/>
    <xf numFmtId="9" fontId="10" fillId="0" borderId="0" applyFont="0" applyFill="0" applyBorder="0" applyAlignment="0" applyProtection="0"/>
    <xf numFmtId="165" fontId="10"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5" fontId="10" fillId="0" borderId="0" applyFont="0" applyFill="0" applyBorder="0" applyAlignment="0" applyProtection="0"/>
    <xf numFmtId="0" fontId="8" fillId="0" borderId="0"/>
    <xf numFmtId="9" fontId="8" fillId="0" borderId="0" applyFont="0" applyFill="0" applyBorder="0" applyAlignment="0" applyProtection="0"/>
    <xf numFmtId="0" fontId="10" fillId="0" borderId="0"/>
    <xf numFmtId="0" fontId="10" fillId="0" borderId="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5" fontId="10" fillId="0" borderId="0" applyFont="0" applyFill="0" applyBorder="0" applyAlignment="0" applyProtection="0"/>
    <xf numFmtId="0" fontId="10" fillId="0" borderId="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9" fontId="10" fillId="0" borderId="0" applyFont="0" applyFill="0" applyBorder="0" applyAlignment="0" applyProtection="0"/>
    <xf numFmtId="165" fontId="10" fillId="0" borderId="0" applyFont="0" applyFill="0" applyBorder="0" applyAlignment="0" applyProtection="0"/>
    <xf numFmtId="0" fontId="10" fillId="0" borderId="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165" fontId="53" fillId="0" borderId="0" applyFont="0" applyFill="0" applyBorder="0" applyAlignment="0" applyProtection="0"/>
    <xf numFmtId="166" fontId="53"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6" fillId="0" borderId="0"/>
    <xf numFmtId="0" fontId="5" fillId="0" borderId="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1" fillId="0" borderId="0"/>
    <xf numFmtId="9" fontId="1" fillId="0" borderId="0" applyFont="0" applyFill="0" applyBorder="0" applyAlignment="0" applyProtection="0"/>
    <xf numFmtId="0" fontId="51" fillId="0" borderId="0"/>
    <xf numFmtId="165" fontId="51" fillId="0" borderId="0" applyFont="0" applyFill="0" applyBorder="0" applyAlignment="0" applyProtection="0"/>
    <xf numFmtId="9" fontId="51" fillId="0" borderId="0" applyFont="0" applyFill="0" applyBorder="0" applyAlignment="0" applyProtection="0"/>
  </cellStyleXfs>
  <cellXfs count="2608">
    <xf numFmtId="0" fontId="0" fillId="0" borderId="0" xfId="0"/>
    <xf numFmtId="0" fontId="52" fillId="0" borderId="0" xfId="0" applyFont="1"/>
    <xf numFmtId="0" fontId="56" fillId="0" borderId="0" xfId="0" applyFont="1"/>
    <xf numFmtId="0" fontId="52" fillId="0" borderId="0" xfId="0" applyFont="1" applyBorder="1" applyAlignment="1">
      <alignment horizontal="center"/>
    </xf>
    <xf numFmtId="0" fontId="52" fillId="0" borderId="0" xfId="0" applyFont="1" applyAlignment="1">
      <alignment horizontal="center" vertical="center" wrapText="1"/>
    </xf>
    <xf numFmtId="0" fontId="58" fillId="0" borderId="0" xfId="0" applyFont="1" applyBorder="1" applyAlignment="1">
      <alignment horizontal="center" vertical="center" wrapText="1"/>
    </xf>
    <xf numFmtId="0" fontId="52" fillId="0" borderId="1" xfId="0" applyFont="1" applyBorder="1" applyAlignment="1">
      <alignment horizontal="center"/>
    </xf>
    <xf numFmtId="3" fontId="52" fillId="0" borderId="0" xfId="0" applyNumberFormat="1" applyFont="1"/>
    <xf numFmtId="3" fontId="52" fillId="0" borderId="0" xfId="0" applyNumberFormat="1" applyFont="1" applyBorder="1" applyAlignment="1">
      <alignment horizontal="center"/>
    </xf>
    <xf numFmtId="9" fontId="52" fillId="0" borderId="0" xfId="1" applyFont="1" applyBorder="1" applyAlignment="1">
      <alignment horizontal="center"/>
    </xf>
    <xf numFmtId="0" fontId="60" fillId="0" borderId="0" xfId="0" applyFont="1" applyBorder="1" applyAlignment="1">
      <alignment horizontal="center"/>
    </xf>
    <xf numFmtId="0" fontId="57" fillId="0" borderId="7" xfId="0" applyFont="1" applyBorder="1" applyAlignment="1">
      <alignment horizontal="center" vertical="center"/>
    </xf>
    <xf numFmtId="0" fontId="57" fillId="0" borderId="8" xfId="0" applyFont="1" applyBorder="1" applyAlignment="1">
      <alignment horizontal="center" vertical="center"/>
    </xf>
    <xf numFmtId="0" fontId="52" fillId="0" borderId="7" xfId="0" applyFont="1" applyBorder="1"/>
    <xf numFmtId="0" fontId="60" fillId="0" borderId="8" xfId="0" applyFont="1" applyBorder="1" applyAlignment="1">
      <alignment horizontal="center"/>
    </xf>
    <xf numFmtId="0" fontId="52" fillId="0" borderId="7" xfId="0" applyFont="1" applyFill="1" applyBorder="1"/>
    <xf numFmtId="9" fontId="52" fillId="0" borderId="8" xfId="1" applyFont="1" applyBorder="1" applyAlignment="1">
      <alignment horizontal="center"/>
    </xf>
    <xf numFmtId="0" fontId="52" fillId="0" borderId="10" xfId="0" applyFont="1" applyBorder="1" applyAlignment="1">
      <alignment horizontal="center"/>
    </xf>
    <xf numFmtId="0" fontId="52" fillId="0" borderId="11" xfId="0" applyFont="1" applyBorder="1" applyAlignment="1">
      <alignment horizontal="center"/>
    </xf>
    <xf numFmtId="3" fontId="52" fillId="0" borderId="10" xfId="0" applyNumberFormat="1" applyFont="1" applyBorder="1" applyAlignment="1">
      <alignment horizontal="center"/>
    </xf>
    <xf numFmtId="0" fontId="52" fillId="0" borderId="18" xfId="0" applyFont="1" applyBorder="1" applyAlignment="1">
      <alignment horizontal="center"/>
    </xf>
    <xf numFmtId="3" fontId="52" fillId="0" borderId="19" xfId="0" applyNumberFormat="1" applyFont="1" applyBorder="1" applyAlignment="1">
      <alignment horizontal="center"/>
    </xf>
    <xf numFmtId="0" fontId="52" fillId="0" borderId="20" xfId="0" applyFont="1" applyBorder="1" applyAlignment="1">
      <alignment horizontal="center"/>
    </xf>
    <xf numFmtId="0" fontId="58" fillId="0" borderId="19" xfId="0" applyFont="1" applyBorder="1" applyAlignment="1">
      <alignment horizontal="center" vertical="center" wrapText="1"/>
    </xf>
    <xf numFmtId="3" fontId="52" fillId="0" borderId="30" xfId="0" applyNumberFormat="1" applyFont="1" applyBorder="1" applyAlignment="1">
      <alignment horizontal="center"/>
    </xf>
    <xf numFmtId="3" fontId="52" fillId="0" borderId="31" xfId="0" applyNumberFormat="1" applyFont="1" applyBorder="1" applyAlignment="1">
      <alignment horizontal="center"/>
    </xf>
    <xf numFmtId="0" fontId="52" fillId="0" borderId="0" xfId="0" applyFont="1" applyAlignment="1">
      <alignment horizontal="center" vertical="center" wrapText="1"/>
    </xf>
    <xf numFmtId="0" fontId="50" fillId="0" borderId="0" xfId="0" applyFont="1"/>
    <xf numFmtId="0" fontId="52" fillId="0" borderId="0" xfId="0" applyFont="1" applyBorder="1"/>
    <xf numFmtId="0" fontId="52" fillId="0" borderId="0" xfId="0" applyFont="1" applyFill="1" applyBorder="1"/>
    <xf numFmtId="3" fontId="52" fillId="0" borderId="0" xfId="0" applyNumberFormat="1" applyFont="1" applyBorder="1"/>
    <xf numFmtId="0" fontId="50" fillId="0" borderId="7" xfId="0" applyFont="1" applyBorder="1"/>
    <xf numFmtId="167" fontId="56" fillId="0" borderId="18" xfId="0" applyNumberFormat="1" applyFont="1" applyBorder="1" applyAlignment="1">
      <alignment horizontal="center"/>
    </xf>
    <xf numFmtId="167" fontId="52" fillId="0" borderId="1" xfId="0" applyNumberFormat="1" applyFont="1" applyBorder="1" applyAlignment="1">
      <alignment horizontal="center" vertical="center" wrapText="1"/>
    </xf>
    <xf numFmtId="0" fontId="52" fillId="0" borderId="8" xfId="0" applyFont="1" applyBorder="1"/>
    <xf numFmtId="3" fontId="52" fillId="0" borderId="8" xfId="0" applyNumberFormat="1" applyFont="1" applyBorder="1" applyAlignment="1">
      <alignment horizontal="center"/>
    </xf>
    <xf numFmtId="3" fontId="52" fillId="0" borderId="13" xfId="0" applyNumberFormat="1" applyFont="1" applyBorder="1" applyAlignment="1">
      <alignment horizontal="center"/>
    </xf>
    <xf numFmtId="0" fontId="52" fillId="0" borderId="0" xfId="0" applyFont="1" applyAlignment="1">
      <alignment horizontal="center" vertical="center" wrapText="1"/>
    </xf>
    <xf numFmtId="0" fontId="56" fillId="0" borderId="7" xfId="0" applyFont="1" applyBorder="1" applyAlignment="1">
      <alignment horizontal="center" vertical="center" wrapText="1"/>
    </xf>
    <xf numFmtId="0" fontId="56" fillId="0" borderId="41" xfId="0" applyFont="1" applyBorder="1" applyAlignment="1">
      <alignment horizontal="center" vertical="center"/>
    </xf>
    <xf numFmtId="9" fontId="56" fillId="0" borderId="0" xfId="1" applyFont="1" applyBorder="1" applyAlignment="1">
      <alignment horizontal="center"/>
    </xf>
    <xf numFmtId="0" fontId="60" fillId="0" borderId="0" xfId="0" applyFont="1" applyAlignment="1">
      <alignment horizontal="center"/>
    </xf>
    <xf numFmtId="165" fontId="0" fillId="0" borderId="0" xfId="0" applyNumberFormat="1"/>
    <xf numFmtId="0" fontId="52" fillId="0" borderId="0" xfId="0" applyFont="1" applyAlignment="1">
      <alignment horizontal="center" vertical="center" wrapText="1"/>
    </xf>
    <xf numFmtId="1" fontId="52" fillId="0" borderId="0" xfId="0" applyNumberFormat="1" applyFont="1" applyBorder="1" applyAlignment="1">
      <alignment horizontal="center" vertical="center" wrapText="1"/>
    </xf>
    <xf numFmtId="170" fontId="52" fillId="0" borderId="0" xfId="139" applyNumberFormat="1" applyFont="1"/>
    <xf numFmtId="167" fontId="52" fillId="0" borderId="0" xfId="0" applyNumberFormat="1" applyFont="1" applyBorder="1" applyAlignment="1">
      <alignment horizontal="center" vertical="center" wrapText="1"/>
    </xf>
    <xf numFmtId="167" fontId="56" fillId="0" borderId="1" xfId="0" applyNumberFormat="1" applyFont="1" applyBorder="1" applyAlignment="1">
      <alignment horizontal="center" vertical="center" wrapText="1"/>
    </xf>
    <xf numFmtId="167" fontId="50" fillId="0" borderId="0" xfId="0" applyNumberFormat="1" applyFont="1" applyBorder="1" applyAlignment="1">
      <alignment horizontal="center" vertical="center" wrapText="1"/>
    </xf>
    <xf numFmtId="3" fontId="52" fillId="0" borderId="49" xfId="0" applyNumberFormat="1" applyFont="1" applyBorder="1" applyAlignment="1">
      <alignment horizontal="center"/>
    </xf>
    <xf numFmtId="0" fontId="57" fillId="0" borderId="0" xfId="0" applyFont="1" applyBorder="1" applyAlignment="1">
      <alignment horizontal="center" vertical="center"/>
    </xf>
    <xf numFmtId="0" fontId="52" fillId="0" borderId="7" xfId="0" applyFont="1" applyBorder="1" applyAlignment="1">
      <alignment horizontal="center"/>
    </xf>
    <xf numFmtId="3" fontId="56" fillId="0" borderId="30" xfId="0" applyNumberFormat="1" applyFont="1" applyBorder="1" applyAlignment="1">
      <alignment horizontal="center" vertical="center" wrapText="1"/>
    </xf>
    <xf numFmtId="3" fontId="56" fillId="0" borderId="0" xfId="0" applyNumberFormat="1" applyFont="1" applyBorder="1" applyAlignment="1">
      <alignment horizontal="center" vertical="center" wrapText="1"/>
    </xf>
    <xf numFmtId="3" fontId="56" fillId="0" borderId="8" xfId="0" applyNumberFormat="1" applyFont="1" applyBorder="1" applyAlignment="1">
      <alignment horizontal="center" vertical="center" wrapText="1"/>
    </xf>
    <xf numFmtId="3" fontId="50" fillId="0" borderId="0" xfId="0" applyNumberFormat="1" applyFont="1" applyBorder="1" applyAlignment="1">
      <alignment horizontal="center" vertical="center" wrapText="1"/>
    </xf>
    <xf numFmtId="0" fontId="50" fillId="0" borderId="7" xfId="0" applyFont="1" applyFill="1" applyBorder="1"/>
    <xf numFmtId="0" fontId="50" fillId="0" borderId="9" xfId="0" applyFont="1" applyBorder="1"/>
    <xf numFmtId="3" fontId="52" fillId="0" borderId="50" xfId="0" applyNumberFormat="1" applyFont="1" applyBorder="1" applyAlignment="1">
      <alignment horizontal="center"/>
    </xf>
    <xf numFmtId="3" fontId="52" fillId="0" borderId="53" xfId="0" applyNumberFormat="1" applyFont="1" applyBorder="1" applyAlignment="1">
      <alignment horizontal="center"/>
    </xf>
    <xf numFmtId="3" fontId="50" fillId="0" borderId="8" xfId="0" applyNumberFormat="1" applyFont="1" applyBorder="1" applyAlignment="1">
      <alignment horizontal="center" vertical="center" wrapText="1"/>
    </xf>
    <xf numFmtId="3" fontId="56" fillId="0" borderId="18" xfId="0" applyNumberFormat="1" applyFont="1" applyBorder="1" applyAlignment="1">
      <alignment horizontal="center" vertical="center" wrapText="1"/>
    </xf>
    <xf numFmtId="0" fontId="50" fillId="0" borderId="1" xfId="0" applyFont="1" applyBorder="1" applyAlignment="1">
      <alignment horizontal="center" vertical="center" wrapText="1"/>
    </xf>
    <xf numFmtId="0" fontId="50" fillId="0" borderId="0" xfId="0" applyFont="1" applyBorder="1" applyAlignment="1">
      <alignment horizontal="center" vertical="center" wrapText="1"/>
    </xf>
    <xf numFmtId="0" fontId="57" fillId="0" borderId="0" xfId="0" applyFont="1" applyBorder="1" applyAlignment="1">
      <alignment horizontal="center" vertical="center"/>
    </xf>
    <xf numFmtId="3" fontId="50" fillId="0" borderId="0" xfId="0" applyNumberFormat="1" applyFont="1" applyBorder="1" applyAlignment="1">
      <alignment horizontal="center"/>
    </xf>
    <xf numFmtId="0" fontId="52" fillId="0" borderId="10" xfId="0" applyFont="1" applyBorder="1"/>
    <xf numFmtId="0" fontId="52" fillId="0" borderId="13" xfId="0" applyFont="1" applyBorder="1"/>
    <xf numFmtId="9" fontId="52" fillId="0" borderId="0" xfId="1" applyFont="1" applyBorder="1" applyAlignment="1">
      <alignment horizontal="center" vertical="center" wrapText="1"/>
    </xf>
    <xf numFmtId="164" fontId="52" fillId="0" borderId="0" xfId="0" applyNumberFormat="1" applyFont="1"/>
    <xf numFmtId="167" fontId="56" fillId="0" borderId="30" xfId="0" applyNumberFormat="1" applyFont="1" applyBorder="1" applyAlignment="1">
      <alignment horizontal="center" vertical="center" wrapText="1"/>
    </xf>
    <xf numFmtId="0" fontId="52" fillId="0" borderId="41" xfId="0" applyFont="1" applyBorder="1"/>
    <xf numFmtId="167" fontId="56" fillId="0" borderId="29" xfId="0" applyNumberFormat="1" applyFont="1" applyBorder="1" applyAlignment="1">
      <alignment horizontal="center" vertical="center" wrapText="1"/>
    </xf>
    <xf numFmtId="167" fontId="52" fillId="0" borderId="32" xfId="0" applyNumberFormat="1" applyFont="1" applyBorder="1" applyAlignment="1">
      <alignment horizontal="center" vertical="center" wrapText="1"/>
    </xf>
    <xf numFmtId="167" fontId="52" fillId="0" borderId="39" xfId="0" applyNumberFormat="1" applyFont="1" applyBorder="1" applyAlignment="1">
      <alignment horizontal="center" vertical="center" wrapText="1"/>
    </xf>
    <xf numFmtId="167" fontId="52" fillId="0" borderId="19" xfId="0" applyNumberFormat="1" applyFont="1" applyBorder="1" applyAlignment="1">
      <alignment horizontal="center" vertical="center" wrapText="1"/>
    </xf>
    <xf numFmtId="167" fontId="56" fillId="0" borderId="38" xfId="0" applyNumberFormat="1" applyFont="1" applyBorder="1" applyAlignment="1">
      <alignment horizontal="center" vertical="center" wrapText="1"/>
    </xf>
    <xf numFmtId="167" fontId="56" fillId="0" borderId="18" xfId="0" applyNumberFormat="1" applyFont="1" applyBorder="1" applyAlignment="1">
      <alignment horizontal="center" vertical="center" wrapText="1"/>
    </xf>
    <xf numFmtId="167" fontId="56" fillId="0" borderId="20" xfId="0" applyNumberFormat="1" applyFont="1" applyBorder="1" applyAlignment="1">
      <alignment horizontal="center"/>
    </xf>
    <xf numFmtId="167" fontId="52" fillId="0" borderId="10" xfId="0" applyNumberFormat="1" applyFont="1" applyBorder="1" applyAlignment="1">
      <alignment horizontal="center" vertical="center" wrapText="1"/>
    </xf>
    <xf numFmtId="167" fontId="56" fillId="0" borderId="31" xfId="0" applyNumberFormat="1" applyFont="1" applyBorder="1" applyAlignment="1">
      <alignment horizontal="center" vertical="center" wrapText="1"/>
    </xf>
    <xf numFmtId="167" fontId="52" fillId="0" borderId="1" xfId="0" applyNumberFormat="1" applyFont="1" applyFill="1" applyBorder="1" applyAlignment="1">
      <alignment horizontal="center" vertical="center" wrapText="1"/>
    </xf>
    <xf numFmtId="167" fontId="52" fillId="0" borderId="0" xfId="0" applyNumberFormat="1" applyFont="1"/>
    <xf numFmtId="167" fontId="52" fillId="0" borderId="0" xfId="0" applyNumberFormat="1" applyFont="1" applyBorder="1" applyAlignment="1">
      <alignment vertical="center" wrapText="1"/>
    </xf>
    <xf numFmtId="167" fontId="50" fillId="0" borderId="0" xfId="0" applyNumberFormat="1" applyFont="1" applyBorder="1" applyAlignment="1">
      <alignment vertical="center" wrapText="1"/>
    </xf>
    <xf numFmtId="167" fontId="52" fillId="0" borderId="3" xfId="0" applyNumberFormat="1" applyFont="1" applyFill="1" applyBorder="1" applyAlignment="1">
      <alignment horizontal="center" vertical="center" wrapText="1"/>
    </xf>
    <xf numFmtId="170" fontId="50" fillId="0" borderId="32" xfId="139" applyNumberFormat="1" applyFont="1" applyBorder="1" applyAlignment="1">
      <alignment vertical="center" wrapText="1"/>
    </xf>
    <xf numFmtId="170" fontId="50" fillId="0" borderId="0" xfId="139" applyNumberFormat="1" applyFont="1" applyBorder="1" applyAlignment="1">
      <alignment vertical="center" wrapText="1"/>
    </xf>
    <xf numFmtId="0" fontId="56" fillId="0" borderId="1" xfId="0" applyFont="1" applyBorder="1" applyAlignment="1">
      <alignment vertical="center" wrapText="1"/>
    </xf>
    <xf numFmtId="167" fontId="56" fillId="0" borderId="11" xfId="0" applyNumberFormat="1" applyFont="1" applyBorder="1" applyAlignment="1">
      <alignment horizontal="center" vertical="center" wrapText="1"/>
    </xf>
    <xf numFmtId="0" fontId="52" fillId="0" borderId="30" xfId="0" applyFont="1" applyBorder="1"/>
    <xf numFmtId="167" fontId="52" fillId="0" borderId="0" xfId="0" applyNumberFormat="1" applyFont="1" applyBorder="1" applyAlignment="1">
      <alignment horizontal="center"/>
    </xf>
    <xf numFmtId="0" fontId="50" fillId="0" borderId="0" xfId="0" applyFont="1" applyFill="1"/>
    <xf numFmtId="0" fontId="50" fillId="0" borderId="0" xfId="0" applyFont="1" applyBorder="1" applyAlignment="1">
      <alignment horizontal="center" vertical="center"/>
    </xf>
    <xf numFmtId="0" fontId="52" fillId="0" borderId="31" xfId="0" applyFont="1" applyBorder="1"/>
    <xf numFmtId="0" fontId="65" fillId="0" borderId="7" xfId="0" applyFont="1" applyBorder="1"/>
    <xf numFmtId="0" fontId="50" fillId="0" borderId="40" xfId="0" applyFont="1" applyBorder="1" applyAlignment="1">
      <alignment horizontal="center" vertical="center"/>
    </xf>
    <xf numFmtId="9" fontId="56" fillId="0" borderId="38" xfId="1" applyFont="1" applyBorder="1" applyAlignment="1">
      <alignment horizontal="center" vertical="center" wrapText="1"/>
    </xf>
    <xf numFmtId="9" fontId="52" fillId="0" borderId="1" xfId="1" applyFont="1" applyBorder="1" applyAlignment="1">
      <alignment horizontal="center" vertical="center" wrapText="1"/>
    </xf>
    <xf numFmtId="9" fontId="52" fillId="0" borderId="1" xfId="1" applyFont="1" applyFill="1" applyBorder="1" applyAlignment="1">
      <alignment horizontal="center" vertical="center" wrapText="1"/>
    </xf>
    <xf numFmtId="9" fontId="56" fillId="0" borderId="1" xfId="1" applyFont="1" applyBorder="1" applyAlignment="1">
      <alignment horizontal="center" vertical="center" wrapText="1"/>
    </xf>
    <xf numFmtId="9" fontId="50" fillId="0" borderId="0" xfId="1" applyFont="1" applyBorder="1" applyAlignment="1">
      <alignment horizontal="center" vertical="center" wrapText="1"/>
    </xf>
    <xf numFmtId="1" fontId="50" fillId="0" borderId="0" xfId="0" applyNumberFormat="1" applyFont="1" applyBorder="1" applyAlignment="1">
      <alignment horizontal="center" vertical="center" wrapText="1"/>
    </xf>
    <xf numFmtId="167" fontId="52" fillId="0" borderId="0" xfId="0" applyNumberFormat="1" applyFont="1" applyFill="1" applyBorder="1" applyAlignment="1">
      <alignment horizontal="center" vertical="center" wrapText="1"/>
    </xf>
    <xf numFmtId="9" fontId="52" fillId="0" borderId="8" xfId="1" applyFont="1" applyBorder="1" applyAlignment="1">
      <alignment horizontal="center" vertical="center" wrapText="1"/>
    </xf>
    <xf numFmtId="0" fontId="48" fillId="0" borderId="0" xfId="0" applyFont="1" applyBorder="1" applyAlignment="1">
      <alignment horizontal="center" vertical="center" wrapText="1"/>
    </xf>
    <xf numFmtId="0" fontId="63" fillId="0" borderId="0" xfId="0" applyFont="1"/>
    <xf numFmtId="0" fontId="47" fillId="0" borderId="0" xfId="0" applyFont="1"/>
    <xf numFmtId="1" fontId="52" fillId="0" borderId="0" xfId="1" applyNumberFormat="1" applyFont="1" applyBorder="1" applyAlignment="1">
      <alignment horizontal="center" vertical="center" wrapText="1"/>
    </xf>
    <xf numFmtId="0" fontId="52" fillId="0" borderId="0" xfId="0" applyFont="1" applyBorder="1" applyAlignment="1">
      <alignment horizontal="center" vertical="center" wrapText="1"/>
    </xf>
    <xf numFmtId="0" fontId="56" fillId="0" borderId="0" xfId="0" applyFont="1" applyBorder="1" applyAlignment="1">
      <alignment horizontal="center" vertical="center" wrapText="1"/>
    </xf>
    <xf numFmtId="0" fontId="57" fillId="0" borderId="0" xfId="0" applyFont="1" applyBorder="1" applyAlignment="1">
      <alignment horizontal="center" vertical="center"/>
    </xf>
    <xf numFmtId="3" fontId="65" fillId="0" borderId="0" xfId="0" applyNumberFormat="1" applyFont="1" applyBorder="1" applyAlignment="1">
      <alignment horizontal="center"/>
    </xf>
    <xf numFmtId="9" fontId="52" fillId="0" borderId="8" xfId="1" applyFont="1" applyFill="1" applyBorder="1" applyAlignment="1">
      <alignment horizontal="center"/>
    </xf>
    <xf numFmtId="1" fontId="52" fillId="0" borderId="0" xfId="0" applyNumberFormat="1" applyFont="1" applyFill="1" applyBorder="1" applyAlignment="1">
      <alignment horizontal="center" vertical="center" wrapText="1"/>
    </xf>
    <xf numFmtId="3" fontId="52" fillId="0" borderId="0" xfId="0" applyNumberFormat="1" applyFont="1" applyFill="1" applyBorder="1" applyAlignment="1">
      <alignment horizontal="center"/>
    </xf>
    <xf numFmtId="3" fontId="52" fillId="0" borderId="19" xfId="0" applyNumberFormat="1" applyFont="1" applyFill="1" applyBorder="1" applyAlignment="1">
      <alignment horizontal="center"/>
    </xf>
    <xf numFmtId="9" fontId="56" fillId="0" borderId="0" xfId="1" applyFont="1" applyFill="1" applyBorder="1" applyAlignment="1">
      <alignment horizontal="center"/>
    </xf>
    <xf numFmtId="0" fontId="52" fillId="0" borderId="0" xfId="0" applyFont="1" applyFill="1"/>
    <xf numFmtId="9" fontId="52" fillId="0" borderId="0" xfId="1" applyFont="1" applyFill="1" applyBorder="1" applyAlignment="1">
      <alignment horizontal="center"/>
    </xf>
    <xf numFmtId="167" fontId="56" fillId="0" borderId="0" xfId="0" applyNumberFormat="1" applyFont="1" applyBorder="1" applyAlignment="1">
      <alignment horizontal="center" vertical="center" wrapText="1"/>
    </xf>
    <xf numFmtId="9" fontId="65" fillId="0" borderId="0" xfId="1" applyFont="1" applyBorder="1" applyAlignment="1">
      <alignment horizontal="center"/>
    </xf>
    <xf numFmtId="167" fontId="63" fillId="0" borderId="0" xfId="0" applyNumberFormat="1" applyFont="1" applyBorder="1" applyAlignment="1">
      <alignment horizontal="center" vertical="center" wrapText="1"/>
    </xf>
    <xf numFmtId="167" fontId="65" fillId="0" borderId="0" xfId="0" applyNumberFormat="1" applyFont="1" applyBorder="1" applyAlignment="1">
      <alignment horizontal="center"/>
    </xf>
    <xf numFmtId="9" fontId="69" fillId="0" borderId="0" xfId="1" applyFont="1" applyBorder="1" applyAlignment="1">
      <alignment horizontal="center"/>
    </xf>
    <xf numFmtId="9" fontId="65" fillId="0" borderId="8" xfId="1" applyFont="1" applyBorder="1" applyAlignment="1">
      <alignment horizontal="center"/>
    </xf>
    <xf numFmtId="0" fontId="53" fillId="0" borderId="0" xfId="341"/>
    <xf numFmtId="3" fontId="53" fillId="0" borderId="0" xfId="341" applyNumberFormat="1"/>
    <xf numFmtId="172" fontId="53" fillId="0" borderId="0" xfId="341" applyNumberFormat="1"/>
    <xf numFmtId="10" fontId="53" fillId="0" borderId="0" xfId="341" applyNumberFormat="1"/>
    <xf numFmtId="0" fontId="72" fillId="0" borderId="9" xfId="341" applyFont="1" applyBorder="1" applyAlignment="1">
      <alignment horizontal="center" vertical="center"/>
    </xf>
    <xf numFmtId="0" fontId="53" fillId="0" borderId="8" xfId="341" applyBorder="1"/>
    <xf numFmtId="3" fontId="73" fillId="0" borderId="2" xfId="341" applyNumberFormat="1" applyFont="1" applyBorder="1" applyAlignment="1">
      <alignment horizontal="center" vertical="center"/>
    </xf>
    <xf numFmtId="3" fontId="72" fillId="0" borderId="0" xfId="341" applyNumberFormat="1" applyFont="1" applyBorder="1" applyAlignment="1">
      <alignment horizontal="center" vertical="center"/>
    </xf>
    <xf numFmtId="3" fontId="72" fillId="0" borderId="1" xfId="341" applyNumberFormat="1" applyFont="1" applyBorder="1" applyAlignment="1">
      <alignment horizontal="center" vertical="center"/>
    </xf>
    <xf numFmtId="0" fontId="72" fillId="0" borderId="7" xfId="341" applyFont="1" applyBorder="1" applyAlignment="1">
      <alignment horizontal="center" vertical="center"/>
    </xf>
    <xf numFmtId="10" fontId="53" fillId="0" borderId="0" xfId="341" applyNumberFormat="1" applyFill="1"/>
    <xf numFmtId="3" fontId="53" fillId="0" borderId="0" xfId="341" applyNumberFormat="1" applyFill="1"/>
    <xf numFmtId="0" fontId="53" fillId="0" borderId="0" xfId="341" applyFill="1"/>
    <xf numFmtId="0" fontId="72" fillId="0" borderId="63" xfId="341" applyFont="1" applyBorder="1" applyAlignment="1">
      <alignment horizontal="center" vertical="center"/>
    </xf>
    <xf numFmtId="0" fontId="72" fillId="0" borderId="67" xfId="341" applyFont="1" applyBorder="1" applyAlignment="1">
      <alignment horizontal="center" vertical="center"/>
    </xf>
    <xf numFmtId="3" fontId="72" fillId="0" borderId="0" xfId="341" applyNumberFormat="1" applyFont="1" applyFill="1" applyBorder="1" applyAlignment="1">
      <alignment horizontal="center" vertical="center"/>
    </xf>
    <xf numFmtId="3" fontId="72" fillId="0" borderId="1" xfId="341" applyNumberFormat="1" applyFont="1" applyFill="1" applyBorder="1" applyAlignment="1">
      <alignment horizontal="center" vertical="center"/>
    </xf>
    <xf numFmtId="0" fontId="72" fillId="0" borderId="7" xfId="341" applyFont="1" applyFill="1" applyBorder="1" applyAlignment="1">
      <alignment horizontal="center" vertical="center"/>
    </xf>
    <xf numFmtId="0" fontId="53" fillId="0" borderId="8" xfId="341" applyFill="1" applyBorder="1"/>
    <xf numFmtId="0" fontId="78" fillId="0" borderId="8" xfId="341" applyFont="1" applyBorder="1" applyAlignment="1">
      <alignment horizontal="center" vertical="center" wrapText="1"/>
    </xf>
    <xf numFmtId="0" fontId="53" fillId="0" borderId="0" xfId="341" applyBorder="1"/>
    <xf numFmtId="0" fontId="77" fillId="0" borderId="0" xfId="342"/>
    <xf numFmtId="0" fontId="69" fillId="0" borderId="0" xfId="342" applyFont="1" applyBorder="1" applyAlignment="1">
      <alignment horizontal="center" vertical="center" wrapText="1"/>
    </xf>
    <xf numFmtId="0" fontId="75" fillId="0" borderId="74" xfId="341" applyFont="1" applyBorder="1"/>
    <xf numFmtId="0" fontId="53" fillId="0" borderId="74" xfId="341" applyBorder="1"/>
    <xf numFmtId="0" fontId="53" fillId="0" borderId="75" xfId="341" applyBorder="1"/>
    <xf numFmtId="4" fontId="53" fillId="0" borderId="0" xfId="341" applyNumberFormat="1"/>
    <xf numFmtId="3" fontId="72" fillId="0" borderId="8" xfId="341" applyNumberFormat="1" applyFont="1" applyBorder="1" applyAlignment="1">
      <alignment horizontal="center" vertical="center"/>
    </xf>
    <xf numFmtId="3" fontId="74" fillId="0" borderId="18" xfId="341" applyNumberFormat="1" applyFont="1" applyBorder="1" applyAlignment="1">
      <alignment horizontal="center" vertical="center"/>
    </xf>
    <xf numFmtId="0" fontId="77" fillId="0" borderId="0" xfId="348"/>
    <xf numFmtId="0" fontId="69" fillId="0" borderId="0" xfId="348" applyFont="1" applyBorder="1" applyAlignment="1">
      <alignment horizontal="center" vertical="center" wrapText="1"/>
    </xf>
    <xf numFmtId="3" fontId="74" fillId="0" borderId="77" xfId="341" applyNumberFormat="1" applyFont="1" applyBorder="1" applyAlignment="1">
      <alignment horizontal="center" vertical="center"/>
    </xf>
    <xf numFmtId="3" fontId="74" fillId="0" borderId="18" xfId="341" applyNumberFormat="1" applyFont="1" applyFill="1" applyBorder="1" applyAlignment="1">
      <alignment horizontal="center" vertical="center"/>
    </xf>
    <xf numFmtId="3" fontId="72" fillId="0" borderId="8" xfId="341" applyNumberFormat="1" applyFont="1" applyFill="1" applyBorder="1" applyAlignment="1">
      <alignment horizontal="center" vertical="center"/>
    </xf>
    <xf numFmtId="3" fontId="71" fillId="2" borderId="61" xfId="341" applyNumberFormat="1" applyFont="1" applyFill="1" applyBorder="1" applyAlignment="1">
      <alignment horizontal="center" vertical="center"/>
    </xf>
    <xf numFmtId="0" fontId="53" fillId="0" borderId="0" xfId="3" applyFont="1"/>
    <xf numFmtId="0" fontId="56" fillId="0" borderId="0" xfId="0" applyFont="1" applyBorder="1" applyAlignment="1">
      <alignment horizontal="center" vertical="center" wrapText="1"/>
    </xf>
    <xf numFmtId="0" fontId="56" fillId="0" borderId="32" xfId="0" applyFont="1" applyBorder="1" applyAlignment="1">
      <alignment horizontal="center" vertical="center"/>
    </xf>
    <xf numFmtId="3" fontId="71" fillId="0" borderId="61" xfId="341" applyNumberFormat="1" applyFont="1" applyBorder="1" applyAlignment="1">
      <alignment horizontal="center" vertical="center"/>
    </xf>
    <xf numFmtId="3" fontId="71" fillId="0" borderId="68" xfId="341" applyNumberFormat="1" applyFont="1" applyBorder="1" applyAlignment="1">
      <alignment horizontal="center" vertical="center"/>
    </xf>
    <xf numFmtId="3" fontId="71" fillId="0" borderId="68" xfId="341" applyNumberFormat="1" applyFont="1" applyFill="1" applyBorder="1" applyAlignment="1">
      <alignment horizontal="center" vertical="center"/>
    </xf>
    <xf numFmtId="0" fontId="53" fillId="0" borderId="0" xfId="341" applyAlignment="1">
      <alignment horizontal="center"/>
    </xf>
    <xf numFmtId="0" fontId="86" fillId="0" borderId="89" xfId="3" applyFont="1" applyBorder="1" applyAlignment="1">
      <alignment horizontal="center" vertical="center"/>
    </xf>
    <xf numFmtId="0" fontId="87" fillId="0" borderId="0" xfId="3" applyFont="1" applyBorder="1" applyAlignment="1">
      <alignment vertical="center"/>
    </xf>
    <xf numFmtId="0" fontId="87" fillId="0" borderId="90" xfId="3" applyFont="1" applyBorder="1" applyAlignment="1">
      <alignment vertical="center"/>
    </xf>
    <xf numFmtId="9" fontId="52" fillId="0" borderId="0" xfId="1" applyNumberFormat="1" applyFont="1" applyBorder="1" applyAlignment="1">
      <alignment horizontal="center"/>
    </xf>
    <xf numFmtId="9" fontId="65" fillId="0" borderId="0" xfId="1" applyFont="1" applyFill="1" applyBorder="1" applyAlignment="1">
      <alignment horizontal="center"/>
    </xf>
    <xf numFmtId="3" fontId="56" fillId="0" borderId="18" xfId="0" applyNumberFormat="1" applyFont="1" applyFill="1" applyBorder="1" applyAlignment="1">
      <alignment horizontal="center" vertical="center" wrapText="1"/>
    </xf>
    <xf numFmtId="3" fontId="56" fillId="0" borderId="1" xfId="0" applyNumberFormat="1" applyFont="1" applyBorder="1" applyAlignment="1">
      <alignment horizontal="center"/>
    </xf>
    <xf numFmtId="3" fontId="56" fillId="0" borderId="1" xfId="0" applyNumberFormat="1" applyFont="1" applyFill="1" applyBorder="1" applyAlignment="1">
      <alignment horizontal="center"/>
    </xf>
    <xf numFmtId="0" fontId="52" fillId="0" borderId="55" xfId="0" applyFont="1" applyBorder="1" applyAlignment="1">
      <alignment horizontal="center"/>
    </xf>
    <xf numFmtId="0" fontId="52" fillId="0" borderId="54" xfId="0" applyFont="1" applyBorder="1" applyAlignment="1">
      <alignment horizontal="center"/>
    </xf>
    <xf numFmtId="0" fontId="60" fillId="0" borderId="109" xfId="0" applyFont="1" applyBorder="1" applyAlignment="1">
      <alignment horizontal="center"/>
    </xf>
    <xf numFmtId="0" fontId="53" fillId="0" borderId="89" xfId="3" applyFont="1" applyBorder="1" applyAlignment="1">
      <alignment wrapText="1"/>
    </xf>
    <xf numFmtId="9" fontId="47" fillId="0" borderId="90" xfId="263" applyFont="1" applyBorder="1" applyAlignment="1">
      <alignment horizontal="center"/>
    </xf>
    <xf numFmtId="9" fontId="47" fillId="0" borderId="106" xfId="263" applyFont="1" applyBorder="1" applyAlignment="1">
      <alignment horizontal="center"/>
    </xf>
    <xf numFmtId="0" fontId="65" fillId="0" borderId="107" xfId="3" applyFont="1" applyBorder="1" applyAlignment="1">
      <alignment horizontal="center" vertical="center" wrapText="1"/>
    </xf>
    <xf numFmtId="0" fontId="65" fillId="0" borderId="95" xfId="3" applyFont="1" applyBorder="1" applyAlignment="1">
      <alignment horizontal="center" vertical="center" wrapText="1"/>
    </xf>
    <xf numFmtId="0" fontId="65" fillId="0" borderId="91" xfId="3" applyFont="1" applyBorder="1" applyAlignment="1">
      <alignment horizontal="center" vertical="center" wrapText="1"/>
    </xf>
    <xf numFmtId="0" fontId="65" fillId="0" borderId="108" xfId="3" applyFont="1" applyBorder="1" applyAlignment="1">
      <alignment horizontal="center" vertical="center" wrapText="1"/>
    </xf>
    <xf numFmtId="3" fontId="69" fillId="0" borderId="112" xfId="3" applyNumberFormat="1" applyFont="1" applyBorder="1" applyAlignment="1">
      <alignment horizontal="center"/>
    </xf>
    <xf numFmtId="3" fontId="69" fillId="0" borderId="59" xfId="3" applyNumberFormat="1" applyFont="1" applyBorder="1" applyAlignment="1">
      <alignment horizontal="center"/>
    </xf>
    <xf numFmtId="3" fontId="69" fillId="0" borderId="0" xfId="3" applyNumberFormat="1" applyFont="1" applyBorder="1" applyAlignment="1">
      <alignment horizontal="center"/>
    </xf>
    <xf numFmtId="0" fontId="65" fillId="0" borderId="59" xfId="3" applyFont="1" applyBorder="1" applyAlignment="1">
      <alignment horizontal="center"/>
    </xf>
    <xf numFmtId="3" fontId="69" fillId="0" borderId="114" xfId="3" applyNumberFormat="1" applyFont="1" applyBorder="1" applyAlignment="1">
      <alignment horizontal="center"/>
    </xf>
    <xf numFmtId="3" fontId="69" fillId="0" borderId="96" xfId="3" applyNumberFormat="1" applyFont="1" applyBorder="1" applyAlignment="1">
      <alignment horizontal="center"/>
    </xf>
    <xf numFmtId="0" fontId="65" fillId="0" borderId="112" xfId="3" applyFont="1" applyBorder="1" applyAlignment="1">
      <alignment horizontal="center"/>
    </xf>
    <xf numFmtId="0" fontId="65" fillId="0" borderId="0" xfId="3" applyFont="1" applyBorder="1" applyAlignment="1">
      <alignment horizontal="center"/>
    </xf>
    <xf numFmtId="0" fontId="65" fillId="0" borderId="114" xfId="3" applyFont="1" applyBorder="1" applyAlignment="1">
      <alignment horizontal="center"/>
    </xf>
    <xf numFmtId="0" fontId="65" fillId="0" borderId="96" xfId="3" applyFont="1" applyBorder="1" applyAlignment="1">
      <alignment horizontal="center"/>
    </xf>
    <xf numFmtId="3" fontId="65" fillId="0" borderId="112" xfId="3" applyNumberFormat="1" applyFont="1" applyBorder="1" applyAlignment="1">
      <alignment horizontal="center"/>
    </xf>
    <xf numFmtId="3" fontId="65" fillId="0" borderId="59" xfId="3" applyNumberFormat="1" applyFont="1" applyBorder="1" applyAlignment="1">
      <alignment horizontal="center"/>
    </xf>
    <xf numFmtId="3" fontId="65" fillId="0" borderId="0" xfId="3" applyNumberFormat="1" applyFont="1" applyBorder="1" applyAlignment="1">
      <alignment horizontal="center"/>
    </xf>
    <xf numFmtId="3" fontId="65" fillId="0" borderId="114" xfId="3" applyNumberFormat="1" applyFont="1" applyBorder="1" applyAlignment="1">
      <alignment horizontal="center"/>
    </xf>
    <xf numFmtId="3" fontId="65" fillId="0" borderId="96" xfId="3" applyNumberFormat="1" applyFont="1" applyBorder="1" applyAlignment="1">
      <alignment horizontal="center"/>
    </xf>
    <xf numFmtId="3" fontId="65" fillId="0" borderId="113" xfId="3" applyNumberFormat="1" applyFont="1" applyBorder="1" applyAlignment="1">
      <alignment horizontal="center"/>
    </xf>
    <xf numFmtId="3" fontId="65" fillId="0" borderId="101" xfId="3" applyNumberFormat="1" applyFont="1" applyBorder="1" applyAlignment="1">
      <alignment horizontal="center"/>
    </xf>
    <xf numFmtId="3" fontId="65" fillId="0" borderId="103" xfId="3" applyNumberFormat="1" applyFont="1" applyBorder="1" applyAlignment="1">
      <alignment horizontal="center"/>
    </xf>
    <xf numFmtId="3" fontId="65" fillId="0" borderId="115" xfId="3" applyNumberFormat="1" applyFont="1" applyBorder="1" applyAlignment="1">
      <alignment horizontal="center"/>
    </xf>
    <xf numFmtId="3" fontId="65" fillId="0" borderId="97" xfId="3" applyNumberFormat="1" applyFont="1" applyBorder="1" applyAlignment="1">
      <alignment horizontal="center"/>
    </xf>
    <xf numFmtId="0" fontId="65" fillId="0" borderId="89" xfId="3" applyFont="1" applyBorder="1" applyAlignment="1">
      <alignment horizontal="left" indent="3"/>
    </xf>
    <xf numFmtId="0" fontId="65" fillId="0" borderId="89" xfId="3" applyFont="1" applyBorder="1" applyAlignment="1">
      <alignment horizontal="left"/>
    </xf>
    <xf numFmtId="0" fontId="65" fillId="0" borderId="89" xfId="3" applyFont="1" applyBorder="1" applyAlignment="1">
      <alignment horizontal="left" indent="1"/>
    </xf>
    <xf numFmtId="0" fontId="65" fillId="0" borderId="89" xfId="3" applyFont="1" applyBorder="1" applyAlignment="1">
      <alignment horizontal="left" indent="2"/>
    </xf>
    <xf numFmtId="0" fontId="65" fillId="0" borderId="94" xfId="3" applyFont="1" applyBorder="1" applyAlignment="1">
      <alignment horizontal="left" indent="1"/>
    </xf>
    <xf numFmtId="0" fontId="88" fillId="0" borderId="92" xfId="3" applyFont="1" applyBorder="1" applyAlignment="1">
      <alignment horizontal="center" vertical="center" wrapText="1"/>
    </xf>
    <xf numFmtId="3" fontId="69" fillId="0" borderId="90" xfId="3" applyNumberFormat="1" applyFont="1" applyBorder="1" applyAlignment="1">
      <alignment horizontal="center"/>
    </xf>
    <xf numFmtId="0" fontId="65" fillId="0" borderId="90" xfId="3" applyFont="1" applyBorder="1" applyAlignment="1">
      <alignment horizontal="center"/>
    </xf>
    <xf numFmtId="3" fontId="65" fillId="0" borderId="90" xfId="3" applyNumberFormat="1" applyFont="1" applyBorder="1" applyAlignment="1">
      <alignment horizontal="center"/>
    </xf>
    <xf numFmtId="3" fontId="65" fillId="0" borderId="106" xfId="3" applyNumberFormat="1" applyFont="1" applyBorder="1" applyAlignment="1">
      <alignment horizontal="center"/>
    </xf>
    <xf numFmtId="0" fontId="53" fillId="0" borderId="117" xfId="3" applyFont="1" applyBorder="1"/>
    <xf numFmtId="0" fontId="53" fillId="0" borderId="116" xfId="3" applyFont="1" applyBorder="1" applyAlignment="1">
      <alignment wrapText="1"/>
    </xf>
    <xf numFmtId="0" fontId="65" fillId="0" borderId="0" xfId="3" applyFont="1"/>
    <xf numFmtId="0" fontId="69" fillId="0" borderId="89" xfId="3" applyFont="1" applyBorder="1" applyAlignment="1">
      <alignment horizontal="center" vertical="center"/>
    </xf>
    <xf numFmtId="0" fontId="69" fillId="0" borderId="0" xfId="3" applyFont="1" applyBorder="1" applyAlignment="1">
      <alignment horizontal="center" vertical="center"/>
    </xf>
    <xf numFmtId="0" fontId="65" fillId="0" borderId="90" xfId="3" applyFont="1" applyBorder="1"/>
    <xf numFmtId="0" fontId="65" fillId="0" borderId="89" xfId="3" applyFont="1" applyBorder="1" applyAlignment="1">
      <alignment wrapText="1"/>
    </xf>
    <xf numFmtId="0" fontId="65" fillId="0" borderId="89" xfId="3" applyFont="1" applyBorder="1"/>
    <xf numFmtId="0" fontId="65" fillId="0" borderId="93" xfId="3" applyFont="1" applyBorder="1" applyAlignment="1">
      <alignment wrapText="1"/>
    </xf>
    <xf numFmtId="3" fontId="65" fillId="0" borderId="0" xfId="3" applyNumberFormat="1" applyFont="1"/>
    <xf numFmtId="3" fontId="69" fillId="0" borderId="102" xfId="3" applyNumberFormat="1" applyFont="1" applyBorder="1" applyAlignment="1">
      <alignment horizontal="center"/>
    </xf>
    <xf numFmtId="0" fontId="60" fillId="0" borderId="0" xfId="0" applyFont="1" applyBorder="1" applyAlignment="1">
      <alignment horizontal="center" vertical="center"/>
    </xf>
    <xf numFmtId="0" fontId="53" fillId="0" borderId="109" xfId="3" applyFont="1" applyBorder="1" applyAlignment="1">
      <alignment horizontal="center" vertical="center" wrapText="1"/>
    </xf>
    <xf numFmtId="9" fontId="47" fillId="0" borderId="0" xfId="263" applyFont="1" applyAlignment="1">
      <alignment horizontal="center"/>
    </xf>
    <xf numFmtId="164" fontId="0" fillId="0" borderId="0" xfId="0" applyNumberFormat="1"/>
    <xf numFmtId="9" fontId="52" fillId="0" borderId="0" xfId="0" applyNumberFormat="1" applyFont="1" applyBorder="1" applyAlignment="1">
      <alignment horizontal="center"/>
    </xf>
    <xf numFmtId="9" fontId="52" fillId="0" borderId="0" xfId="1" applyFont="1"/>
    <xf numFmtId="3" fontId="72" fillId="0" borderId="13" xfId="341" applyNumberFormat="1" applyFont="1" applyFill="1" applyBorder="1" applyAlignment="1">
      <alignment horizontal="center" vertical="center"/>
    </xf>
    <xf numFmtId="3" fontId="73" fillId="0" borderId="12" xfId="341" applyNumberFormat="1" applyFont="1" applyFill="1" applyBorder="1" applyAlignment="1">
      <alignment horizontal="center" vertical="center"/>
    </xf>
    <xf numFmtId="3" fontId="71" fillId="0" borderId="84" xfId="341" applyNumberFormat="1" applyFont="1" applyFill="1" applyBorder="1" applyAlignment="1">
      <alignment horizontal="center" vertical="center"/>
    </xf>
    <xf numFmtId="3" fontId="71" fillId="0" borderId="83" xfId="341" applyNumberFormat="1" applyFont="1" applyFill="1" applyBorder="1" applyAlignment="1">
      <alignment horizontal="center" vertical="center"/>
    </xf>
    <xf numFmtId="3" fontId="72" fillId="0" borderId="11" xfId="341" applyNumberFormat="1" applyFont="1" applyFill="1" applyBorder="1" applyAlignment="1">
      <alignment horizontal="center" vertical="center"/>
    </xf>
    <xf numFmtId="3" fontId="74" fillId="0" borderId="20" xfId="341" applyNumberFormat="1" applyFont="1" applyBorder="1" applyAlignment="1">
      <alignment horizontal="center" vertical="center"/>
    </xf>
    <xf numFmtId="3" fontId="96" fillId="0" borderId="65" xfId="341" applyNumberFormat="1" applyFont="1" applyFill="1" applyBorder="1" applyAlignment="1">
      <alignment horizontal="center" vertical="center"/>
    </xf>
    <xf numFmtId="3" fontId="72" fillId="0" borderId="64" xfId="341" applyNumberFormat="1" applyFont="1" applyFill="1" applyBorder="1" applyAlignment="1">
      <alignment horizontal="center" vertical="center"/>
    </xf>
    <xf numFmtId="3" fontId="71" fillId="0" borderId="64" xfId="341" applyNumberFormat="1" applyFont="1" applyFill="1" applyBorder="1" applyAlignment="1">
      <alignment horizontal="center" vertical="center"/>
    </xf>
    <xf numFmtId="3" fontId="73" fillId="0" borderId="66" xfId="341" applyNumberFormat="1" applyFont="1" applyFill="1" applyBorder="1" applyAlignment="1">
      <alignment horizontal="center" vertical="center"/>
    </xf>
    <xf numFmtId="3" fontId="71" fillId="0" borderId="76" xfId="341" applyNumberFormat="1" applyFont="1" applyFill="1" applyBorder="1" applyAlignment="1">
      <alignment horizontal="center" vertical="center"/>
    </xf>
    <xf numFmtId="3" fontId="71" fillId="0" borderId="85" xfId="341" applyNumberFormat="1" applyFont="1" applyFill="1" applyBorder="1" applyAlignment="1">
      <alignment horizontal="center" vertical="center"/>
    </xf>
    <xf numFmtId="3" fontId="72" fillId="0" borderId="118" xfId="341" applyNumberFormat="1" applyFont="1" applyFill="1" applyBorder="1" applyAlignment="1">
      <alignment horizontal="center" vertical="center"/>
    </xf>
    <xf numFmtId="3" fontId="71" fillId="0" borderId="8" xfId="341" applyNumberFormat="1" applyFont="1" applyFill="1" applyBorder="1" applyAlignment="1">
      <alignment horizontal="center" vertical="center"/>
    </xf>
    <xf numFmtId="3" fontId="73" fillId="0" borderId="2" xfId="341" applyNumberFormat="1" applyFont="1" applyFill="1" applyBorder="1" applyAlignment="1">
      <alignment horizontal="center" vertical="center"/>
    </xf>
    <xf numFmtId="3" fontId="71" fillId="0" borderId="61" xfId="341" applyNumberFormat="1" applyFont="1" applyFill="1" applyBorder="1" applyAlignment="1">
      <alignment horizontal="center" vertical="center"/>
    </xf>
    <xf numFmtId="3" fontId="74" fillId="0" borderId="119" xfId="341" applyNumberFormat="1" applyFont="1" applyBorder="1" applyAlignment="1">
      <alignment horizontal="center" vertical="center"/>
    </xf>
    <xf numFmtId="0" fontId="53" fillId="0" borderId="45" xfId="341" applyFont="1" applyBorder="1" applyAlignment="1">
      <alignment horizontal="center"/>
    </xf>
    <xf numFmtId="0" fontId="53" fillId="0" borderId="7" xfId="341" applyFont="1" applyBorder="1"/>
    <xf numFmtId="0" fontId="53" fillId="0" borderId="71" xfId="341" applyFont="1" applyBorder="1"/>
    <xf numFmtId="3" fontId="96" fillId="0" borderId="0" xfId="341" applyNumberFormat="1" applyFont="1" applyBorder="1" applyAlignment="1">
      <alignment horizontal="center" vertical="center"/>
    </xf>
    <xf numFmtId="3" fontId="96" fillId="0" borderId="10" xfId="341" applyNumberFormat="1" applyFont="1" applyFill="1" applyBorder="1" applyAlignment="1">
      <alignment horizontal="center" vertical="center"/>
    </xf>
    <xf numFmtId="3" fontId="96" fillId="0" borderId="0" xfId="341" applyNumberFormat="1" applyFont="1" applyFill="1" applyBorder="1" applyAlignment="1">
      <alignment horizontal="center" vertical="center"/>
    </xf>
    <xf numFmtId="3" fontId="96" fillId="0" borderId="10" xfId="341" applyNumberFormat="1" applyFont="1" applyBorder="1" applyAlignment="1">
      <alignment horizontal="center" vertical="center"/>
    </xf>
    <xf numFmtId="3" fontId="96" fillId="0" borderId="62" xfId="341" applyNumberFormat="1" applyFont="1" applyBorder="1" applyAlignment="1">
      <alignment horizontal="center" vertical="center"/>
    </xf>
    <xf numFmtId="3" fontId="96" fillId="0" borderId="65" xfId="341" applyNumberFormat="1" applyFont="1" applyBorder="1" applyAlignment="1">
      <alignment horizontal="center" vertical="center"/>
    </xf>
    <xf numFmtId="0" fontId="53" fillId="0" borderId="8" xfId="341" applyBorder="1" applyAlignment="1">
      <alignment horizontal="center"/>
    </xf>
    <xf numFmtId="3" fontId="96" fillId="0" borderId="62" xfId="341" applyNumberFormat="1" applyFont="1" applyFill="1" applyBorder="1" applyAlignment="1">
      <alignment horizontal="center" vertical="center"/>
    </xf>
    <xf numFmtId="3" fontId="0" fillId="0" borderId="0" xfId="0" applyNumberFormat="1"/>
    <xf numFmtId="9" fontId="0" fillId="0" borderId="0" xfId="1" applyFont="1"/>
    <xf numFmtId="169" fontId="52" fillId="0" borderId="0" xfId="0" applyNumberFormat="1" applyFont="1" applyBorder="1" applyAlignment="1">
      <alignment horizontal="center"/>
    </xf>
    <xf numFmtId="0" fontId="47" fillId="0" borderId="7" xfId="0" applyFont="1" applyBorder="1"/>
    <xf numFmtId="9" fontId="52" fillId="0" borderId="0" xfId="0" applyNumberFormat="1" applyFont="1"/>
    <xf numFmtId="1" fontId="52" fillId="0" borderId="0" xfId="0" applyNumberFormat="1" applyFont="1" applyBorder="1" applyAlignment="1">
      <alignment horizontal="center"/>
    </xf>
    <xf numFmtId="0" fontId="57" fillId="0" borderId="0" xfId="0" applyFont="1" applyBorder="1" applyAlignment="1">
      <alignment horizontal="center" vertical="center"/>
    </xf>
    <xf numFmtId="0" fontId="56" fillId="0" borderId="38" xfId="0" applyFont="1" applyBorder="1" applyAlignment="1">
      <alignment horizontal="center" vertical="center"/>
    </xf>
    <xf numFmtId="0" fontId="45" fillId="0" borderId="0" xfId="0" applyFont="1"/>
    <xf numFmtId="9" fontId="0" fillId="0" borderId="0" xfId="1" applyNumberFormat="1" applyFont="1"/>
    <xf numFmtId="0" fontId="56" fillId="0" borderId="18" xfId="0" applyFont="1" applyBorder="1" applyAlignment="1">
      <alignment horizontal="center" vertical="center" wrapText="1"/>
    </xf>
    <xf numFmtId="0" fontId="56" fillId="0" borderId="0" xfId="0" applyFont="1" applyBorder="1" applyAlignment="1">
      <alignment horizontal="center" vertical="center" wrapText="1"/>
    </xf>
    <xf numFmtId="3" fontId="65" fillId="0" borderId="1" xfId="0" applyNumberFormat="1" applyFont="1" applyFill="1" applyBorder="1" applyAlignment="1">
      <alignment horizontal="center" vertical="center" wrapText="1"/>
    </xf>
    <xf numFmtId="169" fontId="52" fillId="0" borderId="0" xfId="0" applyNumberFormat="1" applyFont="1" applyFill="1" applyBorder="1" applyAlignment="1">
      <alignment horizontal="center" vertical="center" wrapText="1"/>
    </xf>
    <xf numFmtId="0" fontId="44" fillId="0" borderId="0" xfId="0" applyFont="1"/>
    <xf numFmtId="1" fontId="0" fillId="0" borderId="0" xfId="0" applyNumberFormat="1"/>
    <xf numFmtId="0" fontId="47" fillId="0" borderId="9" xfId="0" applyFont="1" applyBorder="1"/>
    <xf numFmtId="3" fontId="69" fillId="0" borderId="18" xfId="0" applyNumberFormat="1" applyFont="1" applyBorder="1" applyAlignment="1">
      <alignment horizontal="center"/>
    </xf>
    <xf numFmtId="3" fontId="56" fillId="0" borderId="20" xfId="0" applyNumberFormat="1" applyFont="1" applyBorder="1" applyAlignment="1">
      <alignment horizontal="center"/>
    </xf>
    <xf numFmtId="170" fontId="56" fillId="0" borderId="0" xfId="139" applyNumberFormat="1" applyFont="1" applyBorder="1" applyAlignment="1">
      <alignment horizontal="center" vertical="center" wrapText="1"/>
    </xf>
    <xf numFmtId="0" fontId="64" fillId="0" borderId="7" xfId="0" applyFont="1" applyBorder="1" applyAlignment="1">
      <alignment horizontal="center" vertical="center" wrapText="1"/>
    </xf>
    <xf numFmtId="0" fontId="99" fillId="0" borderId="7" xfId="0" applyFont="1" applyBorder="1"/>
    <xf numFmtId="0" fontId="99" fillId="0" borderId="9" xfId="0" applyFont="1" applyBorder="1"/>
    <xf numFmtId="0" fontId="43" fillId="0" borderId="0" xfId="0" applyFont="1"/>
    <xf numFmtId="9" fontId="63" fillId="0" borderId="0" xfId="1" applyFont="1" applyBorder="1" applyAlignment="1">
      <alignment horizontal="center"/>
    </xf>
    <xf numFmtId="3" fontId="63" fillId="0" borderId="0" xfId="3" applyNumberFormat="1" applyFont="1" applyBorder="1" applyAlignment="1">
      <alignment horizontal="center"/>
    </xf>
    <xf numFmtId="9" fontId="53" fillId="0" borderId="0" xfId="1" applyFont="1"/>
    <xf numFmtId="4" fontId="52" fillId="0" borderId="0" xfId="0" applyNumberFormat="1" applyFont="1" applyBorder="1" applyAlignment="1">
      <alignment horizontal="center"/>
    </xf>
    <xf numFmtId="0" fontId="42" fillId="0" borderId="7" xfId="0" applyFont="1" applyBorder="1"/>
    <xf numFmtId="0" fontId="56" fillId="0" borderId="0" xfId="0" applyFont="1" applyBorder="1" applyAlignment="1">
      <alignment horizontal="center" vertical="center" wrapText="1"/>
    </xf>
    <xf numFmtId="0" fontId="57" fillId="0" borderId="123" xfId="0" applyFont="1" applyBorder="1" applyAlignment="1">
      <alignment horizontal="center" vertical="center"/>
    </xf>
    <xf numFmtId="0" fontId="52" fillId="0" borderId="123" xfId="0" applyFont="1" applyBorder="1"/>
    <xf numFmtId="0" fontId="52" fillId="0" borderId="121" xfId="0" applyFont="1" applyBorder="1" applyAlignment="1">
      <alignment horizontal="center" vertical="center" wrapText="1"/>
    </xf>
    <xf numFmtId="0" fontId="65" fillId="0" borderId="123" xfId="0" applyFont="1" applyBorder="1"/>
    <xf numFmtId="3" fontId="52" fillId="0" borderId="123" xfId="0" applyNumberFormat="1" applyFont="1" applyBorder="1" applyAlignment="1">
      <alignment horizontal="center"/>
    </xf>
    <xf numFmtId="9" fontId="56" fillId="0" borderId="123" xfId="1" applyFont="1" applyBorder="1" applyAlignment="1">
      <alignment horizontal="center"/>
    </xf>
    <xf numFmtId="167" fontId="56" fillId="0" borderId="123" xfId="0" applyNumberFormat="1" applyFont="1" applyBorder="1" applyAlignment="1">
      <alignment horizontal="center" vertical="center" wrapText="1"/>
    </xf>
    <xf numFmtId="167" fontId="56" fillId="0" borderId="123" xfId="0" applyNumberFormat="1" applyFont="1" applyBorder="1" applyAlignment="1">
      <alignment horizontal="center"/>
    </xf>
    <xf numFmtId="167" fontId="56" fillId="0" borderId="123" xfId="0" applyNumberFormat="1" applyFont="1" applyFill="1" applyBorder="1" applyAlignment="1">
      <alignment horizontal="center"/>
    </xf>
    <xf numFmtId="0" fontId="52" fillId="0" borderId="123" xfId="0" applyFont="1" applyBorder="1" applyAlignment="1">
      <alignment horizontal="center"/>
    </xf>
    <xf numFmtId="0" fontId="50" fillId="0" borderId="123" xfId="0" applyFont="1" applyBorder="1"/>
    <xf numFmtId="0" fontId="47" fillId="0" borderId="123" xfId="0" applyFont="1" applyBorder="1"/>
    <xf numFmtId="0" fontId="99" fillId="0" borderId="123" xfId="0" applyFont="1" applyBorder="1"/>
    <xf numFmtId="0" fontId="42" fillId="0" borderId="123" xfId="0" applyFont="1" applyBorder="1"/>
    <xf numFmtId="0" fontId="42" fillId="0" borderId="0" xfId="0" applyFont="1"/>
    <xf numFmtId="3" fontId="56" fillId="0" borderId="124" xfId="0" applyNumberFormat="1" applyFont="1" applyBorder="1" applyAlignment="1">
      <alignment horizontal="center" vertical="center" wrapText="1"/>
    </xf>
    <xf numFmtId="0" fontId="52" fillId="0" borderId="125" xfId="0" applyFont="1" applyBorder="1" applyAlignment="1">
      <alignment horizontal="center"/>
    </xf>
    <xf numFmtId="167" fontId="56" fillId="0" borderId="124" xfId="0" applyNumberFormat="1" applyFont="1" applyBorder="1" applyAlignment="1">
      <alignment horizontal="center" vertical="center" wrapText="1"/>
    </xf>
    <xf numFmtId="0" fontId="52" fillId="0" borderId="124" xfId="0" applyFont="1" applyBorder="1"/>
    <xf numFmtId="0" fontId="52" fillId="0" borderId="123" xfId="0" applyFont="1" applyFill="1" applyBorder="1"/>
    <xf numFmtId="1" fontId="56" fillId="0" borderId="124" xfId="0" applyNumberFormat="1" applyFont="1" applyBorder="1" applyAlignment="1">
      <alignment horizontal="center" vertical="center" wrapText="1"/>
    </xf>
    <xf numFmtId="3" fontId="40" fillId="0" borderId="0" xfId="3" applyNumberFormat="1" applyFont="1" applyBorder="1" applyAlignment="1">
      <alignment horizontal="center"/>
    </xf>
    <xf numFmtId="9" fontId="56" fillId="0" borderId="90" xfId="263" applyFont="1" applyBorder="1" applyAlignment="1">
      <alignment horizontal="center"/>
    </xf>
    <xf numFmtId="3" fontId="52" fillId="0" borderId="1" xfId="0" applyNumberFormat="1" applyFont="1" applyFill="1" applyBorder="1" applyAlignment="1">
      <alignment horizontal="center" vertical="center"/>
    </xf>
    <xf numFmtId="3" fontId="52" fillId="0" borderId="0" xfId="0" applyNumberFormat="1" applyFont="1" applyFill="1" applyBorder="1" applyAlignment="1">
      <alignment horizontal="center" vertical="center"/>
    </xf>
    <xf numFmtId="9" fontId="43" fillId="0" borderId="0" xfId="1" applyNumberFormat="1" applyFont="1" applyFill="1" applyBorder="1" applyAlignment="1">
      <alignment horizontal="center" vertical="center"/>
    </xf>
    <xf numFmtId="3" fontId="40" fillId="0" borderId="1" xfId="0" applyNumberFormat="1" applyFont="1" applyFill="1" applyBorder="1" applyAlignment="1">
      <alignment horizontal="center" vertical="center"/>
    </xf>
    <xf numFmtId="3" fontId="39" fillId="0" borderId="0" xfId="0" applyNumberFormat="1" applyFont="1" applyFill="1" applyBorder="1" applyAlignment="1">
      <alignment horizontal="center" vertical="center"/>
    </xf>
    <xf numFmtId="0" fontId="39" fillId="0" borderId="0" xfId="0" applyFont="1"/>
    <xf numFmtId="169" fontId="69" fillId="0" borderId="123" xfId="0" applyNumberFormat="1" applyFont="1" applyFill="1" applyBorder="1" applyAlignment="1">
      <alignment horizontal="center" vertical="center" wrapText="1"/>
    </xf>
    <xf numFmtId="169" fontId="40" fillId="0" borderId="123" xfId="0" applyNumberFormat="1" applyFont="1" applyFill="1" applyBorder="1" applyAlignment="1">
      <alignment horizontal="center" vertical="center" wrapText="1"/>
    </xf>
    <xf numFmtId="9" fontId="38" fillId="0" borderId="0" xfId="1" applyFont="1" applyFill="1" applyBorder="1" applyAlignment="1">
      <alignment horizontal="center" vertical="center"/>
    </xf>
    <xf numFmtId="0" fontId="60" fillId="0" borderId="0" xfId="0" applyFont="1" applyFill="1" applyBorder="1" applyAlignment="1">
      <alignment horizontal="center"/>
    </xf>
    <xf numFmtId="0" fontId="58" fillId="0" borderId="0" xfId="0" applyFont="1" applyFill="1" applyBorder="1" applyAlignment="1">
      <alignment horizontal="center" vertical="center" wrapText="1"/>
    </xf>
    <xf numFmtId="3" fontId="52" fillId="0" borderId="0" xfId="0" applyNumberFormat="1" applyFont="1" applyFill="1" applyBorder="1" applyAlignment="1">
      <alignment horizontal="center" vertical="center" wrapText="1"/>
    </xf>
    <xf numFmtId="1" fontId="52" fillId="0" borderId="0" xfId="0" applyNumberFormat="1" applyFont="1" applyFill="1" applyBorder="1" applyAlignment="1">
      <alignment horizontal="center"/>
    </xf>
    <xf numFmtId="9" fontId="52" fillId="0" borderId="2" xfId="1" applyFont="1" applyFill="1" applyBorder="1" applyAlignment="1">
      <alignment horizontal="center"/>
    </xf>
    <xf numFmtId="0" fontId="52" fillId="0" borderId="0" xfId="0" applyFont="1" applyFill="1" applyBorder="1" applyAlignment="1">
      <alignment horizontal="center"/>
    </xf>
    <xf numFmtId="167" fontId="42" fillId="0" borderId="1" xfId="0" applyNumberFormat="1" applyFont="1" applyFill="1" applyBorder="1" applyAlignment="1">
      <alignment horizontal="center"/>
    </xf>
    <xf numFmtId="167" fontId="65" fillId="0" borderId="0" xfId="139" applyNumberFormat="1" applyFont="1" applyFill="1" applyBorder="1" applyAlignment="1">
      <alignment horizontal="center"/>
    </xf>
    <xf numFmtId="167" fontId="42" fillId="0" borderId="0" xfId="0" applyNumberFormat="1" applyFont="1" applyFill="1" applyBorder="1" applyAlignment="1">
      <alignment horizontal="center"/>
    </xf>
    <xf numFmtId="9" fontId="42" fillId="0" borderId="2" xfId="1" applyFont="1" applyFill="1" applyBorder="1" applyAlignment="1">
      <alignment horizontal="center"/>
    </xf>
    <xf numFmtId="9" fontId="42" fillId="0" borderId="0" xfId="1" applyFont="1" applyFill="1" applyBorder="1" applyAlignment="1">
      <alignment horizontal="center"/>
    </xf>
    <xf numFmtId="3" fontId="98" fillId="0" borderId="123" xfId="0" applyNumberFormat="1" applyFont="1" applyFill="1" applyBorder="1" applyAlignment="1">
      <alignment horizontal="center" vertical="center" wrapText="1"/>
    </xf>
    <xf numFmtId="3" fontId="52" fillId="0" borderId="123" xfId="0" applyNumberFormat="1" applyFont="1" applyFill="1" applyBorder="1" applyAlignment="1">
      <alignment horizontal="center" vertical="center"/>
    </xf>
    <xf numFmtId="9" fontId="43" fillId="0" borderId="0" xfId="1" applyFont="1" applyFill="1" applyBorder="1" applyAlignment="1">
      <alignment horizontal="center" vertical="center"/>
    </xf>
    <xf numFmtId="3" fontId="52" fillId="0" borderId="124" xfId="0" applyNumberFormat="1" applyFont="1" applyFill="1" applyBorder="1" applyAlignment="1">
      <alignment horizontal="center" vertical="center"/>
    </xf>
    <xf numFmtId="9" fontId="42" fillId="0" borderId="0" xfId="1" applyFont="1" applyFill="1" applyBorder="1" applyAlignment="1">
      <alignment horizontal="center" vertical="center"/>
    </xf>
    <xf numFmtId="0" fontId="126" fillId="0" borderId="0" xfId="0" applyFont="1"/>
    <xf numFmtId="0" fontId="127" fillId="0" borderId="0" xfId="0" applyFont="1"/>
    <xf numFmtId="0" fontId="126" fillId="0" borderId="121" xfId="0" applyFont="1" applyBorder="1"/>
    <xf numFmtId="9" fontId="126" fillId="0" borderId="0" xfId="1" applyNumberFormat="1" applyFont="1"/>
    <xf numFmtId="171" fontId="126" fillId="0" borderId="0" xfId="1" applyNumberFormat="1" applyFont="1"/>
    <xf numFmtId="9" fontId="126" fillId="0" borderId="0" xfId="1" applyFont="1"/>
    <xf numFmtId="3" fontId="126" fillId="0" borderId="0" xfId="0" applyNumberFormat="1" applyFont="1"/>
    <xf numFmtId="3" fontId="40" fillId="0" borderId="1" xfId="0" applyNumberFormat="1" applyFont="1" applyFill="1" applyBorder="1" applyAlignment="1">
      <alignment horizontal="center" vertical="center" wrapText="1"/>
    </xf>
    <xf numFmtId="169" fontId="40" fillId="0" borderId="0" xfId="0" applyNumberFormat="1" applyFont="1" applyFill="1" applyBorder="1" applyAlignment="1">
      <alignment horizontal="center" vertical="center" wrapText="1"/>
    </xf>
    <xf numFmtId="3" fontId="40" fillId="0" borderId="0" xfId="0" applyNumberFormat="1" applyFont="1" applyFill="1" applyBorder="1" applyAlignment="1">
      <alignment horizontal="center"/>
    </xf>
    <xf numFmtId="3" fontId="40" fillId="0" borderId="19" xfId="0" applyNumberFormat="1" applyFont="1" applyFill="1" applyBorder="1" applyAlignment="1">
      <alignment horizontal="center"/>
    </xf>
    <xf numFmtId="0" fontId="40" fillId="0" borderId="7" xfId="0" applyFont="1" applyFill="1" applyBorder="1"/>
    <xf numFmtId="0" fontId="53" fillId="0" borderId="0" xfId="0" applyFont="1" applyFill="1" applyBorder="1" applyAlignment="1">
      <alignment horizontal="center"/>
    </xf>
    <xf numFmtId="0" fontId="53" fillId="0" borderId="8" xfId="0" applyFont="1" applyFill="1" applyBorder="1" applyAlignment="1">
      <alignment horizontal="center"/>
    </xf>
    <xf numFmtId="0" fontId="40" fillId="0" borderId="0" xfId="0" applyFont="1" applyFill="1" applyBorder="1" applyAlignment="1">
      <alignment horizontal="center" vertical="center" wrapText="1"/>
    </xf>
    <xf numFmtId="0" fontId="129" fillId="0" borderId="0" xfId="0" applyFont="1" applyFill="1" applyBorder="1" applyAlignment="1">
      <alignment horizontal="center" vertical="center" wrapText="1"/>
    </xf>
    <xf numFmtId="0" fontId="69" fillId="0" borderId="41" xfId="0" applyFont="1" applyFill="1" applyBorder="1" applyAlignment="1">
      <alignment horizontal="center" vertical="center"/>
    </xf>
    <xf numFmtId="3" fontId="69" fillId="0" borderId="18" xfId="0" applyNumberFormat="1" applyFont="1" applyFill="1" applyBorder="1" applyAlignment="1">
      <alignment horizontal="center" vertical="center" wrapText="1"/>
    </xf>
    <xf numFmtId="1" fontId="40" fillId="0" borderId="0" xfId="0" applyNumberFormat="1" applyFont="1" applyFill="1" applyBorder="1" applyAlignment="1">
      <alignment horizontal="center"/>
    </xf>
    <xf numFmtId="9" fontId="40" fillId="0" borderId="18" xfId="1" applyFont="1" applyFill="1" applyBorder="1" applyAlignment="1">
      <alignment horizontal="center"/>
    </xf>
    <xf numFmtId="9" fontId="69" fillId="0" borderId="0" xfId="1" applyFont="1" applyFill="1" applyBorder="1" applyAlignment="1">
      <alignment horizontal="center"/>
    </xf>
    <xf numFmtId="9" fontId="40" fillId="0" borderId="2" xfId="1" applyFont="1" applyFill="1" applyBorder="1" applyAlignment="1">
      <alignment horizontal="center"/>
    </xf>
    <xf numFmtId="9" fontId="40" fillId="0" borderId="0" xfId="1" applyFont="1" applyFill="1" applyBorder="1" applyAlignment="1">
      <alignment horizontal="center"/>
    </xf>
    <xf numFmtId="9" fontId="69" fillId="0" borderId="8" xfId="1" applyFont="1" applyFill="1" applyBorder="1" applyAlignment="1">
      <alignment horizontal="center"/>
    </xf>
    <xf numFmtId="0" fontId="69" fillId="0" borderId="7" xfId="0" applyFont="1" applyFill="1" applyBorder="1" applyAlignment="1">
      <alignment horizontal="center" vertical="center" wrapText="1"/>
    </xf>
    <xf numFmtId="0" fontId="40" fillId="0" borderId="9" xfId="0" applyFont="1" applyFill="1" applyBorder="1"/>
    <xf numFmtId="3" fontId="40" fillId="0" borderId="10" xfId="0" applyNumberFormat="1" applyFont="1" applyFill="1" applyBorder="1" applyAlignment="1">
      <alignment horizontal="center"/>
    </xf>
    <xf numFmtId="9" fontId="40" fillId="0" borderId="20" xfId="1" applyFont="1" applyFill="1" applyBorder="1" applyAlignment="1">
      <alignment horizontal="center"/>
    </xf>
    <xf numFmtId="9" fontId="69" fillId="0" borderId="10" xfId="1" applyFont="1" applyFill="1" applyBorder="1" applyAlignment="1">
      <alignment horizontal="center"/>
    </xf>
    <xf numFmtId="9" fontId="40" fillId="0" borderId="12" xfId="1" applyFont="1" applyFill="1" applyBorder="1" applyAlignment="1">
      <alignment horizontal="center"/>
    </xf>
    <xf numFmtId="9" fontId="40" fillId="0" borderId="10" xfId="1" applyFont="1" applyFill="1" applyBorder="1" applyAlignment="1">
      <alignment horizontal="center"/>
    </xf>
    <xf numFmtId="9" fontId="69" fillId="0" borderId="13" xfId="1" applyFont="1" applyFill="1" applyBorder="1" applyAlignment="1">
      <alignment horizontal="center"/>
    </xf>
    <xf numFmtId="3" fontId="40" fillId="0" borderId="1" xfId="0" applyNumberFormat="1" applyFont="1" applyFill="1" applyBorder="1" applyAlignment="1">
      <alignment horizontal="center"/>
    </xf>
    <xf numFmtId="3" fontId="40" fillId="0" borderId="0" xfId="0" applyNumberFormat="1" applyFont="1" applyFill="1" applyBorder="1" applyAlignment="1">
      <alignment horizontal="center" vertical="center" wrapText="1"/>
    </xf>
    <xf numFmtId="1" fontId="40" fillId="0" borderId="34" xfId="0" applyNumberFormat="1" applyFont="1" applyFill="1" applyBorder="1" applyAlignment="1">
      <alignment horizontal="center"/>
    </xf>
    <xf numFmtId="3" fontId="40" fillId="0" borderId="34" xfId="0" applyNumberFormat="1" applyFont="1" applyFill="1" applyBorder="1" applyAlignment="1">
      <alignment horizontal="center"/>
    </xf>
    <xf numFmtId="165" fontId="40" fillId="0" borderId="0" xfId="139" applyFont="1" applyFill="1" applyBorder="1" applyAlignment="1">
      <alignment horizontal="center" vertical="center" wrapText="1"/>
    </xf>
    <xf numFmtId="0" fontId="38" fillId="0" borderId="0" xfId="0" applyFont="1"/>
    <xf numFmtId="167" fontId="69" fillId="0" borderId="123" xfId="0" applyNumberFormat="1" applyFont="1" applyFill="1" applyBorder="1" applyAlignment="1">
      <alignment horizontal="center"/>
    </xf>
    <xf numFmtId="0" fontId="53" fillId="0" borderId="0" xfId="592"/>
    <xf numFmtId="0" fontId="53" fillId="0" borderId="0" xfId="592" applyFont="1"/>
    <xf numFmtId="0" fontId="53" fillId="38" borderId="151" xfId="592" applyNumberFormat="1" applyFont="1" applyFill="1" applyBorder="1" applyAlignment="1"/>
    <xf numFmtId="0" fontId="53" fillId="0" borderId="0" xfId="592" applyAlignment="1">
      <alignment horizontal="center" vertical="center" wrapText="1"/>
    </xf>
    <xf numFmtId="0" fontId="53" fillId="0" borderId="0" xfId="592" applyFont="1" applyAlignment="1">
      <alignment horizontal="center" vertical="center" wrapText="1"/>
    </xf>
    <xf numFmtId="9" fontId="42" fillId="0" borderId="123" xfId="1" applyFont="1" applyFill="1" applyBorder="1" applyAlignment="1">
      <alignment horizontal="center"/>
    </xf>
    <xf numFmtId="9" fontId="52" fillId="0" borderId="123" xfId="1" applyFont="1" applyFill="1" applyBorder="1" applyAlignment="1">
      <alignment horizontal="center"/>
    </xf>
    <xf numFmtId="1" fontId="69" fillId="0" borderId="123" xfId="0" applyNumberFormat="1" applyFont="1" applyFill="1" applyBorder="1" applyAlignment="1">
      <alignment horizontal="center"/>
    </xf>
    <xf numFmtId="3" fontId="69" fillId="0" borderId="123" xfId="0" applyNumberFormat="1" applyFont="1" applyFill="1" applyBorder="1" applyAlignment="1">
      <alignment horizontal="center"/>
    </xf>
    <xf numFmtId="168" fontId="58" fillId="0" borderId="0" xfId="139" applyNumberFormat="1" applyFont="1" applyFill="1" applyBorder="1" applyAlignment="1">
      <alignment horizontal="center"/>
    </xf>
    <xf numFmtId="168" fontId="129" fillId="0" borderId="0" xfId="139" applyNumberFormat="1" applyFont="1" applyFill="1" applyBorder="1" applyAlignment="1">
      <alignment horizontal="center"/>
    </xf>
    <xf numFmtId="9" fontId="130" fillId="0" borderId="0" xfId="1" applyFont="1" applyFill="1" applyBorder="1" applyAlignment="1">
      <alignment horizontal="center"/>
    </xf>
    <xf numFmtId="9" fontId="58" fillId="0" borderId="0" xfId="1" applyFont="1" applyFill="1" applyBorder="1" applyAlignment="1">
      <alignment horizontal="center"/>
    </xf>
    <xf numFmtId="3" fontId="56" fillId="0" borderId="123" xfId="0" applyNumberFormat="1" applyFont="1" applyBorder="1" applyAlignment="1">
      <alignment horizontal="center"/>
    </xf>
    <xf numFmtId="1" fontId="52" fillId="0" borderId="0" xfId="1" applyNumberFormat="1" applyFont="1" applyFill="1" applyBorder="1" applyAlignment="1">
      <alignment horizontal="center" vertical="center" wrapText="1"/>
    </xf>
    <xf numFmtId="0" fontId="52" fillId="0" borderId="0" xfId="0" applyFont="1" applyBorder="1" applyAlignment="1">
      <alignment horizontal="center"/>
    </xf>
    <xf numFmtId="169" fontId="56" fillId="0" borderId="124" xfId="0" applyNumberFormat="1" applyFont="1" applyBorder="1" applyAlignment="1">
      <alignment horizontal="center" vertical="center" wrapText="1"/>
    </xf>
    <xf numFmtId="167" fontId="63" fillId="0" borderId="154" xfId="0" applyNumberFormat="1" applyFont="1" applyBorder="1" applyAlignment="1">
      <alignment horizontal="center" vertical="center" wrapText="1"/>
    </xf>
    <xf numFmtId="9" fontId="38" fillId="0" borderId="0" xfId="1" applyFont="1" applyBorder="1" applyAlignment="1">
      <alignment horizontal="center"/>
    </xf>
    <xf numFmtId="167" fontId="52" fillId="0" borderId="1" xfId="0" applyNumberFormat="1" applyFont="1" applyBorder="1" applyAlignment="1">
      <alignment horizontal="center"/>
    </xf>
    <xf numFmtId="167" fontId="52" fillId="0" borderId="124" xfId="0" applyNumberFormat="1" applyFont="1" applyBorder="1" applyAlignment="1">
      <alignment horizontal="center"/>
    </xf>
    <xf numFmtId="167" fontId="52" fillId="0" borderId="123" xfId="0" applyNumberFormat="1" applyFont="1" applyFill="1" applyBorder="1" applyAlignment="1">
      <alignment horizontal="center" vertical="center" wrapText="1"/>
    </xf>
    <xf numFmtId="9" fontId="52" fillId="0" borderId="123" xfId="1" applyFont="1" applyBorder="1" applyAlignment="1">
      <alignment horizontal="center"/>
    </xf>
    <xf numFmtId="0" fontId="58" fillId="0" borderId="154" xfId="0" applyFont="1" applyBorder="1" applyAlignment="1">
      <alignment horizontal="center" vertical="center" wrapText="1"/>
    </xf>
    <xf numFmtId="167" fontId="52" fillId="0" borderId="154" xfId="0" applyNumberFormat="1" applyFont="1" applyBorder="1" applyAlignment="1">
      <alignment horizontal="center" vertical="center" wrapText="1"/>
    </xf>
    <xf numFmtId="0" fontId="50" fillId="0" borderId="154" xfId="0" applyFont="1" applyBorder="1" applyAlignment="1">
      <alignment horizontal="center" vertical="center" wrapText="1"/>
    </xf>
    <xf numFmtId="9" fontId="56" fillId="0" borderId="123" xfId="1" applyFont="1" applyBorder="1" applyAlignment="1">
      <alignment horizontal="center" vertical="center" wrapText="1"/>
    </xf>
    <xf numFmtId="9" fontId="56" fillId="0" borderId="124" xfId="1" applyFont="1" applyBorder="1" applyAlignment="1">
      <alignment horizontal="center" vertical="center" wrapText="1"/>
    </xf>
    <xf numFmtId="0" fontId="86" fillId="0" borderId="0" xfId="592" applyFont="1" applyBorder="1" applyAlignment="1">
      <alignment horizontal="center"/>
    </xf>
    <xf numFmtId="0" fontId="53" fillId="0" borderId="121" xfId="341" applyFont="1" applyBorder="1" applyAlignment="1">
      <alignment horizontal="center"/>
    </xf>
    <xf numFmtId="0" fontId="53" fillId="0" borderId="0" xfId="592" applyFont="1" applyBorder="1"/>
    <xf numFmtId="0" fontId="53" fillId="0" borderId="0" xfId="341" applyFont="1" applyBorder="1" applyAlignment="1">
      <alignment horizontal="center"/>
    </xf>
    <xf numFmtId="0" fontId="87" fillId="0" borderId="0" xfId="592" applyFont="1" applyBorder="1"/>
    <xf numFmtId="0" fontId="78" fillId="37" borderId="150" xfId="592" applyFont="1" applyFill="1" applyBorder="1" applyAlignment="1">
      <alignment vertical="top" wrapText="1"/>
    </xf>
    <xf numFmtId="0" fontId="53" fillId="0" borderId="124" xfId="592" applyFont="1" applyBorder="1"/>
    <xf numFmtId="168" fontId="53" fillId="0" borderId="0" xfId="592" applyNumberFormat="1" applyFont="1" applyBorder="1"/>
    <xf numFmtId="168" fontId="53" fillId="0" borderId="0" xfId="592" applyNumberFormat="1" applyFont="1"/>
    <xf numFmtId="0" fontId="52" fillId="0" borderId="0" xfId="0" applyFont="1" applyFill="1" applyBorder="1" applyAlignment="1">
      <alignment horizontal="center" vertical="center" wrapText="1"/>
    </xf>
    <xf numFmtId="0" fontId="56" fillId="0" borderId="0" xfId="0" applyFont="1" applyFill="1" applyBorder="1" applyAlignment="1">
      <alignment horizontal="center" vertical="center" wrapText="1"/>
    </xf>
    <xf numFmtId="0" fontId="57" fillId="0" borderId="0" xfId="0" applyFont="1" applyBorder="1" applyAlignment="1">
      <alignment horizontal="center" vertical="center"/>
    </xf>
    <xf numFmtId="167" fontId="38" fillId="0" borderId="1" xfId="0" applyNumberFormat="1" applyFont="1" applyFill="1" applyBorder="1" applyAlignment="1">
      <alignment horizontal="center"/>
    </xf>
    <xf numFmtId="1" fontId="38" fillId="0" borderId="1" xfId="0" applyNumberFormat="1" applyFont="1" applyFill="1" applyBorder="1" applyAlignment="1">
      <alignment horizontal="center"/>
    </xf>
    <xf numFmtId="167" fontId="38" fillId="0" borderId="0" xfId="0" applyNumberFormat="1" applyFont="1" applyFill="1" applyBorder="1" applyAlignment="1">
      <alignment horizontal="center"/>
    </xf>
    <xf numFmtId="3" fontId="40" fillId="0" borderId="123" xfId="0" applyNumberFormat="1" applyFont="1" applyFill="1" applyBorder="1" applyAlignment="1">
      <alignment horizontal="center" vertical="center" wrapText="1"/>
    </xf>
    <xf numFmtId="3" fontId="69" fillId="0" borderId="20" xfId="0" applyNumberFormat="1" applyFont="1" applyFill="1" applyBorder="1" applyAlignment="1">
      <alignment horizontal="center" vertical="center" wrapText="1"/>
    </xf>
    <xf numFmtId="3" fontId="56" fillId="0" borderId="21" xfId="0" applyNumberFormat="1" applyFont="1" applyFill="1" applyBorder="1" applyAlignment="1">
      <alignment horizontal="center" vertical="center"/>
    </xf>
    <xf numFmtId="9" fontId="56" fillId="0" borderId="10" xfId="1" applyFont="1" applyFill="1" applyBorder="1" applyAlignment="1">
      <alignment horizontal="center" vertical="center"/>
    </xf>
    <xf numFmtId="3" fontId="69" fillId="0" borderId="123" xfId="0" applyNumberFormat="1" applyFont="1" applyFill="1" applyBorder="1" applyAlignment="1">
      <alignment horizontal="center" vertical="center" wrapText="1"/>
    </xf>
    <xf numFmtId="0" fontId="0" fillId="0" borderId="0" xfId="0" applyAlignment="1">
      <alignment horizontal="center"/>
    </xf>
    <xf numFmtId="3" fontId="56" fillId="0" borderId="10" xfId="0" applyNumberFormat="1" applyFont="1" applyFill="1" applyBorder="1" applyAlignment="1">
      <alignment horizontal="center" vertical="center"/>
    </xf>
    <xf numFmtId="169" fontId="52" fillId="0" borderId="0" xfId="0" applyNumberFormat="1" applyFont="1" applyFill="1" applyBorder="1" applyAlignment="1">
      <alignment horizontal="center" vertical="center"/>
    </xf>
    <xf numFmtId="169" fontId="60" fillId="0" borderId="0" xfId="1" applyNumberFormat="1" applyFont="1" applyAlignment="1">
      <alignment horizontal="center" vertical="center"/>
    </xf>
    <xf numFmtId="0" fontId="60" fillId="0" borderId="0" xfId="0" applyFont="1"/>
    <xf numFmtId="0" fontId="60" fillId="0" borderId="0" xfId="0" applyFont="1" applyAlignment="1">
      <alignment horizontal="center" vertical="center"/>
    </xf>
    <xf numFmtId="3" fontId="56" fillId="0" borderId="38" xfId="0" applyNumberFormat="1" applyFont="1" applyFill="1" applyBorder="1" applyAlignment="1">
      <alignment horizontal="center" vertical="center" wrapText="1"/>
    </xf>
    <xf numFmtId="3" fontId="56" fillId="0" borderId="0" xfId="0" applyNumberFormat="1" applyFont="1" applyFill="1" applyBorder="1" applyAlignment="1">
      <alignment horizontal="center" vertical="center"/>
    </xf>
    <xf numFmtId="3" fontId="56" fillId="0" borderId="124" xfId="0" applyNumberFormat="1" applyFont="1" applyFill="1" applyBorder="1" applyAlignment="1">
      <alignment horizontal="center" vertical="center"/>
    </xf>
    <xf numFmtId="3" fontId="56" fillId="0" borderId="154" xfId="0" applyNumberFormat="1" applyFont="1" applyFill="1" applyBorder="1" applyAlignment="1">
      <alignment horizontal="center" vertical="center"/>
    </xf>
    <xf numFmtId="9" fontId="56" fillId="0" borderId="0" xfId="1" applyFont="1" applyFill="1" applyBorder="1" applyAlignment="1">
      <alignment horizontal="center" vertical="center"/>
    </xf>
    <xf numFmtId="3" fontId="56" fillId="0" borderId="39" xfId="0" applyNumberFormat="1" applyFont="1" applyFill="1" applyBorder="1" applyAlignment="1">
      <alignment horizontal="center" vertical="center"/>
    </xf>
    <xf numFmtId="3" fontId="56" fillId="0" borderId="38" xfId="0" applyNumberFormat="1" applyFont="1" applyFill="1" applyBorder="1" applyAlignment="1">
      <alignment horizontal="center" vertical="center"/>
    </xf>
    <xf numFmtId="3" fontId="69" fillId="0" borderId="3" xfId="0" applyNumberFormat="1" applyFont="1" applyFill="1" applyBorder="1" applyAlignment="1">
      <alignment horizontal="center" vertical="center"/>
    </xf>
    <xf numFmtId="3" fontId="56" fillId="0" borderId="32" xfId="0" applyNumberFormat="1" applyFont="1" applyFill="1" applyBorder="1" applyAlignment="1">
      <alignment horizontal="center" vertical="center"/>
    </xf>
    <xf numFmtId="9" fontId="56" fillId="0" borderId="38" xfId="1" applyNumberFormat="1" applyFont="1" applyFill="1" applyBorder="1" applyAlignment="1">
      <alignment horizontal="center" vertical="center"/>
    </xf>
    <xf numFmtId="3" fontId="56" fillId="0" borderId="1" xfId="0" applyNumberFormat="1" applyFont="1" applyFill="1" applyBorder="1" applyAlignment="1">
      <alignment horizontal="center" vertical="center"/>
    </xf>
    <xf numFmtId="3" fontId="60" fillId="0" borderId="0" xfId="0" applyNumberFormat="1" applyFont="1"/>
    <xf numFmtId="3" fontId="56" fillId="0" borderId="20" xfId="0" applyNumberFormat="1" applyFont="1" applyFill="1" applyBorder="1" applyAlignment="1">
      <alignment horizontal="center" vertical="center"/>
    </xf>
    <xf numFmtId="3" fontId="69" fillId="0" borderId="52" xfId="0" applyNumberFormat="1" applyFont="1" applyFill="1" applyBorder="1" applyAlignment="1">
      <alignment horizontal="center" vertical="center" wrapText="1"/>
    </xf>
    <xf numFmtId="3" fontId="56" fillId="0" borderId="121" xfId="0" applyNumberFormat="1" applyFont="1" applyFill="1" applyBorder="1" applyAlignment="1">
      <alignment horizontal="center" vertical="center"/>
    </xf>
    <xf numFmtId="3" fontId="56" fillId="0" borderId="56" xfId="0" applyNumberFormat="1" applyFont="1" applyFill="1" applyBorder="1" applyAlignment="1">
      <alignment horizontal="center" vertical="center"/>
    </xf>
    <xf numFmtId="3" fontId="56" fillId="0" borderId="51" xfId="0" applyNumberFormat="1" applyFont="1" applyFill="1" applyBorder="1" applyAlignment="1">
      <alignment horizontal="center" vertical="center"/>
    </xf>
    <xf numFmtId="9" fontId="56" fillId="0" borderId="121" xfId="1" applyFont="1" applyFill="1" applyBorder="1" applyAlignment="1">
      <alignment horizontal="center" vertical="center"/>
    </xf>
    <xf numFmtId="3" fontId="56" fillId="0" borderId="156" xfId="0" applyNumberFormat="1" applyFont="1" applyFill="1" applyBorder="1" applyAlignment="1">
      <alignment horizontal="center" vertical="center"/>
    </xf>
    <xf numFmtId="9" fontId="38" fillId="0" borderId="0" xfId="1" applyNumberFormat="1" applyFont="1" applyFill="1" applyBorder="1" applyAlignment="1">
      <alignment horizontal="center" vertical="center"/>
    </xf>
    <xf numFmtId="0" fontId="60" fillId="0" borderId="8" xfId="0" applyFont="1" applyFill="1" applyBorder="1" applyAlignment="1">
      <alignment horizontal="center"/>
    </xf>
    <xf numFmtId="9" fontId="56" fillId="0" borderId="8" xfId="1" applyFont="1" applyFill="1" applyBorder="1" applyAlignment="1">
      <alignment horizontal="center" vertical="center"/>
    </xf>
    <xf numFmtId="0" fontId="56" fillId="0" borderId="7" xfId="0" applyFont="1" applyFill="1" applyBorder="1" applyAlignment="1">
      <alignment horizontal="center" vertical="center" wrapText="1"/>
    </xf>
    <xf numFmtId="0" fontId="65" fillId="0" borderId="7" xfId="0" applyFont="1" applyFill="1" applyBorder="1"/>
    <xf numFmtId="0" fontId="38" fillId="0" borderId="7" xfId="0" applyFont="1" applyFill="1" applyBorder="1"/>
    <xf numFmtId="0" fontId="47" fillId="0" borderId="7" xfId="0" applyFont="1" applyFill="1" applyBorder="1"/>
    <xf numFmtId="0" fontId="42" fillId="0" borderId="7" xfId="0" applyFont="1" applyFill="1" applyBorder="1"/>
    <xf numFmtId="0" fontId="35" fillId="0" borderId="7" xfId="0" applyFont="1" applyFill="1" applyBorder="1"/>
    <xf numFmtId="9" fontId="56" fillId="0" borderId="158" xfId="1" applyFont="1" applyFill="1" applyBorder="1" applyAlignment="1">
      <alignment horizontal="center" vertical="center"/>
    </xf>
    <xf numFmtId="9" fontId="56" fillId="0" borderId="32" xfId="1" applyNumberFormat="1" applyFont="1" applyFill="1" applyBorder="1" applyAlignment="1">
      <alignment horizontal="center" vertical="center"/>
    </xf>
    <xf numFmtId="9" fontId="56" fillId="0" borderId="0" xfId="1" applyNumberFormat="1" applyFont="1" applyFill="1" applyBorder="1" applyAlignment="1">
      <alignment horizontal="center" vertical="center"/>
    </xf>
    <xf numFmtId="0" fontId="56" fillId="0" borderId="41" xfId="0" applyFont="1" applyFill="1" applyBorder="1" applyAlignment="1">
      <alignment horizontal="center" vertical="center"/>
    </xf>
    <xf numFmtId="1" fontId="52" fillId="0" borderId="154" xfId="0" applyNumberFormat="1" applyFont="1" applyFill="1" applyBorder="1" applyAlignment="1">
      <alignment horizontal="center"/>
    </xf>
    <xf numFmtId="9" fontId="56" fillId="0" borderId="8" xfId="1" applyFont="1" applyFill="1" applyBorder="1" applyAlignment="1">
      <alignment horizontal="center"/>
    </xf>
    <xf numFmtId="3" fontId="52" fillId="0" borderId="154" xfId="0" applyNumberFormat="1" applyFont="1" applyFill="1" applyBorder="1" applyAlignment="1">
      <alignment horizontal="center"/>
    </xf>
    <xf numFmtId="167" fontId="42" fillId="0" borderId="154" xfId="0" applyNumberFormat="1" applyFont="1" applyFill="1" applyBorder="1" applyAlignment="1">
      <alignment horizontal="center"/>
    </xf>
    <xf numFmtId="0" fontId="58" fillId="0" borderId="0" xfId="0" applyFont="1" applyFill="1" applyBorder="1"/>
    <xf numFmtId="168" fontId="130" fillId="0" borderId="0" xfId="139" applyNumberFormat="1" applyFont="1" applyFill="1" applyBorder="1" applyAlignment="1">
      <alignment horizontal="center"/>
    </xf>
    <xf numFmtId="1" fontId="129" fillId="0" borderId="0" xfId="0" applyNumberFormat="1" applyFont="1" applyFill="1" applyBorder="1" applyAlignment="1">
      <alignment horizontal="center"/>
    </xf>
    <xf numFmtId="3" fontId="65" fillId="0" borderId="0" xfId="139" applyNumberFormat="1" applyFont="1" applyFill="1" applyBorder="1" applyAlignment="1">
      <alignment horizontal="center"/>
    </xf>
    <xf numFmtId="9" fontId="56" fillId="0" borderId="123" xfId="1" applyFont="1" applyFill="1" applyBorder="1" applyAlignment="1">
      <alignment horizontal="center" vertical="center"/>
    </xf>
    <xf numFmtId="9" fontId="56" fillId="0" borderId="2" xfId="1" applyFont="1" applyFill="1" applyBorder="1" applyAlignment="1">
      <alignment horizontal="center" vertical="center"/>
    </xf>
    <xf numFmtId="9" fontId="56" fillId="0" borderId="20" xfId="1" applyFont="1" applyFill="1" applyBorder="1" applyAlignment="1">
      <alignment horizontal="center" vertical="center"/>
    </xf>
    <xf numFmtId="9" fontId="56" fillId="0" borderId="12" xfId="1" applyFont="1" applyFill="1" applyBorder="1" applyAlignment="1">
      <alignment horizontal="center" vertical="center"/>
    </xf>
    <xf numFmtId="9" fontId="56" fillId="0" borderId="13" xfId="1" applyFont="1" applyFill="1" applyBorder="1" applyAlignment="1">
      <alignment horizontal="center" vertical="center"/>
    </xf>
    <xf numFmtId="0" fontId="56" fillId="0" borderId="9" xfId="0" applyFont="1" applyFill="1" applyBorder="1" applyAlignment="1">
      <alignment horizontal="center" vertical="center"/>
    </xf>
    <xf numFmtId="0" fontId="56" fillId="0" borderId="157" xfId="0" applyFont="1" applyFill="1" applyBorder="1" applyAlignment="1">
      <alignment horizontal="center" vertical="center"/>
    </xf>
    <xf numFmtId="3" fontId="56" fillId="0" borderId="3" xfId="0" applyNumberFormat="1" applyFont="1" applyFill="1" applyBorder="1" applyAlignment="1">
      <alignment horizontal="center" vertical="center" wrapText="1"/>
    </xf>
    <xf numFmtId="3" fontId="56" fillId="0" borderId="32" xfId="0" applyNumberFormat="1" applyFont="1" applyFill="1" applyBorder="1" applyAlignment="1">
      <alignment horizontal="center" vertical="center" wrapText="1"/>
    </xf>
    <xf numFmtId="3" fontId="56" fillId="0" borderId="39" xfId="0" applyNumberFormat="1" applyFont="1" applyFill="1" applyBorder="1" applyAlignment="1">
      <alignment horizontal="center" vertical="center" wrapText="1"/>
    </xf>
    <xf numFmtId="9" fontId="56" fillId="0" borderId="32" xfId="1" applyFont="1" applyFill="1" applyBorder="1" applyAlignment="1">
      <alignment horizontal="center" vertical="center"/>
    </xf>
    <xf numFmtId="9" fontId="56" fillId="0" borderId="42" xfId="1" applyFont="1" applyFill="1" applyBorder="1" applyAlignment="1">
      <alignment horizontal="center" vertical="center"/>
    </xf>
    <xf numFmtId="9" fontId="56" fillId="0" borderId="40" xfId="1" applyFont="1" applyFill="1" applyBorder="1" applyAlignment="1">
      <alignment horizontal="center" vertical="center"/>
    </xf>
    <xf numFmtId="3" fontId="69" fillId="0" borderId="1" xfId="0" applyNumberFormat="1" applyFont="1" applyFill="1" applyBorder="1" applyAlignment="1">
      <alignment horizontal="center" vertical="center" wrapText="1"/>
    </xf>
    <xf numFmtId="3" fontId="69" fillId="0" borderId="0" xfId="139" applyNumberFormat="1" applyFont="1" applyFill="1" applyBorder="1" applyAlignment="1">
      <alignment horizontal="center" vertical="center"/>
    </xf>
    <xf numFmtId="3" fontId="56" fillId="0" borderId="0" xfId="0" applyNumberFormat="1" applyFont="1" applyFill="1" applyBorder="1" applyAlignment="1">
      <alignment horizontal="center" vertical="center" wrapText="1"/>
    </xf>
    <xf numFmtId="0" fontId="56" fillId="0" borderId="9" xfId="0" applyFont="1" applyFill="1" applyBorder="1" applyAlignment="1">
      <alignment horizontal="center" vertical="center" wrapText="1"/>
    </xf>
    <xf numFmtId="3" fontId="69" fillId="0" borderId="11" xfId="0" applyNumberFormat="1" applyFont="1" applyFill="1" applyBorder="1" applyAlignment="1">
      <alignment horizontal="center" vertical="center" wrapText="1"/>
    </xf>
    <xf numFmtId="3" fontId="69" fillId="0" borderId="10" xfId="139" applyNumberFormat="1" applyFont="1" applyFill="1" applyBorder="1" applyAlignment="1">
      <alignment horizontal="center" vertical="center"/>
    </xf>
    <xf numFmtId="3" fontId="56" fillId="0" borderId="10" xfId="0" applyNumberFormat="1" applyFont="1" applyFill="1" applyBorder="1" applyAlignment="1">
      <alignment horizontal="center" vertical="center" wrapText="1"/>
    </xf>
    <xf numFmtId="0" fontId="56" fillId="0" borderId="157" xfId="0" applyFont="1" applyFill="1" applyBorder="1" applyAlignment="1">
      <alignment horizontal="center" vertical="center" wrapText="1"/>
    </xf>
    <xf numFmtId="3" fontId="69" fillId="0" borderId="120" xfId="0" applyNumberFormat="1" applyFont="1" applyFill="1" applyBorder="1" applyAlignment="1">
      <alignment horizontal="center" vertical="center" wrapText="1"/>
    </xf>
    <xf numFmtId="3" fontId="69" fillId="0" borderId="121" xfId="139" applyNumberFormat="1" applyFont="1" applyFill="1" applyBorder="1" applyAlignment="1">
      <alignment horizontal="center" vertical="center"/>
    </xf>
    <xf numFmtId="3" fontId="56" fillId="0" borderId="121" xfId="0" applyNumberFormat="1" applyFont="1" applyFill="1" applyBorder="1" applyAlignment="1">
      <alignment horizontal="center" vertical="center" wrapText="1"/>
    </xf>
    <xf numFmtId="9" fontId="56" fillId="0" borderId="52" xfId="1" applyFont="1" applyFill="1" applyBorder="1" applyAlignment="1">
      <alignment horizontal="center" vertical="center"/>
    </xf>
    <xf numFmtId="9" fontId="56" fillId="0" borderId="159" xfId="1" applyFont="1" applyFill="1" applyBorder="1" applyAlignment="1">
      <alignment horizontal="center" vertical="center"/>
    </xf>
    <xf numFmtId="1" fontId="38" fillId="0" borderId="0" xfId="0" applyNumberFormat="1" applyFont="1" applyFill="1" applyBorder="1" applyAlignment="1">
      <alignment horizontal="center"/>
    </xf>
    <xf numFmtId="0" fontId="52" fillId="0" borderId="0" xfId="0" applyFont="1" applyBorder="1" applyAlignment="1">
      <alignment horizontal="left" vertical="center" wrapText="1"/>
    </xf>
    <xf numFmtId="0" fontId="69" fillId="0" borderId="0" xfId="0" applyFont="1" applyFill="1" applyBorder="1" applyAlignment="1">
      <alignment horizontal="center" vertical="center" wrapText="1"/>
    </xf>
    <xf numFmtId="0" fontId="40" fillId="0" borderId="0" xfId="0" applyFont="1" applyFill="1" applyBorder="1" applyAlignment="1">
      <alignment horizontal="center" vertical="center" wrapText="1"/>
    </xf>
    <xf numFmtId="0" fontId="56" fillId="0" borderId="0" xfId="0" applyFont="1" applyBorder="1" applyAlignment="1">
      <alignment horizontal="center" vertical="center" wrapText="1"/>
    </xf>
    <xf numFmtId="0" fontId="50" fillId="0" borderId="0" xfId="0" applyFont="1" applyBorder="1" applyAlignment="1">
      <alignment horizontal="center" vertical="center" wrapText="1"/>
    </xf>
    <xf numFmtId="0" fontId="57" fillId="0" borderId="0" xfId="0" applyFont="1" applyBorder="1" applyAlignment="1">
      <alignment horizontal="center" vertical="center"/>
    </xf>
    <xf numFmtId="0" fontId="52" fillId="0" borderId="0" xfId="0" applyFont="1" applyBorder="1" applyAlignment="1">
      <alignment horizontal="center" vertical="center" wrapText="1"/>
    </xf>
    <xf numFmtId="3" fontId="40" fillId="0" borderId="11" xfId="0" applyNumberFormat="1" applyFont="1" applyFill="1" applyBorder="1" applyAlignment="1">
      <alignment horizontal="center" vertical="center" wrapText="1"/>
    </xf>
    <xf numFmtId="169" fontId="40" fillId="0" borderId="10" xfId="0" applyNumberFormat="1" applyFont="1" applyFill="1" applyBorder="1" applyAlignment="1">
      <alignment horizontal="center" vertical="center" wrapText="1"/>
    </xf>
    <xf numFmtId="3" fontId="40" fillId="0" borderId="21" xfId="0" applyNumberFormat="1" applyFont="1" applyFill="1" applyBorder="1" applyAlignment="1">
      <alignment horizontal="center"/>
    </xf>
    <xf numFmtId="3" fontId="69" fillId="0" borderId="38" xfId="0" applyNumberFormat="1" applyFont="1" applyFill="1" applyBorder="1" applyAlignment="1">
      <alignment horizontal="center" vertical="center" wrapText="1"/>
    </xf>
    <xf numFmtId="9" fontId="69" fillId="0" borderId="0" xfId="1" applyFont="1" applyFill="1" applyBorder="1" applyAlignment="1">
      <alignment horizontal="center" vertical="center"/>
    </xf>
    <xf numFmtId="9" fontId="69" fillId="0" borderId="8" xfId="1" applyFont="1" applyFill="1" applyBorder="1" applyAlignment="1">
      <alignment horizontal="center" vertical="center"/>
    </xf>
    <xf numFmtId="0" fontId="40" fillId="0" borderId="154" xfId="0" applyFont="1" applyFill="1" applyBorder="1" applyAlignment="1">
      <alignment horizontal="center" vertical="center" wrapText="1"/>
    </xf>
    <xf numFmtId="9" fontId="69" fillId="0" borderId="32" xfId="1" applyFont="1" applyFill="1" applyBorder="1" applyAlignment="1">
      <alignment horizontal="center" vertical="center"/>
    </xf>
    <xf numFmtId="9" fontId="69" fillId="0" borderId="40" xfId="1" applyFont="1" applyFill="1" applyBorder="1" applyAlignment="1">
      <alignment horizontal="center" vertical="center"/>
    </xf>
    <xf numFmtId="3" fontId="69" fillId="0" borderId="3" xfId="0" applyNumberFormat="1" applyFont="1" applyFill="1" applyBorder="1" applyAlignment="1">
      <alignment horizontal="center" vertical="center" wrapText="1"/>
    </xf>
    <xf numFmtId="3" fontId="69" fillId="0" borderId="39" xfId="0" applyNumberFormat="1" applyFont="1" applyFill="1" applyBorder="1" applyAlignment="1">
      <alignment horizontal="center" vertical="center"/>
    </xf>
    <xf numFmtId="9" fontId="69" fillId="0" borderId="38" xfId="1" applyFont="1" applyFill="1" applyBorder="1" applyAlignment="1">
      <alignment horizontal="center" vertical="center"/>
    </xf>
    <xf numFmtId="9" fontId="69" fillId="0" borderId="42" xfId="1" applyFont="1" applyFill="1" applyBorder="1" applyAlignment="1">
      <alignment horizontal="center" vertical="center"/>
    </xf>
    <xf numFmtId="3" fontId="69" fillId="0" borderId="18" xfId="0" applyNumberFormat="1" applyFont="1" applyFill="1" applyBorder="1" applyAlignment="1">
      <alignment horizontal="center" vertical="center"/>
    </xf>
    <xf numFmtId="3" fontId="69" fillId="0" borderId="0" xfId="0" applyNumberFormat="1" applyFont="1" applyFill="1" applyBorder="1" applyAlignment="1">
      <alignment horizontal="center" vertical="center"/>
    </xf>
    <xf numFmtId="3" fontId="69" fillId="0" borderId="19" xfId="0" applyNumberFormat="1" applyFont="1" applyFill="1" applyBorder="1" applyAlignment="1">
      <alignment horizontal="center" vertical="center"/>
    </xf>
    <xf numFmtId="9" fontId="69" fillId="0" borderId="18" xfId="1" applyFont="1" applyFill="1" applyBorder="1" applyAlignment="1">
      <alignment horizontal="center" vertical="center"/>
    </xf>
    <xf numFmtId="9" fontId="69" fillId="0" borderId="2" xfId="1" applyFont="1" applyFill="1" applyBorder="1" applyAlignment="1">
      <alignment horizontal="center" vertical="center"/>
    </xf>
    <xf numFmtId="3" fontId="0" fillId="0" borderId="0" xfId="0" applyNumberFormat="1" applyAlignment="1">
      <alignment horizontal="center"/>
    </xf>
    <xf numFmtId="3" fontId="69" fillId="0" borderId="32" xfId="0" applyNumberFormat="1" applyFont="1" applyFill="1" applyBorder="1" applyAlignment="1">
      <alignment horizontal="center" vertical="center"/>
    </xf>
    <xf numFmtId="3" fontId="69" fillId="0" borderId="32" xfId="0" applyNumberFormat="1" applyFont="1" applyFill="1" applyBorder="1" applyAlignment="1">
      <alignment horizontal="center" vertical="center" wrapText="1"/>
    </xf>
    <xf numFmtId="0" fontId="50" fillId="0" borderId="32" xfId="0" applyFont="1" applyBorder="1" applyAlignment="1">
      <alignment horizontal="center" vertical="center" wrapText="1"/>
    </xf>
    <xf numFmtId="0" fontId="50" fillId="0" borderId="121" xfId="0" applyFont="1" applyBorder="1" applyAlignment="1">
      <alignment horizontal="center" vertical="center" wrapText="1"/>
    </xf>
    <xf numFmtId="0" fontId="57" fillId="0" borderId="0" xfId="0" applyFont="1" applyBorder="1" applyAlignment="1">
      <alignment horizontal="center" vertical="center"/>
    </xf>
    <xf numFmtId="0" fontId="34" fillId="0" borderId="0" xfId="0" applyFont="1"/>
    <xf numFmtId="169" fontId="60" fillId="0" borderId="0" xfId="1" applyNumberFormat="1" applyFont="1" applyAlignment="1">
      <alignment horizontal="center"/>
    </xf>
    <xf numFmtId="169" fontId="40" fillId="0" borderId="154" xfId="0" applyNumberFormat="1" applyFont="1" applyFill="1" applyBorder="1" applyAlignment="1">
      <alignment horizontal="center"/>
    </xf>
    <xf numFmtId="9" fontId="40" fillId="0" borderId="8" xfId="1" applyFont="1" applyFill="1" applyBorder="1" applyAlignment="1">
      <alignment horizontal="center"/>
    </xf>
    <xf numFmtId="3" fontId="40" fillId="0" borderId="154" xfId="0" applyNumberFormat="1" applyFont="1" applyFill="1" applyBorder="1" applyAlignment="1">
      <alignment horizontal="center"/>
    </xf>
    <xf numFmtId="9" fontId="69" fillId="0" borderId="32" xfId="1" applyFont="1" applyFill="1" applyBorder="1" applyAlignment="1">
      <alignment horizontal="center" vertical="center" wrapText="1"/>
    </xf>
    <xf numFmtId="3" fontId="69" fillId="0" borderId="33" xfId="0" applyNumberFormat="1" applyFont="1" applyFill="1" applyBorder="1" applyAlignment="1">
      <alignment horizontal="center" vertical="center" wrapText="1"/>
    </xf>
    <xf numFmtId="9" fontId="69" fillId="0" borderId="40" xfId="1" applyFont="1" applyFill="1" applyBorder="1" applyAlignment="1">
      <alignment horizontal="center" vertical="center" wrapText="1"/>
    </xf>
    <xf numFmtId="3" fontId="69" fillId="0" borderId="123" xfId="0" applyNumberFormat="1" applyFont="1" applyFill="1" applyBorder="1" applyAlignment="1">
      <alignment horizontal="center" vertical="center"/>
    </xf>
    <xf numFmtId="3" fontId="69" fillId="0" borderId="1" xfId="0" applyNumberFormat="1" applyFont="1" applyFill="1" applyBorder="1" applyAlignment="1">
      <alignment horizontal="center" vertical="center"/>
    </xf>
    <xf numFmtId="3" fontId="69" fillId="0" borderId="0" xfId="0" applyNumberFormat="1" applyFont="1" applyFill="1" applyBorder="1" applyAlignment="1">
      <alignment horizontal="center" vertical="center" wrapText="1"/>
    </xf>
    <xf numFmtId="3" fontId="69" fillId="0" borderId="34" xfId="0" applyNumberFormat="1" applyFont="1" applyFill="1" applyBorder="1" applyAlignment="1">
      <alignment horizontal="center" vertical="center"/>
    </xf>
    <xf numFmtId="0" fontId="69" fillId="0" borderId="160" xfId="0" applyFont="1" applyFill="1" applyBorder="1" applyAlignment="1">
      <alignment horizontal="center" vertical="center" wrapText="1"/>
    </xf>
    <xf numFmtId="3" fontId="69" fillId="0" borderId="154" xfId="0" applyNumberFormat="1" applyFont="1" applyFill="1" applyBorder="1" applyAlignment="1">
      <alignment horizontal="center" vertical="center"/>
    </xf>
    <xf numFmtId="3" fontId="69" fillId="0" borderId="161" xfId="0" applyNumberFormat="1" applyFont="1" applyFill="1" applyBorder="1" applyAlignment="1">
      <alignment horizontal="center" vertical="center"/>
    </xf>
    <xf numFmtId="3" fontId="69" fillId="0" borderId="156" xfId="0" applyNumberFormat="1" applyFont="1" applyFill="1" applyBorder="1" applyAlignment="1">
      <alignment horizontal="center" vertical="center"/>
    </xf>
    <xf numFmtId="3" fontId="69" fillId="0" borderId="162" xfId="0" applyNumberFormat="1" applyFont="1" applyFill="1" applyBorder="1" applyAlignment="1">
      <alignment horizontal="center" vertical="center"/>
    </xf>
    <xf numFmtId="3" fontId="69" fillId="0" borderId="163" xfId="0" applyNumberFormat="1" applyFont="1" applyFill="1" applyBorder="1" applyAlignment="1">
      <alignment horizontal="center" vertical="center"/>
    </xf>
    <xf numFmtId="9" fontId="69" fillId="0" borderId="164" xfId="1" applyFont="1" applyFill="1" applyBorder="1" applyAlignment="1">
      <alignment horizontal="center" vertical="center"/>
    </xf>
    <xf numFmtId="3" fontId="69" fillId="0" borderId="0" xfId="0" applyNumberFormat="1" applyFont="1" applyFill="1" applyBorder="1" applyAlignment="1">
      <alignment horizontal="center"/>
    </xf>
    <xf numFmtId="3" fontId="69" fillId="0" borderId="154" xfId="0" applyNumberFormat="1" applyFont="1" applyFill="1" applyBorder="1" applyAlignment="1">
      <alignment horizontal="center"/>
    </xf>
    <xf numFmtId="9" fontId="69" fillId="0" borderId="162" xfId="1" applyNumberFormat="1" applyFont="1" applyFill="1" applyBorder="1" applyAlignment="1">
      <alignment horizontal="center" vertical="center"/>
    </xf>
    <xf numFmtId="171" fontId="52" fillId="0" borderId="0" xfId="1" applyNumberFormat="1" applyFont="1"/>
    <xf numFmtId="9" fontId="69" fillId="0" borderId="0" xfId="1" applyNumberFormat="1" applyFont="1" applyFill="1" applyBorder="1" applyAlignment="1">
      <alignment horizontal="center" vertical="center"/>
    </xf>
    <xf numFmtId="169" fontId="69" fillId="0" borderId="39" xfId="0" applyNumberFormat="1" applyFont="1" applyFill="1" applyBorder="1" applyAlignment="1">
      <alignment horizontal="center" vertical="center" wrapText="1"/>
    </xf>
    <xf numFmtId="3" fontId="56" fillId="0" borderId="18" xfId="0" applyNumberFormat="1" applyFont="1" applyBorder="1" applyAlignment="1">
      <alignment horizontal="center" vertical="center"/>
    </xf>
    <xf numFmtId="3" fontId="56" fillId="0" borderId="1" xfId="0" applyNumberFormat="1" applyFont="1" applyBorder="1" applyAlignment="1">
      <alignment horizontal="center" vertical="center"/>
    </xf>
    <xf numFmtId="3" fontId="56" fillId="0" borderId="0" xfId="0" applyNumberFormat="1" applyFont="1" applyBorder="1" applyAlignment="1">
      <alignment horizontal="center" vertical="center"/>
    </xf>
    <xf numFmtId="3" fontId="56" fillId="0" borderId="19" xfId="0" applyNumberFormat="1" applyFont="1" applyBorder="1" applyAlignment="1">
      <alignment horizontal="center" vertical="center"/>
    </xf>
    <xf numFmtId="9" fontId="56" fillId="0" borderId="0" xfId="1" applyFont="1" applyBorder="1" applyAlignment="1">
      <alignment horizontal="center" vertical="center" wrapText="1"/>
    </xf>
    <xf numFmtId="0" fontId="56" fillId="0" borderId="160" xfId="0" applyFont="1" applyBorder="1" applyAlignment="1">
      <alignment horizontal="center" vertical="center" wrapText="1"/>
    </xf>
    <xf numFmtId="3" fontId="56" fillId="0" borderId="161" xfId="0" applyNumberFormat="1" applyFont="1" applyBorder="1" applyAlignment="1">
      <alignment horizontal="center" vertical="center"/>
    </xf>
    <xf numFmtId="3" fontId="56" fillId="0" borderId="156" xfId="0" applyNumberFormat="1" applyFont="1" applyBorder="1" applyAlignment="1">
      <alignment horizontal="center" vertical="center"/>
    </xf>
    <xf numFmtId="3" fontId="56" fillId="0" borderId="162" xfId="0" applyNumberFormat="1" applyFont="1" applyFill="1" applyBorder="1" applyAlignment="1">
      <alignment horizontal="center" vertical="center"/>
    </xf>
    <xf numFmtId="3" fontId="56" fillId="0" borderId="162" xfId="0" applyNumberFormat="1" applyFont="1" applyBorder="1" applyAlignment="1">
      <alignment horizontal="center" vertical="center"/>
    </xf>
    <xf numFmtId="3" fontId="56" fillId="0" borderId="163" xfId="0" applyNumberFormat="1" applyFont="1" applyBorder="1" applyAlignment="1">
      <alignment horizontal="center" vertical="center"/>
    </xf>
    <xf numFmtId="9" fontId="56" fillId="0" borderId="162" xfId="1" applyFont="1" applyFill="1" applyBorder="1" applyAlignment="1">
      <alignment horizontal="center" vertical="center"/>
    </xf>
    <xf numFmtId="9" fontId="56" fillId="0" borderId="162" xfId="1" applyFont="1" applyBorder="1" applyAlignment="1">
      <alignment horizontal="center" vertical="center" wrapText="1"/>
    </xf>
    <xf numFmtId="9" fontId="56" fillId="0" borderId="164" xfId="1" applyFont="1" applyFill="1" applyBorder="1" applyAlignment="1">
      <alignment horizontal="center" vertical="center"/>
    </xf>
    <xf numFmtId="3" fontId="56" fillId="0" borderId="38" xfId="0" applyNumberFormat="1" applyFont="1" applyBorder="1" applyAlignment="1">
      <alignment horizontal="center" vertical="center" wrapText="1"/>
    </xf>
    <xf numFmtId="3" fontId="56" fillId="0" borderId="3" xfId="0" applyNumberFormat="1" applyFont="1" applyBorder="1" applyAlignment="1">
      <alignment horizontal="center" vertical="center" wrapText="1"/>
    </xf>
    <xf numFmtId="3" fontId="56" fillId="0" borderId="32" xfId="0" applyNumberFormat="1" applyFont="1" applyBorder="1" applyAlignment="1">
      <alignment horizontal="center" vertical="center" wrapText="1"/>
    </xf>
    <xf numFmtId="3" fontId="56" fillId="0" borderId="39" xfId="0" applyNumberFormat="1" applyFont="1" applyBorder="1" applyAlignment="1">
      <alignment horizontal="center" vertical="center" wrapText="1"/>
    </xf>
    <xf numFmtId="9" fontId="56" fillId="0" borderId="32" xfId="1" applyFont="1" applyBorder="1" applyAlignment="1">
      <alignment horizontal="center" vertical="center" wrapText="1"/>
    </xf>
    <xf numFmtId="9" fontId="56" fillId="0" borderId="40" xfId="1" applyFont="1" applyBorder="1" applyAlignment="1">
      <alignment horizontal="center" vertical="center"/>
    </xf>
    <xf numFmtId="0" fontId="52" fillId="0" borderId="40" xfId="0" applyFont="1" applyBorder="1" applyAlignment="1">
      <alignment horizontal="center" vertical="center" wrapText="1"/>
    </xf>
    <xf numFmtId="0" fontId="52" fillId="0" borderId="8" xfId="0" applyFont="1" applyBorder="1" applyAlignment="1">
      <alignment horizontal="center" vertical="center" wrapText="1"/>
    </xf>
    <xf numFmtId="9" fontId="52" fillId="0" borderId="8" xfId="0" applyNumberFormat="1" applyFont="1" applyFill="1" applyBorder="1" applyAlignment="1">
      <alignment horizontal="center" vertical="center" wrapText="1"/>
    </xf>
    <xf numFmtId="0" fontId="52" fillId="0" borderId="8" xfId="0" applyFont="1" applyFill="1" applyBorder="1" applyAlignment="1">
      <alignment horizontal="center" vertical="center" wrapText="1"/>
    </xf>
    <xf numFmtId="9" fontId="52" fillId="0" borderId="8" xfId="0" applyNumberFormat="1" applyFont="1" applyBorder="1" applyAlignment="1">
      <alignment horizontal="center" vertical="center" wrapText="1"/>
    </xf>
    <xf numFmtId="167" fontId="50" fillId="0" borderId="10" xfId="0" applyNumberFormat="1" applyFont="1" applyBorder="1" applyAlignment="1">
      <alignment horizontal="center" vertical="center" wrapText="1"/>
    </xf>
    <xf numFmtId="0" fontId="47" fillId="0" borderId="0" xfId="0" applyFont="1" applyBorder="1"/>
    <xf numFmtId="9" fontId="63" fillId="0" borderId="0" xfId="1" applyFont="1" applyBorder="1" applyAlignment="1">
      <alignment horizontal="center" vertical="center" wrapText="1"/>
    </xf>
    <xf numFmtId="1" fontId="56" fillId="0" borderId="124" xfId="0" applyNumberFormat="1" applyFont="1" applyFill="1" applyBorder="1" applyAlignment="1">
      <alignment horizontal="center" vertical="center" wrapText="1"/>
    </xf>
    <xf numFmtId="0" fontId="56" fillId="0" borderId="9" xfId="0" applyFont="1" applyBorder="1" applyAlignment="1">
      <alignment horizontal="center" vertical="center"/>
    </xf>
    <xf numFmtId="0" fontId="56" fillId="0" borderId="157" xfId="0" applyFont="1" applyBorder="1" applyAlignment="1">
      <alignment horizontal="center" vertical="center"/>
    </xf>
    <xf numFmtId="1" fontId="56" fillId="0" borderId="56" xfId="0" applyNumberFormat="1" applyFont="1" applyBorder="1" applyAlignment="1">
      <alignment horizontal="center" vertical="center" wrapText="1"/>
    </xf>
    <xf numFmtId="3" fontId="56" fillId="0" borderId="29" xfId="0" applyNumberFormat="1" applyFont="1" applyBorder="1" applyAlignment="1">
      <alignment horizontal="center" vertical="center" wrapText="1"/>
    </xf>
    <xf numFmtId="9" fontId="56" fillId="0" borderId="123" xfId="1" applyFont="1" applyBorder="1" applyAlignment="1">
      <alignment horizontal="center" vertical="center"/>
    </xf>
    <xf numFmtId="9" fontId="56" fillId="0" borderId="0" xfId="1" applyFont="1" applyBorder="1" applyAlignment="1">
      <alignment horizontal="center" vertical="center"/>
    </xf>
    <xf numFmtId="0" fontId="60" fillId="0" borderId="158" xfId="0" applyFont="1" applyBorder="1" applyAlignment="1">
      <alignment horizontal="center"/>
    </xf>
    <xf numFmtId="0" fontId="52" fillId="0" borderId="158" xfId="0" applyFont="1" applyBorder="1" applyAlignment="1">
      <alignment horizontal="center" vertical="center" wrapText="1"/>
    </xf>
    <xf numFmtId="0" fontId="64" fillId="0" borderId="41" xfId="0" applyFont="1" applyBorder="1" applyAlignment="1">
      <alignment horizontal="center" vertical="center"/>
    </xf>
    <xf numFmtId="3" fontId="52" fillId="0" borderId="8" xfId="0" applyNumberFormat="1" applyFont="1" applyBorder="1" applyAlignment="1">
      <alignment horizontal="center" vertical="center" wrapText="1"/>
    </xf>
    <xf numFmtId="3" fontId="60" fillId="0" borderId="0" xfId="0" applyNumberFormat="1" applyFont="1" applyAlignment="1">
      <alignment horizontal="center"/>
    </xf>
    <xf numFmtId="9" fontId="56" fillId="0" borderId="8" xfId="1" applyFont="1" applyBorder="1" applyAlignment="1">
      <alignment horizontal="center" vertical="center" wrapText="1"/>
    </xf>
    <xf numFmtId="9" fontId="52" fillId="0" borderId="0" xfId="1" applyNumberFormat="1" applyFont="1"/>
    <xf numFmtId="167" fontId="60" fillId="0" borderId="0" xfId="0" applyNumberFormat="1" applyFont="1" applyAlignment="1">
      <alignment horizontal="center" vertical="center"/>
    </xf>
    <xf numFmtId="0" fontId="60" fillId="0" borderId="0" xfId="0" applyFont="1" applyFill="1" applyAlignment="1">
      <alignment horizontal="center" vertical="center"/>
    </xf>
    <xf numFmtId="0" fontId="131" fillId="0" borderId="0" xfId="0" applyFont="1" applyAlignment="1">
      <alignment horizontal="center" vertical="center"/>
    </xf>
    <xf numFmtId="3" fontId="60" fillId="0" borderId="0" xfId="0" applyNumberFormat="1" applyFont="1" applyAlignment="1">
      <alignment horizontal="center" vertical="center"/>
    </xf>
    <xf numFmtId="169" fontId="60" fillId="0" borderId="0" xfId="0" applyNumberFormat="1" applyFont="1" applyAlignment="1">
      <alignment horizontal="center" vertical="center"/>
    </xf>
    <xf numFmtId="1" fontId="56" fillId="0" borderId="124" xfId="0" applyNumberFormat="1" applyFont="1" applyBorder="1" applyAlignment="1">
      <alignment horizontal="center" vertical="center"/>
    </xf>
    <xf numFmtId="167" fontId="56" fillId="0" borderId="124" xfId="0" applyNumberFormat="1" applyFont="1" applyBorder="1" applyAlignment="1">
      <alignment horizontal="center" vertical="center"/>
    </xf>
    <xf numFmtId="1" fontId="56" fillId="0" borderId="0" xfId="0" applyNumberFormat="1" applyFont="1" applyBorder="1" applyAlignment="1">
      <alignment horizontal="center" vertical="center"/>
    </xf>
    <xf numFmtId="1" fontId="56" fillId="0" borderId="123" xfId="0" applyNumberFormat="1" applyFont="1" applyBorder="1" applyAlignment="1">
      <alignment horizontal="center" vertical="center"/>
    </xf>
    <xf numFmtId="167" fontId="56" fillId="0" borderId="0" xfId="0" applyNumberFormat="1" applyFont="1" applyBorder="1" applyAlignment="1">
      <alignment horizontal="center" vertical="center"/>
    </xf>
    <xf numFmtId="167" fontId="56" fillId="0" borderId="123" xfId="0" applyNumberFormat="1" applyFont="1" applyFill="1" applyBorder="1" applyAlignment="1">
      <alignment horizontal="center" vertical="center" wrapText="1"/>
    </xf>
    <xf numFmtId="1" fontId="56" fillId="0" borderId="161" xfId="0" applyNumberFormat="1" applyFont="1" applyBorder="1" applyAlignment="1">
      <alignment horizontal="center" vertical="center"/>
    </xf>
    <xf numFmtId="3" fontId="56" fillId="0" borderId="31" xfId="0" applyNumberFormat="1" applyFont="1" applyBorder="1" applyAlignment="1">
      <alignment horizontal="center" vertical="center" wrapText="1"/>
    </xf>
    <xf numFmtId="167" fontId="56" fillId="0" borderId="121" xfId="0" applyNumberFormat="1" applyFont="1" applyBorder="1" applyAlignment="1">
      <alignment horizontal="center" vertical="center" wrapText="1"/>
    </xf>
    <xf numFmtId="9" fontId="56" fillId="0" borderId="121" xfId="1" applyFont="1" applyBorder="1" applyAlignment="1">
      <alignment horizontal="center" vertical="center" wrapText="1"/>
    </xf>
    <xf numFmtId="167" fontId="56" fillId="0" borderId="120" xfId="0" applyNumberFormat="1" applyFont="1" applyBorder="1" applyAlignment="1">
      <alignment horizontal="center" vertical="center"/>
    </xf>
    <xf numFmtId="9" fontId="56" fillId="0" borderId="52" xfId="1" applyFont="1" applyBorder="1" applyAlignment="1">
      <alignment horizontal="center" vertical="center"/>
    </xf>
    <xf numFmtId="9" fontId="56" fillId="0" borderId="121" xfId="1" applyFont="1" applyBorder="1" applyAlignment="1">
      <alignment horizontal="center" vertical="center"/>
    </xf>
    <xf numFmtId="9" fontId="125" fillId="0" borderId="121" xfId="1" applyFont="1" applyBorder="1" applyAlignment="1">
      <alignment horizontal="center" vertical="center"/>
    </xf>
    <xf numFmtId="3" fontId="56" fillId="0" borderId="158" xfId="0" applyNumberFormat="1" applyFont="1" applyBorder="1" applyAlignment="1">
      <alignment horizontal="center" vertical="center"/>
    </xf>
    <xf numFmtId="167" fontId="56" fillId="0" borderId="52" xfId="0" applyNumberFormat="1" applyFont="1" applyBorder="1" applyAlignment="1">
      <alignment horizontal="center" vertical="center"/>
    </xf>
    <xf numFmtId="1" fontId="56" fillId="0" borderId="10" xfId="0" applyNumberFormat="1" applyFont="1" applyBorder="1" applyAlignment="1">
      <alignment horizontal="center" vertical="center" wrapText="1"/>
    </xf>
    <xf numFmtId="9" fontId="56" fillId="0" borderId="20" xfId="1" applyFont="1" applyBorder="1" applyAlignment="1">
      <alignment horizontal="center" vertical="center"/>
    </xf>
    <xf numFmtId="9" fontId="56" fillId="0" borderId="10" xfId="1" applyFont="1" applyBorder="1" applyAlignment="1">
      <alignment horizontal="center" vertical="center"/>
    </xf>
    <xf numFmtId="9" fontId="69" fillId="0" borderId="10" xfId="1" applyFont="1" applyBorder="1" applyAlignment="1">
      <alignment horizontal="center" vertical="center"/>
    </xf>
    <xf numFmtId="167" fontId="56" fillId="0" borderId="120" xfId="0" applyNumberFormat="1" applyFont="1" applyBorder="1" applyAlignment="1">
      <alignment horizontal="center" vertical="center" wrapText="1"/>
    </xf>
    <xf numFmtId="167" fontId="52" fillId="0" borderId="11" xfId="0" applyNumberFormat="1" applyFont="1" applyBorder="1" applyAlignment="1">
      <alignment horizontal="center" vertical="center" wrapText="1"/>
    </xf>
    <xf numFmtId="0" fontId="56" fillId="0" borderId="1" xfId="0" applyFont="1" applyBorder="1" applyAlignment="1">
      <alignment horizontal="center" vertical="center" wrapText="1"/>
    </xf>
    <xf numFmtId="0" fontId="56" fillId="0" borderId="123" xfId="0" applyFont="1" applyBorder="1" applyAlignment="1">
      <alignment horizontal="center" vertical="center" wrapText="1"/>
    </xf>
    <xf numFmtId="0" fontId="56" fillId="0" borderId="38" xfId="0" applyFont="1" applyBorder="1" applyAlignment="1">
      <alignment horizontal="center" vertical="center" wrapText="1"/>
    </xf>
    <xf numFmtId="0" fontId="56" fillId="0" borderId="0" xfId="0" applyFont="1" applyBorder="1" applyAlignment="1">
      <alignment horizontal="center" vertical="center" wrapText="1"/>
    </xf>
    <xf numFmtId="0" fontId="56" fillId="0" borderId="32" xfId="0" applyFont="1" applyBorder="1" applyAlignment="1">
      <alignment horizontal="center" vertical="center" wrapText="1"/>
    </xf>
    <xf numFmtId="0" fontId="57" fillId="0" borderId="0" xfId="0" applyFont="1" applyBorder="1" applyAlignment="1">
      <alignment horizontal="center" vertical="center"/>
    </xf>
    <xf numFmtId="0" fontId="52" fillId="0" borderId="0" xfId="0" applyFont="1" applyBorder="1" applyAlignment="1">
      <alignment horizontal="center" vertical="center" wrapText="1"/>
    </xf>
    <xf numFmtId="9" fontId="52" fillId="0" borderId="123" xfId="1" applyFont="1" applyBorder="1" applyAlignment="1">
      <alignment horizontal="center" vertical="center" wrapText="1"/>
    </xf>
    <xf numFmtId="0" fontId="33" fillId="0" borderId="89" xfId="3" applyFont="1" applyBorder="1" applyAlignment="1">
      <alignment horizontal="left" indent="1"/>
    </xf>
    <xf numFmtId="9" fontId="56" fillId="0" borderId="38" xfId="1" applyFont="1" applyBorder="1" applyAlignment="1">
      <alignment horizontal="center" vertical="center"/>
    </xf>
    <xf numFmtId="9" fontId="56" fillId="0" borderId="32" xfId="1" applyFont="1" applyBorder="1" applyAlignment="1">
      <alignment horizontal="center" vertical="center"/>
    </xf>
    <xf numFmtId="9" fontId="56" fillId="0" borderId="40" xfId="1" applyFont="1" applyBorder="1" applyAlignment="1">
      <alignment horizontal="center" vertical="center" wrapText="1"/>
    </xf>
    <xf numFmtId="9" fontId="33" fillId="0" borderId="123" xfId="1" applyFont="1" applyBorder="1" applyAlignment="1">
      <alignment horizontal="center" vertical="center" wrapText="1"/>
    </xf>
    <xf numFmtId="9" fontId="69" fillId="0" borderId="52" xfId="1" applyFont="1" applyBorder="1" applyAlignment="1">
      <alignment horizontal="center" vertical="center" wrapText="1"/>
    </xf>
    <xf numFmtId="9" fontId="56" fillId="0" borderId="13" xfId="1" applyFont="1" applyBorder="1" applyAlignment="1">
      <alignment horizontal="center" vertical="center"/>
    </xf>
    <xf numFmtId="9" fontId="56" fillId="0" borderId="10" xfId="1" applyFont="1" applyBorder="1" applyAlignment="1">
      <alignment horizontal="center" vertical="center" wrapText="1"/>
    </xf>
    <xf numFmtId="9" fontId="69" fillId="0" borderId="20" xfId="1" applyFont="1" applyBorder="1" applyAlignment="1">
      <alignment horizontal="center" vertical="center" wrapText="1"/>
    </xf>
    <xf numFmtId="0" fontId="56" fillId="0" borderId="157" xfId="0" applyFont="1" applyBorder="1" applyAlignment="1">
      <alignment horizontal="center" vertical="center" wrapText="1"/>
    </xf>
    <xf numFmtId="0" fontId="56" fillId="0" borderId="9" xfId="0" applyFont="1" applyBorder="1" applyAlignment="1">
      <alignment horizontal="center" vertical="center" wrapText="1"/>
    </xf>
    <xf numFmtId="3" fontId="56" fillId="0" borderId="52" xfId="0" applyNumberFormat="1" applyFont="1" applyBorder="1" applyAlignment="1">
      <alignment horizontal="center" vertical="center"/>
    </xf>
    <xf numFmtId="3" fontId="56" fillId="0" borderId="121" xfId="0" applyNumberFormat="1" applyFont="1" applyBorder="1" applyAlignment="1">
      <alignment horizontal="center" vertical="center"/>
    </xf>
    <xf numFmtId="3" fontId="56" fillId="0" borderId="20" xfId="0" applyNumberFormat="1" applyFont="1" applyBorder="1" applyAlignment="1">
      <alignment horizontal="center" vertical="center"/>
    </xf>
    <xf numFmtId="3" fontId="56" fillId="0" borderId="10" xfId="0" applyNumberFormat="1" applyFont="1" applyBorder="1" applyAlignment="1">
      <alignment horizontal="center" vertical="center"/>
    </xf>
    <xf numFmtId="1" fontId="56" fillId="0" borderId="11" xfId="0" applyNumberFormat="1" applyFont="1" applyBorder="1" applyAlignment="1">
      <alignment horizontal="center" vertical="center"/>
    </xf>
    <xf numFmtId="1" fontId="56" fillId="0" borderId="32" xfId="0" applyNumberFormat="1" applyFont="1" applyBorder="1" applyAlignment="1">
      <alignment horizontal="center" vertical="center" wrapText="1"/>
    </xf>
    <xf numFmtId="1" fontId="56" fillId="0" borderId="29" xfId="0" applyNumberFormat="1" applyFont="1" applyBorder="1" applyAlignment="1">
      <alignment horizontal="center" vertical="center" wrapText="1"/>
    </xf>
    <xf numFmtId="1" fontId="56" fillId="0" borderId="0" xfId="0" applyNumberFormat="1" applyFont="1" applyBorder="1" applyAlignment="1">
      <alignment horizontal="center" vertical="center" wrapText="1"/>
    </xf>
    <xf numFmtId="3" fontId="56" fillId="0" borderId="124" xfId="0" applyNumberFormat="1" applyFont="1" applyBorder="1" applyAlignment="1">
      <alignment horizontal="center" vertical="center"/>
    </xf>
    <xf numFmtId="0" fontId="33" fillId="0" borderId="7" xfId="0" applyFont="1" applyFill="1" applyBorder="1"/>
    <xf numFmtId="167" fontId="33" fillId="0" borderId="0" xfId="139" applyNumberFormat="1" applyFont="1" applyFill="1" applyBorder="1" applyAlignment="1">
      <alignment horizontal="center"/>
    </xf>
    <xf numFmtId="167" fontId="33" fillId="0" borderId="0" xfId="0" applyNumberFormat="1" applyFont="1" applyFill="1" applyBorder="1" applyAlignment="1">
      <alignment horizontal="center"/>
    </xf>
    <xf numFmtId="9" fontId="33" fillId="0" borderId="123" xfId="1" applyFont="1" applyFill="1" applyBorder="1" applyAlignment="1">
      <alignment horizontal="center"/>
    </xf>
    <xf numFmtId="9" fontId="33" fillId="0" borderId="2" xfId="1" applyFont="1" applyFill="1" applyBorder="1" applyAlignment="1">
      <alignment horizontal="center"/>
    </xf>
    <xf numFmtId="9" fontId="33" fillId="0" borderId="0" xfId="1" applyFont="1" applyFill="1" applyBorder="1" applyAlignment="1">
      <alignment horizontal="center"/>
    </xf>
    <xf numFmtId="0" fontId="32" fillId="0" borderId="0" xfId="0" applyFont="1"/>
    <xf numFmtId="0" fontId="32" fillId="0" borderId="0" xfId="0" applyFont="1" applyBorder="1" applyAlignment="1">
      <alignment horizontal="center" vertical="center" wrapText="1"/>
    </xf>
    <xf numFmtId="3" fontId="56" fillId="0" borderId="32" xfId="0" applyNumberFormat="1" applyFont="1" applyBorder="1" applyAlignment="1">
      <alignment horizontal="center" vertical="center"/>
    </xf>
    <xf numFmtId="3" fontId="65" fillId="0" borderId="0" xfId="0" applyNumberFormat="1" applyFont="1" applyFill="1" applyBorder="1" applyAlignment="1">
      <alignment horizontal="center"/>
    </xf>
    <xf numFmtId="3" fontId="47" fillId="0" borderId="0" xfId="0" applyNumberFormat="1" applyFont="1" applyBorder="1" applyAlignment="1">
      <alignment horizontal="center"/>
    </xf>
    <xf numFmtId="3" fontId="56" fillId="0" borderId="123" xfId="0" applyNumberFormat="1" applyFont="1" applyBorder="1" applyAlignment="1">
      <alignment horizontal="center" vertical="center" wrapText="1"/>
    </xf>
    <xf numFmtId="3" fontId="52" fillId="0" borderId="124" xfId="0" applyNumberFormat="1" applyFont="1" applyBorder="1" applyAlignment="1">
      <alignment horizontal="center"/>
    </xf>
    <xf numFmtId="3" fontId="56" fillId="0" borderId="162" xfId="0" applyNumberFormat="1" applyFont="1" applyBorder="1" applyAlignment="1">
      <alignment horizontal="center" vertical="center" wrapText="1"/>
    </xf>
    <xf numFmtId="0" fontId="47" fillId="0" borderId="0" xfId="0" applyFont="1" applyBorder="1" applyAlignment="1">
      <alignment horizontal="center" vertical="center" wrapText="1"/>
    </xf>
    <xf numFmtId="1" fontId="65" fillId="0" borderId="0" xfId="0" applyNumberFormat="1" applyFont="1" applyBorder="1" applyAlignment="1">
      <alignment horizontal="center"/>
    </xf>
    <xf numFmtId="1" fontId="69" fillId="0" borderId="124" xfId="0" applyNumberFormat="1" applyFont="1" applyBorder="1" applyAlignment="1">
      <alignment horizontal="center" vertical="center"/>
    </xf>
    <xf numFmtId="3" fontId="69" fillId="0" borderId="166" xfId="0" applyNumberFormat="1" applyFont="1" applyBorder="1" applyAlignment="1">
      <alignment horizontal="center" vertical="center"/>
    </xf>
    <xf numFmtId="3" fontId="60" fillId="0" borderId="0" xfId="0" applyNumberFormat="1" applyFont="1" applyFill="1" applyAlignment="1">
      <alignment horizontal="center"/>
    </xf>
    <xf numFmtId="3" fontId="69" fillId="0" borderId="1" xfId="1" applyNumberFormat="1" applyFont="1" applyFill="1" applyBorder="1" applyAlignment="1">
      <alignment horizontal="center" vertical="center"/>
    </xf>
    <xf numFmtId="3" fontId="40" fillId="0" borderId="1" xfId="1" applyNumberFormat="1" applyFont="1" applyFill="1" applyBorder="1" applyAlignment="1">
      <alignment horizontal="center"/>
    </xf>
    <xf numFmtId="171" fontId="56" fillId="0" borderId="10" xfId="1" applyNumberFormat="1" applyFont="1" applyFill="1" applyBorder="1" applyAlignment="1">
      <alignment horizontal="center" vertical="center"/>
    </xf>
    <xf numFmtId="3" fontId="56" fillId="0" borderId="123" xfId="0" applyNumberFormat="1" applyFont="1" applyBorder="1" applyAlignment="1">
      <alignment horizontal="center" vertical="center"/>
    </xf>
    <xf numFmtId="0" fontId="30" fillId="0" borderId="0" xfId="0" applyFont="1"/>
    <xf numFmtId="169" fontId="56" fillId="0" borderId="1" xfId="0" applyNumberFormat="1" applyFont="1" applyBorder="1" applyAlignment="1">
      <alignment horizontal="center"/>
    </xf>
    <xf numFmtId="169" fontId="52" fillId="0" borderId="19" xfId="0" applyNumberFormat="1" applyFont="1" applyBorder="1" applyAlignment="1">
      <alignment horizontal="center"/>
    </xf>
    <xf numFmtId="3" fontId="52" fillId="0" borderId="0" xfId="0" applyNumberFormat="1" applyFont="1" applyBorder="1" applyAlignment="1">
      <alignment horizontal="center" vertical="center" wrapText="1"/>
    </xf>
    <xf numFmtId="167" fontId="56" fillId="0" borderId="123" xfId="0" applyNumberFormat="1" applyFont="1" applyBorder="1" applyAlignment="1">
      <alignment horizontal="center" vertical="center"/>
    </xf>
    <xf numFmtId="9" fontId="52" fillId="0" borderId="0" xfId="1" applyFont="1" applyBorder="1" applyAlignment="1">
      <alignment horizontal="center" vertical="center"/>
    </xf>
    <xf numFmtId="3" fontId="56" fillId="0" borderId="29" xfId="0" applyNumberFormat="1" applyFont="1" applyBorder="1" applyAlignment="1">
      <alignment horizontal="center" vertical="center"/>
    </xf>
    <xf numFmtId="3" fontId="65" fillId="0" borderId="124" xfId="0" applyNumberFormat="1" applyFont="1" applyBorder="1" applyAlignment="1">
      <alignment horizontal="center"/>
    </xf>
    <xf numFmtId="3" fontId="65" fillId="0" borderId="124" xfId="0" applyNumberFormat="1" applyFont="1" applyFill="1" applyBorder="1" applyAlignment="1">
      <alignment horizontal="center"/>
    </xf>
    <xf numFmtId="3" fontId="52" fillId="0" borderId="124" xfId="0" applyNumberFormat="1" applyFont="1" applyFill="1" applyBorder="1" applyAlignment="1">
      <alignment horizontal="center"/>
    </xf>
    <xf numFmtId="3" fontId="50" fillId="0" borderId="124" xfId="0" applyNumberFormat="1" applyFont="1" applyBorder="1" applyAlignment="1">
      <alignment horizontal="center"/>
    </xf>
    <xf numFmtId="3" fontId="47" fillId="0" borderId="124" xfId="0" applyNumberFormat="1" applyFont="1" applyBorder="1" applyAlignment="1">
      <alignment horizontal="center"/>
    </xf>
    <xf numFmtId="3" fontId="56" fillId="0" borderId="166" xfId="0" applyNumberFormat="1" applyFont="1" applyBorder="1" applyAlignment="1">
      <alignment horizontal="center" vertical="center" wrapText="1"/>
    </xf>
    <xf numFmtId="1" fontId="33" fillId="0" borderId="0" xfId="0" applyNumberFormat="1" applyFont="1" applyBorder="1" applyAlignment="1">
      <alignment horizontal="center" vertical="center" wrapText="1"/>
    </xf>
    <xf numFmtId="0" fontId="31" fillId="0" borderId="0" xfId="0" applyFont="1" applyBorder="1" applyAlignment="1">
      <alignment horizontal="center"/>
    </xf>
    <xf numFmtId="1" fontId="38" fillId="0" borderId="0" xfId="0" applyNumberFormat="1" applyFont="1" applyBorder="1" applyAlignment="1">
      <alignment horizontal="center"/>
    </xf>
    <xf numFmtId="9" fontId="56" fillId="0" borderId="47" xfId="1" applyFont="1" applyBorder="1" applyAlignment="1">
      <alignment horizontal="center" vertical="center"/>
    </xf>
    <xf numFmtId="0" fontId="30" fillId="0" borderId="40" xfId="0" applyFont="1" applyBorder="1" applyAlignment="1">
      <alignment horizontal="center" vertical="center" wrapText="1"/>
    </xf>
    <xf numFmtId="167" fontId="30" fillId="0" borderId="8" xfId="0" applyNumberFormat="1" applyFont="1" applyBorder="1" applyAlignment="1">
      <alignment horizontal="center" vertical="center"/>
    </xf>
    <xf numFmtId="167" fontId="30" fillId="0" borderId="8" xfId="0" applyNumberFormat="1" applyFont="1" applyBorder="1" applyAlignment="1">
      <alignment horizontal="center"/>
    </xf>
    <xf numFmtId="167" fontId="30" fillId="0" borderId="8" xfId="0" applyNumberFormat="1" applyFont="1" applyFill="1" applyBorder="1" applyAlignment="1">
      <alignment horizontal="center"/>
    </xf>
    <xf numFmtId="3" fontId="30" fillId="0" borderId="158" xfId="0" applyNumberFormat="1" applyFont="1" applyBorder="1" applyAlignment="1">
      <alignment horizontal="center" vertical="center"/>
    </xf>
    <xf numFmtId="9" fontId="56" fillId="0" borderId="0" xfId="1" applyNumberFormat="1" applyFont="1" applyBorder="1" applyAlignment="1">
      <alignment horizontal="center" vertical="center"/>
    </xf>
    <xf numFmtId="9" fontId="31" fillId="0" borderId="0" xfId="1" applyFont="1" applyBorder="1" applyAlignment="1">
      <alignment horizontal="center" vertical="center"/>
    </xf>
    <xf numFmtId="9" fontId="69" fillId="0" borderId="121" xfId="1" applyFont="1" applyBorder="1" applyAlignment="1">
      <alignment horizontal="center" vertical="center"/>
    </xf>
    <xf numFmtId="0" fontId="56" fillId="0" borderId="123" xfId="0" applyFont="1" applyBorder="1" applyAlignment="1">
      <alignment horizontal="center" vertical="center"/>
    </xf>
    <xf numFmtId="9" fontId="56" fillId="0" borderId="47" xfId="1" applyFont="1" applyBorder="1" applyAlignment="1">
      <alignment horizontal="center"/>
    </xf>
    <xf numFmtId="9" fontId="56" fillId="0" borderId="47" xfId="1" applyFont="1" applyFill="1" applyBorder="1" applyAlignment="1">
      <alignment horizontal="center"/>
    </xf>
    <xf numFmtId="1" fontId="60" fillId="0" borderId="0" xfId="0" applyNumberFormat="1" applyFont="1"/>
    <xf numFmtId="0" fontId="122" fillId="0" borderId="0" xfId="0" applyFont="1"/>
    <xf numFmtId="3" fontId="56" fillId="0" borderId="13" xfId="0" applyNumberFormat="1" applyFont="1" applyBorder="1" applyAlignment="1">
      <alignment vertical="center"/>
    </xf>
    <xf numFmtId="9" fontId="56" fillId="0" borderId="60" xfId="1" applyFont="1" applyBorder="1" applyAlignment="1">
      <alignment horizontal="center" vertical="center"/>
    </xf>
    <xf numFmtId="9" fontId="56" fillId="0" borderId="165" xfId="1" applyFont="1" applyBorder="1" applyAlignment="1">
      <alignment horizontal="center" vertical="center"/>
    </xf>
    <xf numFmtId="0" fontId="60" fillId="0" borderId="0" xfId="0" applyFont="1" applyAlignment="1">
      <alignment horizontal="center" vertical="center" wrapText="1"/>
    </xf>
    <xf numFmtId="9" fontId="60" fillId="0" borderId="0" xfId="1" applyFont="1" applyAlignment="1">
      <alignment horizontal="center"/>
    </xf>
    <xf numFmtId="9" fontId="60" fillId="0" borderId="0" xfId="0" applyNumberFormat="1" applyFont="1" applyAlignment="1">
      <alignment horizontal="center"/>
    </xf>
    <xf numFmtId="171" fontId="60" fillId="0" borderId="0" xfId="0" applyNumberFormat="1" applyFont="1" applyAlignment="1">
      <alignment horizontal="center"/>
    </xf>
    <xf numFmtId="0" fontId="56" fillId="0" borderId="123" xfId="0" applyFont="1" applyBorder="1" applyAlignment="1">
      <alignment horizontal="center"/>
    </xf>
    <xf numFmtId="0" fontId="47" fillId="0" borderId="3" xfId="0" applyFont="1" applyBorder="1" applyAlignment="1">
      <alignment horizontal="center" vertical="center" wrapText="1"/>
    </xf>
    <xf numFmtId="0" fontId="47" fillId="0" borderId="42" xfId="0" applyFont="1" applyBorder="1" applyAlignment="1">
      <alignment horizontal="center" vertical="center" wrapText="1"/>
    </xf>
    <xf numFmtId="0" fontId="56" fillId="0" borderId="2" xfId="0" applyFont="1" applyBorder="1" applyAlignment="1">
      <alignment horizontal="center" vertical="center" wrapText="1"/>
    </xf>
    <xf numFmtId="0" fontId="56" fillId="0" borderId="3" xfId="0" applyFont="1" applyBorder="1" applyAlignment="1">
      <alignment horizontal="center" vertical="center" wrapText="1"/>
    </xf>
    <xf numFmtId="0" fontId="56" fillId="0" borderId="42" xfId="0" applyFont="1" applyBorder="1" applyAlignment="1">
      <alignment horizontal="center" vertical="center" wrapText="1"/>
    </xf>
    <xf numFmtId="3" fontId="52" fillId="0" borderId="1" xfId="0" applyNumberFormat="1" applyFont="1" applyBorder="1" applyAlignment="1">
      <alignment horizontal="center"/>
    </xf>
    <xf numFmtId="3" fontId="52" fillId="0" borderId="2" xfId="0" applyNumberFormat="1" applyFont="1" applyBorder="1" applyAlignment="1">
      <alignment horizontal="center"/>
    </xf>
    <xf numFmtId="0" fontId="52" fillId="0" borderId="2" xfId="0" applyFont="1" applyBorder="1" applyAlignment="1">
      <alignment horizontal="center"/>
    </xf>
    <xf numFmtId="0" fontId="52" fillId="0" borderId="12" xfId="0" applyFont="1" applyBorder="1" applyAlignment="1">
      <alignment horizontal="center"/>
    </xf>
    <xf numFmtId="0" fontId="56" fillId="0" borderId="125" xfId="0" applyFont="1" applyBorder="1" applyAlignment="1">
      <alignment horizontal="center" vertical="center" wrapText="1"/>
    </xf>
    <xf numFmtId="3" fontId="69" fillId="0" borderId="123" xfId="0" applyNumberFormat="1" applyFont="1" applyBorder="1" applyAlignment="1">
      <alignment horizontal="center"/>
    </xf>
    <xf numFmtId="3" fontId="50" fillId="0" borderId="123" xfId="0" applyNumberFormat="1" applyFont="1" applyBorder="1" applyAlignment="1">
      <alignment horizontal="center" vertical="center" wrapText="1"/>
    </xf>
    <xf numFmtId="9" fontId="50" fillId="0" borderId="125" xfId="1" applyFont="1" applyBorder="1" applyAlignment="1">
      <alignment horizontal="center" vertical="center" wrapText="1"/>
    </xf>
    <xf numFmtId="0" fontId="52" fillId="0" borderId="9" xfId="0" applyFont="1" applyBorder="1"/>
    <xf numFmtId="3" fontId="69" fillId="0" borderId="20" xfId="0" applyNumberFormat="1" applyFont="1" applyBorder="1" applyAlignment="1">
      <alignment horizontal="center"/>
    </xf>
    <xf numFmtId="3" fontId="65" fillId="0" borderId="10" xfId="0" applyNumberFormat="1" applyFont="1" applyBorder="1" applyAlignment="1">
      <alignment horizontal="center"/>
    </xf>
    <xf numFmtId="3" fontId="56" fillId="0" borderId="20" xfId="0" applyNumberFormat="1" applyFont="1" applyBorder="1" applyAlignment="1">
      <alignment horizontal="center" vertical="center" wrapText="1"/>
    </xf>
    <xf numFmtId="3" fontId="52" fillId="0" borderId="11" xfId="0" applyNumberFormat="1" applyFont="1" applyBorder="1" applyAlignment="1">
      <alignment horizontal="center"/>
    </xf>
    <xf numFmtId="3" fontId="52" fillId="0" borderId="12" xfId="0" applyNumberFormat="1" applyFont="1" applyBorder="1" applyAlignment="1">
      <alignment horizontal="center"/>
    </xf>
    <xf numFmtId="3" fontId="50" fillId="0" borderId="10" xfId="0" applyNumberFormat="1" applyFont="1" applyBorder="1" applyAlignment="1">
      <alignment horizontal="center" vertical="center" wrapText="1"/>
    </xf>
    <xf numFmtId="3" fontId="50" fillId="0" borderId="20" xfId="0" applyNumberFormat="1" applyFont="1" applyBorder="1" applyAlignment="1">
      <alignment horizontal="center" vertical="center" wrapText="1"/>
    </xf>
    <xf numFmtId="9" fontId="50" fillId="0" borderId="54" xfId="1" applyFont="1" applyBorder="1" applyAlignment="1">
      <alignment horizontal="center" vertical="center" wrapText="1"/>
    </xf>
    <xf numFmtId="9" fontId="47" fillId="0" borderId="0" xfId="263" applyFont="1" applyBorder="1" applyAlignment="1">
      <alignment horizontal="center"/>
    </xf>
    <xf numFmtId="0" fontId="38" fillId="0" borderId="0" xfId="0" applyFont="1" applyBorder="1" applyAlignment="1">
      <alignment horizontal="center" vertical="center" wrapText="1"/>
    </xf>
    <xf numFmtId="0" fontId="46" fillId="0" borderId="0" xfId="605"/>
    <xf numFmtId="1" fontId="52" fillId="0" borderId="0" xfId="0" applyNumberFormat="1" applyFont="1"/>
    <xf numFmtId="3" fontId="56" fillId="0" borderId="124" xfId="139" applyNumberFormat="1" applyFont="1" applyBorder="1" applyAlignment="1">
      <alignment horizontal="center"/>
    </xf>
    <xf numFmtId="3" fontId="52" fillId="0" borderId="0" xfId="139" applyNumberFormat="1" applyFont="1" applyBorder="1" applyAlignment="1">
      <alignment horizontal="center" vertical="center"/>
    </xf>
    <xf numFmtId="0" fontId="132" fillId="39" borderId="167" xfId="0" applyFont="1" applyFill="1" applyBorder="1" applyAlignment="1" applyProtection="1">
      <alignment horizontal="left" vertical="center" wrapText="1"/>
      <protection locked="0"/>
    </xf>
    <xf numFmtId="0" fontId="65" fillId="0" borderId="123" xfId="0" applyFont="1" applyFill="1" applyBorder="1"/>
    <xf numFmtId="0" fontId="56" fillId="0" borderId="52" xfId="0" applyFont="1" applyBorder="1" applyAlignment="1">
      <alignment horizontal="center" vertical="center"/>
    </xf>
    <xf numFmtId="0" fontId="56" fillId="0" borderId="168" xfId="0" applyFont="1" applyBorder="1" applyAlignment="1">
      <alignment horizontal="center" vertical="center"/>
    </xf>
    <xf numFmtId="3" fontId="56" fillId="0" borderId="124" xfId="139" applyNumberFormat="1" applyFont="1" applyBorder="1" applyAlignment="1">
      <alignment horizontal="center" vertical="center"/>
    </xf>
    <xf numFmtId="0" fontId="46" fillId="0" borderId="0" xfId="612"/>
    <xf numFmtId="3" fontId="56" fillId="0" borderId="3" xfId="0" applyNumberFormat="1" applyFont="1" applyBorder="1" applyAlignment="1">
      <alignment horizontal="center" vertical="center"/>
    </xf>
    <xf numFmtId="3" fontId="56" fillId="0" borderId="56" xfId="139" applyNumberFormat="1" applyFont="1" applyBorder="1" applyAlignment="1">
      <alignment horizontal="center" vertical="center"/>
    </xf>
    <xf numFmtId="3" fontId="56" fillId="0" borderId="172" xfId="139" applyNumberFormat="1" applyFont="1" applyBorder="1" applyAlignment="1">
      <alignment horizontal="center" vertical="center"/>
    </xf>
    <xf numFmtId="0" fontId="57" fillId="0" borderId="0" xfId="0" applyFont="1" applyBorder="1" applyAlignment="1">
      <alignment horizontal="center" vertical="center"/>
    </xf>
    <xf numFmtId="0" fontId="86" fillId="0" borderId="7" xfId="592" applyFont="1" applyBorder="1" applyAlignment="1">
      <alignment horizontal="center"/>
    </xf>
    <xf numFmtId="0" fontId="86" fillId="0" borderId="8" xfId="592" applyFont="1" applyBorder="1" applyAlignment="1">
      <alignment horizontal="center"/>
    </xf>
    <xf numFmtId="0" fontId="53" fillId="0" borderId="158" xfId="341" applyFont="1" applyBorder="1" applyAlignment="1">
      <alignment horizontal="center"/>
    </xf>
    <xf numFmtId="0" fontId="87" fillId="0" borderId="7" xfId="592" applyFont="1" applyBorder="1"/>
    <xf numFmtId="0" fontId="87" fillId="0" borderId="7" xfId="592" applyFont="1" applyBorder="1" applyAlignment="1">
      <alignment horizontal="center" vertical="center" wrapText="1"/>
    </xf>
    <xf numFmtId="0" fontId="129" fillId="0" borderId="32" xfId="592" applyFont="1" applyBorder="1" applyAlignment="1">
      <alignment horizontal="center" vertical="center" wrapText="1"/>
    </xf>
    <xf numFmtId="0" fontId="29" fillId="0" borderId="7" xfId="592" applyFont="1" applyBorder="1"/>
    <xf numFmtId="0" fontId="29" fillId="0" borderId="7" xfId="737" applyFont="1" applyBorder="1"/>
    <xf numFmtId="0" fontId="28" fillId="0" borderId="7" xfId="737" applyFont="1" applyBorder="1"/>
    <xf numFmtId="0" fontId="29" fillId="0" borderId="7" xfId="592" applyFont="1" applyFill="1" applyBorder="1"/>
    <xf numFmtId="3" fontId="29" fillId="0" borderId="0" xfId="592" applyNumberFormat="1" applyFont="1" applyAlignment="1">
      <alignment horizontal="center"/>
    </xf>
    <xf numFmtId="3" fontId="29" fillId="0" borderId="0" xfId="592" applyNumberFormat="1" applyFont="1" applyBorder="1" applyAlignment="1">
      <alignment horizontal="center"/>
    </xf>
    <xf numFmtId="3" fontId="29" fillId="0" borderId="123" xfId="592" applyNumberFormat="1" applyFont="1" applyBorder="1" applyAlignment="1">
      <alignment horizontal="center"/>
    </xf>
    <xf numFmtId="3" fontId="29" fillId="0" borderId="1" xfId="592" applyNumberFormat="1" applyFont="1" applyBorder="1" applyAlignment="1">
      <alignment horizontal="center"/>
    </xf>
    <xf numFmtId="0" fontId="53" fillId="0" borderId="5" xfId="592" applyFont="1" applyBorder="1"/>
    <xf numFmtId="0" fontId="69" fillId="0" borderId="176" xfId="592" applyFont="1" applyBorder="1" applyAlignment="1">
      <alignment horizontal="center" vertical="center" wrapText="1"/>
    </xf>
    <xf numFmtId="0" fontId="69" fillId="0" borderId="7" xfId="592" applyFont="1" applyBorder="1" applyAlignment="1">
      <alignment vertical="center" wrapText="1"/>
    </xf>
    <xf numFmtId="0" fontId="69" fillId="0" borderId="9" xfId="592" applyFont="1" applyBorder="1" applyAlignment="1">
      <alignment horizontal="center" vertical="center"/>
    </xf>
    <xf numFmtId="0" fontId="29" fillId="0" borderId="157" xfId="592" applyFont="1" applyBorder="1"/>
    <xf numFmtId="3" fontId="29" fillId="0" borderId="52" xfId="592" applyNumberFormat="1" applyFont="1" applyBorder="1" applyAlignment="1">
      <alignment horizontal="center"/>
    </xf>
    <xf numFmtId="3" fontId="29" fillId="0" borderId="121" xfId="592" applyNumberFormat="1" applyFont="1" applyBorder="1" applyAlignment="1">
      <alignment horizontal="center"/>
    </xf>
    <xf numFmtId="3" fontId="29" fillId="0" borderId="120" xfId="592" applyNumberFormat="1" applyFont="1" applyBorder="1" applyAlignment="1">
      <alignment horizontal="center"/>
    </xf>
    <xf numFmtId="3" fontId="69" fillId="0" borderId="20" xfId="592" applyNumberFormat="1" applyFont="1" applyBorder="1" applyAlignment="1">
      <alignment horizontal="center" vertical="center"/>
    </xf>
    <xf numFmtId="3" fontId="69" fillId="0" borderId="10" xfId="592" applyNumberFormat="1" applyFont="1" applyBorder="1" applyAlignment="1">
      <alignment horizontal="center" vertical="center"/>
    </xf>
    <xf numFmtId="3" fontId="69" fillId="0" borderId="11" xfId="592" applyNumberFormat="1" applyFont="1" applyBorder="1" applyAlignment="1">
      <alignment horizontal="center" vertical="center"/>
    </xf>
    <xf numFmtId="3" fontId="69" fillId="0" borderId="123" xfId="592" applyNumberFormat="1" applyFont="1" applyBorder="1" applyAlignment="1">
      <alignment horizontal="center" vertical="center"/>
    </xf>
    <xf numFmtId="3" fontId="69" fillId="0" borderId="0" xfId="592" applyNumberFormat="1" applyFont="1" applyBorder="1" applyAlignment="1">
      <alignment horizontal="center" vertical="center"/>
    </xf>
    <xf numFmtId="3" fontId="69" fillId="0" borderId="1" xfId="592" applyNumberFormat="1" applyFont="1" applyBorder="1" applyAlignment="1">
      <alignment horizontal="center" vertical="center"/>
    </xf>
    <xf numFmtId="0" fontId="89" fillId="0" borderId="7" xfId="348" applyFont="1" applyBorder="1" applyAlignment="1">
      <alignment horizontal="center" vertical="center"/>
    </xf>
    <xf numFmtId="0" fontId="89" fillId="0" borderId="0" xfId="348" applyFont="1" applyBorder="1" applyAlignment="1">
      <alignment horizontal="center" vertical="center"/>
    </xf>
    <xf numFmtId="0" fontId="89" fillId="0" borderId="8" xfId="348" applyFont="1" applyBorder="1" applyAlignment="1">
      <alignment horizontal="center" vertical="center"/>
    </xf>
    <xf numFmtId="0" fontId="53" fillId="0" borderId="38" xfId="341" applyFont="1" applyBorder="1"/>
    <xf numFmtId="0" fontId="76" fillId="0" borderId="123" xfId="341" applyFont="1" applyBorder="1" applyAlignment="1">
      <alignment horizontal="center" vertical="center"/>
    </xf>
    <xf numFmtId="0" fontId="71" fillId="0" borderId="123" xfId="341" applyFont="1" applyBorder="1" applyAlignment="1">
      <alignment horizontal="center" vertical="center"/>
    </xf>
    <xf numFmtId="0" fontId="71" fillId="0" borderId="77" xfId="341" applyFont="1" applyBorder="1" applyAlignment="1">
      <alignment horizontal="center" vertical="center"/>
    </xf>
    <xf numFmtId="0" fontId="71" fillId="0" borderId="123" xfId="341" applyFont="1" applyFill="1" applyBorder="1" applyAlignment="1">
      <alignment horizontal="center" vertical="center"/>
    </xf>
    <xf numFmtId="0" fontId="71" fillId="0" borderId="178" xfId="341" applyFont="1" applyBorder="1" applyAlignment="1">
      <alignment horizontal="center" vertical="center"/>
    </xf>
    <xf numFmtId="3" fontId="97" fillId="0" borderId="20" xfId="341" applyNumberFormat="1" applyFont="1" applyBorder="1" applyAlignment="1">
      <alignment horizontal="center" vertical="center"/>
    </xf>
    <xf numFmtId="0" fontId="72" fillId="0" borderId="41" xfId="341" applyFont="1" applyBorder="1" applyAlignment="1">
      <alignment horizontal="center" vertical="center"/>
    </xf>
    <xf numFmtId="0" fontId="71" fillId="0" borderId="38" xfId="341" applyFont="1" applyBorder="1" applyAlignment="1">
      <alignment horizontal="center" vertical="center"/>
    </xf>
    <xf numFmtId="3" fontId="74" fillId="0" borderId="38" xfId="341" applyNumberFormat="1" applyFont="1" applyBorder="1" applyAlignment="1">
      <alignment horizontal="center" vertical="center"/>
    </xf>
    <xf numFmtId="3" fontId="96" fillId="0" borderId="32" xfId="341" applyNumberFormat="1" applyFont="1" applyBorder="1" applyAlignment="1">
      <alignment horizontal="center" vertical="center"/>
    </xf>
    <xf numFmtId="3" fontId="96" fillId="0" borderId="32" xfId="341" applyNumberFormat="1" applyFont="1" applyFill="1" applyBorder="1" applyAlignment="1">
      <alignment horizontal="center" vertical="center"/>
    </xf>
    <xf numFmtId="3" fontId="72" fillId="0" borderId="3" xfId="341" applyNumberFormat="1" applyFont="1" applyFill="1" applyBorder="1" applyAlignment="1">
      <alignment horizontal="center" vertical="center"/>
    </xf>
    <xf numFmtId="3" fontId="71" fillId="0" borderId="179" xfId="341" applyNumberFormat="1" applyFont="1" applyFill="1" applyBorder="1" applyAlignment="1">
      <alignment horizontal="center" vertical="center"/>
    </xf>
    <xf numFmtId="3" fontId="71" fillId="0" borderId="180" xfId="341" applyNumberFormat="1" applyFont="1" applyFill="1" applyBorder="1" applyAlignment="1">
      <alignment horizontal="center" vertical="center"/>
    </xf>
    <xf numFmtId="3" fontId="73" fillId="0" borderId="42" xfId="341" applyNumberFormat="1" applyFont="1" applyFill="1" applyBorder="1" applyAlignment="1">
      <alignment horizontal="center" vertical="center"/>
    </xf>
    <xf numFmtId="3" fontId="71" fillId="0" borderId="40" xfId="341" applyNumberFormat="1" applyFont="1" applyFill="1" applyBorder="1" applyAlignment="1">
      <alignment horizontal="center" vertical="center"/>
    </xf>
    <xf numFmtId="3" fontId="29" fillId="0" borderId="174" xfId="592" applyNumberFormat="1" applyFont="1" applyBorder="1" applyAlignment="1">
      <alignment horizontal="center"/>
    </xf>
    <xf numFmtId="3" fontId="69" fillId="0" borderId="174" xfId="592" applyNumberFormat="1" applyFont="1" applyBorder="1" applyAlignment="1">
      <alignment horizontal="center" vertical="center"/>
    </xf>
    <xf numFmtId="3" fontId="29" fillId="0" borderId="182" xfId="592" applyNumberFormat="1" applyFont="1" applyBorder="1" applyAlignment="1">
      <alignment horizontal="center"/>
    </xf>
    <xf numFmtId="3" fontId="69" fillId="0" borderId="175" xfId="592" applyNumberFormat="1" applyFont="1" applyBorder="1" applyAlignment="1">
      <alignment horizontal="center" vertical="center"/>
    </xf>
    <xf numFmtId="0" fontId="29" fillId="0" borderId="0" xfId="592" applyFont="1" applyBorder="1" applyAlignment="1">
      <alignment horizontal="center" vertical="center" wrapText="1"/>
    </xf>
    <xf numFmtId="3" fontId="69" fillId="0" borderId="38" xfId="592" applyNumberFormat="1" applyFont="1" applyBorder="1" applyAlignment="1">
      <alignment horizontal="center" vertical="center" wrapText="1"/>
    </xf>
    <xf numFmtId="3" fontId="69" fillId="0" borderId="32" xfId="592" applyNumberFormat="1" applyFont="1" applyBorder="1" applyAlignment="1">
      <alignment horizontal="center" vertical="center" wrapText="1"/>
    </xf>
    <xf numFmtId="3" fontId="69" fillId="0" borderId="3" xfId="592" applyNumberFormat="1" applyFont="1" applyBorder="1" applyAlignment="1">
      <alignment horizontal="center" vertical="center" wrapText="1"/>
    </xf>
    <xf numFmtId="3" fontId="69" fillId="0" borderId="173" xfId="592" applyNumberFormat="1" applyFont="1" applyBorder="1" applyAlignment="1">
      <alignment horizontal="center" vertical="center" wrapText="1"/>
    </xf>
    <xf numFmtId="0" fontId="128" fillId="0" borderId="181" xfId="592" applyFont="1" applyBorder="1" applyAlignment="1">
      <alignment horizontal="center" vertical="center" wrapText="1"/>
    </xf>
    <xf numFmtId="0" fontId="69" fillId="0" borderId="7" xfId="592" applyFont="1" applyBorder="1" applyAlignment="1">
      <alignment horizontal="center" vertical="center"/>
    </xf>
    <xf numFmtId="0" fontId="27" fillId="0" borderId="0" xfId="592" applyFont="1" applyAlignment="1">
      <alignment horizontal="center"/>
    </xf>
    <xf numFmtId="0" fontId="53" fillId="0" borderId="0" xfId="592" applyAlignment="1">
      <alignment vertical="center"/>
    </xf>
    <xf numFmtId="4" fontId="27" fillId="0" borderId="0" xfId="592" applyNumberFormat="1" applyFont="1" applyAlignment="1">
      <alignment horizontal="center"/>
    </xf>
    <xf numFmtId="0" fontId="27" fillId="0" borderId="7" xfId="592" applyFont="1" applyBorder="1"/>
    <xf numFmtId="0" fontId="89" fillId="0" borderId="0" xfId="592" applyFont="1" applyBorder="1" applyAlignment="1">
      <alignment horizontal="center"/>
    </xf>
    <xf numFmtId="0" fontId="27" fillId="0" borderId="8" xfId="592" applyFont="1" applyBorder="1"/>
    <xf numFmtId="0" fontId="53" fillId="0" borderId="7" xfId="592" applyBorder="1" applyAlignment="1">
      <alignment vertical="center"/>
    </xf>
    <xf numFmtId="0" fontId="27" fillId="0" borderId="0" xfId="592" applyFont="1" applyBorder="1" applyAlignment="1">
      <alignment vertical="center"/>
    </xf>
    <xf numFmtId="0" fontId="27" fillId="0" borderId="7" xfId="592" applyFont="1" applyBorder="1" applyAlignment="1">
      <alignment horizontal="center" vertical="center" wrapText="1"/>
    </xf>
    <xf numFmtId="0" fontId="27" fillId="0" borderId="0" xfId="592" applyFont="1" applyBorder="1" applyAlignment="1">
      <alignment horizontal="center" vertical="center" wrapText="1"/>
    </xf>
    <xf numFmtId="0" fontId="27" fillId="0" borderId="41" xfId="592" applyFont="1" applyBorder="1"/>
    <xf numFmtId="0" fontId="27" fillId="0" borderId="123" xfId="592" applyFont="1" applyBorder="1" applyAlignment="1">
      <alignment horizontal="center" vertical="center" wrapText="1"/>
    </xf>
    <xf numFmtId="0" fontId="27" fillId="0" borderId="0" xfId="592" applyFont="1" applyBorder="1" applyAlignment="1">
      <alignment horizontal="center" vertical="center"/>
    </xf>
    <xf numFmtId="0" fontId="27" fillId="0" borderId="38" xfId="592" applyFont="1" applyBorder="1" applyAlignment="1">
      <alignment vertical="center"/>
    </xf>
    <xf numFmtId="0" fontId="27" fillId="0" borderId="1" xfId="592" applyFont="1" applyBorder="1" applyAlignment="1">
      <alignment horizontal="center" vertical="center" wrapText="1"/>
    </xf>
    <xf numFmtId="0" fontId="53" fillId="0" borderId="0" xfId="592" applyBorder="1"/>
    <xf numFmtId="0" fontId="53" fillId="0" borderId="8" xfId="341" applyFont="1" applyBorder="1" applyAlignment="1">
      <alignment horizontal="center"/>
    </xf>
    <xf numFmtId="0" fontId="27" fillId="0" borderId="41" xfId="592" applyFont="1" applyBorder="1" applyAlignment="1">
      <alignment vertical="center"/>
    </xf>
    <xf numFmtId="0" fontId="27" fillId="0" borderId="38" xfId="592" applyFont="1" applyBorder="1" applyAlignment="1">
      <alignment horizontal="left" vertical="center"/>
    </xf>
    <xf numFmtId="0" fontId="27" fillId="0" borderId="7" xfId="592" applyFont="1" applyBorder="1" applyAlignment="1">
      <alignment vertical="center"/>
    </xf>
    <xf numFmtId="4" fontId="27" fillId="0" borderId="1" xfId="592" applyNumberFormat="1" applyFont="1" applyBorder="1" applyAlignment="1">
      <alignment horizontal="center" vertical="center"/>
    </xf>
    <xf numFmtId="4" fontId="27" fillId="0" borderId="0" xfId="592" applyNumberFormat="1" applyFont="1" applyBorder="1" applyAlignment="1">
      <alignment horizontal="center" vertical="center"/>
    </xf>
    <xf numFmtId="0" fontId="27" fillId="0" borderId="123" xfId="592" applyFont="1" applyBorder="1" applyAlignment="1">
      <alignment horizontal="left" vertical="center"/>
    </xf>
    <xf numFmtId="169" fontId="27" fillId="0" borderId="3" xfId="592" applyNumberFormat="1" applyFont="1" applyBorder="1" applyAlignment="1">
      <alignment horizontal="center" vertical="center"/>
    </xf>
    <xf numFmtId="169" fontId="27" fillId="0" borderId="32" xfId="592" applyNumberFormat="1" applyFont="1" applyBorder="1" applyAlignment="1">
      <alignment horizontal="center" vertical="center"/>
    </xf>
    <xf numFmtId="169" fontId="27" fillId="0" borderId="1" xfId="592" applyNumberFormat="1" applyFont="1" applyBorder="1" applyAlignment="1">
      <alignment horizontal="center" vertical="center"/>
    </xf>
    <xf numFmtId="169" fontId="27" fillId="0" borderId="0" xfId="592" applyNumberFormat="1" applyFont="1" applyBorder="1" applyAlignment="1">
      <alignment horizontal="center" vertical="center"/>
    </xf>
    <xf numFmtId="0" fontId="69" fillId="0" borderId="47" xfId="592" applyFont="1" applyBorder="1" applyAlignment="1">
      <alignment horizontal="center" vertical="center" wrapText="1"/>
    </xf>
    <xf numFmtId="169" fontId="69" fillId="0" borderId="46" xfId="592" applyNumberFormat="1" applyFont="1" applyBorder="1" applyAlignment="1">
      <alignment horizontal="center" vertical="center"/>
    </xf>
    <xf numFmtId="169" fontId="69" fillId="0" borderId="47" xfId="592" applyNumberFormat="1" applyFont="1" applyBorder="1" applyAlignment="1">
      <alignment horizontal="center" vertical="center"/>
    </xf>
    <xf numFmtId="4" fontId="69" fillId="0" borderId="47" xfId="592" applyNumberFormat="1" applyFont="1" applyBorder="1" applyAlignment="1">
      <alignment horizontal="center" vertical="center"/>
    </xf>
    <xf numFmtId="0" fontId="69" fillId="0" borderId="174" xfId="592" applyFont="1" applyBorder="1" applyAlignment="1">
      <alignment horizontal="center" vertical="center" wrapText="1"/>
    </xf>
    <xf numFmtId="169" fontId="69" fillId="0" borderId="173" xfId="592" applyNumberFormat="1" applyFont="1" applyBorder="1" applyAlignment="1">
      <alignment horizontal="center" vertical="center"/>
    </xf>
    <xf numFmtId="169" fontId="69" fillId="0" borderId="174" xfId="592" applyNumberFormat="1" applyFont="1" applyBorder="1" applyAlignment="1">
      <alignment horizontal="center" vertical="center"/>
    </xf>
    <xf numFmtId="169" fontId="27" fillId="0" borderId="0" xfId="592" applyNumberFormat="1" applyFont="1" applyAlignment="1">
      <alignment horizontal="center"/>
    </xf>
    <xf numFmtId="0" fontId="27" fillId="0" borderId="1" xfId="592" applyFont="1" applyBorder="1" applyAlignment="1">
      <alignment horizontal="center" vertical="center"/>
    </xf>
    <xf numFmtId="0" fontId="69" fillId="0" borderId="47" xfId="592" applyFont="1" applyBorder="1" applyAlignment="1">
      <alignment horizontal="center" vertical="center"/>
    </xf>
    <xf numFmtId="169" fontId="69" fillId="0" borderId="184" xfId="592" applyNumberFormat="1" applyFont="1" applyBorder="1" applyAlignment="1">
      <alignment horizontal="center" vertical="center"/>
    </xf>
    <xf numFmtId="169" fontId="69" fillId="0" borderId="185" xfId="592" applyNumberFormat="1" applyFont="1" applyBorder="1" applyAlignment="1">
      <alignment horizontal="center" vertical="center"/>
    </xf>
    <xf numFmtId="169" fontId="69" fillId="0" borderId="160" xfId="592" applyNumberFormat="1" applyFont="1" applyBorder="1" applyAlignment="1">
      <alignment vertical="center"/>
    </xf>
    <xf numFmtId="169" fontId="69" fillId="0" borderId="156" xfId="592" applyNumberFormat="1" applyFont="1" applyBorder="1" applyAlignment="1">
      <alignment horizontal="center" vertical="center"/>
    </xf>
    <xf numFmtId="169" fontId="69" fillId="0" borderId="162" xfId="592" applyNumberFormat="1" applyFont="1" applyBorder="1" applyAlignment="1">
      <alignment horizontal="center" vertical="center"/>
    </xf>
    <xf numFmtId="169" fontId="69" fillId="0" borderId="161" xfId="592" applyNumberFormat="1" applyFont="1" applyBorder="1" applyAlignment="1">
      <alignment horizontal="left" vertical="center"/>
    </xf>
    <xf numFmtId="169" fontId="53" fillId="0" borderId="0" xfId="592" applyNumberFormat="1"/>
    <xf numFmtId="1" fontId="47" fillId="0" borderId="0" xfId="0" applyNumberFormat="1" applyFont="1" applyBorder="1" applyAlignment="1">
      <alignment horizontal="center" vertical="center" wrapText="1"/>
    </xf>
    <xf numFmtId="1" fontId="56" fillId="0" borderId="162" xfId="0" applyNumberFormat="1" applyFont="1" applyBorder="1" applyAlignment="1">
      <alignment horizontal="center" vertical="center" wrapText="1"/>
    </xf>
    <xf numFmtId="1" fontId="43" fillId="0" borderId="0" xfId="0" applyNumberFormat="1" applyFont="1" applyBorder="1" applyAlignment="1">
      <alignment horizontal="center" vertical="center" wrapText="1"/>
    </xf>
    <xf numFmtId="0" fontId="26" fillId="0" borderId="32" xfId="0" applyFont="1" applyBorder="1" applyAlignment="1">
      <alignment horizontal="center" vertical="center" wrapText="1"/>
    </xf>
    <xf numFmtId="3" fontId="56" fillId="0" borderId="0" xfId="0" applyNumberFormat="1" applyFont="1"/>
    <xf numFmtId="0" fontId="26" fillId="0" borderId="0" xfId="0" applyFont="1"/>
    <xf numFmtId="0" fontId="26" fillId="0" borderId="7" xfId="0" applyFont="1" applyBorder="1"/>
    <xf numFmtId="0" fontId="53" fillId="0" borderId="7" xfId="592" applyFont="1" applyBorder="1"/>
    <xf numFmtId="0" fontId="53" fillId="0" borderId="7" xfId="592" applyFont="1" applyBorder="1" applyAlignment="1">
      <alignment horizontal="center" vertical="center" wrapText="1"/>
    </xf>
    <xf numFmtId="0" fontId="26" fillId="0" borderId="41" xfId="0" applyFont="1" applyBorder="1"/>
    <xf numFmtId="0" fontId="26" fillId="0" borderId="7" xfId="0" applyFont="1" applyFill="1" applyBorder="1"/>
    <xf numFmtId="0" fontId="27" fillId="0" borderId="121" xfId="341" applyFont="1" applyBorder="1" applyAlignment="1">
      <alignment horizontal="center"/>
    </xf>
    <xf numFmtId="0" fontId="27" fillId="0" borderId="72" xfId="341" applyFont="1" applyBorder="1" applyAlignment="1">
      <alignment horizontal="center"/>
    </xf>
    <xf numFmtId="0" fontId="129" fillId="0" borderId="81" xfId="341" applyFont="1" applyBorder="1" applyAlignment="1">
      <alignment horizontal="center" vertical="center" wrapText="1"/>
    </xf>
    <xf numFmtId="0" fontId="129" fillId="0" borderId="82" xfId="341" applyFont="1" applyBorder="1" applyAlignment="1">
      <alignment horizontal="center" vertical="center" wrapText="1"/>
    </xf>
    <xf numFmtId="0" fontId="27" fillId="0" borderId="23" xfId="341" applyFont="1" applyBorder="1" applyAlignment="1">
      <alignment horizontal="center"/>
    </xf>
    <xf numFmtId="10" fontId="52" fillId="0" borderId="0" xfId="1" applyNumberFormat="1" applyFont="1"/>
    <xf numFmtId="168" fontId="52" fillId="0" borderId="0" xfId="139" applyNumberFormat="1" applyFont="1"/>
    <xf numFmtId="3" fontId="52" fillId="0" borderId="0" xfId="0" applyNumberFormat="1" applyFont="1" applyAlignment="1">
      <alignment horizontal="center" vertical="center" wrapText="1"/>
    </xf>
    <xf numFmtId="0" fontId="52" fillId="0" borderId="0" xfId="0" applyFont="1" applyFill="1" applyBorder="1" applyAlignment="1">
      <alignment horizontal="center" vertical="center" wrapText="1"/>
    </xf>
    <xf numFmtId="0" fontId="59" fillId="0" borderId="0" xfId="0" applyFont="1" applyBorder="1" applyAlignment="1">
      <alignment horizontal="center" vertical="center" wrapText="1"/>
    </xf>
    <xf numFmtId="0" fontId="50" fillId="0" borderId="32" xfId="0" applyFont="1" applyBorder="1" applyAlignment="1">
      <alignment horizontal="center" vertical="center" wrapText="1"/>
    </xf>
    <xf numFmtId="0" fontId="50" fillId="0" borderId="0" xfId="0" applyFont="1" applyBorder="1" applyAlignment="1">
      <alignment horizontal="center" vertical="center" wrapText="1"/>
    </xf>
    <xf numFmtId="0" fontId="59" fillId="0" borderId="39" xfId="0" applyFont="1" applyBorder="1" applyAlignment="1">
      <alignment horizontal="center" vertical="center" wrapText="1"/>
    </xf>
    <xf numFmtId="0" fontId="58" fillId="0" borderId="0" xfId="0" applyFont="1" applyBorder="1" applyAlignment="1">
      <alignment horizontal="center" vertical="center" wrapText="1"/>
    </xf>
    <xf numFmtId="0" fontId="57" fillId="0" borderId="0" xfId="0" applyFont="1" applyBorder="1" applyAlignment="1">
      <alignment horizontal="center" vertical="center"/>
    </xf>
    <xf numFmtId="169" fontId="133" fillId="0" borderId="0" xfId="592" applyNumberFormat="1" applyFont="1" applyBorder="1" applyAlignment="1">
      <alignment horizontal="center"/>
    </xf>
    <xf numFmtId="169" fontId="133" fillId="0" borderId="1" xfId="139" applyNumberFormat="1" applyFont="1" applyBorder="1" applyAlignment="1">
      <alignment horizontal="center"/>
    </xf>
    <xf numFmtId="169" fontId="133" fillId="0" borderId="61" xfId="139" applyNumberFormat="1" applyFont="1" applyBorder="1" applyAlignment="1">
      <alignment horizontal="center"/>
    </xf>
    <xf numFmtId="169" fontId="133" fillId="0" borderId="68" xfId="592" applyNumberFormat="1" applyFont="1" applyBorder="1" applyAlignment="1">
      <alignment horizontal="center"/>
    </xf>
    <xf numFmtId="169" fontId="133" fillId="0" borderId="2" xfId="592" applyNumberFormat="1" applyFont="1" applyBorder="1" applyAlignment="1">
      <alignment horizontal="center"/>
    </xf>
    <xf numFmtId="169" fontId="133" fillId="0" borderId="8" xfId="139" applyNumberFormat="1" applyFont="1" applyBorder="1" applyAlignment="1">
      <alignment horizontal="center"/>
    </xf>
    <xf numFmtId="169" fontId="133" fillId="0" borderId="8" xfId="592" applyNumberFormat="1" applyFont="1" applyBorder="1" applyAlignment="1">
      <alignment horizontal="center"/>
    </xf>
    <xf numFmtId="169" fontId="135" fillId="0" borderId="123" xfId="139" applyNumberFormat="1" applyFont="1" applyBorder="1" applyAlignment="1">
      <alignment horizontal="center"/>
    </xf>
    <xf numFmtId="169" fontId="135" fillId="0" borderId="0" xfId="592" applyNumberFormat="1" applyFont="1" applyBorder="1" applyAlignment="1">
      <alignment horizontal="center"/>
    </xf>
    <xf numFmtId="169" fontId="52" fillId="0" borderId="1" xfId="0" applyNumberFormat="1" applyFont="1" applyBorder="1" applyAlignment="1">
      <alignment horizontal="center" vertical="center" wrapText="1"/>
    </xf>
    <xf numFmtId="169" fontId="52" fillId="0" borderId="0" xfId="0" applyNumberFormat="1" applyFont="1" applyBorder="1" applyAlignment="1">
      <alignment horizontal="center" vertical="center" wrapText="1"/>
    </xf>
    <xf numFmtId="169" fontId="50" fillId="0" borderId="0" xfId="139" applyNumberFormat="1" applyFont="1" applyBorder="1" applyAlignment="1">
      <alignment vertical="center" wrapText="1"/>
    </xf>
    <xf numFmtId="169" fontId="56" fillId="0" borderId="123" xfId="0" applyNumberFormat="1" applyFont="1" applyBorder="1" applyAlignment="1">
      <alignment horizontal="center" vertical="center" wrapText="1"/>
    </xf>
    <xf numFmtId="169" fontId="52" fillId="0" borderId="1" xfId="0" applyNumberFormat="1" applyFont="1" applyFill="1" applyBorder="1" applyAlignment="1">
      <alignment horizontal="center" vertical="center" wrapText="1"/>
    </xf>
    <xf numFmtId="169" fontId="50" fillId="0" borderId="0" xfId="139" applyNumberFormat="1" applyFont="1" applyBorder="1" applyAlignment="1">
      <alignment horizontal="center" vertical="center" wrapText="1"/>
    </xf>
    <xf numFmtId="169" fontId="56" fillId="0" borderId="123" xfId="0" applyNumberFormat="1" applyFont="1" applyBorder="1" applyAlignment="1">
      <alignment horizontal="center"/>
    </xf>
    <xf numFmtId="169" fontId="56" fillId="0" borderId="1" xfId="0" applyNumberFormat="1" applyFont="1" applyBorder="1" applyAlignment="1">
      <alignment horizontal="center" vertical="center" wrapText="1"/>
    </xf>
    <xf numFmtId="169" fontId="50" fillId="0" borderId="0" xfId="0" applyNumberFormat="1" applyFont="1" applyBorder="1" applyAlignment="1">
      <alignment horizontal="center" vertical="center" wrapText="1"/>
    </xf>
    <xf numFmtId="169" fontId="50" fillId="0" borderId="0" xfId="0" applyNumberFormat="1" applyFont="1" applyBorder="1" applyAlignment="1">
      <alignment vertical="center" wrapText="1"/>
    </xf>
    <xf numFmtId="0" fontId="24" fillId="0" borderId="7" xfId="0" applyFont="1" applyBorder="1"/>
    <xf numFmtId="169" fontId="69" fillId="0" borderId="123" xfId="0" applyNumberFormat="1" applyFont="1" applyBorder="1" applyAlignment="1">
      <alignment horizontal="center" vertical="center" wrapText="1"/>
    </xf>
    <xf numFmtId="169" fontId="25" fillId="0" borderId="1" xfId="0" applyNumberFormat="1" applyFont="1" applyBorder="1" applyAlignment="1">
      <alignment horizontal="center" vertical="center" wrapText="1"/>
    </xf>
    <xf numFmtId="169" fontId="25" fillId="0" borderId="0" xfId="139" applyNumberFormat="1" applyFont="1" applyBorder="1" applyAlignment="1">
      <alignment horizontal="center" vertical="center" wrapText="1"/>
    </xf>
    <xf numFmtId="169" fontId="69" fillId="0" borderId="124" xfId="0" applyNumberFormat="1" applyFont="1" applyBorder="1" applyAlignment="1">
      <alignment horizontal="center" vertical="center" wrapText="1"/>
    </xf>
    <xf numFmtId="169" fontId="25" fillId="0" borderId="0" xfId="0" applyNumberFormat="1" applyFont="1" applyBorder="1" applyAlignment="1">
      <alignment horizontal="center" vertical="center" wrapText="1"/>
    </xf>
    <xf numFmtId="3" fontId="25" fillId="0" borderId="0" xfId="0" applyNumberFormat="1" applyFont="1" applyBorder="1" applyAlignment="1">
      <alignment horizontal="center"/>
    </xf>
    <xf numFmtId="3" fontId="56" fillId="0" borderId="56" xfId="0" applyNumberFormat="1" applyFont="1" applyBorder="1" applyAlignment="1">
      <alignment horizontal="center" vertical="center" wrapText="1"/>
    </xf>
    <xf numFmtId="169" fontId="69" fillId="0" borderId="120" xfId="0" applyNumberFormat="1" applyFont="1" applyFill="1" applyBorder="1" applyAlignment="1">
      <alignment horizontal="center" vertical="center" wrapText="1"/>
    </xf>
    <xf numFmtId="169" fontId="69" fillId="0" borderId="121" xfId="0" applyNumberFormat="1" applyFont="1" applyFill="1" applyBorder="1" applyAlignment="1">
      <alignment horizontal="center" vertical="center" wrapText="1"/>
    </xf>
    <xf numFmtId="169" fontId="56" fillId="0" borderId="52" xfId="0" applyNumberFormat="1" applyFont="1" applyBorder="1" applyAlignment="1">
      <alignment horizontal="center" vertical="center"/>
    </xf>
    <xf numFmtId="169" fontId="69" fillId="0" borderId="52" xfId="0" applyNumberFormat="1" applyFont="1" applyFill="1" applyBorder="1" applyAlignment="1">
      <alignment horizontal="center" vertical="center"/>
    </xf>
    <xf numFmtId="169" fontId="69" fillId="0" borderId="123" xfId="0" applyNumberFormat="1" applyFont="1" applyBorder="1" applyAlignment="1">
      <alignment horizontal="center"/>
    </xf>
    <xf numFmtId="0" fontId="56" fillId="0" borderId="0" xfId="0" applyFont="1" applyBorder="1" applyAlignment="1">
      <alignment horizontal="center" vertical="center"/>
    </xf>
    <xf numFmtId="169" fontId="56" fillId="0" borderId="0" xfId="0" applyNumberFormat="1" applyFont="1" applyBorder="1" applyAlignment="1">
      <alignment horizontal="center" vertical="center"/>
    </xf>
    <xf numFmtId="169" fontId="69" fillId="0" borderId="0" xfId="0" applyNumberFormat="1" applyFont="1" applyFill="1" applyBorder="1" applyAlignment="1">
      <alignment horizontal="center" vertical="center" wrapText="1"/>
    </xf>
    <xf numFmtId="0" fontId="25" fillId="0" borderId="107" xfId="3" applyFont="1" applyBorder="1" applyAlignment="1">
      <alignment horizontal="center" vertical="center" wrapText="1"/>
    </xf>
    <xf numFmtId="3" fontId="25" fillId="0" borderId="0" xfId="3" applyNumberFormat="1" applyFont="1" applyBorder="1" applyAlignment="1">
      <alignment horizontal="center"/>
    </xf>
    <xf numFmtId="3" fontId="25" fillId="0" borderId="90" xfId="3" applyNumberFormat="1" applyFont="1" applyBorder="1" applyAlignment="1">
      <alignment horizontal="center"/>
    </xf>
    <xf numFmtId="1" fontId="25" fillId="0" borderId="0" xfId="3" applyNumberFormat="1" applyFont="1" applyBorder="1" applyAlignment="1">
      <alignment horizontal="center"/>
    </xf>
    <xf numFmtId="0" fontId="25" fillId="0" borderId="0" xfId="3" applyFont="1" applyBorder="1" applyAlignment="1">
      <alignment horizontal="center"/>
    </xf>
    <xf numFmtId="0" fontId="25" fillId="0" borderId="90" xfId="3" applyFont="1" applyBorder="1" applyAlignment="1">
      <alignment horizontal="center"/>
    </xf>
    <xf numFmtId="1" fontId="25" fillId="0" borderId="90" xfId="3" applyNumberFormat="1" applyFont="1" applyBorder="1" applyAlignment="1">
      <alignment horizontal="center"/>
    </xf>
    <xf numFmtId="0" fontId="25" fillId="0" borderId="91" xfId="3" applyFont="1" applyBorder="1" applyAlignment="1">
      <alignment horizontal="center" vertical="center" wrapText="1"/>
    </xf>
    <xf numFmtId="0" fontId="88" fillId="0" borderId="91" xfId="3" applyFont="1" applyBorder="1" applyAlignment="1">
      <alignment horizontal="center" vertical="center" wrapText="1"/>
    </xf>
    <xf numFmtId="167" fontId="52" fillId="0" borderId="57" xfId="0" applyNumberFormat="1" applyFont="1" applyBorder="1" applyAlignment="1">
      <alignment horizontal="center"/>
    </xf>
    <xf numFmtId="167" fontId="52" fillId="0" borderId="8" xfId="0" applyNumberFormat="1" applyFont="1" applyBorder="1" applyAlignment="1">
      <alignment horizontal="center"/>
    </xf>
    <xf numFmtId="167" fontId="52" fillId="0" borderId="21" xfId="0" applyNumberFormat="1" applyFont="1" applyBorder="1" applyAlignment="1">
      <alignment horizontal="center" vertical="center" wrapText="1"/>
    </xf>
    <xf numFmtId="167" fontId="52" fillId="0" borderId="13" xfId="0" applyNumberFormat="1" applyFont="1" applyBorder="1" applyAlignment="1">
      <alignment horizontal="center"/>
    </xf>
    <xf numFmtId="167" fontId="56" fillId="0" borderId="20" xfId="0" applyNumberFormat="1" applyFont="1" applyBorder="1" applyAlignment="1">
      <alignment horizontal="center" vertical="center" wrapText="1"/>
    </xf>
    <xf numFmtId="170" fontId="50" fillId="0" borderId="10" xfId="139" applyNumberFormat="1" applyFont="1" applyBorder="1" applyAlignment="1">
      <alignment vertical="center" wrapText="1"/>
    </xf>
    <xf numFmtId="0" fontId="60" fillId="0" borderId="53" xfId="0" applyFont="1" applyBorder="1" applyAlignment="1">
      <alignment horizontal="center"/>
    </xf>
    <xf numFmtId="9" fontId="52" fillId="0" borderId="8" xfId="0" applyNumberFormat="1" applyFont="1" applyBorder="1" applyAlignment="1">
      <alignment horizontal="center"/>
    </xf>
    <xf numFmtId="0" fontId="27" fillId="0" borderId="145" xfId="341" applyFont="1" applyBorder="1" applyAlignment="1">
      <alignment horizontal="center"/>
    </xf>
    <xf numFmtId="3" fontId="74" fillId="0" borderId="123" xfId="341" applyNumberFormat="1" applyFont="1" applyBorder="1" applyAlignment="1">
      <alignment horizontal="center" vertical="center"/>
    </xf>
    <xf numFmtId="3" fontId="74" fillId="0" borderId="123" xfId="341" applyNumberFormat="1" applyFont="1" applyFill="1" applyBorder="1" applyAlignment="1">
      <alignment horizontal="center" vertical="center"/>
    </xf>
    <xf numFmtId="0" fontId="53" fillId="0" borderId="188" xfId="341" applyFont="1" applyBorder="1"/>
    <xf numFmtId="3" fontId="56" fillId="0" borderId="121" xfId="0" applyNumberFormat="1" applyFont="1" applyBorder="1" applyAlignment="1">
      <alignment horizontal="center" vertical="center" wrapText="1"/>
    </xf>
    <xf numFmtId="3" fontId="56" fillId="0" borderId="120" xfId="0" applyNumberFormat="1" applyFont="1" applyBorder="1" applyAlignment="1">
      <alignment horizontal="center" vertical="center" wrapText="1"/>
    </xf>
    <xf numFmtId="3" fontId="56" fillId="0" borderId="51" xfId="0" applyNumberFormat="1" applyFont="1" applyBorder="1" applyAlignment="1">
      <alignment horizontal="center" vertical="center" wrapText="1"/>
    </xf>
    <xf numFmtId="169" fontId="52" fillId="0" borderId="0" xfId="0" applyNumberFormat="1" applyFont="1" applyAlignment="1">
      <alignment horizontal="center"/>
    </xf>
    <xf numFmtId="169" fontId="52" fillId="0" borderId="0" xfId="1" applyNumberFormat="1" applyFont="1" applyAlignment="1">
      <alignment horizontal="center"/>
    </xf>
    <xf numFmtId="171" fontId="56" fillId="0" borderId="0" xfId="1" applyNumberFormat="1" applyFont="1" applyFill="1" applyBorder="1" applyAlignment="1">
      <alignment horizontal="center"/>
    </xf>
    <xf numFmtId="171" fontId="52" fillId="0" borderId="0" xfId="1" applyNumberFormat="1" applyFont="1" applyFill="1" applyBorder="1" applyAlignment="1">
      <alignment horizontal="center"/>
    </xf>
    <xf numFmtId="171" fontId="56" fillId="0" borderId="32" xfId="1" applyNumberFormat="1" applyFont="1" applyFill="1" applyBorder="1" applyAlignment="1">
      <alignment horizontal="center" vertical="center"/>
    </xf>
    <xf numFmtId="0" fontId="57" fillId="0" borderId="0" xfId="0" applyFont="1" applyBorder="1" applyAlignment="1">
      <alignment horizontal="center" vertical="center"/>
    </xf>
    <xf numFmtId="0" fontId="59" fillId="0" borderId="0" xfId="0" applyFont="1" applyFill="1" applyBorder="1" applyAlignment="1">
      <alignment horizontal="center" vertical="center" wrapText="1"/>
    </xf>
    <xf numFmtId="0" fontId="52" fillId="0" borderId="0" xfId="0" applyFont="1" applyFill="1" applyBorder="1" applyAlignment="1">
      <alignment horizontal="center" vertical="center" wrapText="1"/>
    </xf>
    <xf numFmtId="0" fontId="57" fillId="0" borderId="0" xfId="0" applyFont="1" applyBorder="1" applyAlignment="1">
      <alignment horizontal="center" vertical="center"/>
    </xf>
    <xf numFmtId="9" fontId="56" fillId="0" borderId="169" xfId="1" applyFont="1" applyBorder="1" applyAlignment="1">
      <alignment horizontal="center" vertical="center" wrapText="1"/>
    </xf>
    <xf numFmtId="0" fontId="38" fillId="0" borderId="0" xfId="0" applyFont="1" applyBorder="1" applyAlignment="1">
      <alignment horizontal="center" vertical="center"/>
    </xf>
    <xf numFmtId="0" fontId="38" fillId="0" borderId="0" xfId="0" applyFont="1" applyBorder="1" applyAlignment="1">
      <alignment vertical="center" wrapText="1"/>
    </xf>
    <xf numFmtId="0" fontId="52" fillId="0" borderId="0" xfId="0" applyFont="1" applyBorder="1" applyAlignment="1">
      <alignment vertical="center" wrapText="1"/>
    </xf>
    <xf numFmtId="1" fontId="56" fillId="0" borderId="29" xfId="1" applyNumberFormat="1" applyFont="1" applyBorder="1" applyAlignment="1">
      <alignment horizontal="center" vertical="center" wrapText="1"/>
    </xf>
    <xf numFmtId="1" fontId="56" fillId="0" borderId="124" xfId="1" applyNumberFormat="1" applyFont="1" applyBorder="1" applyAlignment="1">
      <alignment horizontal="center" vertical="center"/>
    </xf>
    <xf numFmtId="9" fontId="56" fillId="0" borderId="42" xfId="1" applyFont="1" applyBorder="1" applyAlignment="1">
      <alignment horizontal="center" vertical="center" wrapText="1"/>
    </xf>
    <xf numFmtId="9" fontId="56" fillId="0" borderId="2" xfId="1" applyFont="1" applyBorder="1" applyAlignment="1">
      <alignment horizontal="center" vertical="center"/>
    </xf>
    <xf numFmtId="0" fontId="56" fillId="0" borderId="159" xfId="0" applyFont="1" applyBorder="1" applyAlignment="1">
      <alignment vertical="center" wrapText="1"/>
    </xf>
    <xf numFmtId="9" fontId="52" fillId="0" borderId="2" xfId="1" applyFont="1" applyBorder="1" applyAlignment="1">
      <alignment horizontal="center"/>
    </xf>
    <xf numFmtId="0" fontId="56" fillId="0" borderId="121" xfId="0" applyFont="1" applyBorder="1" applyAlignment="1">
      <alignment vertical="center" wrapText="1"/>
    </xf>
    <xf numFmtId="9" fontId="56" fillId="0" borderId="191" xfId="1" applyFont="1" applyBorder="1" applyAlignment="1">
      <alignment horizontal="center" vertical="center"/>
    </xf>
    <xf numFmtId="9" fontId="56" fillId="0" borderId="51" xfId="1" applyFont="1" applyBorder="1" applyAlignment="1">
      <alignment horizontal="center" vertical="center"/>
    </xf>
    <xf numFmtId="9" fontId="56" fillId="0" borderId="171" xfId="1" applyFont="1" applyBorder="1" applyAlignment="1">
      <alignment horizontal="center" vertical="center" wrapText="1"/>
    </xf>
    <xf numFmtId="9" fontId="52" fillId="0" borderId="121" xfId="1" applyFont="1" applyBorder="1" applyAlignment="1">
      <alignment horizontal="center"/>
    </xf>
    <xf numFmtId="167" fontId="56" fillId="0" borderId="42" xfId="1" applyNumberFormat="1" applyFont="1" applyBorder="1" applyAlignment="1">
      <alignment horizontal="center" vertical="center" wrapText="1"/>
    </xf>
    <xf numFmtId="1" fontId="56" fillId="0" borderId="42" xfId="1" applyNumberFormat="1" applyFont="1" applyBorder="1" applyAlignment="1">
      <alignment horizontal="center" vertical="center" wrapText="1"/>
    </xf>
    <xf numFmtId="167" fontId="56" fillId="0" borderId="39" xfId="1" applyNumberFormat="1" applyFont="1" applyBorder="1" applyAlignment="1">
      <alignment horizontal="center" vertical="center" wrapText="1"/>
    </xf>
    <xf numFmtId="1" fontId="56" fillId="0" borderId="2" xfId="1" applyNumberFormat="1" applyFont="1" applyBorder="1" applyAlignment="1">
      <alignment horizontal="center" vertical="center"/>
    </xf>
    <xf numFmtId="167" fontId="38" fillId="0" borderId="2" xfId="1" applyNumberFormat="1" applyFont="1" applyBorder="1" applyAlignment="1">
      <alignment horizontal="center"/>
    </xf>
    <xf numFmtId="9" fontId="38" fillId="0" borderId="2" xfId="1" applyFont="1" applyBorder="1" applyAlignment="1">
      <alignment horizontal="center"/>
    </xf>
    <xf numFmtId="9" fontId="38" fillId="0" borderId="2" xfId="1" applyFont="1" applyBorder="1" applyAlignment="1">
      <alignment horizontal="center" vertical="center"/>
    </xf>
    <xf numFmtId="9" fontId="38" fillId="0" borderId="121" xfId="1" applyFont="1" applyBorder="1" applyAlignment="1">
      <alignment horizontal="center" vertical="center"/>
    </xf>
    <xf numFmtId="9" fontId="38" fillId="0" borderId="0" xfId="1" applyFont="1" applyBorder="1" applyAlignment="1">
      <alignment horizontal="center" vertical="center"/>
    </xf>
    <xf numFmtId="0" fontId="65" fillId="0" borderId="0" xfId="0" applyFont="1" applyBorder="1"/>
    <xf numFmtId="0" fontId="42" fillId="0" borderId="0" xfId="0" applyFont="1" applyBorder="1"/>
    <xf numFmtId="0" fontId="99" fillId="0" borderId="0" xfId="0" applyFont="1" applyBorder="1"/>
    <xf numFmtId="2" fontId="38" fillId="0" borderId="0" xfId="0" applyNumberFormat="1" applyFont="1"/>
    <xf numFmtId="2" fontId="38" fillId="0" borderId="0" xfId="653" applyNumberFormat="1" applyFont="1"/>
    <xf numFmtId="1" fontId="23" fillId="0" borderId="56" xfId="0" applyNumberFormat="1" applyFont="1" applyBorder="1" applyAlignment="1">
      <alignment horizontal="center" vertical="center"/>
    </xf>
    <xf numFmtId="9" fontId="23" fillId="0" borderId="51" xfId="1" applyFont="1" applyBorder="1" applyAlignment="1">
      <alignment horizontal="center" vertical="center"/>
    </xf>
    <xf numFmtId="2" fontId="38" fillId="0" borderId="121" xfId="1" applyNumberFormat="1" applyFont="1" applyBorder="1" applyAlignment="1">
      <alignment horizontal="center" vertical="center"/>
    </xf>
    <xf numFmtId="2" fontId="38" fillId="0" borderId="51" xfId="1" applyNumberFormat="1" applyFont="1" applyBorder="1" applyAlignment="1">
      <alignment horizontal="center" vertical="center"/>
    </xf>
    <xf numFmtId="0" fontId="137" fillId="0" borderId="0" xfId="930" applyFont="1"/>
    <xf numFmtId="0" fontId="22" fillId="0" borderId="0" xfId="0" applyFont="1"/>
    <xf numFmtId="9" fontId="56" fillId="0" borderId="39" xfId="1" applyFont="1" applyFill="1" applyBorder="1" applyAlignment="1">
      <alignment horizontal="center" vertical="center"/>
    </xf>
    <xf numFmtId="9" fontId="56" fillId="0" borderId="51" xfId="1" applyFont="1" applyFill="1" applyBorder="1" applyAlignment="1">
      <alignment horizontal="center" vertical="center"/>
    </xf>
    <xf numFmtId="9" fontId="56" fillId="0" borderId="21" xfId="1" applyFont="1" applyFill="1" applyBorder="1" applyAlignment="1">
      <alignment horizontal="center" vertical="center"/>
    </xf>
    <xf numFmtId="3" fontId="52" fillId="0" borderId="191" xfId="0" applyNumberFormat="1" applyFont="1" applyFill="1" applyBorder="1" applyAlignment="1">
      <alignment horizontal="center" vertical="center"/>
    </xf>
    <xf numFmtId="9" fontId="52" fillId="0" borderId="191" xfId="1" applyFont="1" applyFill="1" applyBorder="1" applyAlignment="1">
      <alignment horizontal="center" vertical="center"/>
    </xf>
    <xf numFmtId="3" fontId="56" fillId="0" borderId="191" xfId="0" applyNumberFormat="1" applyFont="1" applyFill="1" applyBorder="1" applyAlignment="1">
      <alignment horizontal="center" vertical="center"/>
    </xf>
    <xf numFmtId="9" fontId="56" fillId="0" borderId="191" xfId="1" applyFont="1" applyFill="1" applyBorder="1" applyAlignment="1">
      <alignment horizontal="center" vertical="center"/>
    </xf>
    <xf numFmtId="169" fontId="38" fillId="0" borderId="191" xfId="0" applyNumberFormat="1" applyFont="1" applyFill="1" applyBorder="1" applyAlignment="1">
      <alignment horizontal="center" vertical="center"/>
    </xf>
    <xf numFmtId="9" fontId="38" fillId="0" borderId="191" xfId="1" applyFont="1" applyFill="1" applyBorder="1" applyAlignment="1">
      <alignment horizontal="center" vertical="center"/>
    </xf>
    <xf numFmtId="3" fontId="42" fillId="0" borderId="191" xfId="0" applyNumberFormat="1" applyFont="1" applyFill="1" applyBorder="1" applyAlignment="1">
      <alignment horizontal="center" vertical="center"/>
    </xf>
    <xf numFmtId="9" fontId="42" fillId="0" borderId="191" xfId="1" applyFont="1" applyFill="1" applyBorder="1" applyAlignment="1">
      <alignment horizontal="center" vertical="center"/>
    </xf>
    <xf numFmtId="169" fontId="42" fillId="0" borderId="191" xfId="0" applyNumberFormat="1" applyFont="1" applyFill="1" applyBorder="1" applyAlignment="1">
      <alignment horizontal="center" vertical="center"/>
    </xf>
    <xf numFmtId="9" fontId="52" fillId="0" borderId="8" xfId="1" applyFont="1" applyFill="1" applyBorder="1" applyAlignment="1">
      <alignment horizontal="center" vertical="center"/>
    </xf>
    <xf numFmtId="0" fontId="60" fillId="0" borderId="169" xfId="0" applyFont="1" applyBorder="1" applyAlignment="1">
      <alignment horizontal="center" vertical="center"/>
    </xf>
    <xf numFmtId="0" fontId="60" fillId="0" borderId="8" xfId="0" applyFont="1" applyBorder="1" applyAlignment="1">
      <alignment horizontal="center" vertical="center"/>
    </xf>
    <xf numFmtId="3" fontId="69" fillId="0" borderId="161" xfId="0" applyNumberFormat="1" applyFont="1" applyFill="1" applyBorder="1" applyAlignment="1">
      <alignment horizontal="center" vertical="center" wrapText="1"/>
    </xf>
    <xf numFmtId="9" fontId="60" fillId="0" borderId="0" xfId="0" applyNumberFormat="1" applyFont="1" applyAlignment="1">
      <alignment horizontal="center" vertical="center" wrapText="1"/>
    </xf>
    <xf numFmtId="9" fontId="60" fillId="0" borderId="0" xfId="1" applyNumberFormat="1" applyFont="1" applyAlignment="1">
      <alignment horizontal="center" vertical="center" wrapText="1"/>
    </xf>
    <xf numFmtId="0" fontId="24" fillId="0" borderId="142" xfId="0" applyFont="1" applyFill="1" applyBorder="1" applyAlignment="1">
      <alignment horizontal="center" vertical="center" wrapText="1"/>
    </xf>
    <xf numFmtId="0" fontId="22" fillId="0" borderId="0" xfId="0" applyFont="1" applyFill="1" applyBorder="1" applyAlignment="1">
      <alignment horizontal="center" vertical="center" wrapText="1"/>
    </xf>
    <xf numFmtId="3" fontId="56" fillId="0" borderId="32" xfId="1" applyNumberFormat="1" applyFont="1" applyFill="1" applyBorder="1" applyAlignment="1">
      <alignment horizontal="center" vertical="center"/>
    </xf>
    <xf numFmtId="3" fontId="56" fillId="0" borderId="40" xfId="1" applyNumberFormat="1" applyFont="1" applyFill="1" applyBorder="1" applyAlignment="1">
      <alignment horizontal="center" vertical="center"/>
    </xf>
    <xf numFmtId="3" fontId="52" fillId="0" borderId="0" xfId="1" applyNumberFormat="1" applyFont="1" applyFill="1" applyBorder="1" applyAlignment="1">
      <alignment horizontal="center"/>
    </xf>
    <xf numFmtId="3" fontId="56" fillId="0" borderId="8" xfId="1" applyNumberFormat="1" applyFont="1" applyFill="1" applyBorder="1" applyAlignment="1">
      <alignment horizontal="center"/>
    </xf>
    <xf numFmtId="3" fontId="56" fillId="0" borderId="0" xfId="1" applyNumberFormat="1" applyFont="1" applyFill="1" applyBorder="1" applyAlignment="1">
      <alignment horizontal="center" vertical="center"/>
    </xf>
    <xf numFmtId="3" fontId="56" fillId="0" borderId="8" xfId="1" applyNumberFormat="1" applyFont="1" applyFill="1" applyBorder="1" applyAlignment="1">
      <alignment horizontal="center" vertical="center"/>
    </xf>
    <xf numFmtId="3" fontId="56" fillId="0" borderId="158" xfId="1" applyNumberFormat="1" applyFont="1" applyFill="1" applyBorder="1" applyAlignment="1">
      <alignment horizontal="center" vertical="center"/>
    </xf>
    <xf numFmtId="3" fontId="56" fillId="0" borderId="10" xfId="1" applyNumberFormat="1" applyFont="1" applyFill="1" applyBorder="1" applyAlignment="1">
      <alignment horizontal="center" vertical="center"/>
    </xf>
    <xf numFmtId="3" fontId="56" fillId="0" borderId="13" xfId="1" applyNumberFormat="1" applyFont="1" applyFill="1" applyBorder="1" applyAlignment="1">
      <alignment horizontal="center" vertical="center"/>
    </xf>
    <xf numFmtId="0" fontId="22" fillId="0" borderId="0" xfId="0" applyFont="1" applyBorder="1" applyAlignment="1">
      <alignment horizontal="center" vertical="center" wrapText="1"/>
    </xf>
    <xf numFmtId="171" fontId="56" fillId="0" borderId="121" xfId="1" applyNumberFormat="1" applyFont="1" applyFill="1" applyBorder="1" applyAlignment="1">
      <alignment horizontal="center" vertical="center"/>
    </xf>
    <xf numFmtId="169" fontId="52" fillId="0" borderId="0" xfId="0" applyNumberFormat="1" applyFont="1" applyFill="1" applyAlignment="1">
      <alignment horizontal="center"/>
    </xf>
    <xf numFmtId="169" fontId="52" fillId="0" borderId="0" xfId="1" applyNumberFormat="1" applyFont="1" applyFill="1" applyAlignment="1">
      <alignment horizontal="center"/>
    </xf>
    <xf numFmtId="3" fontId="69" fillId="0" borderId="166" xfId="0" applyNumberFormat="1" applyFont="1" applyFill="1" applyBorder="1" applyAlignment="1">
      <alignment horizontal="center" vertical="center" wrapText="1"/>
    </xf>
    <xf numFmtId="3" fontId="52" fillId="0" borderId="121" xfId="1" applyNumberFormat="1" applyFont="1" applyFill="1" applyBorder="1" applyAlignment="1">
      <alignment horizontal="center" vertical="center"/>
    </xf>
    <xf numFmtId="171" fontId="52" fillId="0" borderId="0" xfId="1" applyNumberFormat="1" applyFont="1" applyFill="1" applyBorder="1" applyAlignment="1">
      <alignment horizontal="center" vertical="center"/>
    </xf>
    <xf numFmtId="176" fontId="52" fillId="0" borderId="0" xfId="0" applyNumberFormat="1" applyFont="1"/>
    <xf numFmtId="165" fontId="52" fillId="0" borderId="0" xfId="139" applyFont="1"/>
    <xf numFmtId="169" fontId="52" fillId="0" borderId="191" xfId="0" applyNumberFormat="1" applyFont="1" applyBorder="1" applyAlignment="1">
      <alignment horizontal="center" vertical="center" wrapText="1"/>
    </xf>
    <xf numFmtId="0" fontId="57" fillId="0" borderId="0" xfId="0" applyFont="1" applyBorder="1" applyAlignment="1">
      <alignment horizontal="center" vertical="center"/>
    </xf>
    <xf numFmtId="0" fontId="137" fillId="0" borderId="0" xfId="930" applyFont="1" applyBorder="1"/>
    <xf numFmtId="0" fontId="21" fillId="0" borderId="0" xfId="341" applyFont="1" applyBorder="1" applyAlignment="1">
      <alignment horizontal="center" vertical="center" wrapText="1"/>
    </xf>
    <xf numFmtId="169" fontId="133" fillId="0" borderId="0" xfId="139" applyNumberFormat="1" applyFont="1" applyBorder="1" applyAlignment="1">
      <alignment horizontal="center"/>
    </xf>
    <xf numFmtId="3" fontId="135" fillId="0" borderId="0" xfId="592" applyNumberFormat="1" applyFont="1" applyBorder="1" applyAlignment="1">
      <alignment horizontal="center"/>
    </xf>
    <xf numFmtId="9" fontId="133" fillId="0" borderId="0" xfId="1" applyFont="1" applyBorder="1" applyAlignment="1">
      <alignment horizontal="center"/>
    </xf>
    <xf numFmtId="0" fontId="137" fillId="0" borderId="8" xfId="930" applyFont="1" applyBorder="1"/>
    <xf numFmtId="9" fontId="135" fillId="0" borderId="123" xfId="1" applyFont="1" applyBorder="1" applyAlignment="1">
      <alignment horizontal="center"/>
    </xf>
    <xf numFmtId="169" fontId="135" fillId="0" borderId="123" xfId="592" applyNumberFormat="1" applyFont="1" applyBorder="1" applyAlignment="1">
      <alignment horizontal="center"/>
    </xf>
    <xf numFmtId="169" fontId="133" fillId="0" borderId="11" xfId="139" applyNumberFormat="1" applyFont="1" applyBorder="1" applyAlignment="1">
      <alignment horizontal="center"/>
    </xf>
    <xf numFmtId="0" fontId="60" fillId="0" borderId="121" xfId="0" applyFont="1" applyBorder="1" applyAlignment="1">
      <alignment horizontal="center"/>
    </xf>
    <xf numFmtId="169" fontId="135" fillId="0" borderId="155" xfId="139" applyNumberFormat="1" applyFont="1" applyBorder="1" applyAlignment="1">
      <alignment horizontal="center"/>
    </xf>
    <xf numFmtId="0" fontId="137" fillId="0" borderId="155" xfId="930" applyFont="1" applyBorder="1"/>
    <xf numFmtId="169" fontId="135" fillId="0" borderId="124" xfId="139" applyNumberFormat="1" applyFont="1" applyBorder="1" applyAlignment="1">
      <alignment horizontal="center"/>
    </xf>
    <xf numFmtId="0" fontId="137" fillId="0" borderId="124" xfId="930" applyFont="1" applyBorder="1"/>
    <xf numFmtId="0" fontId="137" fillId="0" borderId="61" xfId="930" applyFont="1" applyBorder="1"/>
    <xf numFmtId="169" fontId="133" fillId="0" borderId="2" xfId="139" applyNumberFormat="1" applyFont="1" applyBorder="1" applyAlignment="1">
      <alignment horizontal="center"/>
    </xf>
    <xf numFmtId="0" fontId="137" fillId="0" borderId="32" xfId="930" applyFont="1" applyBorder="1"/>
    <xf numFmtId="169" fontId="133" fillId="0" borderId="34" xfId="592" applyNumberFormat="1" applyFont="1" applyBorder="1" applyAlignment="1">
      <alignment horizontal="center"/>
    </xf>
    <xf numFmtId="169" fontId="133" fillId="0" borderId="47" xfId="592" applyNumberFormat="1" applyFont="1" applyBorder="1" applyAlignment="1">
      <alignment horizontal="center"/>
    </xf>
    <xf numFmtId="0" fontId="25" fillId="0" borderId="7" xfId="0" applyFont="1" applyBorder="1"/>
    <xf numFmtId="3" fontId="25" fillId="0" borderId="8" xfId="0" applyNumberFormat="1" applyFont="1" applyBorder="1" applyAlignment="1">
      <alignment horizontal="center"/>
    </xf>
    <xf numFmtId="0" fontId="39" fillId="0" borderId="7" xfId="0" applyFont="1" applyBorder="1"/>
    <xf numFmtId="0" fontId="38" fillId="0" borderId="7" xfId="0" applyFont="1" applyBorder="1"/>
    <xf numFmtId="169" fontId="52" fillId="0" borderId="8" xfId="0" applyNumberFormat="1" applyFont="1" applyBorder="1" applyAlignment="1">
      <alignment horizontal="center"/>
    </xf>
    <xf numFmtId="3" fontId="69" fillId="0" borderId="10" xfId="0" applyNumberFormat="1" applyFont="1" applyFill="1" applyBorder="1" applyAlignment="1">
      <alignment horizontal="center" vertical="center" wrapText="1"/>
    </xf>
    <xf numFmtId="3" fontId="56" fillId="0" borderId="13" xfId="0" applyNumberFormat="1" applyFont="1" applyBorder="1" applyAlignment="1">
      <alignment horizontal="center" vertical="center"/>
    </xf>
    <xf numFmtId="169" fontId="135" fillId="0" borderId="126" xfId="139" applyNumberFormat="1" applyFont="1" applyBorder="1" applyAlignment="1">
      <alignment horizontal="center"/>
    </xf>
    <xf numFmtId="169" fontId="135" fillId="0" borderId="29" xfId="139" applyNumberFormat="1" applyFont="1" applyBorder="1" applyAlignment="1">
      <alignment horizontal="center"/>
    </xf>
    <xf numFmtId="169" fontId="133" fillId="0" borderId="32" xfId="139" applyNumberFormat="1" applyFont="1" applyBorder="1" applyAlignment="1">
      <alignment horizontal="center"/>
    </xf>
    <xf numFmtId="169" fontId="133" fillId="0" borderId="179" xfId="139" applyNumberFormat="1" applyFont="1" applyBorder="1" applyAlignment="1">
      <alignment horizontal="center"/>
    </xf>
    <xf numFmtId="169" fontId="133" fillId="0" borderId="42" xfId="139" applyNumberFormat="1" applyFont="1" applyBorder="1" applyAlignment="1">
      <alignment horizontal="center"/>
    </xf>
    <xf numFmtId="169" fontId="133" fillId="0" borderId="32" xfId="592" applyNumberFormat="1" applyFont="1" applyBorder="1" applyAlignment="1">
      <alignment horizontal="center"/>
    </xf>
    <xf numFmtId="169" fontId="133" fillId="0" borderId="33" xfId="592" applyNumberFormat="1" applyFont="1" applyBorder="1" applyAlignment="1">
      <alignment horizontal="center"/>
    </xf>
    <xf numFmtId="169" fontId="133" fillId="0" borderId="46" xfId="592" applyNumberFormat="1" applyFont="1" applyBorder="1" applyAlignment="1">
      <alignment horizontal="center"/>
    </xf>
    <xf numFmtId="3" fontId="135" fillId="0" borderId="32" xfId="592" applyNumberFormat="1" applyFont="1" applyBorder="1" applyAlignment="1">
      <alignment horizontal="center"/>
    </xf>
    <xf numFmtId="9" fontId="135" fillId="0" borderId="38" xfId="1" applyFont="1" applyBorder="1" applyAlignment="1">
      <alignment horizontal="center"/>
    </xf>
    <xf numFmtId="9" fontId="133" fillId="0" borderId="32" xfId="1" applyFont="1" applyBorder="1" applyAlignment="1">
      <alignment horizontal="center"/>
    </xf>
    <xf numFmtId="167" fontId="21" fillId="0" borderId="1" xfId="0" applyNumberFormat="1" applyFont="1" applyBorder="1" applyAlignment="1">
      <alignment horizontal="center" vertical="center" wrapText="1"/>
    </xf>
    <xf numFmtId="167" fontId="21" fillId="0" borderId="0" xfId="0" applyNumberFormat="1" applyFont="1" applyBorder="1" applyAlignment="1">
      <alignment horizontal="center" vertical="center" wrapText="1"/>
    </xf>
    <xf numFmtId="167" fontId="21" fillId="0" borderId="191" xfId="0" applyNumberFormat="1" applyFont="1" applyBorder="1" applyAlignment="1">
      <alignment horizontal="center" vertical="center" wrapText="1"/>
    </xf>
    <xf numFmtId="167" fontId="21" fillId="0" borderId="120" xfId="0" applyNumberFormat="1" applyFont="1" applyBorder="1" applyAlignment="1">
      <alignment horizontal="center" vertical="center" wrapText="1"/>
    </xf>
    <xf numFmtId="167" fontId="21" fillId="0" borderId="121" xfId="0" applyNumberFormat="1" applyFont="1" applyBorder="1" applyAlignment="1">
      <alignment horizontal="center" vertical="center" wrapText="1"/>
    </xf>
    <xf numFmtId="167" fontId="21" fillId="0" borderId="51" xfId="0" applyNumberFormat="1" applyFont="1" applyBorder="1" applyAlignment="1">
      <alignment horizontal="center" vertical="center" wrapText="1"/>
    </xf>
    <xf numFmtId="0" fontId="60" fillId="0" borderId="0" xfId="0" applyFont="1" applyFill="1" applyAlignment="1">
      <alignment horizontal="center"/>
    </xf>
    <xf numFmtId="167" fontId="60" fillId="0" borderId="0" xfId="0" applyNumberFormat="1" applyFont="1" applyAlignment="1">
      <alignment horizontal="center"/>
    </xf>
    <xf numFmtId="167" fontId="60" fillId="0" borderId="0" xfId="0" applyNumberFormat="1" applyFont="1" applyFill="1" applyAlignment="1">
      <alignment horizontal="center"/>
    </xf>
    <xf numFmtId="0" fontId="122" fillId="0" borderId="0" xfId="0" applyFont="1" applyAlignment="1">
      <alignment horizontal="center"/>
    </xf>
    <xf numFmtId="0" fontId="122" fillId="0" borderId="0" xfId="0" applyFont="1" applyFill="1" applyAlignment="1">
      <alignment horizontal="center"/>
    </xf>
    <xf numFmtId="167" fontId="21" fillId="0" borderId="1" xfId="0" applyNumberFormat="1" applyFont="1" applyFill="1" applyBorder="1" applyAlignment="1">
      <alignment horizontal="center" vertical="center" wrapText="1"/>
    </xf>
    <xf numFmtId="167" fontId="21" fillId="0" borderId="0" xfId="0" applyNumberFormat="1" applyFont="1" applyFill="1" applyBorder="1" applyAlignment="1">
      <alignment horizontal="center" vertical="center" wrapText="1"/>
    </xf>
    <xf numFmtId="170" fontId="21" fillId="0" borderId="0" xfId="139" applyNumberFormat="1" applyFont="1" applyFill="1" applyBorder="1" applyAlignment="1">
      <alignment vertical="center" wrapText="1"/>
    </xf>
    <xf numFmtId="167" fontId="69" fillId="0" borderId="30" xfId="0" applyNumberFormat="1" applyFont="1" applyBorder="1" applyAlignment="1">
      <alignment horizontal="center" vertical="center" wrapText="1"/>
    </xf>
    <xf numFmtId="3" fontId="69" fillId="0" borderId="30" xfId="0" applyNumberFormat="1" applyFont="1" applyBorder="1" applyAlignment="1">
      <alignment horizontal="center" vertical="center" wrapText="1"/>
    </xf>
    <xf numFmtId="3" fontId="21" fillId="0" borderId="0" xfId="0" applyNumberFormat="1" applyFont="1" applyBorder="1" applyAlignment="1">
      <alignment horizontal="center"/>
    </xf>
    <xf numFmtId="0" fontId="26" fillId="0" borderId="9" xfId="0" applyFont="1" applyFill="1" applyBorder="1"/>
    <xf numFmtId="169" fontId="135" fillId="0" borderId="198" xfId="139" applyNumberFormat="1" applyFont="1" applyFill="1" applyBorder="1" applyAlignment="1">
      <alignment horizontal="center"/>
    </xf>
    <xf numFmtId="169" fontId="135" fillId="0" borderId="31" xfId="139" applyNumberFormat="1" applyFont="1" applyFill="1" applyBorder="1" applyAlignment="1">
      <alignment horizontal="center"/>
    </xf>
    <xf numFmtId="169" fontId="133" fillId="0" borderId="10" xfId="139" applyNumberFormat="1" applyFont="1" applyFill="1" applyBorder="1" applyAlignment="1">
      <alignment horizontal="center"/>
    </xf>
    <xf numFmtId="169" fontId="133" fillId="0" borderId="83" xfId="139" applyNumberFormat="1" applyFont="1" applyFill="1" applyBorder="1" applyAlignment="1">
      <alignment horizontal="center"/>
    </xf>
    <xf numFmtId="169" fontId="133" fillId="0" borderId="12" xfId="139" applyNumberFormat="1" applyFont="1" applyFill="1" applyBorder="1" applyAlignment="1">
      <alignment horizontal="center"/>
    </xf>
    <xf numFmtId="169" fontId="133" fillId="0" borderId="10" xfId="592" applyNumberFormat="1" applyFont="1" applyBorder="1" applyAlignment="1">
      <alignment horizontal="center"/>
    </xf>
    <xf numFmtId="169" fontId="133" fillId="0" borderId="201" xfId="592" applyNumberFormat="1" applyFont="1" applyFill="1" applyBorder="1" applyAlignment="1">
      <alignment horizontal="center"/>
    </xf>
    <xf numFmtId="169" fontId="133" fillId="0" borderId="165" xfId="592" applyNumberFormat="1" applyFont="1" applyBorder="1" applyAlignment="1">
      <alignment horizontal="center"/>
    </xf>
    <xf numFmtId="3" fontId="135" fillId="0" borderId="10" xfId="592" applyNumberFormat="1" applyFont="1" applyFill="1" applyBorder="1" applyAlignment="1">
      <alignment horizontal="center"/>
    </xf>
    <xf numFmtId="9" fontId="135" fillId="0" borderId="20" xfId="1" applyFont="1" applyBorder="1" applyAlignment="1">
      <alignment horizontal="center"/>
    </xf>
    <xf numFmtId="9" fontId="133" fillId="0" borderId="10" xfId="1" applyFont="1" applyBorder="1" applyAlignment="1">
      <alignment horizontal="center"/>
    </xf>
    <xf numFmtId="0" fontId="138" fillId="0" borderId="0" xfId="930" applyFont="1"/>
    <xf numFmtId="0" fontId="50" fillId="0" borderId="0" xfId="0" applyFont="1" applyBorder="1" applyAlignment="1">
      <alignment horizontal="center" vertical="center" wrapText="1"/>
    </xf>
    <xf numFmtId="0" fontId="47"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56" fillId="0" borderId="0" xfId="0" applyFont="1" applyBorder="1" applyAlignment="1">
      <alignment horizontal="center" vertical="center" wrapText="1"/>
    </xf>
    <xf numFmtId="0" fontId="57" fillId="0" borderId="0" xfId="0" applyFont="1" applyBorder="1" applyAlignment="1">
      <alignment horizontal="center" vertical="center"/>
    </xf>
    <xf numFmtId="9" fontId="19" fillId="0" borderId="0" xfId="1" applyFont="1" applyFill="1" applyBorder="1" applyAlignment="1">
      <alignment horizontal="center"/>
    </xf>
    <xf numFmtId="0" fontId="137" fillId="0" borderId="6" xfId="930" applyFont="1" applyBorder="1"/>
    <xf numFmtId="0" fontId="60" fillId="0" borderId="8" xfId="930" applyFont="1" applyBorder="1" applyAlignment="1">
      <alignment horizontal="center"/>
    </xf>
    <xf numFmtId="9" fontId="18" fillId="0" borderId="8" xfId="1" applyFont="1" applyBorder="1" applyAlignment="1">
      <alignment horizontal="center" vertical="center"/>
    </xf>
    <xf numFmtId="9" fontId="18" fillId="0" borderId="13" xfId="1" applyFont="1" applyBorder="1" applyAlignment="1">
      <alignment horizontal="center" vertical="center"/>
    </xf>
    <xf numFmtId="169" fontId="133" fillId="0" borderId="3" xfId="139" applyNumberFormat="1" applyFont="1" applyBorder="1" applyAlignment="1">
      <alignment horizontal="center"/>
    </xf>
    <xf numFmtId="9" fontId="18" fillId="0" borderId="40" xfId="1" applyFont="1" applyBorder="1" applyAlignment="1">
      <alignment horizontal="center" vertical="center"/>
    </xf>
    <xf numFmtId="169" fontId="135" fillId="0" borderId="155" xfId="139" applyNumberFormat="1" applyFont="1" applyFill="1" applyBorder="1" applyAlignment="1">
      <alignment horizontal="center"/>
    </xf>
    <xf numFmtId="169" fontId="135" fillId="0" borderId="124" xfId="139" applyNumberFormat="1" applyFont="1" applyFill="1" applyBorder="1" applyAlignment="1">
      <alignment horizontal="center"/>
    </xf>
    <xf numFmtId="169" fontId="133" fillId="0" borderId="0" xfId="139" applyNumberFormat="1" applyFont="1" applyFill="1" applyBorder="1" applyAlignment="1">
      <alignment horizontal="center"/>
    </xf>
    <xf numFmtId="169" fontId="133" fillId="0" borderId="61" xfId="139" applyNumberFormat="1" applyFont="1" applyFill="1" applyBorder="1" applyAlignment="1">
      <alignment horizontal="center"/>
    </xf>
    <xf numFmtId="169" fontId="133" fillId="0" borderId="1" xfId="139" applyNumberFormat="1" applyFont="1" applyFill="1" applyBorder="1" applyAlignment="1">
      <alignment horizontal="center"/>
    </xf>
    <xf numFmtId="169" fontId="133" fillId="0" borderId="2" xfId="139" applyNumberFormat="1" applyFont="1" applyFill="1" applyBorder="1" applyAlignment="1">
      <alignment horizontal="center"/>
    </xf>
    <xf numFmtId="169" fontId="133" fillId="0" borderId="0" xfId="592" applyNumberFormat="1" applyFont="1" applyFill="1" applyBorder="1" applyAlignment="1">
      <alignment horizontal="center"/>
    </xf>
    <xf numFmtId="169" fontId="133" fillId="0" borderId="34" xfId="592" applyNumberFormat="1" applyFont="1" applyFill="1" applyBorder="1" applyAlignment="1">
      <alignment horizontal="center"/>
    </xf>
    <xf numFmtId="169" fontId="133" fillId="0" borderId="47" xfId="592" applyNumberFormat="1" applyFont="1" applyFill="1" applyBorder="1" applyAlignment="1">
      <alignment horizontal="center"/>
    </xf>
    <xf numFmtId="3" fontId="135" fillId="0" borderId="0" xfId="592" applyNumberFormat="1" applyFont="1" applyFill="1" applyBorder="1" applyAlignment="1">
      <alignment horizontal="center"/>
    </xf>
    <xf numFmtId="9" fontId="135" fillId="0" borderId="123" xfId="1" applyFont="1" applyFill="1" applyBorder="1" applyAlignment="1">
      <alignment horizontal="center"/>
    </xf>
    <xf numFmtId="9" fontId="133" fillId="0" borderId="0" xfId="1" applyFont="1" applyFill="1" applyBorder="1" applyAlignment="1">
      <alignment horizontal="center"/>
    </xf>
    <xf numFmtId="9" fontId="18" fillId="0" borderId="8" xfId="1" applyFont="1" applyFill="1" applyBorder="1" applyAlignment="1">
      <alignment horizontal="center" vertical="center"/>
    </xf>
    <xf numFmtId="0" fontId="137" fillId="0" borderId="0" xfId="930" applyFont="1" applyFill="1"/>
    <xf numFmtId="0" fontId="99" fillId="0" borderId="7" xfId="0" applyFont="1" applyFill="1" applyBorder="1"/>
    <xf numFmtId="9" fontId="69" fillId="0" borderId="0" xfId="1" applyFont="1" applyBorder="1" applyAlignment="1">
      <alignment horizontal="center" vertical="center"/>
    </xf>
    <xf numFmtId="3" fontId="63" fillId="0" borderId="0" xfId="0" applyNumberFormat="1" applyFont="1" applyBorder="1" applyAlignment="1">
      <alignment horizontal="center"/>
    </xf>
    <xf numFmtId="0" fontId="57" fillId="0" borderId="0" xfId="0" applyFont="1" applyBorder="1" applyAlignment="1">
      <alignment horizontal="center" vertical="center"/>
    </xf>
    <xf numFmtId="1" fontId="23" fillId="0" borderId="51" xfId="1" applyNumberFormat="1" applyFont="1" applyBorder="1" applyAlignment="1">
      <alignment horizontal="center" vertical="center"/>
    </xf>
    <xf numFmtId="1" fontId="56" fillId="0" borderId="0" xfId="1" applyNumberFormat="1" applyFont="1" applyBorder="1" applyAlignment="1">
      <alignment horizontal="center" vertical="center" wrapText="1"/>
    </xf>
    <xf numFmtId="167" fontId="56" fillId="0" borderId="0" xfId="1" applyNumberFormat="1" applyFont="1" applyBorder="1" applyAlignment="1">
      <alignment horizontal="center" vertical="center" wrapText="1"/>
    </xf>
    <xf numFmtId="2" fontId="56" fillId="0" borderId="0" xfId="1" applyNumberFormat="1" applyFont="1" applyBorder="1" applyAlignment="1">
      <alignment horizontal="center"/>
    </xf>
    <xf numFmtId="167" fontId="56" fillId="0" borderId="0" xfId="1" applyNumberFormat="1" applyFont="1" applyBorder="1" applyAlignment="1">
      <alignment horizontal="center"/>
    </xf>
    <xf numFmtId="9" fontId="47" fillId="0" borderId="0" xfId="1" applyFont="1" applyBorder="1"/>
    <xf numFmtId="9" fontId="42" fillId="0" borderId="0" xfId="1" applyFont="1" applyBorder="1"/>
    <xf numFmtId="9" fontId="99" fillId="0" borderId="0" xfId="1" applyFont="1" applyBorder="1"/>
    <xf numFmtId="1" fontId="56" fillId="0" borderId="123" xfId="1" applyNumberFormat="1" applyFont="1" applyBorder="1" applyAlignment="1">
      <alignment horizontal="center" vertical="center" wrapText="1"/>
    </xf>
    <xf numFmtId="167" fontId="56" fillId="0" borderId="123" xfId="1" applyNumberFormat="1" applyFont="1" applyBorder="1" applyAlignment="1">
      <alignment horizontal="center" vertical="center"/>
    </xf>
    <xf numFmtId="1" fontId="47" fillId="0" borderId="123" xfId="1" applyNumberFormat="1" applyFont="1" applyBorder="1"/>
    <xf numFmtId="1" fontId="42" fillId="0" borderId="123" xfId="1" applyNumberFormat="1" applyFont="1" applyBorder="1"/>
    <xf numFmtId="1" fontId="99" fillId="0" borderId="123" xfId="1" applyNumberFormat="1" applyFont="1" applyBorder="1"/>
    <xf numFmtId="9" fontId="56" fillId="0" borderId="168" xfId="1" applyFont="1" applyBorder="1" applyAlignment="1">
      <alignment horizontal="center" vertical="center"/>
    </xf>
    <xf numFmtId="0" fontId="60" fillId="0" borderId="191" xfId="0" applyFont="1" applyFill="1" applyBorder="1" applyAlignment="1">
      <alignment horizontal="center"/>
    </xf>
    <xf numFmtId="2" fontId="38" fillId="0" borderId="123" xfId="1" applyNumberFormat="1" applyFont="1" applyBorder="1" applyAlignment="1">
      <alignment horizontal="center"/>
    </xf>
    <xf numFmtId="167" fontId="38" fillId="0" borderId="0" xfId="1" applyNumberFormat="1" applyFont="1" applyBorder="1" applyAlignment="1">
      <alignment horizontal="center"/>
    </xf>
    <xf numFmtId="9" fontId="38" fillId="0" borderId="123" xfId="1" applyFont="1" applyBorder="1" applyAlignment="1">
      <alignment horizontal="center"/>
    </xf>
    <xf numFmtId="2" fontId="38" fillId="0" borderId="0" xfId="1" applyNumberFormat="1" applyFont="1" applyBorder="1" applyAlignment="1">
      <alignment horizontal="center"/>
    </xf>
    <xf numFmtId="171" fontId="38" fillId="0" borderId="0" xfId="1" applyNumberFormat="1" applyFont="1" applyBorder="1" applyAlignment="1">
      <alignment horizontal="center"/>
    </xf>
    <xf numFmtId="167" fontId="38" fillId="0" borderId="123" xfId="1" applyNumberFormat="1" applyFont="1" applyBorder="1" applyAlignment="1">
      <alignment horizontal="center"/>
    </xf>
    <xf numFmtId="0" fontId="17" fillId="0" borderId="0" xfId="1079"/>
    <xf numFmtId="0" fontId="140" fillId="0" borderId="0" xfId="1079" applyFont="1"/>
    <xf numFmtId="3" fontId="38" fillId="0" borderId="123" xfId="1081" applyNumberFormat="1" applyFont="1" applyBorder="1" applyAlignment="1">
      <alignment horizontal="center"/>
    </xf>
    <xf numFmtId="0" fontId="0" fillId="0" borderId="123" xfId="0" applyBorder="1"/>
    <xf numFmtId="0" fontId="0" fillId="0" borderId="0" xfId="0" applyBorder="1"/>
    <xf numFmtId="0" fontId="0" fillId="0" borderId="191" xfId="0" applyBorder="1"/>
    <xf numFmtId="0" fontId="38" fillId="0" borderId="123" xfId="0" applyFont="1" applyBorder="1"/>
    <xf numFmtId="0" fontId="38" fillId="0" borderId="0" xfId="0" applyFont="1" applyBorder="1"/>
    <xf numFmtId="0" fontId="38" fillId="0" borderId="0" xfId="0" applyFont="1" applyBorder="1" applyAlignment="1">
      <alignment horizontal="center"/>
    </xf>
    <xf numFmtId="0" fontId="38" fillId="0" borderId="191" xfId="0" applyFont="1" applyBorder="1" applyAlignment="1">
      <alignment horizontal="center"/>
    </xf>
    <xf numFmtId="0" fontId="38" fillId="0" borderId="0" xfId="0" quotePrefix="1" applyFont="1" applyBorder="1" applyAlignment="1">
      <alignment horizontal="center"/>
    </xf>
    <xf numFmtId="1" fontId="38" fillId="0" borderId="191" xfId="0" applyNumberFormat="1" applyFont="1" applyBorder="1" applyAlignment="1">
      <alignment horizontal="center"/>
    </xf>
    <xf numFmtId="0" fontId="38" fillId="0" borderId="168" xfId="0" applyFont="1" applyBorder="1"/>
    <xf numFmtId="3" fontId="38" fillId="0" borderId="169" xfId="139" applyNumberFormat="1" applyFont="1" applyBorder="1" applyAlignment="1">
      <alignment horizontal="center"/>
    </xf>
    <xf numFmtId="0" fontId="38" fillId="0" borderId="169" xfId="0" applyFont="1" applyBorder="1" applyAlignment="1">
      <alignment horizontal="center"/>
    </xf>
    <xf numFmtId="0" fontId="38" fillId="0" borderId="171" xfId="0" applyFont="1" applyBorder="1" applyAlignment="1">
      <alignment horizontal="center"/>
    </xf>
    <xf numFmtId="0" fontId="38" fillId="0" borderId="123" xfId="0" applyFont="1" applyBorder="1" applyAlignment="1">
      <alignment horizontal="center"/>
    </xf>
    <xf numFmtId="1" fontId="38" fillId="0" borderId="123" xfId="0" applyNumberFormat="1" applyFont="1" applyBorder="1" applyAlignment="1">
      <alignment horizontal="center"/>
    </xf>
    <xf numFmtId="1" fontId="38" fillId="0" borderId="168" xfId="0" applyNumberFormat="1" applyFont="1" applyBorder="1" applyAlignment="1">
      <alignment horizontal="center"/>
    </xf>
    <xf numFmtId="0" fontId="38" fillId="0" borderId="52" xfId="0" applyFont="1" applyBorder="1"/>
    <xf numFmtId="0" fontId="38" fillId="0" borderId="121" xfId="0" applyFont="1" applyBorder="1"/>
    <xf numFmtId="0" fontId="38" fillId="0" borderId="121" xfId="114" applyFont="1" applyBorder="1"/>
    <xf numFmtId="0" fontId="38" fillId="0" borderId="51" xfId="620" applyFont="1" applyBorder="1" applyAlignment="1">
      <alignment wrapText="1"/>
    </xf>
    <xf numFmtId="0" fontId="17" fillId="0" borderId="123" xfId="1079" applyBorder="1"/>
    <xf numFmtId="0" fontId="17" fillId="0" borderId="0" xfId="1079" applyBorder="1"/>
    <xf numFmtId="0" fontId="17" fillId="0" borderId="191" xfId="1079" applyBorder="1"/>
    <xf numFmtId="0" fontId="53" fillId="0" borderId="191" xfId="0" applyFont="1" applyFill="1" applyBorder="1" applyAlignment="1">
      <alignment horizontal="center"/>
    </xf>
    <xf numFmtId="0" fontId="140" fillId="0" borderId="123" xfId="1079" applyFont="1" applyBorder="1" applyAlignment="1">
      <alignment horizontal="center"/>
    </xf>
    <xf numFmtId="0" fontId="140" fillId="0" borderId="168" xfId="1079" applyFont="1" applyBorder="1" applyAlignment="1">
      <alignment horizontal="center"/>
    </xf>
    <xf numFmtId="3" fontId="38" fillId="0" borderId="0" xfId="1081" applyNumberFormat="1" applyFont="1" applyBorder="1" applyAlignment="1">
      <alignment horizontal="center"/>
    </xf>
    <xf numFmtId="4" fontId="38" fillId="0" borderId="0" xfId="1081" applyNumberFormat="1" applyFont="1" applyBorder="1" applyAlignment="1">
      <alignment horizontal="center"/>
    </xf>
    <xf numFmtId="0" fontId="140" fillId="0" borderId="52" xfId="1079" applyFont="1" applyBorder="1" applyAlignment="1">
      <alignment horizontal="center"/>
    </xf>
    <xf numFmtId="0" fontId="140" fillId="0" borderId="152" xfId="1079" applyFont="1" applyBorder="1" applyAlignment="1">
      <alignment horizontal="center" wrapText="1"/>
    </xf>
    <xf numFmtId="0" fontId="140" fillId="0" borderId="153" xfId="1079" applyFont="1" applyBorder="1" applyAlignment="1">
      <alignment horizontal="center" wrapText="1"/>
    </xf>
    <xf numFmtId="0" fontId="140" fillId="0" borderId="58" xfId="1079" applyFont="1" applyBorder="1" applyAlignment="1">
      <alignment horizontal="center" wrapText="1"/>
    </xf>
    <xf numFmtId="1" fontId="58" fillId="0" borderId="191" xfId="139" applyNumberFormat="1" applyFont="1" applyBorder="1" applyAlignment="1">
      <alignment horizontal="center"/>
    </xf>
    <xf numFmtId="1" fontId="58" fillId="0" borderId="171" xfId="139" applyNumberFormat="1" applyFont="1" applyBorder="1" applyAlignment="1">
      <alignment horizontal="center"/>
    </xf>
    <xf numFmtId="0" fontId="140" fillId="0" borderId="36" xfId="1079" applyFont="1" applyBorder="1" applyAlignment="1">
      <alignment horizontal="center" wrapText="1"/>
    </xf>
    <xf numFmtId="9" fontId="38" fillId="0" borderId="123" xfId="1082" applyNumberFormat="1" applyFont="1" applyBorder="1" applyAlignment="1">
      <alignment horizontal="center"/>
    </xf>
    <xf numFmtId="9" fontId="38" fillId="0" borderId="168" xfId="1082" applyNumberFormat="1" applyFont="1" applyBorder="1" applyAlignment="1">
      <alignment horizontal="center"/>
    </xf>
    <xf numFmtId="1" fontId="58" fillId="0" borderId="2" xfId="1082" applyNumberFormat="1" applyFont="1" applyBorder="1" applyAlignment="1">
      <alignment horizontal="center"/>
    </xf>
    <xf numFmtId="9" fontId="38" fillId="0" borderId="1" xfId="1" applyFont="1" applyBorder="1" applyAlignment="1">
      <alignment horizontal="center"/>
    </xf>
    <xf numFmtId="1" fontId="58" fillId="0" borderId="149" xfId="1082" applyNumberFormat="1" applyFont="1" applyBorder="1" applyAlignment="1">
      <alignment horizontal="center"/>
    </xf>
    <xf numFmtId="9" fontId="38" fillId="0" borderId="170" xfId="1" applyFont="1" applyBorder="1" applyAlignment="1">
      <alignment horizontal="center"/>
    </xf>
    <xf numFmtId="0" fontId="16" fillId="0" borderId="0" xfId="1079" applyFont="1"/>
    <xf numFmtId="0" fontId="56" fillId="0" borderId="123" xfId="0" applyFont="1" applyBorder="1" applyAlignment="1">
      <alignment horizontal="center" vertical="center" wrapText="1"/>
    </xf>
    <xf numFmtId="0" fontId="57" fillId="0" borderId="0" xfId="0" applyFont="1" applyBorder="1" applyAlignment="1">
      <alignment horizontal="center" vertical="center"/>
    </xf>
    <xf numFmtId="0" fontId="137" fillId="0" borderId="0" xfId="1083" applyFont="1"/>
    <xf numFmtId="0" fontId="60" fillId="0" borderId="191" xfId="0" applyFont="1" applyBorder="1" applyAlignment="1">
      <alignment horizontal="center"/>
    </xf>
    <xf numFmtId="10" fontId="38" fillId="0" borderId="123" xfId="0" applyNumberFormat="1" applyFont="1" applyBorder="1" applyAlignment="1">
      <alignment horizontal="center"/>
    </xf>
    <xf numFmtId="10" fontId="38" fillId="0" borderId="0" xfId="0" applyNumberFormat="1" applyFont="1" applyBorder="1" applyAlignment="1">
      <alignment horizontal="center"/>
    </xf>
    <xf numFmtId="3" fontId="38" fillId="0" borderId="123" xfId="0" applyNumberFormat="1" applyFont="1" applyBorder="1" applyAlignment="1">
      <alignment horizontal="center"/>
    </xf>
    <xf numFmtId="3" fontId="38" fillId="0" borderId="0" xfId="0" applyNumberFormat="1" applyFont="1" applyBorder="1" applyAlignment="1">
      <alignment horizontal="center"/>
    </xf>
    <xf numFmtId="0" fontId="38" fillId="0" borderId="121" xfId="620" applyFont="1" applyBorder="1" applyAlignment="1">
      <alignment wrapText="1"/>
    </xf>
    <xf numFmtId="0" fontId="56" fillId="0" borderId="0" xfId="0" applyFont="1" applyBorder="1" applyAlignment="1">
      <alignment horizontal="center" vertical="center" wrapText="1"/>
    </xf>
    <xf numFmtId="0" fontId="142" fillId="0" borderId="121" xfId="1079" applyFont="1" applyBorder="1" applyAlignment="1">
      <alignment horizontal="center" vertical="center" wrapText="1"/>
    </xf>
    <xf numFmtId="0" fontId="141" fillId="0" borderId="0" xfId="1079" applyFont="1" applyBorder="1" applyAlignment="1">
      <alignment horizontal="center"/>
    </xf>
    <xf numFmtId="0" fontId="140" fillId="0" borderId="0" xfId="1079" applyFont="1" applyBorder="1" applyAlignment="1">
      <alignment horizontal="center" vertical="center" wrapText="1"/>
    </xf>
    <xf numFmtId="171" fontId="140" fillId="0" borderId="0" xfId="1" applyNumberFormat="1" applyFont="1" applyFill="1" applyBorder="1" applyAlignment="1">
      <alignment horizontal="center"/>
    </xf>
    <xf numFmtId="4" fontId="38" fillId="0" borderId="0" xfId="1081" applyNumberFormat="1" applyFont="1" applyFill="1" applyBorder="1" applyAlignment="1">
      <alignment horizontal="center"/>
    </xf>
    <xf numFmtId="9" fontId="38" fillId="0" borderId="0" xfId="1" applyFont="1" applyFill="1" applyBorder="1" applyAlignment="1">
      <alignment horizontal="center"/>
    </xf>
    <xf numFmtId="171" fontId="140" fillId="0" borderId="0" xfId="1079" applyNumberFormat="1" applyFont="1" applyFill="1" applyBorder="1" applyAlignment="1">
      <alignment horizontal="center"/>
    </xf>
    <xf numFmtId="171" fontId="38" fillId="0" borderId="123" xfId="1" applyNumberFormat="1" applyFont="1" applyBorder="1" applyAlignment="1">
      <alignment horizontal="center"/>
    </xf>
    <xf numFmtId="171" fontId="38" fillId="0" borderId="0" xfId="1" applyNumberFormat="1" applyFont="1" applyFill="1" applyBorder="1" applyAlignment="1">
      <alignment horizontal="center"/>
    </xf>
    <xf numFmtId="0" fontId="60" fillId="0" borderId="0" xfId="0" applyFont="1" applyAlignment="1">
      <alignment vertical="center" wrapText="1"/>
    </xf>
    <xf numFmtId="9" fontId="60" fillId="0" borderId="0" xfId="1" applyFont="1" applyAlignment="1">
      <alignment vertical="center" wrapText="1"/>
    </xf>
    <xf numFmtId="9" fontId="60" fillId="0" borderId="0" xfId="1" applyFont="1"/>
    <xf numFmtId="0" fontId="53" fillId="0" borderId="205" xfId="341" applyFont="1" applyBorder="1" applyAlignment="1">
      <alignment horizontal="center"/>
    </xf>
    <xf numFmtId="1" fontId="38" fillId="0" borderId="0" xfId="1" applyNumberFormat="1" applyFont="1" applyBorder="1" applyAlignment="1">
      <alignment horizontal="center"/>
    </xf>
    <xf numFmtId="0" fontId="38" fillId="0" borderId="206" xfId="0" applyFont="1" applyBorder="1" applyAlignment="1">
      <alignment horizontal="center" vertical="center"/>
    </xf>
    <xf numFmtId="0" fontId="38" fillId="0" borderId="207" xfId="0" applyFont="1" applyBorder="1" applyAlignment="1">
      <alignment horizontal="center" vertical="center"/>
    </xf>
    <xf numFmtId="0" fontId="137" fillId="0" borderId="0" xfId="591" applyFont="1"/>
    <xf numFmtId="0" fontId="38" fillId="0" borderId="205" xfId="0" applyFont="1" applyBorder="1"/>
    <xf numFmtId="9" fontId="140" fillId="0" borderId="0" xfId="591" applyNumberFormat="1" applyFont="1" applyBorder="1"/>
    <xf numFmtId="0" fontId="140" fillId="0" borderId="0" xfId="591" applyFont="1" applyBorder="1"/>
    <xf numFmtId="0" fontId="140" fillId="0" borderId="0" xfId="591" applyFont="1"/>
    <xf numFmtId="14" fontId="140" fillId="0" borderId="0" xfId="591" applyNumberFormat="1" applyFont="1"/>
    <xf numFmtId="167" fontId="56" fillId="0" borderId="123" xfId="1" applyNumberFormat="1" applyFont="1" applyBorder="1" applyAlignment="1">
      <alignment horizontal="center" vertical="center" wrapText="1"/>
    </xf>
    <xf numFmtId="0" fontId="140" fillId="0" borderId="52" xfId="1079" applyFont="1" applyBorder="1" applyAlignment="1">
      <alignment horizontal="center" vertical="center" wrapText="1"/>
    </xf>
    <xf numFmtId="0" fontId="140" fillId="0" borderId="121" xfId="1079" applyFont="1" applyBorder="1" applyAlignment="1">
      <alignment horizontal="center" vertical="center" wrapText="1"/>
    </xf>
    <xf numFmtId="0" fontId="124" fillId="0" borderId="0" xfId="592" applyFont="1"/>
    <xf numFmtId="3" fontId="124" fillId="0" borderId="0" xfId="592" applyNumberFormat="1" applyFont="1"/>
    <xf numFmtId="168" fontId="144" fillId="0" borderId="0" xfId="735" applyNumberFormat="1" applyFont="1" applyFill="1" applyBorder="1"/>
    <xf numFmtId="3" fontId="124" fillId="0" borderId="0" xfId="592" applyNumberFormat="1" applyFont="1" applyAlignment="1">
      <alignment horizontal="center"/>
    </xf>
    <xf numFmtId="169" fontId="124" fillId="0" borderId="0" xfId="592" applyNumberFormat="1" applyFont="1" applyAlignment="1">
      <alignment horizontal="center"/>
    </xf>
    <xf numFmtId="168" fontId="124" fillId="0" borderId="0" xfId="592" applyNumberFormat="1" applyFont="1" applyBorder="1"/>
    <xf numFmtId="0" fontId="124" fillId="0" borderId="0" xfId="592" applyFont="1" applyBorder="1"/>
    <xf numFmtId="9" fontId="38" fillId="0" borderId="123" xfId="1" applyNumberFormat="1" applyFont="1" applyBorder="1" applyAlignment="1">
      <alignment horizontal="center"/>
    </xf>
    <xf numFmtId="9" fontId="38" fillId="0" borderId="0" xfId="1" applyNumberFormat="1" applyFont="1" applyBorder="1" applyAlignment="1">
      <alignment horizontal="center"/>
    </xf>
    <xf numFmtId="0" fontId="17" fillId="0" borderId="7" xfId="1079" applyBorder="1"/>
    <xf numFmtId="0" fontId="17" fillId="0" borderId="8" xfId="1079" applyBorder="1"/>
    <xf numFmtId="0" fontId="140" fillId="0" borderId="7" xfId="1079" applyFont="1" applyBorder="1" applyAlignment="1">
      <alignment horizontal="center"/>
    </xf>
    <xf numFmtId="0" fontId="140" fillId="0" borderId="157" xfId="1079" applyFont="1" applyBorder="1" applyAlignment="1">
      <alignment horizontal="center"/>
    </xf>
    <xf numFmtId="171" fontId="14" fillId="0" borderId="8" xfId="1" applyNumberFormat="1" applyFont="1" applyBorder="1" applyAlignment="1">
      <alignment horizontal="center"/>
    </xf>
    <xf numFmtId="3" fontId="38" fillId="0" borderId="20" xfId="1081" applyNumberFormat="1" applyFont="1" applyBorder="1" applyAlignment="1">
      <alignment horizontal="center"/>
    </xf>
    <xf numFmtId="3" fontId="38" fillId="0" borderId="10" xfId="1081" applyNumberFormat="1" applyFont="1" applyBorder="1" applyAlignment="1">
      <alignment horizontal="center"/>
    </xf>
    <xf numFmtId="171" fontId="38" fillId="0" borderId="20" xfId="1" applyNumberFormat="1" applyFont="1" applyBorder="1" applyAlignment="1">
      <alignment horizontal="center"/>
    </xf>
    <xf numFmtId="171" fontId="38" fillId="0" borderId="10" xfId="1082" applyNumberFormat="1" applyFont="1" applyFill="1" applyBorder="1" applyAlignment="1">
      <alignment horizontal="center"/>
    </xf>
    <xf numFmtId="171" fontId="38" fillId="0" borderId="10" xfId="1" applyNumberFormat="1" applyFont="1" applyFill="1" applyBorder="1" applyAlignment="1">
      <alignment horizontal="center"/>
    </xf>
    <xf numFmtId="171" fontId="14" fillId="0" borderId="13" xfId="1" applyNumberFormat="1" applyFont="1" applyBorder="1" applyAlignment="1">
      <alignment horizontal="center"/>
    </xf>
    <xf numFmtId="10" fontId="140" fillId="0" borderId="0" xfId="591" applyNumberFormat="1" applyFont="1" applyBorder="1" applyAlignment="1">
      <alignment horizontal="center" wrapText="1"/>
    </xf>
    <xf numFmtId="10" fontId="140" fillId="0" borderId="0" xfId="591" applyNumberFormat="1" applyFont="1" applyBorder="1" applyAlignment="1">
      <alignment horizontal="center"/>
    </xf>
    <xf numFmtId="0" fontId="140" fillId="0" borderId="123" xfId="591" applyFont="1" applyBorder="1" applyAlignment="1">
      <alignment wrapText="1"/>
    </xf>
    <xf numFmtId="171" fontId="140" fillId="0" borderId="123" xfId="653" applyNumberFormat="1" applyFont="1" applyBorder="1" applyAlignment="1">
      <alignment horizontal="center"/>
    </xf>
    <xf numFmtId="0" fontId="140" fillId="0" borderId="0" xfId="591" applyFont="1" applyBorder="1" applyAlignment="1"/>
    <xf numFmtId="0" fontId="140" fillId="0" borderId="206" xfId="591" applyFont="1" applyBorder="1" applyAlignment="1">
      <alignment horizontal="center" wrapText="1"/>
    </xf>
    <xf numFmtId="0" fontId="140" fillId="0" borderId="207" xfId="591" applyFont="1" applyBorder="1" applyAlignment="1">
      <alignment horizontal="center" wrapText="1"/>
    </xf>
    <xf numFmtId="0" fontId="140" fillId="0" borderId="0" xfId="1105" applyFont="1"/>
    <xf numFmtId="0" fontId="140" fillId="0" borderId="0" xfId="1105" applyFont="1" applyBorder="1"/>
    <xf numFmtId="4" fontId="140" fillId="0" borderId="0" xfId="1105" applyNumberFormat="1" applyFont="1"/>
    <xf numFmtId="0" fontId="140" fillId="0" borderId="0" xfId="1105" applyFont="1" applyBorder="1" applyAlignment="1"/>
    <xf numFmtId="3" fontId="140" fillId="0" borderId="0" xfId="1105" applyNumberFormat="1" applyFont="1"/>
    <xf numFmtId="9" fontId="140" fillId="0" borderId="0" xfId="1106" applyFont="1"/>
    <xf numFmtId="169" fontId="140" fillId="0" borderId="0" xfId="1105" applyNumberFormat="1" applyFont="1"/>
    <xf numFmtId="168" fontId="140" fillId="0" borderId="0" xfId="1107" applyNumberFormat="1" applyFont="1"/>
    <xf numFmtId="168" fontId="140" fillId="0" borderId="0" xfId="1105" applyNumberFormat="1" applyFont="1"/>
    <xf numFmtId="0" fontId="140" fillId="0" borderId="0" xfId="1105" applyFont="1" applyBorder="1" applyAlignment="1">
      <alignment horizontal="center" vertical="center"/>
    </xf>
    <xf numFmtId="0" fontId="140" fillId="0" borderId="123" xfId="1105" applyFont="1" applyBorder="1"/>
    <xf numFmtId="9" fontId="140" fillId="0" borderId="0" xfId="1106" applyFont="1" applyBorder="1"/>
    <xf numFmtId="0" fontId="140" fillId="0" borderId="168" xfId="1105" applyFont="1" applyBorder="1"/>
    <xf numFmtId="0" fontId="136" fillId="0" borderId="123" xfId="1105" applyFont="1" applyBorder="1" applyAlignment="1">
      <alignment horizontal="center"/>
    </xf>
    <xf numFmtId="0" fontId="143" fillId="0" borderId="123" xfId="1105" applyFont="1" applyBorder="1" applyAlignment="1">
      <alignment horizontal="center" vertical="center"/>
    </xf>
    <xf numFmtId="0" fontId="142" fillId="0" borderId="123" xfId="1105" applyFont="1" applyBorder="1"/>
    <xf numFmtId="0" fontId="140" fillId="0" borderId="123" xfId="1105" applyFont="1" applyBorder="1" applyAlignment="1">
      <alignment horizontal="center" vertical="center"/>
    </xf>
    <xf numFmtId="0" fontId="140" fillId="0" borderId="205" xfId="1105" applyFont="1" applyBorder="1" applyAlignment="1">
      <alignment horizontal="center" vertical="center"/>
    </xf>
    <xf numFmtId="0" fontId="140" fillId="0" borderId="52" xfId="1105" applyFont="1" applyBorder="1" applyAlignment="1">
      <alignment horizontal="center" vertical="center"/>
    </xf>
    <xf numFmtId="0" fontId="140" fillId="0" borderId="121" xfId="1105" applyFont="1" applyBorder="1" applyAlignment="1">
      <alignment horizontal="center" vertical="center"/>
    </xf>
    <xf numFmtId="0" fontId="143" fillId="0" borderId="123" xfId="1105" applyFont="1" applyBorder="1" applyAlignment="1">
      <alignment horizontal="center" vertical="center" wrapText="1"/>
    </xf>
    <xf numFmtId="168" fontId="142" fillId="0" borderId="123" xfId="1107" applyNumberFormat="1" applyFont="1" applyBorder="1"/>
    <xf numFmtId="168" fontId="142" fillId="0" borderId="168" xfId="1107" applyNumberFormat="1" applyFont="1" applyBorder="1"/>
    <xf numFmtId="0" fontId="142" fillId="0" borderId="51" xfId="1105" applyFont="1" applyBorder="1" applyAlignment="1">
      <alignment horizontal="center" vertical="center"/>
    </xf>
    <xf numFmtId="3" fontId="140" fillId="0" borderId="0" xfId="1105" applyNumberFormat="1" applyFont="1" applyBorder="1" applyAlignment="1">
      <alignment horizontal="center"/>
    </xf>
    <xf numFmtId="3" fontId="140" fillId="0" borderId="169" xfId="1105" applyNumberFormat="1" applyFont="1" applyBorder="1" applyAlignment="1">
      <alignment horizontal="center"/>
    </xf>
    <xf numFmtId="3" fontId="140" fillId="0" borderId="0" xfId="571" applyNumberFormat="1" applyFont="1" applyBorder="1" applyAlignment="1">
      <alignment horizontal="center"/>
    </xf>
    <xf numFmtId="0" fontId="143" fillId="0" borderId="0" xfId="1105" applyFont="1" applyBorder="1" applyAlignment="1"/>
    <xf numFmtId="0" fontId="140" fillId="0" borderId="52" xfId="1105" applyFont="1" applyBorder="1" applyAlignment="1">
      <alignment horizontal="center" wrapText="1"/>
    </xf>
    <xf numFmtId="0" fontId="140" fillId="0" borderId="121" xfId="1105" applyFont="1" applyBorder="1" applyAlignment="1">
      <alignment horizontal="center" wrapText="1"/>
    </xf>
    <xf numFmtId="0" fontId="140" fillId="0" borderId="51" xfId="1105" applyFont="1" applyBorder="1" applyAlignment="1">
      <alignment horizontal="center" wrapText="1"/>
    </xf>
    <xf numFmtId="0" fontId="38" fillId="0" borderId="52" xfId="0" applyFont="1" applyBorder="1" applyAlignment="1">
      <alignment horizontal="left"/>
    </xf>
    <xf numFmtId="3" fontId="140" fillId="0" borderId="123" xfId="1105" applyNumberFormat="1" applyFont="1" applyBorder="1" applyAlignment="1">
      <alignment horizontal="center"/>
    </xf>
    <xf numFmtId="3" fontId="140" fillId="0" borderId="205" xfId="1105" applyNumberFormat="1" applyFont="1" applyBorder="1" applyAlignment="1">
      <alignment horizontal="center"/>
    </xf>
    <xf numFmtId="3" fontId="140" fillId="0" borderId="168" xfId="1105" applyNumberFormat="1" applyFont="1" applyBorder="1" applyAlignment="1">
      <alignment horizontal="center"/>
    </xf>
    <xf numFmtId="3" fontId="140" fillId="0" borderId="171" xfId="1105" applyNumberFormat="1" applyFont="1" applyBorder="1" applyAlignment="1">
      <alignment horizontal="center"/>
    </xf>
    <xf numFmtId="3" fontId="140" fillId="0" borderId="0" xfId="1105" applyNumberFormat="1" applyFont="1" applyBorder="1"/>
    <xf numFmtId="3" fontId="143" fillId="0" borderId="0" xfId="1105" applyNumberFormat="1" applyFont="1" applyBorder="1"/>
    <xf numFmtId="0" fontId="57" fillId="0" borderId="0" xfId="1105" applyFont="1" applyBorder="1" applyAlignment="1">
      <alignment horizontal="center"/>
    </xf>
    <xf numFmtId="0" fontId="57" fillId="0" borderId="0" xfId="1105" applyFont="1" applyBorder="1" applyAlignment="1"/>
    <xf numFmtId="3" fontId="142" fillId="0" borderId="205" xfId="1105" applyNumberFormat="1" applyFont="1" applyBorder="1" applyAlignment="1">
      <alignment horizontal="center"/>
    </xf>
    <xf numFmtId="3" fontId="142" fillId="0" borderId="205" xfId="1107" applyNumberFormat="1" applyFont="1" applyBorder="1" applyAlignment="1">
      <alignment horizontal="center"/>
    </xf>
    <xf numFmtId="3" fontId="142" fillId="0" borderId="0" xfId="1107" applyNumberFormat="1" applyFont="1" applyBorder="1" applyAlignment="1">
      <alignment horizontal="center"/>
    </xf>
    <xf numFmtId="3" fontId="142" fillId="0" borderId="123" xfId="1105" applyNumberFormat="1" applyFont="1" applyBorder="1" applyAlignment="1">
      <alignment horizontal="center"/>
    </xf>
    <xf numFmtId="3" fontId="142" fillId="0" borderId="0" xfId="1105" applyNumberFormat="1" applyFont="1" applyBorder="1" applyAlignment="1">
      <alignment horizontal="center"/>
    </xf>
    <xf numFmtId="3" fontId="142" fillId="0" borderId="123" xfId="1107" applyNumberFormat="1" applyFont="1" applyBorder="1" applyAlignment="1">
      <alignment horizontal="center"/>
    </xf>
    <xf numFmtId="1" fontId="140" fillId="0" borderId="0" xfId="1105" applyNumberFormat="1" applyFont="1"/>
    <xf numFmtId="167" fontId="140" fillId="0" borderId="0" xfId="1105" applyNumberFormat="1" applyFont="1"/>
    <xf numFmtId="3" fontId="140" fillId="0" borderId="0" xfId="1105" applyNumberFormat="1" applyFont="1" applyBorder="1" applyAlignment="1">
      <alignment horizontal="center" vertical="center"/>
    </xf>
    <xf numFmtId="3" fontId="142" fillId="0" borderId="168" xfId="1107" applyNumberFormat="1" applyFont="1" applyBorder="1" applyAlignment="1">
      <alignment horizontal="center"/>
    </xf>
    <xf numFmtId="3" fontId="142" fillId="0" borderId="169" xfId="1107" applyNumberFormat="1" applyFont="1" applyBorder="1" applyAlignment="1">
      <alignment horizontal="center"/>
    </xf>
    <xf numFmtId="3" fontId="142" fillId="0" borderId="171" xfId="1107" applyNumberFormat="1" applyFont="1" applyBorder="1" applyAlignment="1">
      <alignment horizontal="center"/>
    </xf>
    <xf numFmtId="0" fontId="38" fillId="0" borderId="0" xfId="0" applyFont="1" applyAlignment="1">
      <alignment horizontal="center" vertical="center"/>
    </xf>
    <xf numFmtId="3" fontId="143" fillId="0" borderId="0" xfId="1105" applyNumberFormat="1" applyFont="1" applyBorder="1" applyAlignment="1">
      <alignment horizontal="center" vertical="center"/>
    </xf>
    <xf numFmtId="3" fontId="56" fillId="0" borderId="168" xfId="0" applyNumberFormat="1" applyFont="1" applyBorder="1" applyAlignment="1">
      <alignment horizontal="center" vertical="center"/>
    </xf>
    <xf numFmtId="0" fontId="38" fillId="0" borderId="142" xfId="0" applyFont="1" applyBorder="1"/>
    <xf numFmtId="0" fontId="50" fillId="0" borderId="0" xfId="0" applyFont="1" applyBorder="1" applyAlignment="1">
      <alignment horizontal="center" vertical="center" wrapText="1"/>
    </xf>
    <xf numFmtId="0" fontId="59" fillId="0" borderId="0" xfId="0" applyFont="1" applyBorder="1" applyAlignment="1">
      <alignment horizontal="center" vertical="center" wrapText="1"/>
    </xf>
    <xf numFmtId="0" fontId="56" fillId="0" borderId="121" xfId="0" applyFont="1" applyBorder="1" applyAlignment="1">
      <alignment horizontal="center" vertical="center" wrapText="1"/>
    </xf>
    <xf numFmtId="0" fontId="56" fillId="0" borderId="51" xfId="0" applyFont="1" applyBorder="1" applyAlignment="1">
      <alignment horizontal="center" vertical="center" wrapText="1"/>
    </xf>
    <xf numFmtId="0" fontId="52" fillId="0" borderId="0" xfId="0" applyFont="1" applyBorder="1" applyAlignment="1">
      <alignment horizontal="center" vertical="center" wrapText="1"/>
    </xf>
    <xf numFmtId="0" fontId="56" fillId="0" borderId="124" xfId="0" applyFont="1" applyBorder="1" applyAlignment="1">
      <alignment horizontal="center" vertical="center" wrapText="1"/>
    </xf>
    <xf numFmtId="0" fontId="56" fillId="0" borderId="0" xfId="0" applyFont="1" applyBorder="1" applyAlignment="1">
      <alignment horizontal="center" vertical="center" wrapText="1"/>
    </xf>
    <xf numFmtId="0" fontId="56" fillId="0" borderId="121" xfId="0" applyFont="1" applyBorder="1" applyAlignment="1">
      <alignment horizontal="center" vertical="center" wrapText="1"/>
    </xf>
    <xf numFmtId="0" fontId="57" fillId="0" borderId="0" xfId="0" applyFont="1" applyBorder="1" applyAlignment="1">
      <alignment horizontal="center" vertical="center"/>
    </xf>
    <xf numFmtId="0" fontId="38" fillId="0" borderId="205" xfId="0" applyFont="1" applyBorder="1" applyAlignment="1">
      <alignment horizontal="center" vertical="center" wrapText="1"/>
    </xf>
    <xf numFmtId="0" fontId="38" fillId="0" borderId="8" xfId="0" applyFont="1" applyBorder="1" applyAlignment="1">
      <alignment horizontal="center" vertical="center" wrapText="1"/>
    </xf>
    <xf numFmtId="0" fontId="52" fillId="0" borderId="205" xfId="0" applyFont="1" applyBorder="1" applyAlignment="1">
      <alignment horizontal="center" vertical="center" wrapText="1"/>
    </xf>
    <xf numFmtId="3" fontId="56" fillId="0" borderId="40" xfId="0" applyNumberFormat="1" applyFont="1" applyBorder="1" applyAlignment="1">
      <alignment horizontal="center" vertical="center" wrapText="1"/>
    </xf>
    <xf numFmtId="3" fontId="56" fillId="0" borderId="158" xfId="0" applyNumberFormat="1" applyFont="1" applyBorder="1" applyAlignment="1">
      <alignment horizontal="center" vertical="center" wrapText="1"/>
    </xf>
    <xf numFmtId="0" fontId="56" fillId="0" borderId="7" xfId="0" applyFont="1" applyBorder="1" applyAlignment="1">
      <alignment horizontal="center" vertical="center"/>
    </xf>
    <xf numFmtId="3" fontId="56" fillId="0" borderId="205" xfId="0" applyNumberFormat="1" applyFont="1" applyBorder="1" applyAlignment="1">
      <alignment horizontal="center" vertical="center"/>
    </xf>
    <xf numFmtId="3" fontId="56" fillId="0" borderId="8" xfId="0" applyNumberFormat="1" applyFont="1" applyBorder="1" applyAlignment="1">
      <alignment horizontal="center" vertical="center"/>
    </xf>
    <xf numFmtId="0" fontId="56" fillId="0" borderId="9" xfId="0" applyFont="1" applyBorder="1" applyAlignment="1">
      <alignment vertical="center"/>
    </xf>
    <xf numFmtId="3" fontId="56" fillId="0" borderId="31" xfId="139" applyNumberFormat="1" applyFont="1" applyBorder="1" applyAlignment="1">
      <alignment horizontal="center" vertical="center"/>
    </xf>
    <xf numFmtId="3" fontId="56" fillId="0" borderId="11" xfId="0" applyNumberFormat="1" applyFont="1" applyBorder="1" applyAlignment="1">
      <alignment horizontal="center" vertical="center" wrapText="1"/>
    </xf>
    <xf numFmtId="3" fontId="56" fillId="0" borderId="10" xfId="0" applyNumberFormat="1" applyFont="1" applyBorder="1" applyAlignment="1">
      <alignment horizontal="center" vertical="center" wrapText="1"/>
    </xf>
    <xf numFmtId="3" fontId="56" fillId="0" borderId="21" xfId="0" applyNumberFormat="1" applyFont="1" applyBorder="1" applyAlignment="1">
      <alignment horizontal="center" vertical="center" wrapText="1"/>
    </xf>
    <xf numFmtId="3" fontId="56" fillId="0" borderId="13" xfId="0" applyNumberFormat="1" applyFont="1" applyBorder="1" applyAlignment="1">
      <alignment horizontal="center" vertical="center" wrapText="1"/>
    </xf>
    <xf numFmtId="3" fontId="56" fillId="0" borderId="39" xfId="0" applyNumberFormat="1" applyFont="1" applyBorder="1" applyAlignment="1">
      <alignment horizontal="center" vertical="center"/>
    </xf>
    <xf numFmtId="3" fontId="52" fillId="0" borderId="205" xfId="0" applyNumberFormat="1" applyFont="1" applyBorder="1" applyAlignment="1">
      <alignment horizontal="center" vertical="center" wrapText="1"/>
    </xf>
    <xf numFmtId="3" fontId="56" fillId="0" borderId="205" xfId="0" applyNumberFormat="1" applyFont="1" applyBorder="1" applyAlignment="1">
      <alignment horizontal="center" vertical="center" wrapText="1"/>
    </xf>
    <xf numFmtId="3" fontId="47" fillId="0" borderId="123" xfId="0" applyNumberFormat="1" applyFont="1" applyBorder="1"/>
    <xf numFmtId="3" fontId="56" fillId="0" borderId="124" xfId="0" applyNumberFormat="1" applyFont="1" applyBorder="1" applyAlignment="1">
      <alignment horizontal="center"/>
    </xf>
    <xf numFmtId="3" fontId="42" fillId="0" borderId="123" xfId="0" applyNumberFormat="1" applyFont="1" applyBorder="1"/>
    <xf numFmtId="3" fontId="99" fillId="0" borderId="123" xfId="0" applyNumberFormat="1" applyFont="1" applyBorder="1"/>
    <xf numFmtId="3" fontId="63" fillId="0" borderId="205" xfId="0" applyNumberFormat="1" applyFont="1" applyBorder="1" applyAlignment="1">
      <alignment horizontal="center" vertical="center" wrapText="1"/>
    </xf>
    <xf numFmtId="3" fontId="63" fillId="0" borderId="8" xfId="0" applyNumberFormat="1" applyFont="1" applyBorder="1" applyAlignment="1">
      <alignment horizontal="center" vertical="center" wrapText="1"/>
    </xf>
    <xf numFmtId="171" fontId="52" fillId="0" borderId="0" xfId="1" applyNumberFormat="1" applyFont="1" applyFill="1"/>
    <xf numFmtId="0" fontId="52" fillId="0" borderId="0" xfId="0" applyFont="1" applyAlignment="1">
      <alignment vertical="center" wrapText="1"/>
    </xf>
    <xf numFmtId="3" fontId="56" fillId="0" borderId="157" xfId="0" applyNumberFormat="1" applyFont="1" applyBorder="1" applyAlignment="1">
      <alignment horizontal="center" vertical="center"/>
    </xf>
    <xf numFmtId="3" fontId="56" fillId="0" borderId="7" xfId="0" applyNumberFormat="1" applyFont="1" applyBorder="1" applyAlignment="1">
      <alignment horizontal="center" vertical="center"/>
    </xf>
    <xf numFmtId="3" fontId="56" fillId="0" borderId="9" xfId="0" applyNumberFormat="1" applyFont="1" applyBorder="1" applyAlignment="1">
      <alignment vertical="center"/>
    </xf>
    <xf numFmtId="3" fontId="40" fillId="0" borderId="8" xfId="0" applyNumberFormat="1" applyFont="1" applyBorder="1" applyAlignment="1">
      <alignment horizontal="center" vertical="center" wrapText="1"/>
    </xf>
    <xf numFmtId="0" fontId="56" fillId="0" borderId="159"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2" xfId="0" applyFont="1" applyBorder="1" applyAlignment="1">
      <alignment horizontal="center" vertical="center" wrapText="1"/>
    </xf>
    <xf numFmtId="9" fontId="9" fillId="0" borderId="2" xfId="1" applyFont="1" applyBorder="1" applyAlignment="1">
      <alignment horizontal="center"/>
    </xf>
    <xf numFmtId="9" fontId="47" fillId="0" borderId="123" xfId="1" applyFont="1" applyBorder="1"/>
    <xf numFmtId="9" fontId="42" fillId="0" borderId="123" xfId="1" applyFont="1" applyBorder="1"/>
    <xf numFmtId="9" fontId="99" fillId="0" borderId="123" xfId="1" applyFont="1" applyBorder="1"/>
    <xf numFmtId="9" fontId="9" fillId="0" borderId="0" xfId="1" applyFont="1" applyBorder="1" applyAlignment="1">
      <alignment horizontal="center"/>
    </xf>
    <xf numFmtId="1" fontId="65" fillId="0" borderId="124" xfId="0" applyNumberFormat="1" applyFont="1" applyBorder="1" applyAlignment="1">
      <alignment horizontal="center"/>
    </xf>
    <xf numFmtId="0" fontId="65" fillId="0" borderId="0" xfId="0" applyFont="1" applyBorder="1" applyAlignment="1">
      <alignment horizontal="center"/>
    </xf>
    <xf numFmtId="0" fontId="47" fillId="0" borderId="124" xfId="0" applyFont="1" applyBorder="1" applyAlignment="1">
      <alignment horizontal="center"/>
    </xf>
    <xf numFmtId="0" fontId="47" fillId="0" borderId="0" xfId="0" applyFont="1" applyBorder="1" applyAlignment="1">
      <alignment horizontal="center"/>
    </xf>
    <xf numFmtId="0" fontId="42" fillId="0" borderId="124" xfId="0" applyFont="1" applyBorder="1" applyAlignment="1">
      <alignment horizontal="center"/>
    </xf>
    <xf numFmtId="0" fontId="42" fillId="0" borderId="0" xfId="0" applyFont="1" applyBorder="1" applyAlignment="1">
      <alignment horizontal="center"/>
    </xf>
    <xf numFmtId="0" fontId="99" fillId="0" borderId="124" xfId="0" applyFont="1" applyBorder="1" applyAlignment="1">
      <alignment horizontal="center"/>
    </xf>
    <xf numFmtId="0" fontId="99" fillId="0" borderId="0" xfId="0" applyFont="1" applyBorder="1" applyAlignment="1">
      <alignment horizontal="center"/>
    </xf>
    <xf numFmtId="3" fontId="56" fillId="0" borderId="29" xfId="1" applyNumberFormat="1" applyFont="1" applyBorder="1" applyAlignment="1">
      <alignment horizontal="center" vertical="center" wrapText="1"/>
    </xf>
    <xf numFmtId="3" fontId="56" fillId="0" borderId="124" xfId="1" applyNumberFormat="1" applyFont="1" applyBorder="1" applyAlignment="1">
      <alignment horizontal="center" vertical="center"/>
    </xf>
    <xf numFmtId="0" fontId="9" fillId="0" borderId="205" xfId="0" applyFont="1" applyBorder="1" applyAlignment="1">
      <alignment horizontal="center" vertical="center" wrapText="1"/>
    </xf>
    <xf numFmtId="0" fontId="9" fillId="0" borderId="8" xfId="0" applyFont="1" applyBorder="1" applyAlignment="1">
      <alignment horizontal="center" vertical="center" wrapText="1"/>
    </xf>
    <xf numFmtId="0" fontId="56" fillId="0" borderId="158" xfId="0" applyFont="1" applyBorder="1" applyAlignment="1">
      <alignment horizontal="center" vertical="center" wrapText="1"/>
    </xf>
    <xf numFmtId="167" fontId="38" fillId="0" borderId="205" xfId="1" applyNumberFormat="1" applyFont="1" applyBorder="1" applyAlignment="1">
      <alignment horizontal="center"/>
    </xf>
    <xf numFmtId="9" fontId="38" fillId="0" borderId="8" xfId="1" applyFont="1" applyBorder="1" applyAlignment="1">
      <alignment horizontal="center"/>
    </xf>
    <xf numFmtId="9" fontId="38" fillId="0" borderId="8" xfId="1" applyFont="1" applyBorder="1" applyAlignment="1">
      <alignment horizontal="center" vertical="center"/>
    </xf>
    <xf numFmtId="9" fontId="38" fillId="0" borderId="158" xfId="1" applyFont="1" applyBorder="1" applyAlignment="1">
      <alignment horizontal="center" vertical="center"/>
    </xf>
    <xf numFmtId="9" fontId="56" fillId="0" borderId="205" xfId="1" applyFont="1" applyBorder="1" applyAlignment="1">
      <alignment horizontal="center" vertical="center"/>
    </xf>
    <xf numFmtId="1" fontId="56" fillId="0" borderId="10" xfId="0" applyNumberFormat="1" applyFont="1" applyBorder="1" applyAlignment="1">
      <alignment horizontal="center" vertical="center"/>
    </xf>
    <xf numFmtId="167" fontId="38" fillId="0" borderId="10" xfId="1" applyNumberFormat="1" applyFont="1" applyBorder="1" applyAlignment="1">
      <alignment horizontal="center" vertical="center" wrapText="1"/>
    </xf>
    <xf numFmtId="9" fontId="38" fillId="0" borderId="10" xfId="1" applyFont="1" applyBorder="1" applyAlignment="1">
      <alignment horizontal="center" vertical="center" wrapText="1"/>
    </xf>
    <xf numFmtId="9" fontId="38" fillId="0" borderId="13" xfId="1" applyFont="1" applyBorder="1" applyAlignment="1">
      <alignment horizontal="center" vertical="center" wrapText="1"/>
    </xf>
    <xf numFmtId="0" fontId="9" fillId="0" borderId="32" xfId="0" applyFont="1" applyBorder="1" applyAlignment="1">
      <alignment horizontal="center" vertical="center" wrapText="1"/>
    </xf>
    <xf numFmtId="3" fontId="65" fillId="0" borderId="123" xfId="0" applyNumberFormat="1" applyFont="1" applyBorder="1" applyAlignment="1">
      <alignment horizontal="center"/>
    </xf>
    <xf numFmtId="3" fontId="47" fillId="0" borderId="123" xfId="0" applyNumberFormat="1" applyFont="1" applyBorder="1" applyAlignment="1">
      <alignment horizontal="center"/>
    </xf>
    <xf numFmtId="3" fontId="42" fillId="0" borderId="123" xfId="0" applyNumberFormat="1" applyFont="1" applyBorder="1" applyAlignment="1">
      <alignment horizontal="center"/>
    </xf>
    <xf numFmtId="3" fontId="99" fillId="0" borderId="123" xfId="0" applyNumberFormat="1" applyFont="1" applyBorder="1" applyAlignment="1">
      <alignment horizontal="center"/>
    </xf>
    <xf numFmtId="1" fontId="65" fillId="0" borderId="0" xfId="1" applyNumberFormat="1" applyFont="1" applyBorder="1" applyAlignment="1">
      <alignment horizontal="center"/>
    </xf>
    <xf numFmtId="0" fontId="14" fillId="0" borderId="0" xfId="0" applyFont="1" applyBorder="1" applyAlignment="1">
      <alignment horizontal="center" vertical="center" wrapText="1"/>
    </xf>
    <xf numFmtId="0" fontId="14" fillId="0" borderId="2" xfId="0" applyFont="1" applyBorder="1" applyAlignment="1">
      <alignment horizontal="center" vertical="center" wrapText="1"/>
    </xf>
    <xf numFmtId="171" fontId="52" fillId="0" borderId="32" xfId="1" applyNumberFormat="1" applyFont="1" applyFill="1" applyBorder="1" applyAlignment="1">
      <alignment horizontal="center" vertical="center"/>
    </xf>
    <xf numFmtId="0" fontId="9" fillId="0" borderId="7" xfId="1079" applyFont="1" applyBorder="1" applyAlignment="1">
      <alignment horizontal="center"/>
    </xf>
    <xf numFmtId="0" fontId="9" fillId="0" borderId="9" xfId="1079" applyFont="1" applyBorder="1" applyAlignment="1">
      <alignment horizontal="center"/>
    </xf>
    <xf numFmtId="0" fontId="50" fillId="0" borderId="32" xfId="0" applyFont="1" applyBorder="1" applyAlignment="1">
      <alignment horizontal="center" vertical="center" wrapText="1"/>
    </xf>
    <xf numFmtId="0" fontId="50" fillId="0" borderId="0" xfId="0" applyFont="1" applyBorder="1" applyAlignment="1">
      <alignment horizontal="center" vertical="center" wrapText="1"/>
    </xf>
    <xf numFmtId="0" fontId="59" fillId="0" borderId="39" xfId="0" applyFont="1" applyBorder="1" applyAlignment="1">
      <alignment horizontal="center" vertical="center" wrapText="1"/>
    </xf>
    <xf numFmtId="0" fontId="59" fillId="0" borderId="0" xfId="0" applyFont="1" applyBorder="1" applyAlignment="1">
      <alignment horizontal="center" vertical="center" wrapText="1"/>
    </xf>
    <xf numFmtId="0" fontId="58" fillId="0" borderId="0" xfId="0" applyFont="1" applyBorder="1" applyAlignment="1">
      <alignment horizontal="center" vertical="center" wrapText="1"/>
    </xf>
    <xf numFmtId="167" fontId="56" fillId="0" borderId="38" xfId="1" applyNumberFormat="1" applyFont="1" applyBorder="1" applyAlignment="1">
      <alignment horizontal="center" vertical="center" wrapText="1"/>
    </xf>
    <xf numFmtId="2" fontId="38" fillId="0" borderId="52" xfId="1" applyNumberFormat="1" applyFont="1" applyBorder="1" applyAlignment="1">
      <alignment horizontal="center" vertical="center"/>
    </xf>
    <xf numFmtId="167" fontId="56" fillId="0" borderId="20" xfId="1" applyNumberFormat="1" applyFont="1" applyBorder="1" applyAlignment="1">
      <alignment horizontal="center" vertical="center"/>
    </xf>
    <xf numFmtId="167" fontId="56" fillId="0" borderId="32" xfId="1" applyNumberFormat="1" applyFont="1" applyBorder="1" applyAlignment="1">
      <alignment horizontal="center" vertical="center" wrapText="1"/>
    </xf>
    <xf numFmtId="2" fontId="38" fillId="0" borderId="121" xfId="1" applyNumberFormat="1" applyFont="1" applyBorder="1" applyAlignment="1">
      <alignment horizontal="center" vertical="center" wrapText="1"/>
    </xf>
    <xf numFmtId="9" fontId="38" fillId="0" borderId="123" xfId="1" applyFont="1" applyBorder="1" applyAlignment="1">
      <alignment horizontal="center" vertical="center"/>
    </xf>
    <xf numFmtId="9" fontId="38" fillId="0" borderId="123" xfId="1" applyFont="1" applyBorder="1" applyAlignment="1">
      <alignment horizontal="center" vertical="center" wrapText="1"/>
    </xf>
    <xf numFmtId="9" fontId="38" fillId="0" borderId="123" xfId="1" applyFont="1" applyBorder="1"/>
    <xf numFmtId="9" fontId="38" fillId="0" borderId="52" xfId="1" applyFont="1" applyBorder="1" applyAlignment="1">
      <alignment horizontal="center" vertical="center"/>
    </xf>
    <xf numFmtId="9" fontId="38" fillId="0" borderId="20" xfId="1" applyFont="1" applyBorder="1" applyAlignment="1">
      <alignment horizontal="center" vertical="center"/>
    </xf>
    <xf numFmtId="9" fontId="38" fillId="0" borderId="0" xfId="1" applyFont="1" applyBorder="1" applyAlignment="1">
      <alignment horizontal="center" vertical="center" wrapText="1"/>
    </xf>
    <xf numFmtId="9" fontId="38" fillId="0" borderId="121" xfId="1" applyFont="1" applyBorder="1" applyAlignment="1">
      <alignment horizontal="center" vertical="center" wrapText="1"/>
    </xf>
    <xf numFmtId="3" fontId="56" fillId="0" borderId="38" xfId="1" applyNumberFormat="1" applyFont="1" applyBorder="1" applyAlignment="1">
      <alignment horizontal="center" vertical="center" wrapText="1"/>
    </xf>
    <xf numFmtId="3" fontId="56" fillId="0" borderId="123" xfId="1" applyNumberFormat="1" applyFont="1" applyBorder="1" applyAlignment="1">
      <alignment horizontal="center" vertical="center"/>
    </xf>
    <xf numFmtId="3" fontId="23" fillId="0" borderId="52" xfId="0" applyNumberFormat="1" applyFont="1" applyBorder="1" applyAlignment="1">
      <alignment horizontal="center" vertical="center"/>
    </xf>
    <xf numFmtId="1" fontId="56" fillId="0" borderId="39" xfId="1" applyNumberFormat="1" applyFont="1" applyBorder="1" applyAlignment="1">
      <alignment horizontal="center" vertical="center" wrapText="1"/>
    </xf>
    <xf numFmtId="9" fontId="65" fillId="0" borderId="205" xfId="1" applyFont="1" applyBorder="1" applyAlignment="1">
      <alignment horizontal="center"/>
    </xf>
    <xf numFmtId="0" fontId="65" fillId="0" borderId="205" xfId="0" applyFont="1" applyBorder="1" applyAlignment="1">
      <alignment horizontal="center"/>
    </xf>
    <xf numFmtId="0" fontId="52" fillId="0" borderId="205" xfId="0" applyFont="1" applyBorder="1" applyAlignment="1">
      <alignment horizontal="center"/>
    </xf>
    <xf numFmtId="1" fontId="56" fillId="0" borderId="205" xfId="1" applyNumberFormat="1" applyFont="1" applyBorder="1" applyAlignment="1">
      <alignment horizontal="center" vertical="center"/>
    </xf>
    <xf numFmtId="0" fontId="56" fillId="0" borderId="205" xfId="0" applyFont="1" applyBorder="1" applyAlignment="1">
      <alignment horizontal="center" vertical="center" wrapText="1"/>
    </xf>
    <xf numFmtId="0" fontId="47" fillId="0" borderId="205" xfId="0" applyFont="1" applyBorder="1" applyAlignment="1">
      <alignment horizontal="center"/>
    </xf>
    <xf numFmtId="0" fontId="42" fillId="0" borderId="205" xfId="0" applyFont="1" applyBorder="1" applyAlignment="1">
      <alignment horizontal="center"/>
    </xf>
    <xf numFmtId="0" fontId="99" fillId="0" borderId="205" xfId="0" applyFont="1" applyBorder="1" applyAlignment="1">
      <alignment horizontal="center"/>
    </xf>
    <xf numFmtId="0" fontId="56" fillId="0" borderId="205" xfId="0" applyFont="1" applyBorder="1" applyAlignment="1">
      <alignment horizontal="center" vertical="center"/>
    </xf>
    <xf numFmtId="1" fontId="56" fillId="0" borderId="21" xfId="0" applyNumberFormat="1" applyFont="1" applyBorder="1" applyAlignment="1">
      <alignment horizontal="center" vertical="center"/>
    </xf>
    <xf numFmtId="9" fontId="38" fillId="0" borderId="2" xfId="1" applyFont="1" applyBorder="1" applyAlignment="1">
      <alignment horizontal="center" vertical="center" wrapText="1"/>
    </xf>
    <xf numFmtId="9" fontId="38" fillId="0" borderId="159" xfId="1" applyFont="1" applyBorder="1" applyAlignment="1">
      <alignment horizontal="center" vertical="center" wrapText="1"/>
    </xf>
    <xf numFmtId="9" fontId="38" fillId="0" borderId="12" xfId="1" applyFont="1" applyBorder="1" applyAlignment="1">
      <alignment horizontal="center" vertical="center" wrapText="1"/>
    </xf>
    <xf numFmtId="1" fontId="56" fillId="0" borderId="33" xfId="1" applyNumberFormat="1" applyFont="1" applyBorder="1" applyAlignment="1">
      <alignment horizontal="center" vertical="center" wrapText="1"/>
    </xf>
    <xf numFmtId="1" fontId="38" fillId="0" borderId="124" xfId="1" applyNumberFormat="1" applyFont="1" applyBorder="1" applyAlignment="1">
      <alignment horizontal="center"/>
    </xf>
    <xf numFmtId="1" fontId="38" fillId="0" borderId="34" xfId="1" applyNumberFormat="1" applyFont="1" applyBorder="1" applyAlignment="1">
      <alignment horizontal="center"/>
    </xf>
    <xf numFmtId="1" fontId="38" fillId="0" borderId="2" xfId="1" applyNumberFormat="1" applyFont="1" applyBorder="1" applyAlignment="1">
      <alignment horizontal="center"/>
    </xf>
    <xf numFmtId="1" fontId="56" fillId="0" borderId="34" xfId="1" applyNumberFormat="1" applyFont="1" applyBorder="1" applyAlignment="1">
      <alignment horizontal="center" vertical="center"/>
    </xf>
    <xf numFmtId="1" fontId="38" fillId="0" borderId="56" xfId="1" applyNumberFormat="1" applyFont="1" applyBorder="1" applyAlignment="1">
      <alignment horizontal="center" vertical="center"/>
    </xf>
    <xf numFmtId="1" fontId="38" fillId="0" borderId="190" xfId="1" applyNumberFormat="1" applyFont="1" applyBorder="1" applyAlignment="1">
      <alignment horizontal="center" vertical="center" wrapText="1"/>
    </xf>
    <xf numFmtId="1" fontId="38" fillId="0" borderId="121" xfId="1" applyNumberFormat="1" applyFont="1" applyBorder="1" applyAlignment="1">
      <alignment horizontal="center" vertical="center"/>
    </xf>
    <xf numFmtId="9" fontId="56" fillId="0" borderId="29" xfId="1" applyNumberFormat="1" applyFont="1" applyBorder="1" applyAlignment="1">
      <alignment horizontal="center" vertical="center" wrapText="1"/>
    </xf>
    <xf numFmtId="9" fontId="56" fillId="0" borderId="33" xfId="1" applyNumberFormat="1" applyFont="1" applyBorder="1" applyAlignment="1">
      <alignment horizontal="center" vertical="center" wrapText="1"/>
    </xf>
    <xf numFmtId="9" fontId="56" fillId="0" borderId="42" xfId="1" applyNumberFormat="1" applyFont="1" applyBorder="1" applyAlignment="1">
      <alignment horizontal="center" vertical="center" wrapText="1"/>
    </xf>
    <xf numFmtId="9" fontId="38" fillId="0" borderId="124" xfId="1" applyNumberFormat="1" applyFont="1" applyBorder="1" applyAlignment="1">
      <alignment horizontal="center"/>
    </xf>
    <xf numFmtId="9" fontId="38" fillId="0" borderId="34" xfId="1" applyNumberFormat="1" applyFont="1" applyBorder="1" applyAlignment="1">
      <alignment horizontal="center"/>
    </xf>
    <xf numFmtId="9" fontId="38" fillId="0" borderId="2" xfId="1" applyNumberFormat="1" applyFont="1" applyBorder="1" applyAlignment="1">
      <alignment horizontal="center"/>
    </xf>
    <xf numFmtId="9" fontId="65" fillId="0" borderId="124" xfId="0" applyNumberFormat="1" applyFont="1" applyBorder="1" applyAlignment="1">
      <alignment horizontal="center"/>
    </xf>
    <xf numFmtId="9" fontId="52" fillId="0" borderId="124" xfId="0" applyNumberFormat="1" applyFont="1" applyBorder="1" applyAlignment="1">
      <alignment horizontal="center"/>
    </xf>
    <xf numFmtId="9" fontId="56" fillId="0" borderId="124" xfId="1" applyNumberFormat="1" applyFont="1" applyBorder="1" applyAlignment="1">
      <alignment horizontal="center" vertical="center"/>
    </xf>
    <xf numFmtId="9" fontId="56" fillId="0" borderId="34" xfId="1" applyNumberFormat="1" applyFont="1" applyBorder="1" applyAlignment="1">
      <alignment horizontal="center" vertical="center"/>
    </xf>
    <xf numFmtId="9" fontId="56" fillId="0" borderId="2" xfId="1" applyNumberFormat="1" applyFont="1" applyBorder="1" applyAlignment="1">
      <alignment horizontal="center" vertical="center"/>
    </xf>
    <xf numFmtId="9" fontId="56" fillId="0" borderId="124" xfId="0" applyNumberFormat="1" applyFont="1" applyBorder="1" applyAlignment="1">
      <alignment horizontal="center" vertical="center" wrapText="1"/>
    </xf>
    <xf numFmtId="9" fontId="47" fillId="0" borderId="124" xfId="0" applyNumberFormat="1" applyFont="1" applyBorder="1" applyAlignment="1">
      <alignment horizontal="center"/>
    </xf>
    <xf numFmtId="9" fontId="42" fillId="0" borderId="124" xfId="0" applyNumberFormat="1" applyFont="1" applyBorder="1" applyAlignment="1">
      <alignment horizontal="center"/>
    </xf>
    <xf numFmtId="9" fontId="99" fillId="0" borderId="124" xfId="0" applyNumberFormat="1" applyFont="1" applyBorder="1" applyAlignment="1">
      <alignment horizontal="center"/>
    </xf>
    <xf numFmtId="9" fontId="38" fillId="0" borderId="56" xfId="1" applyNumberFormat="1" applyFont="1" applyBorder="1" applyAlignment="1">
      <alignment horizontal="center" vertical="center"/>
    </xf>
    <xf numFmtId="9" fontId="38" fillId="0" borderId="190" xfId="1" applyNumberFormat="1" applyFont="1" applyBorder="1" applyAlignment="1">
      <alignment horizontal="center" vertical="center" wrapText="1"/>
    </xf>
    <xf numFmtId="9" fontId="38" fillId="0" borderId="121" xfId="1" applyNumberFormat="1" applyFont="1" applyBorder="1" applyAlignment="1">
      <alignment horizontal="center" vertical="center"/>
    </xf>
    <xf numFmtId="9" fontId="23" fillId="0" borderId="56" xfId="0" applyNumberFormat="1" applyFont="1" applyBorder="1" applyAlignment="1">
      <alignment horizontal="center" vertical="center"/>
    </xf>
    <xf numFmtId="9" fontId="56" fillId="0" borderId="40" xfId="1" applyNumberFormat="1" applyFont="1" applyBorder="1" applyAlignment="1">
      <alignment horizontal="center" vertical="center" wrapText="1"/>
    </xf>
    <xf numFmtId="9" fontId="65" fillId="0" borderId="8" xfId="1" applyNumberFormat="1" applyFont="1" applyBorder="1" applyAlignment="1">
      <alignment horizontal="center"/>
    </xf>
    <xf numFmtId="9" fontId="65" fillId="0" borderId="8" xfId="0" applyNumberFormat="1" applyFont="1" applyBorder="1" applyAlignment="1">
      <alignment horizontal="center"/>
    </xf>
    <xf numFmtId="9" fontId="56" fillId="0" borderId="8" xfId="1" applyNumberFormat="1" applyFont="1" applyBorder="1" applyAlignment="1">
      <alignment horizontal="center" vertical="center"/>
    </xf>
    <xf numFmtId="9" fontId="56" fillId="0" borderId="8" xfId="0" applyNumberFormat="1" applyFont="1" applyBorder="1" applyAlignment="1">
      <alignment horizontal="center" vertical="center" wrapText="1"/>
    </xf>
    <xf numFmtId="9" fontId="47" fillId="0" borderId="8" xfId="0" applyNumberFormat="1" applyFont="1" applyBorder="1" applyAlignment="1">
      <alignment horizontal="center"/>
    </xf>
    <xf numFmtId="9" fontId="42" fillId="0" borderId="8" xfId="0" applyNumberFormat="1" applyFont="1" applyBorder="1" applyAlignment="1">
      <alignment horizontal="center"/>
    </xf>
    <xf numFmtId="9" fontId="99" fillId="0" borderId="8" xfId="0" applyNumberFormat="1" applyFont="1" applyBorder="1" applyAlignment="1">
      <alignment horizontal="center"/>
    </xf>
    <xf numFmtId="9" fontId="23" fillId="0" borderId="158" xfId="1" applyNumberFormat="1" applyFont="1" applyBorder="1" applyAlignment="1">
      <alignment horizontal="center" vertical="center"/>
    </xf>
    <xf numFmtId="1" fontId="56" fillId="0" borderId="31" xfId="0" applyNumberFormat="1" applyFont="1" applyBorder="1" applyAlignment="1">
      <alignment horizontal="center" vertical="center"/>
    </xf>
    <xf numFmtId="1" fontId="56" fillId="0" borderId="31" xfId="1" applyNumberFormat="1" applyFont="1" applyBorder="1" applyAlignment="1">
      <alignment horizontal="center" vertical="center"/>
    </xf>
    <xf numFmtId="1" fontId="38" fillId="0" borderId="201" xfId="1" applyNumberFormat="1" applyFont="1" applyBorder="1" applyAlignment="1">
      <alignment horizontal="center" vertical="center" wrapText="1"/>
    </xf>
    <xf numFmtId="1" fontId="38" fillId="0" borderId="10" xfId="1" applyNumberFormat="1" applyFont="1" applyBorder="1" applyAlignment="1">
      <alignment horizontal="center" vertical="center" wrapText="1"/>
    </xf>
    <xf numFmtId="9" fontId="56" fillId="0" borderId="31" xfId="1" applyNumberFormat="1" applyFont="1" applyBorder="1" applyAlignment="1">
      <alignment horizontal="center" vertical="center"/>
    </xf>
    <xf numFmtId="9" fontId="38" fillId="0" borderId="201" xfId="1" applyNumberFormat="1" applyFont="1" applyBorder="1" applyAlignment="1">
      <alignment horizontal="center" vertical="center" wrapText="1"/>
    </xf>
    <xf numFmtId="9" fontId="38" fillId="0" borderId="10" xfId="1" applyNumberFormat="1" applyFont="1" applyBorder="1" applyAlignment="1">
      <alignment horizontal="center" vertical="center" wrapText="1"/>
    </xf>
    <xf numFmtId="9" fontId="56" fillId="0" borderId="13" xfId="1" applyNumberFormat="1" applyFont="1" applyBorder="1" applyAlignment="1">
      <alignment horizontal="center" vertical="center"/>
    </xf>
    <xf numFmtId="0" fontId="57" fillId="0" borderId="7" xfId="1105" applyFont="1" applyBorder="1" applyAlignment="1">
      <alignment horizontal="center"/>
    </xf>
    <xf numFmtId="0" fontId="57" fillId="0" borderId="8" xfId="1105" applyFont="1" applyBorder="1" applyAlignment="1">
      <alignment horizontal="center"/>
    </xf>
    <xf numFmtId="0" fontId="56" fillId="0" borderId="157" xfId="1105" applyFont="1" applyBorder="1"/>
    <xf numFmtId="0" fontId="56" fillId="0" borderId="7" xfId="1105" applyFont="1" applyBorder="1" applyAlignment="1">
      <alignment horizontal="left" vertical="center" wrapText="1"/>
    </xf>
    <xf numFmtId="0" fontId="38" fillId="0" borderId="8" xfId="1105" applyFont="1" applyBorder="1" applyAlignment="1">
      <alignment horizontal="center" vertical="center" wrapText="1"/>
    </xf>
    <xf numFmtId="0" fontId="38" fillId="0" borderId="7" xfId="1105" applyFont="1" applyBorder="1" applyAlignment="1">
      <alignment wrapText="1"/>
    </xf>
    <xf numFmtId="9" fontId="38" fillId="0" borderId="8" xfId="1106" applyFont="1" applyBorder="1" applyAlignment="1">
      <alignment horizontal="center" vertical="center"/>
    </xf>
    <xf numFmtId="0" fontId="38" fillId="0" borderId="8" xfId="1105" applyFont="1" applyBorder="1" applyAlignment="1">
      <alignment horizontal="center" vertical="center"/>
    </xf>
    <xf numFmtId="0" fontId="58" fillId="0" borderId="7" xfId="1105" applyFont="1" applyBorder="1" applyAlignment="1">
      <alignment wrapText="1"/>
    </xf>
    <xf numFmtId="9" fontId="58" fillId="0" borderId="8" xfId="1106" applyFont="1" applyBorder="1" applyAlignment="1">
      <alignment horizontal="center" vertical="center"/>
    </xf>
    <xf numFmtId="0" fontId="38" fillId="0" borderId="7" xfId="0" applyFont="1" applyBorder="1" applyAlignment="1">
      <alignment wrapText="1"/>
    </xf>
    <xf numFmtId="0" fontId="38" fillId="0" borderId="8" xfId="0" applyFont="1" applyBorder="1" applyAlignment="1">
      <alignment horizontal="center" vertical="center"/>
    </xf>
    <xf numFmtId="9" fontId="38" fillId="0" borderId="8" xfId="1106" applyNumberFormat="1" applyFont="1" applyBorder="1" applyAlignment="1">
      <alignment horizontal="center" vertical="center"/>
    </xf>
    <xf numFmtId="0" fontId="58" fillId="0" borderId="7" xfId="0" applyFont="1" applyBorder="1" applyAlignment="1">
      <alignment wrapText="1"/>
    </xf>
    <xf numFmtId="9" fontId="58" fillId="0" borderId="8" xfId="1" applyFont="1" applyBorder="1" applyAlignment="1">
      <alignment horizontal="center" vertical="center"/>
    </xf>
    <xf numFmtId="171" fontId="38" fillId="0" borderId="8" xfId="1" applyNumberFormat="1" applyFont="1" applyBorder="1" applyAlignment="1">
      <alignment horizontal="center" vertical="center"/>
    </xf>
    <xf numFmtId="0" fontId="56" fillId="0" borderId="9" xfId="0" applyFont="1" applyBorder="1" applyAlignment="1">
      <alignment wrapText="1"/>
    </xf>
    <xf numFmtId="9" fontId="56" fillId="0" borderId="13" xfId="1106" applyFont="1" applyBorder="1" applyAlignment="1">
      <alignment horizontal="center" vertical="center"/>
    </xf>
    <xf numFmtId="0" fontId="60" fillId="0" borderId="0" xfId="1105" applyFont="1" applyBorder="1" applyAlignment="1">
      <alignment horizontal="center"/>
    </xf>
    <xf numFmtId="0" fontId="60" fillId="0" borderId="8" xfId="1105" applyFont="1" applyBorder="1" applyAlignment="1">
      <alignment horizontal="center"/>
    </xf>
    <xf numFmtId="0" fontId="38" fillId="0" borderId="0" xfId="1105" applyFont="1" applyBorder="1" applyAlignment="1">
      <alignment horizontal="center" vertical="center"/>
    </xf>
    <xf numFmtId="3" fontId="38" fillId="0" borderId="0" xfId="1105" applyNumberFormat="1" applyFont="1" applyBorder="1" applyAlignment="1">
      <alignment horizontal="center" vertical="center"/>
    </xf>
    <xf numFmtId="3" fontId="58" fillId="0" borderId="0" xfId="1105" applyNumberFormat="1" applyFont="1" applyBorder="1" applyAlignment="1">
      <alignment horizontal="center" vertical="center"/>
    </xf>
    <xf numFmtId="3" fontId="58" fillId="0" borderId="0" xfId="0" applyNumberFormat="1" applyFont="1" applyBorder="1" applyAlignment="1">
      <alignment horizontal="center" vertical="center"/>
    </xf>
    <xf numFmtId="3" fontId="38" fillId="0" borderId="0" xfId="0" applyNumberFormat="1" applyFont="1" applyBorder="1" applyAlignment="1">
      <alignment horizontal="center" vertical="center"/>
    </xf>
    <xf numFmtId="0" fontId="38" fillId="0" borderId="41" xfId="0" applyFont="1" applyBorder="1"/>
    <xf numFmtId="0" fontId="8" fillId="0" borderId="7" xfId="1105" applyFont="1" applyBorder="1" applyAlignment="1">
      <alignment wrapText="1"/>
    </xf>
    <xf numFmtId="9" fontId="140" fillId="0" borderId="0" xfId="1106" applyFont="1" applyBorder="1" applyAlignment="1">
      <alignment horizontal="center"/>
    </xf>
    <xf numFmtId="0" fontId="8" fillId="0" borderId="52" xfId="1105" applyFont="1" applyBorder="1" applyAlignment="1">
      <alignment horizontal="center" vertical="center" wrapText="1"/>
    </xf>
    <xf numFmtId="0" fontId="8" fillId="0" borderId="121" xfId="1105" applyFont="1" applyBorder="1" applyAlignment="1">
      <alignment horizontal="center" vertical="center" wrapText="1"/>
    </xf>
    <xf numFmtId="3" fontId="8" fillId="0" borderId="123" xfId="571" applyNumberFormat="1" applyFont="1" applyBorder="1" applyAlignment="1">
      <alignment horizontal="center"/>
    </xf>
    <xf numFmtId="3" fontId="8" fillId="0" borderId="0" xfId="571" applyNumberFormat="1" applyFont="1" applyBorder="1" applyAlignment="1">
      <alignment horizontal="center"/>
    </xf>
    <xf numFmtId="3" fontId="8" fillId="0" borderId="0" xfId="1105" applyNumberFormat="1" applyFont="1" applyBorder="1" applyAlignment="1">
      <alignment horizontal="center"/>
    </xf>
    <xf numFmtId="0" fontId="140" fillId="0" borderId="7" xfId="1105" applyFont="1" applyBorder="1"/>
    <xf numFmtId="0" fontId="38" fillId="0" borderId="8" xfId="0" applyFont="1" applyBorder="1"/>
    <xf numFmtId="0" fontId="8" fillId="0" borderId="7" xfId="1105" applyFont="1" applyBorder="1"/>
    <xf numFmtId="0" fontId="8" fillId="0" borderId="181" xfId="1105" applyFont="1" applyBorder="1" applyAlignment="1">
      <alignment horizontal="center"/>
    </xf>
    <xf numFmtId="0" fontId="8" fillId="0" borderId="157" xfId="1105" applyFont="1" applyBorder="1"/>
    <xf numFmtId="0" fontId="8" fillId="0" borderId="182" xfId="1105" applyFont="1" applyBorder="1" applyAlignment="1">
      <alignment horizontal="center" vertical="center" wrapText="1"/>
    </xf>
    <xf numFmtId="9" fontId="8" fillId="0" borderId="174" xfId="1106" applyFont="1" applyBorder="1" applyAlignment="1">
      <alignment horizontal="center"/>
    </xf>
    <xf numFmtId="0" fontId="8" fillId="0" borderId="9" xfId="1105" applyFont="1" applyBorder="1"/>
    <xf numFmtId="3" fontId="8" fillId="0" borderId="20" xfId="571" applyNumberFormat="1" applyFont="1" applyBorder="1" applyAlignment="1">
      <alignment horizontal="center"/>
    </xf>
    <xf numFmtId="3" fontId="8" fillId="0" borderId="10" xfId="571" applyNumberFormat="1" applyFont="1" applyBorder="1" applyAlignment="1">
      <alignment horizontal="center"/>
    </xf>
    <xf numFmtId="3" fontId="8" fillId="0" borderId="10" xfId="1105" applyNumberFormat="1" applyFont="1" applyBorder="1" applyAlignment="1">
      <alignment horizontal="center"/>
    </xf>
    <xf numFmtId="9" fontId="8" fillId="0" borderId="175" xfId="1106" applyFont="1" applyBorder="1" applyAlignment="1">
      <alignment horizontal="center"/>
    </xf>
    <xf numFmtId="9" fontId="9" fillId="0" borderId="8" xfId="1" applyFont="1" applyBorder="1" applyAlignment="1">
      <alignment horizontal="center"/>
    </xf>
    <xf numFmtId="9" fontId="56" fillId="0" borderId="8" xfId="1" applyFont="1" applyBorder="1" applyAlignment="1">
      <alignment horizontal="center" vertical="center"/>
    </xf>
    <xf numFmtId="9" fontId="56" fillId="0" borderId="158" xfId="1" applyFont="1" applyBorder="1" applyAlignment="1">
      <alignment horizontal="center" vertical="center"/>
    </xf>
    <xf numFmtId="9" fontId="56" fillId="0" borderId="13" xfId="1" applyFont="1" applyBorder="1" applyAlignment="1">
      <alignment horizontal="center" vertical="center" wrapText="1"/>
    </xf>
    <xf numFmtId="0" fontId="8" fillId="0" borderId="32" xfId="0" applyFont="1" applyBorder="1" applyAlignment="1">
      <alignment horizontal="center" vertical="center" wrapText="1"/>
    </xf>
    <xf numFmtId="0" fontId="8" fillId="0" borderId="8" xfId="0" applyFont="1" applyBorder="1" applyAlignment="1">
      <alignment horizontal="center" vertical="center" wrapText="1"/>
    </xf>
    <xf numFmtId="0" fontId="8" fillId="0" borderId="2" xfId="0" applyFont="1" applyBorder="1" applyAlignment="1">
      <alignment horizontal="center" vertical="center" wrapText="1"/>
    </xf>
    <xf numFmtId="0" fontId="8" fillId="0" borderId="121" xfId="0" applyFont="1" applyBorder="1" applyAlignment="1">
      <alignment horizontal="center" vertical="center" wrapText="1"/>
    </xf>
    <xf numFmtId="0" fontId="8" fillId="0" borderId="159" xfId="0" applyFont="1" applyBorder="1" applyAlignment="1">
      <alignment horizontal="center" vertical="center" wrapText="1"/>
    </xf>
    <xf numFmtId="9" fontId="8" fillId="0" borderId="42" xfId="1" applyFont="1" applyBorder="1" applyAlignment="1">
      <alignment horizontal="center" vertical="center" wrapText="1"/>
    </xf>
    <xf numFmtId="9" fontId="8" fillId="0" borderId="2" xfId="1" applyFont="1" applyBorder="1" applyAlignment="1">
      <alignment horizontal="center"/>
    </xf>
    <xf numFmtId="9" fontId="8" fillId="0" borderId="2" xfId="1" applyFont="1" applyBorder="1" applyAlignment="1">
      <alignment horizontal="center" vertical="center"/>
    </xf>
    <xf numFmtId="0" fontId="8" fillId="0" borderId="191" xfId="0" applyFont="1" applyBorder="1" applyAlignment="1">
      <alignment horizontal="center" vertical="center" wrapText="1"/>
    </xf>
    <xf numFmtId="0" fontId="8" fillId="0" borderId="51" xfId="0" applyFont="1" applyBorder="1" applyAlignment="1">
      <alignment horizontal="center" vertical="center" wrapText="1"/>
    </xf>
    <xf numFmtId="9" fontId="8" fillId="0" borderId="39" xfId="1" applyFont="1" applyBorder="1" applyAlignment="1">
      <alignment horizontal="center" vertical="center" wrapText="1"/>
    </xf>
    <xf numFmtId="9" fontId="8" fillId="0" borderId="191" xfId="1" applyFont="1" applyBorder="1" applyAlignment="1">
      <alignment horizontal="center"/>
    </xf>
    <xf numFmtId="9" fontId="8" fillId="0" borderId="191" xfId="1" applyFont="1" applyBorder="1" applyAlignment="1">
      <alignment horizontal="center" vertical="center"/>
    </xf>
    <xf numFmtId="0" fontId="57" fillId="0" borderId="205" xfId="0" applyFont="1" applyBorder="1" applyAlignment="1">
      <alignment horizontal="center" vertical="center"/>
    </xf>
    <xf numFmtId="3" fontId="69" fillId="0" borderId="172" xfId="0" applyNumberFormat="1" applyFont="1" applyBorder="1" applyAlignment="1">
      <alignment horizontal="center" vertical="center"/>
    </xf>
    <xf numFmtId="9" fontId="8" fillId="0" borderId="32" xfId="1" applyFont="1" applyBorder="1" applyAlignment="1">
      <alignment horizontal="center" vertical="center" wrapText="1"/>
    </xf>
    <xf numFmtId="9" fontId="8" fillId="0" borderId="0" xfId="1" applyFont="1" applyBorder="1" applyAlignment="1">
      <alignment horizontal="center"/>
    </xf>
    <xf numFmtId="9" fontId="8" fillId="0" borderId="0" xfId="1" applyFont="1" applyBorder="1" applyAlignment="1">
      <alignment horizontal="center" vertical="center" wrapText="1"/>
    </xf>
    <xf numFmtId="0" fontId="60" fillId="0" borderId="169" xfId="0" applyFont="1" applyBorder="1" applyAlignment="1">
      <alignment horizontal="center"/>
    </xf>
    <xf numFmtId="171" fontId="56" fillId="0" borderId="0" xfId="1" applyNumberFormat="1" applyFont="1" applyFill="1" applyBorder="1" applyAlignment="1">
      <alignment horizontal="center" vertical="center"/>
    </xf>
    <xf numFmtId="0" fontId="8" fillId="0" borderId="0" xfId="0" applyFont="1"/>
    <xf numFmtId="9" fontId="56" fillId="0" borderId="0" xfId="1" applyNumberFormat="1" applyFont="1" applyFill="1" applyBorder="1" applyAlignment="1">
      <alignment horizontal="center"/>
    </xf>
    <xf numFmtId="0" fontId="0" fillId="0" borderId="0" xfId="0" applyAlignment="1">
      <alignment wrapText="1"/>
    </xf>
    <xf numFmtId="167" fontId="56" fillId="0" borderId="0" xfId="1" applyNumberFormat="1" applyFont="1" applyBorder="1" applyAlignment="1">
      <alignment horizontal="center" vertical="center"/>
    </xf>
    <xf numFmtId="0" fontId="38" fillId="0" borderId="157" xfId="0" applyFont="1" applyBorder="1"/>
    <xf numFmtId="0" fontId="38" fillId="0" borderId="206" xfId="0" applyFont="1" applyBorder="1" applyAlignment="1">
      <alignment horizontal="center" vertical="center" wrapText="1"/>
    </xf>
    <xf numFmtId="0" fontId="38" fillId="0" borderId="207" xfId="0" applyFont="1" applyBorder="1" applyAlignment="1">
      <alignment horizontal="center" vertical="center" wrapText="1"/>
    </xf>
    <xf numFmtId="0" fontId="38" fillId="0" borderId="207" xfId="114" applyFont="1" applyBorder="1" applyAlignment="1">
      <alignment horizontal="center" vertical="center" wrapText="1"/>
    </xf>
    <xf numFmtId="0" fontId="38" fillId="0" borderId="35" xfId="114" applyFont="1" applyBorder="1" applyAlignment="1">
      <alignment horizontal="center" vertical="center" wrapText="1"/>
    </xf>
    <xf numFmtId="0" fontId="140" fillId="0" borderId="7" xfId="1083" applyFont="1" applyBorder="1"/>
    <xf numFmtId="0" fontId="38" fillId="0" borderId="8" xfId="0" applyFont="1" applyBorder="1" applyAlignment="1">
      <alignment horizontal="center"/>
    </xf>
    <xf numFmtId="3" fontId="38" fillId="0" borderId="8" xfId="0" applyNumberFormat="1" applyFont="1" applyBorder="1" applyAlignment="1">
      <alignment horizontal="center"/>
    </xf>
    <xf numFmtId="10" fontId="38" fillId="0" borderId="8" xfId="0" applyNumberFormat="1" applyFont="1" applyBorder="1" applyAlignment="1">
      <alignment horizontal="center"/>
    </xf>
    <xf numFmtId="0" fontId="140" fillId="0" borderId="9" xfId="1083" applyFont="1" applyBorder="1"/>
    <xf numFmtId="0" fontId="38" fillId="0" borderId="20" xfId="0" applyFont="1" applyBorder="1" applyAlignment="1">
      <alignment horizontal="center"/>
    </xf>
    <xf numFmtId="9" fontId="38" fillId="0" borderId="10" xfId="1" applyFont="1" applyBorder="1" applyAlignment="1">
      <alignment horizontal="center"/>
    </xf>
    <xf numFmtId="0" fontId="38" fillId="0" borderId="13" xfId="0" applyFont="1" applyBorder="1" applyAlignment="1">
      <alignment horizontal="center"/>
    </xf>
    <xf numFmtId="0" fontId="57" fillId="0" borderId="7" xfId="0" applyFont="1" applyBorder="1" applyAlignment="1">
      <alignment horizontal="center" vertical="center" wrapText="1"/>
    </xf>
    <xf numFmtId="0" fontId="52" fillId="0" borderId="210" xfId="0" applyFont="1" applyBorder="1"/>
    <xf numFmtId="9" fontId="56" fillId="0" borderId="8" xfId="1" applyFont="1" applyBorder="1" applyAlignment="1">
      <alignment horizontal="center"/>
    </xf>
    <xf numFmtId="1" fontId="56" fillId="0" borderId="20" xfId="1" applyNumberFormat="1" applyFont="1" applyBorder="1" applyAlignment="1">
      <alignment horizontal="center" vertical="center"/>
    </xf>
    <xf numFmtId="1" fontId="56" fillId="0" borderId="10" xfId="1" applyNumberFormat="1" applyFont="1" applyBorder="1" applyAlignment="1">
      <alignment horizontal="center" vertical="center"/>
    </xf>
    <xf numFmtId="1" fontId="56" fillId="0" borderId="10" xfId="1" applyNumberFormat="1" applyFont="1" applyBorder="1" applyAlignment="1">
      <alignment horizontal="center" vertical="center" wrapText="1"/>
    </xf>
    <xf numFmtId="9" fontId="56" fillId="0" borderId="1" xfId="1" applyFont="1" applyBorder="1" applyAlignment="1">
      <alignment horizontal="center" vertical="center"/>
    </xf>
    <xf numFmtId="1" fontId="56" fillId="0" borderId="1" xfId="1" applyNumberFormat="1" applyFont="1" applyBorder="1" applyAlignment="1">
      <alignment horizontal="center"/>
    </xf>
    <xf numFmtId="0" fontId="0" fillId="0" borderId="8" xfId="0" applyBorder="1"/>
    <xf numFmtId="0" fontId="57" fillId="0" borderId="157" xfId="0" applyFont="1" applyBorder="1" applyAlignment="1">
      <alignment horizontal="center" vertical="center"/>
    </xf>
    <xf numFmtId="0" fontId="38" fillId="0" borderId="35" xfId="0" applyFont="1" applyBorder="1" applyAlignment="1">
      <alignment horizontal="center" vertical="center"/>
    </xf>
    <xf numFmtId="167" fontId="56" fillId="0" borderId="8" xfId="1" applyNumberFormat="1" applyFont="1" applyBorder="1" applyAlignment="1">
      <alignment horizontal="center" vertical="center" wrapText="1"/>
    </xf>
    <xf numFmtId="167" fontId="38" fillId="0" borderId="8" xfId="0" applyNumberFormat="1" applyFont="1" applyBorder="1" applyAlignment="1">
      <alignment horizontal="center"/>
    </xf>
    <xf numFmtId="0" fontId="56" fillId="0" borderId="9" xfId="0" applyFont="1" applyBorder="1" applyAlignment="1">
      <alignment horizontal="left" vertical="center"/>
    </xf>
    <xf numFmtId="9" fontId="56" fillId="0" borderId="13" xfId="1" applyFont="1" applyBorder="1" applyAlignment="1">
      <alignment horizontal="center"/>
    </xf>
    <xf numFmtId="0" fontId="53" fillId="0" borderId="0" xfId="341" applyFont="1" applyBorder="1" applyAlignment="1">
      <alignment horizontal="center" vertical="center"/>
    </xf>
    <xf numFmtId="0" fontId="53" fillId="0" borderId="8" xfId="341" applyFont="1" applyBorder="1" applyAlignment="1">
      <alignment horizontal="center" vertical="center"/>
    </xf>
    <xf numFmtId="0" fontId="8" fillId="0" borderId="7" xfId="0" applyFont="1" applyBorder="1"/>
    <xf numFmtId="171" fontId="8" fillId="0" borderId="123" xfId="1" applyNumberFormat="1" applyFont="1" applyBorder="1" applyAlignment="1">
      <alignment horizontal="center" vertical="center" wrapText="1"/>
    </xf>
    <xf numFmtId="171" fontId="8" fillId="0" borderId="0" xfId="1" applyNumberFormat="1" applyFont="1" applyBorder="1" applyAlignment="1">
      <alignment horizontal="center"/>
    </xf>
    <xf numFmtId="171" fontId="8" fillId="0" borderId="8" xfId="1" applyNumberFormat="1" applyFont="1" applyBorder="1" applyAlignment="1">
      <alignment horizontal="center" vertical="center"/>
    </xf>
    <xf numFmtId="0" fontId="8" fillId="0" borderId="9" xfId="0" applyFont="1" applyBorder="1" applyAlignment="1">
      <alignment horizontal="center" vertical="center" wrapText="1"/>
    </xf>
    <xf numFmtId="9" fontId="8" fillId="0" borderId="20" xfId="1" applyFont="1" applyBorder="1" applyAlignment="1">
      <alignment horizontal="center" vertical="center"/>
    </xf>
    <xf numFmtId="9" fontId="8" fillId="0" borderId="10" xfId="1" applyFont="1" applyBorder="1" applyAlignment="1">
      <alignment horizontal="center" vertical="center"/>
    </xf>
    <xf numFmtId="9" fontId="8" fillId="0" borderId="13" xfId="1" applyFont="1" applyBorder="1" applyAlignment="1">
      <alignment horizontal="center" vertical="center"/>
    </xf>
    <xf numFmtId="171" fontId="140" fillId="0" borderId="0" xfId="656" applyNumberFormat="1" applyFont="1" applyBorder="1" applyAlignment="1">
      <alignment horizontal="center"/>
    </xf>
    <xf numFmtId="0" fontId="140" fillId="0" borderId="206" xfId="591" applyFont="1" applyBorder="1" applyAlignment="1">
      <alignment horizontal="center" vertical="center" wrapText="1"/>
    </xf>
    <xf numFmtId="0" fontId="140" fillId="0" borderId="207" xfId="591" applyFont="1" applyBorder="1" applyAlignment="1">
      <alignment horizontal="center" vertical="center" wrapText="1"/>
    </xf>
    <xf numFmtId="0" fontId="0" fillId="0" borderId="0" xfId="0" applyAlignment="1">
      <alignment horizontal="center" vertical="center" wrapText="1"/>
    </xf>
    <xf numFmtId="0" fontId="143" fillId="0" borderId="7" xfId="591" applyFont="1" applyBorder="1" applyAlignment="1"/>
    <xf numFmtId="0" fontId="140" fillId="0" borderId="157" xfId="591" applyFont="1" applyBorder="1" applyAlignment="1">
      <alignment horizontal="center" vertical="center" wrapText="1"/>
    </xf>
    <xf numFmtId="0" fontId="140" fillId="0" borderId="35" xfId="591" applyFont="1" applyBorder="1" applyAlignment="1">
      <alignment horizontal="center" vertical="center" wrapText="1"/>
    </xf>
    <xf numFmtId="0" fontId="140" fillId="0" borderId="7" xfId="591" applyFont="1" applyBorder="1" applyAlignment="1">
      <alignment horizontal="center"/>
    </xf>
    <xf numFmtId="171" fontId="140" fillId="0" borderId="8" xfId="654" applyNumberFormat="1" applyFont="1" applyBorder="1" applyAlignment="1">
      <alignment horizontal="center"/>
    </xf>
    <xf numFmtId="0" fontId="140" fillId="0" borderId="9" xfId="591" applyFont="1" applyBorder="1" applyAlignment="1">
      <alignment horizontal="center"/>
    </xf>
    <xf numFmtId="171" fontId="140" fillId="0" borderId="10" xfId="656" applyNumberFormat="1" applyFont="1" applyBorder="1" applyAlignment="1">
      <alignment horizontal="center"/>
    </xf>
    <xf numFmtId="171" fontId="140" fillId="0" borderId="13" xfId="654" applyNumberFormat="1" applyFont="1" applyBorder="1" applyAlignment="1">
      <alignment horizontal="center"/>
    </xf>
    <xf numFmtId="0" fontId="140" fillId="0" borderId="7" xfId="591" applyFont="1" applyBorder="1" applyAlignment="1">
      <alignment wrapText="1"/>
    </xf>
    <xf numFmtId="0" fontId="140" fillId="0" borderId="157" xfId="591" applyFont="1" applyBorder="1" applyAlignment="1">
      <alignment wrapText="1"/>
    </xf>
    <xf numFmtId="0" fontId="140" fillId="0" borderId="35" xfId="591" applyFont="1" applyBorder="1" applyAlignment="1">
      <alignment horizontal="center" wrapText="1"/>
    </xf>
    <xf numFmtId="0" fontId="140" fillId="0" borderId="7" xfId="591" applyFont="1" applyBorder="1" applyAlignment="1">
      <alignment horizontal="center" wrapText="1"/>
    </xf>
    <xf numFmtId="171" fontId="72" fillId="0" borderId="8" xfId="1" applyNumberFormat="1" applyFont="1" applyBorder="1" applyAlignment="1">
      <alignment horizontal="center" wrapText="1"/>
    </xf>
    <xf numFmtId="171" fontId="72" fillId="0" borderId="8" xfId="653" applyNumberFormat="1" applyFont="1" applyBorder="1" applyAlignment="1">
      <alignment horizontal="center" wrapText="1"/>
    </xf>
    <xf numFmtId="171" fontId="38" fillId="0" borderId="8" xfId="0" applyNumberFormat="1" applyFont="1" applyBorder="1" applyAlignment="1">
      <alignment horizontal="center"/>
    </xf>
    <xf numFmtId="171" fontId="140" fillId="0" borderId="20" xfId="653" applyNumberFormat="1" applyFont="1" applyBorder="1" applyAlignment="1">
      <alignment horizontal="center"/>
    </xf>
    <xf numFmtId="10" fontId="140" fillId="0" borderId="10" xfId="591" applyNumberFormat="1" applyFont="1" applyBorder="1" applyAlignment="1">
      <alignment horizontal="center"/>
    </xf>
    <xf numFmtId="171" fontId="38" fillId="0" borderId="13" xfId="0" applyNumberFormat="1" applyFont="1" applyBorder="1" applyAlignment="1">
      <alignment horizontal="center"/>
    </xf>
    <xf numFmtId="0" fontId="137" fillId="0" borderId="0" xfId="1130" applyFont="1"/>
    <xf numFmtId="0" fontId="137" fillId="0" borderId="0" xfId="1130" applyFont="1" applyBorder="1"/>
    <xf numFmtId="177" fontId="137" fillId="0" borderId="0" xfId="1130" applyNumberFormat="1" applyFont="1" applyBorder="1"/>
    <xf numFmtId="0" fontId="147" fillId="0" borderId="0" xfId="1130" applyFont="1" applyBorder="1"/>
    <xf numFmtId="0" fontId="147" fillId="0" borderId="0" xfId="1130" applyFont="1"/>
    <xf numFmtId="171" fontId="137" fillId="0" borderId="196" xfId="1131" applyNumberFormat="1" applyFont="1" applyBorder="1"/>
    <xf numFmtId="178" fontId="137" fillId="0" borderId="196" xfId="1132" applyNumberFormat="1" applyFont="1" applyBorder="1"/>
    <xf numFmtId="179" fontId="137" fillId="0" borderId="196" xfId="1132" applyNumberFormat="1" applyFont="1" applyBorder="1"/>
    <xf numFmtId="0" fontId="137" fillId="0" borderId="196" xfId="1130" applyFont="1" applyBorder="1"/>
    <xf numFmtId="171" fontId="137" fillId="0" borderId="121" xfId="1131" applyNumberFormat="1" applyFont="1" applyBorder="1"/>
    <xf numFmtId="178" fontId="137" fillId="0" borderId="121" xfId="1132" applyNumberFormat="1" applyFont="1" applyBorder="1"/>
    <xf numFmtId="179" fontId="137" fillId="0" borderId="121" xfId="1132" applyNumberFormat="1" applyFont="1" applyBorder="1"/>
    <xf numFmtId="0" fontId="137" fillId="0" borderId="121" xfId="1130" applyFont="1" applyBorder="1"/>
    <xf numFmtId="171" fontId="137" fillId="0" borderId="0" xfId="1131" applyNumberFormat="1" applyFont="1"/>
    <xf numFmtId="178" fontId="137" fillId="0" borderId="0" xfId="1132" applyNumberFormat="1" applyFont="1"/>
    <xf numFmtId="179" fontId="137" fillId="0" borderId="0" xfId="1132" applyNumberFormat="1" applyFont="1"/>
    <xf numFmtId="0" fontId="137" fillId="0" borderId="0" xfId="1130" applyFont="1" applyAlignment="1">
      <alignment horizontal="right"/>
    </xf>
    <xf numFmtId="9" fontId="137" fillId="0" borderId="192" xfId="1131" applyNumberFormat="1" applyFont="1" applyBorder="1"/>
    <xf numFmtId="171" fontId="137" fillId="0" borderId="192" xfId="1131" applyNumberFormat="1" applyFont="1" applyBorder="1" applyAlignment="1">
      <alignment horizontal="right"/>
    </xf>
    <xf numFmtId="0" fontId="137" fillId="0" borderId="192" xfId="1130" applyFont="1" applyBorder="1"/>
    <xf numFmtId="9" fontId="137" fillId="0" borderId="0" xfId="1131" applyNumberFormat="1" applyFont="1"/>
    <xf numFmtId="171" fontId="137" fillId="0" borderId="0" xfId="1131" applyNumberFormat="1" applyFont="1" applyAlignment="1">
      <alignment horizontal="right"/>
    </xf>
    <xf numFmtId="1" fontId="137" fillId="0" borderId="0" xfId="1130" applyNumberFormat="1" applyFont="1"/>
    <xf numFmtId="0" fontId="137" fillId="0" borderId="0" xfId="1130" applyFont="1" applyBorder="1" applyAlignment="1">
      <alignment horizontal="right"/>
    </xf>
    <xf numFmtId="0" fontId="137" fillId="0" borderId="0" xfId="1130" applyFont="1" applyAlignment="1">
      <alignment wrapText="1"/>
    </xf>
    <xf numFmtId="0" fontId="137" fillId="0" borderId="121" xfId="1130" applyFont="1" applyBorder="1" applyAlignment="1">
      <alignment wrapText="1"/>
    </xf>
    <xf numFmtId="0" fontId="147" fillId="0" borderId="121" xfId="1130" applyFont="1" applyBorder="1" applyAlignment="1">
      <alignment wrapText="1"/>
    </xf>
    <xf numFmtId="0" fontId="137" fillId="0" borderId="193" xfId="1130" applyFont="1" applyBorder="1" applyAlignment="1">
      <alignment wrapText="1"/>
    </xf>
    <xf numFmtId="3" fontId="56" fillId="0" borderId="31" xfId="0" applyNumberFormat="1" applyFont="1" applyBorder="1" applyAlignment="1">
      <alignment horizontal="center" vertical="center"/>
    </xf>
    <xf numFmtId="3" fontId="42" fillId="0" borderId="124" xfId="0" applyNumberFormat="1" applyFont="1" applyBorder="1" applyAlignment="1">
      <alignment horizontal="center"/>
    </xf>
    <xf numFmtId="3" fontId="99" fillId="0" borderId="124" xfId="0" applyNumberFormat="1" applyFont="1" applyBorder="1" applyAlignment="1">
      <alignment horizontal="center"/>
    </xf>
    <xf numFmtId="3" fontId="23" fillId="0" borderId="56" xfId="0" applyNumberFormat="1" applyFont="1" applyBorder="1" applyAlignment="1">
      <alignment horizontal="center" vertical="center"/>
    </xf>
    <xf numFmtId="1" fontId="56" fillId="0" borderId="1" xfId="0" applyNumberFormat="1" applyFont="1" applyBorder="1" applyAlignment="1">
      <alignment horizontal="center"/>
    </xf>
    <xf numFmtId="169" fontId="52" fillId="0" borderId="0" xfId="0" applyNumberFormat="1" applyFont="1"/>
    <xf numFmtId="0" fontId="58" fillId="0" borderId="205" xfId="0" applyFont="1" applyBorder="1" applyAlignment="1">
      <alignment horizontal="center" vertical="center" wrapText="1"/>
    </xf>
    <xf numFmtId="167" fontId="52" fillId="0" borderId="205" xfId="0" applyNumberFormat="1" applyFont="1" applyBorder="1" applyAlignment="1">
      <alignment horizontal="center" vertical="center" wrapText="1"/>
    </xf>
    <xf numFmtId="167" fontId="52" fillId="0" borderId="125" xfId="0" applyNumberFormat="1" applyFont="1" applyBorder="1" applyAlignment="1">
      <alignment horizontal="center"/>
    </xf>
    <xf numFmtId="3" fontId="7" fillId="0" borderId="123" xfId="592" applyNumberFormat="1" applyFont="1" applyBorder="1" applyAlignment="1">
      <alignment horizontal="center"/>
    </xf>
    <xf numFmtId="3" fontId="56" fillId="0" borderId="211" xfId="139" applyNumberFormat="1" applyFont="1" applyBorder="1" applyAlignment="1">
      <alignment horizontal="center" vertical="center"/>
    </xf>
    <xf numFmtId="167" fontId="56" fillId="0" borderId="2" xfId="1" applyNumberFormat="1" applyFont="1" applyBorder="1" applyAlignment="1">
      <alignment horizontal="center" vertical="center"/>
    </xf>
    <xf numFmtId="1" fontId="69" fillId="0" borderId="0" xfId="1" applyNumberFormat="1" applyFont="1" applyBorder="1" applyAlignment="1">
      <alignment horizontal="center" vertical="center"/>
    </xf>
    <xf numFmtId="0" fontId="4" fillId="0" borderId="0" xfId="0" applyFont="1"/>
    <xf numFmtId="0" fontId="4" fillId="0" borderId="0" xfId="0" applyFont="1" applyAlignment="1">
      <alignment vertical="center" wrapText="1"/>
    </xf>
    <xf numFmtId="3" fontId="65" fillId="0" borderId="120" xfId="0" applyNumberFormat="1" applyFont="1" applyFill="1" applyBorder="1" applyAlignment="1">
      <alignment horizontal="center" vertical="center" wrapText="1"/>
    </xf>
    <xf numFmtId="171" fontId="52" fillId="0" borderId="123" xfId="1" applyNumberFormat="1" applyFont="1" applyFill="1" applyBorder="1" applyAlignment="1">
      <alignment horizontal="center"/>
    </xf>
    <xf numFmtId="171" fontId="56" fillId="0" borderId="32" xfId="1" applyNumberFormat="1" applyFont="1" applyFill="1" applyBorder="1" applyAlignment="1">
      <alignment horizontal="center" vertical="center" wrapText="1"/>
    </xf>
    <xf numFmtId="171" fontId="4" fillId="0" borderId="0" xfId="1" applyNumberFormat="1" applyFont="1"/>
    <xf numFmtId="0" fontId="69" fillId="0" borderId="44" xfId="592" applyFont="1" applyBorder="1" applyAlignment="1">
      <alignment horizontal="center" vertical="center"/>
    </xf>
    <xf numFmtId="3" fontId="69" fillId="0" borderId="123" xfId="348" applyNumberFormat="1" applyFont="1" applyBorder="1" applyAlignment="1">
      <alignment horizontal="center" vertical="center" wrapText="1"/>
    </xf>
    <xf numFmtId="3" fontId="69" fillId="0" borderId="0" xfId="341" applyNumberFormat="1" applyFont="1" applyBorder="1" applyAlignment="1">
      <alignment horizontal="center" vertical="center" wrapText="1"/>
    </xf>
    <xf numFmtId="3" fontId="7" fillId="0" borderId="174" xfId="592" applyNumberFormat="1" applyFont="1" applyFill="1" applyBorder="1" applyAlignment="1">
      <alignment horizontal="center"/>
    </xf>
    <xf numFmtId="169" fontId="4" fillId="0" borderId="1" xfId="0" applyNumberFormat="1" applyFont="1" applyBorder="1" applyAlignment="1">
      <alignment horizontal="center" vertical="center" wrapText="1"/>
    </xf>
    <xf numFmtId="169" fontId="53" fillId="0" borderId="0" xfId="592" applyNumberFormat="1" applyFill="1"/>
    <xf numFmtId="0" fontId="53" fillId="0" borderId="0" xfId="592" applyFill="1"/>
    <xf numFmtId="0" fontId="53" fillId="0" borderId="0" xfId="592" applyFill="1" applyAlignment="1">
      <alignment horizontal="center" vertical="center" wrapText="1"/>
    </xf>
    <xf numFmtId="3" fontId="69" fillId="0" borderId="1" xfId="341" applyNumberFormat="1" applyFont="1" applyBorder="1" applyAlignment="1">
      <alignment horizontal="center" vertical="center" wrapText="1"/>
    </xf>
    <xf numFmtId="3" fontId="149" fillId="0" borderId="61" xfId="341" applyNumberFormat="1" applyFont="1" applyBorder="1" applyAlignment="1">
      <alignment horizontal="center" vertical="center" wrapText="1"/>
    </xf>
    <xf numFmtId="3" fontId="149" fillId="0" borderId="68" xfId="341" applyNumberFormat="1" applyFont="1" applyBorder="1" applyAlignment="1">
      <alignment horizontal="center" vertical="center" wrapText="1"/>
    </xf>
    <xf numFmtId="3" fontId="149" fillId="0" borderId="2" xfId="341" applyNumberFormat="1" applyFont="1" applyBorder="1" applyAlignment="1">
      <alignment horizontal="center" vertical="center" wrapText="1"/>
    </xf>
    <xf numFmtId="3" fontId="69" fillId="0" borderId="8" xfId="341" applyNumberFormat="1" applyFont="1" applyBorder="1" applyAlignment="1">
      <alignment horizontal="center" vertical="center" wrapText="1"/>
    </xf>
    <xf numFmtId="169" fontId="135" fillId="0" borderId="123" xfId="139" applyNumberFormat="1" applyFont="1" applyBorder="1" applyAlignment="1">
      <alignment horizontal="center" vertical="center"/>
    </xf>
    <xf numFmtId="169" fontId="135" fillId="0" borderId="0" xfId="592" applyNumberFormat="1" applyFont="1" applyBorder="1" applyAlignment="1">
      <alignment horizontal="center" vertical="center"/>
    </xf>
    <xf numFmtId="169" fontId="135" fillId="0" borderId="1" xfId="139" applyNumberFormat="1" applyFont="1" applyBorder="1" applyAlignment="1">
      <alignment horizontal="center" vertical="center"/>
    </xf>
    <xf numFmtId="169" fontId="135" fillId="0" borderId="61" xfId="139" applyNumberFormat="1" applyFont="1" applyBorder="1" applyAlignment="1">
      <alignment horizontal="center" vertical="center"/>
    </xf>
    <xf numFmtId="169" fontId="135" fillId="0" borderId="68" xfId="592" applyNumberFormat="1" applyFont="1" applyBorder="1" applyAlignment="1">
      <alignment horizontal="center" vertical="center"/>
    </xf>
    <xf numFmtId="169" fontId="135" fillId="0" borderId="2" xfId="592" applyNumberFormat="1" applyFont="1" applyBorder="1" applyAlignment="1">
      <alignment horizontal="center" vertical="center"/>
    </xf>
    <xf numFmtId="169" fontId="135" fillId="0" borderId="8" xfId="592" applyNumberFormat="1" applyFont="1" applyBorder="1" applyAlignment="1">
      <alignment horizontal="center" vertical="center"/>
    </xf>
    <xf numFmtId="3" fontId="135" fillId="0" borderId="158" xfId="139" applyNumberFormat="1" applyFont="1" applyBorder="1" applyAlignment="1">
      <alignment horizontal="center" vertical="center"/>
    </xf>
    <xf numFmtId="3" fontId="135" fillId="0" borderId="159" xfId="592" applyNumberFormat="1" applyFont="1" applyBorder="1" applyAlignment="1">
      <alignment horizontal="center" vertical="center"/>
    </xf>
    <xf numFmtId="3" fontId="135" fillId="0" borderId="187" xfId="592" applyNumberFormat="1" applyFont="1" applyBorder="1" applyAlignment="1">
      <alignment horizontal="center" vertical="center"/>
    </xf>
    <xf numFmtId="3" fontId="135" fillId="0" borderId="186" xfId="139" applyNumberFormat="1" applyFont="1" applyBorder="1" applyAlignment="1">
      <alignment horizontal="center" vertical="center"/>
    </xf>
    <xf numFmtId="3" fontId="135" fillId="0" borderId="121" xfId="592" applyNumberFormat="1" applyFont="1" applyBorder="1" applyAlignment="1">
      <alignment horizontal="center" vertical="center"/>
    </xf>
    <xf numFmtId="3" fontId="135" fillId="0" borderId="120" xfId="139" applyNumberFormat="1" applyFont="1" applyBorder="1" applyAlignment="1">
      <alignment horizontal="center" vertical="center"/>
    </xf>
    <xf numFmtId="3" fontId="135" fillId="0" borderId="52" xfId="139" applyNumberFormat="1" applyFont="1" applyBorder="1" applyAlignment="1">
      <alignment horizontal="center" vertical="center"/>
    </xf>
    <xf numFmtId="3" fontId="135" fillId="0" borderId="20" xfId="139" applyNumberFormat="1" applyFont="1" applyBorder="1" applyAlignment="1">
      <alignment horizontal="center" vertical="center"/>
    </xf>
    <xf numFmtId="3" fontId="135" fillId="0" borderId="10" xfId="592" applyNumberFormat="1" applyFont="1" applyBorder="1" applyAlignment="1">
      <alignment horizontal="center" vertical="center"/>
    </xf>
    <xf numFmtId="3" fontId="135" fillId="0" borderId="11" xfId="139" applyNumberFormat="1" applyFont="1" applyBorder="1" applyAlignment="1">
      <alignment horizontal="center" vertical="center"/>
    </xf>
    <xf numFmtId="3" fontId="135" fillId="0" borderId="83" xfId="139" applyNumberFormat="1" applyFont="1" applyBorder="1" applyAlignment="1">
      <alignment horizontal="center" vertical="center"/>
    </xf>
    <xf numFmtId="3" fontId="135" fillId="0" borderId="84" xfId="592" applyNumberFormat="1" applyFont="1" applyBorder="1" applyAlignment="1">
      <alignment horizontal="center" vertical="center"/>
    </xf>
    <xf numFmtId="3" fontId="135" fillId="0" borderId="12" xfId="592" applyNumberFormat="1" applyFont="1" applyBorder="1" applyAlignment="1">
      <alignment horizontal="center" vertical="center"/>
    </xf>
    <xf numFmtId="3" fontId="135" fillId="0" borderId="13" xfId="139" applyNumberFormat="1" applyFont="1" applyBorder="1" applyAlignment="1">
      <alignment horizontal="center" vertical="center"/>
    </xf>
    <xf numFmtId="3" fontId="56" fillId="2" borderId="10" xfId="1" applyNumberFormat="1" applyFont="1" applyFill="1" applyBorder="1" applyAlignment="1">
      <alignment horizontal="center" vertical="center"/>
    </xf>
    <xf numFmtId="3" fontId="4" fillId="0" borderId="0" xfId="0" applyNumberFormat="1" applyFont="1"/>
    <xf numFmtId="3" fontId="52" fillId="0" borderId="205" xfId="0" applyNumberFormat="1" applyFont="1" applyFill="1" applyBorder="1" applyAlignment="1">
      <alignment horizontal="center"/>
    </xf>
    <xf numFmtId="171" fontId="52" fillId="0" borderId="8" xfId="1" applyNumberFormat="1" applyFont="1" applyFill="1" applyBorder="1" applyAlignment="1">
      <alignment horizontal="center"/>
    </xf>
    <xf numFmtId="3" fontId="56" fillId="0" borderId="205" xfId="0" applyNumberFormat="1" applyFont="1" applyFill="1" applyBorder="1" applyAlignment="1">
      <alignment horizontal="center" vertical="center"/>
    </xf>
    <xf numFmtId="171" fontId="52" fillId="0" borderId="3" xfId="1" applyNumberFormat="1" applyFont="1" applyFill="1" applyBorder="1" applyAlignment="1">
      <alignment horizontal="center" vertical="center"/>
    </xf>
    <xf numFmtId="171" fontId="52" fillId="0" borderId="1" xfId="1" applyNumberFormat="1" applyFont="1" applyFill="1" applyBorder="1" applyAlignment="1">
      <alignment horizontal="center"/>
    </xf>
    <xf numFmtId="171" fontId="52" fillId="0" borderId="1" xfId="1" applyNumberFormat="1" applyFont="1" applyFill="1" applyBorder="1" applyAlignment="1">
      <alignment horizontal="center" vertical="center"/>
    </xf>
    <xf numFmtId="3" fontId="56" fillId="0" borderId="2" xfId="1" applyNumberFormat="1" applyFont="1" applyFill="1" applyBorder="1" applyAlignment="1">
      <alignment horizontal="center" vertical="center"/>
    </xf>
    <xf numFmtId="3" fontId="52" fillId="0" borderId="2" xfId="1" applyNumberFormat="1" applyFont="1" applyFill="1" applyBorder="1" applyAlignment="1">
      <alignment horizontal="center"/>
    </xf>
    <xf numFmtId="171" fontId="56" fillId="0" borderId="1" xfId="1" applyNumberFormat="1" applyFont="1" applyFill="1" applyBorder="1" applyAlignment="1">
      <alignment horizontal="center" vertical="center"/>
    </xf>
    <xf numFmtId="171" fontId="56" fillId="0" borderId="120" xfId="1" applyNumberFormat="1" applyFont="1" applyFill="1" applyBorder="1" applyAlignment="1">
      <alignment horizontal="center" vertical="center"/>
    </xf>
    <xf numFmtId="3" fontId="52" fillId="0" borderId="159" xfId="1" applyNumberFormat="1" applyFont="1" applyFill="1" applyBorder="1" applyAlignment="1">
      <alignment horizontal="center" vertical="center"/>
    </xf>
    <xf numFmtId="171" fontId="56" fillId="0" borderId="11" xfId="1" applyNumberFormat="1" applyFont="1" applyFill="1" applyBorder="1" applyAlignment="1">
      <alignment horizontal="center" vertical="center"/>
    </xf>
    <xf numFmtId="3" fontId="56" fillId="0" borderId="12" xfId="1" applyNumberFormat="1" applyFont="1" applyFill="1" applyBorder="1" applyAlignment="1">
      <alignment horizontal="center" vertical="center"/>
    </xf>
    <xf numFmtId="0" fontId="52" fillId="0" borderId="42" xfId="0" applyFont="1" applyBorder="1"/>
    <xf numFmtId="171" fontId="52" fillId="0" borderId="2" xfId="0" applyNumberFormat="1" applyFont="1" applyBorder="1" applyAlignment="1">
      <alignment horizontal="center"/>
    </xf>
    <xf numFmtId="0" fontId="4" fillId="0" borderId="15" xfId="0" applyFont="1" applyBorder="1"/>
    <xf numFmtId="9" fontId="52" fillId="0" borderId="16" xfId="1" applyFont="1" applyBorder="1"/>
    <xf numFmtId="9" fontId="52" fillId="0" borderId="17" xfId="1" applyFont="1" applyBorder="1"/>
    <xf numFmtId="9" fontId="52" fillId="0" borderId="0" xfId="1" applyFont="1" applyAlignment="1">
      <alignment horizontal="center"/>
    </xf>
    <xf numFmtId="171" fontId="52" fillId="0" borderId="0" xfId="1" applyNumberFormat="1" applyFont="1" applyAlignment="1">
      <alignment horizontal="center"/>
    </xf>
    <xf numFmtId="0" fontId="52" fillId="0" borderId="32" xfId="0" applyFont="1" applyBorder="1"/>
    <xf numFmtId="171" fontId="52" fillId="0" borderId="0" xfId="0" applyNumberFormat="1" applyFont="1" applyBorder="1" applyAlignment="1">
      <alignment horizontal="center"/>
    </xf>
    <xf numFmtId="3" fontId="56" fillId="0" borderId="0" xfId="1" applyNumberFormat="1" applyFont="1" applyFill="1" applyBorder="1" applyAlignment="1">
      <alignment horizontal="center"/>
    </xf>
    <xf numFmtId="3" fontId="56" fillId="0" borderId="121" xfId="1" applyNumberFormat="1" applyFont="1" applyFill="1" applyBorder="1" applyAlignment="1">
      <alignment horizontal="center" vertical="center"/>
    </xf>
    <xf numFmtId="171" fontId="52" fillId="0" borderId="8" xfId="1" applyNumberFormat="1" applyFont="1" applyBorder="1" applyAlignment="1">
      <alignment horizontal="center"/>
    </xf>
    <xf numFmtId="171" fontId="52" fillId="0" borderId="158" xfId="1" applyNumberFormat="1" applyFont="1" applyBorder="1" applyAlignment="1">
      <alignment horizontal="center"/>
    </xf>
    <xf numFmtId="171" fontId="52" fillId="0" borderId="164" xfId="1" applyNumberFormat="1" applyFont="1" applyBorder="1" applyAlignment="1">
      <alignment horizontal="center"/>
    </xf>
    <xf numFmtId="171" fontId="52" fillId="0" borderId="2" xfId="0" applyNumberFormat="1" applyFont="1" applyFill="1" applyBorder="1" applyAlignment="1">
      <alignment horizontal="center"/>
    </xf>
    <xf numFmtId="0" fontId="4" fillId="0" borderId="0" xfId="0" applyFont="1" applyFill="1"/>
    <xf numFmtId="9" fontId="56" fillId="0" borderId="10" xfId="1" applyNumberFormat="1" applyFont="1" applyBorder="1" applyAlignment="1">
      <alignment horizontal="center" vertical="center"/>
    </xf>
    <xf numFmtId="0" fontId="56" fillId="0" borderId="212" xfId="0" applyFont="1" applyBorder="1" applyAlignment="1">
      <alignment horizontal="center" vertical="center" wrapText="1"/>
    </xf>
    <xf numFmtId="3" fontId="56" fillId="0" borderId="124" xfId="139" applyNumberFormat="1" applyFont="1" applyFill="1" applyBorder="1" applyAlignment="1">
      <alignment horizontal="center"/>
    </xf>
    <xf numFmtId="3" fontId="52" fillId="0" borderId="0" xfId="139" applyNumberFormat="1" applyFont="1" applyFill="1" applyBorder="1" applyAlignment="1">
      <alignment horizontal="center" vertical="center"/>
    </xf>
    <xf numFmtId="3" fontId="52" fillId="0" borderId="205" xfId="0" applyNumberFormat="1" applyFont="1" applyFill="1" applyBorder="1" applyAlignment="1">
      <alignment horizontal="center" vertical="center" wrapText="1"/>
    </xf>
    <xf numFmtId="3" fontId="52" fillId="0" borderId="8" xfId="0" applyNumberFormat="1" applyFont="1" applyFill="1" applyBorder="1" applyAlignment="1">
      <alignment horizontal="center" vertical="center" wrapText="1"/>
    </xf>
    <xf numFmtId="9" fontId="0" fillId="0" borderId="0" xfId="0" applyNumberFormat="1"/>
    <xf numFmtId="0" fontId="3" fillId="0" borderId="0" xfId="0" applyFont="1" applyBorder="1"/>
    <xf numFmtId="0" fontId="38" fillId="0" borderId="169" xfId="0" applyFont="1" applyBorder="1"/>
    <xf numFmtId="0" fontId="38" fillId="0" borderId="171" xfId="0" applyFont="1" applyBorder="1"/>
    <xf numFmtId="0" fontId="56" fillId="0" borderId="123" xfId="0" applyFont="1" applyFill="1" applyBorder="1" applyAlignment="1">
      <alignment horizontal="center" vertical="center" wrapText="1"/>
    </xf>
    <xf numFmtId="0" fontId="50" fillId="0" borderId="3" xfId="0" applyFont="1" applyBorder="1" applyAlignment="1">
      <alignment horizontal="center" vertical="center" wrapText="1"/>
    </xf>
    <xf numFmtId="0" fontId="50" fillId="0" borderId="32" xfId="0" applyFont="1" applyBorder="1" applyAlignment="1">
      <alignment horizontal="center" vertical="center" wrapText="1"/>
    </xf>
    <xf numFmtId="0" fontId="50" fillId="0" borderId="32" xfId="0" applyFont="1" applyBorder="1" applyAlignment="1">
      <alignment horizontal="center" vertical="center"/>
    </xf>
    <xf numFmtId="0" fontId="4" fillId="0" borderId="0" xfId="0" applyFont="1" applyFill="1" applyBorder="1" applyAlignment="1">
      <alignment horizontal="center" vertical="center" wrapText="1"/>
    </xf>
    <xf numFmtId="167" fontId="7" fillId="0" borderId="1" xfId="0" applyNumberFormat="1" applyFont="1" applyFill="1" applyBorder="1" applyAlignment="1">
      <alignment horizontal="center"/>
    </xf>
    <xf numFmtId="167" fontId="7" fillId="0" borderId="0" xfId="0" applyNumberFormat="1" applyFont="1" applyBorder="1" applyAlignment="1">
      <alignment horizontal="center" vertical="center" wrapText="1"/>
    </xf>
    <xf numFmtId="167" fontId="7" fillId="0" borderId="123" xfId="0" applyNumberFormat="1" applyFont="1" applyFill="1" applyBorder="1" applyAlignment="1">
      <alignment horizontal="center" vertical="center" wrapText="1"/>
    </xf>
    <xf numFmtId="3" fontId="52" fillId="0" borderId="3" xfId="0" applyNumberFormat="1" applyFont="1" applyBorder="1" applyAlignment="1">
      <alignment horizontal="center"/>
    </xf>
    <xf numFmtId="3" fontId="50" fillId="0" borderId="32" xfId="0" applyNumberFormat="1" applyFont="1" applyBorder="1" applyAlignment="1">
      <alignment horizontal="center" vertical="center" wrapText="1"/>
    </xf>
    <xf numFmtId="3" fontId="50" fillId="0" borderId="42" xfId="0" applyNumberFormat="1" applyFont="1" applyBorder="1" applyAlignment="1">
      <alignment horizontal="center" vertical="center" wrapText="1"/>
    </xf>
    <xf numFmtId="3" fontId="50" fillId="0" borderId="2" xfId="0" applyNumberFormat="1" applyFont="1" applyBorder="1" applyAlignment="1">
      <alignment horizontal="center" vertical="center" wrapText="1"/>
    </xf>
    <xf numFmtId="3" fontId="50" fillId="0" borderId="2" xfId="0" applyNumberFormat="1" applyFont="1" applyBorder="1" applyAlignment="1">
      <alignment horizontal="center"/>
    </xf>
    <xf numFmtId="3" fontId="52" fillId="0" borderId="120" xfId="0" applyNumberFormat="1" applyFont="1" applyBorder="1" applyAlignment="1">
      <alignment horizontal="center"/>
    </xf>
    <xf numFmtId="3" fontId="50" fillId="0" borderId="121" xfId="0" applyNumberFormat="1" applyFont="1" applyBorder="1" applyAlignment="1">
      <alignment horizontal="center"/>
    </xf>
    <xf numFmtId="3" fontId="50" fillId="0" borderId="159" xfId="0" applyNumberFormat="1" applyFont="1" applyBorder="1" applyAlignment="1">
      <alignment horizontal="center"/>
    </xf>
    <xf numFmtId="3" fontId="56" fillId="0" borderId="1" xfId="0" applyNumberFormat="1" applyFont="1" applyBorder="1" applyAlignment="1">
      <alignment horizontal="center" vertical="center" wrapText="1"/>
    </xf>
    <xf numFmtId="3" fontId="52" fillId="0" borderId="121" xfId="0" applyNumberFormat="1" applyFont="1" applyBorder="1" applyAlignment="1">
      <alignment horizontal="center"/>
    </xf>
    <xf numFmtId="0" fontId="60" fillId="0" borderId="205" xfId="0" applyFont="1" applyBorder="1" applyAlignment="1">
      <alignment horizontal="center"/>
    </xf>
    <xf numFmtId="3" fontId="52" fillId="0" borderId="39" xfId="0" applyNumberFormat="1" applyFont="1" applyBorder="1" applyAlignment="1">
      <alignment horizontal="center"/>
    </xf>
    <xf numFmtId="3" fontId="52" fillId="0" borderId="205" xfId="0" applyNumberFormat="1" applyFont="1" applyBorder="1" applyAlignment="1">
      <alignment horizontal="center"/>
    </xf>
    <xf numFmtId="3" fontId="50" fillId="0" borderId="205" xfId="0" applyNumberFormat="1" applyFont="1" applyBorder="1" applyAlignment="1">
      <alignment horizontal="center" vertical="center" wrapText="1"/>
    </xf>
    <xf numFmtId="0" fontId="50" fillId="0" borderId="123" xfId="0" applyFont="1" applyFill="1" applyBorder="1"/>
    <xf numFmtId="3" fontId="52" fillId="0" borderId="51" xfId="0" applyNumberFormat="1" applyFont="1" applyBorder="1" applyAlignment="1">
      <alignment horizontal="center"/>
    </xf>
    <xf numFmtId="0" fontId="50" fillId="0" borderId="168" xfId="0" applyFont="1" applyBorder="1"/>
    <xf numFmtId="3" fontId="52" fillId="0" borderId="170" xfId="0" applyNumberFormat="1" applyFont="1" applyBorder="1" applyAlignment="1">
      <alignment horizontal="center"/>
    </xf>
    <xf numFmtId="3" fontId="50" fillId="0" borderId="169" xfId="0" applyNumberFormat="1" applyFont="1" applyBorder="1" applyAlignment="1">
      <alignment horizontal="center"/>
    </xf>
    <xf numFmtId="3" fontId="50" fillId="0" borderId="149" xfId="0" applyNumberFormat="1" applyFont="1" applyBorder="1" applyAlignment="1">
      <alignment horizontal="center"/>
    </xf>
    <xf numFmtId="3" fontId="52" fillId="0" borderId="169" xfId="0" applyNumberFormat="1" applyFont="1" applyBorder="1" applyAlignment="1">
      <alignment horizontal="center"/>
    </xf>
    <xf numFmtId="3" fontId="52" fillId="0" borderId="171" xfId="0" applyNumberFormat="1" applyFont="1" applyBorder="1" applyAlignment="1">
      <alignment horizontal="center"/>
    </xf>
    <xf numFmtId="0" fontId="50" fillId="0" borderId="52" xfId="0" applyFont="1" applyBorder="1"/>
    <xf numFmtId="3" fontId="52" fillId="0" borderId="38" xfId="0" applyNumberFormat="1" applyFont="1" applyBorder="1" applyAlignment="1">
      <alignment horizontal="center"/>
    </xf>
    <xf numFmtId="3" fontId="52" fillId="0" borderId="52" xfId="0" applyNumberFormat="1" applyFont="1" applyBorder="1" applyAlignment="1">
      <alignment horizontal="center"/>
    </xf>
    <xf numFmtId="3" fontId="52" fillId="0" borderId="168" xfId="0" applyNumberFormat="1" applyFont="1" applyBorder="1" applyAlignment="1">
      <alignment horizontal="center"/>
    </xf>
    <xf numFmtId="0" fontId="47" fillId="0" borderId="32" xfId="0" applyFont="1" applyBorder="1" applyAlignment="1">
      <alignment horizontal="center" vertical="center" wrapText="1"/>
    </xf>
    <xf numFmtId="0" fontId="47" fillId="0" borderId="39" xfId="0" applyFont="1" applyBorder="1" applyAlignment="1">
      <alignment horizontal="center" vertical="center" wrapText="1"/>
    </xf>
    <xf numFmtId="0" fontId="52" fillId="0" borderId="51" xfId="0" applyFont="1" applyBorder="1" applyAlignment="1">
      <alignment horizontal="center" vertical="center" wrapText="1"/>
    </xf>
    <xf numFmtId="3" fontId="7" fillId="0" borderId="59" xfId="3" applyNumberFormat="1" applyFont="1" applyBorder="1" applyAlignment="1">
      <alignment horizontal="center"/>
    </xf>
    <xf numFmtId="3" fontId="7" fillId="0" borderId="0" xfId="3" applyNumberFormat="1" applyFont="1" applyBorder="1" applyAlignment="1">
      <alignment horizontal="center"/>
    </xf>
    <xf numFmtId="3" fontId="7" fillId="0" borderId="90" xfId="3" applyNumberFormat="1" applyFont="1" applyBorder="1" applyAlignment="1">
      <alignment horizontal="center"/>
    </xf>
    <xf numFmtId="1" fontId="7" fillId="0" borderId="0" xfId="3" applyNumberFormat="1" applyFont="1" applyBorder="1" applyAlignment="1">
      <alignment horizontal="center"/>
    </xf>
    <xf numFmtId="1" fontId="7" fillId="0" borderId="90" xfId="3" applyNumberFormat="1" applyFont="1" applyBorder="1" applyAlignment="1">
      <alignment horizontal="center"/>
    </xf>
    <xf numFmtId="0" fontId="7" fillId="0" borderId="59" xfId="3" applyFont="1" applyBorder="1" applyAlignment="1">
      <alignment horizontal="center"/>
    </xf>
    <xf numFmtId="0" fontId="7" fillId="0" borderId="0" xfId="3" applyFont="1" applyBorder="1" applyAlignment="1">
      <alignment horizontal="center"/>
    </xf>
    <xf numFmtId="0" fontId="7" fillId="0" borderId="90" xfId="3" applyFont="1" applyBorder="1" applyAlignment="1">
      <alignment horizontal="center"/>
    </xf>
    <xf numFmtId="0" fontId="65" fillId="0" borderId="220" xfId="3" applyFont="1" applyBorder="1" applyAlignment="1">
      <alignment horizontal="center" vertical="center" wrapText="1"/>
    </xf>
    <xf numFmtId="0" fontId="88" fillId="0" borderId="221" xfId="3" applyFont="1" applyBorder="1" applyAlignment="1">
      <alignment horizontal="center" vertical="center" wrapText="1"/>
    </xf>
    <xf numFmtId="0" fontId="65" fillId="0" borderId="221" xfId="3" applyFont="1" applyBorder="1" applyAlignment="1">
      <alignment horizontal="center" vertical="center" wrapText="1"/>
    </xf>
    <xf numFmtId="0" fontId="65" fillId="0" borderId="222" xfId="3" applyFont="1" applyBorder="1" applyAlignment="1">
      <alignment horizontal="center" vertical="center" wrapText="1"/>
    </xf>
    <xf numFmtId="0" fontId="56" fillId="0" borderId="228" xfId="0" applyFont="1" applyBorder="1" applyAlignment="1">
      <alignment vertical="center" wrapText="1"/>
    </xf>
    <xf numFmtId="0" fontId="58" fillId="0" borderId="229" xfId="0" applyFont="1" applyBorder="1" applyAlignment="1">
      <alignment horizontal="center" vertical="center" wrapText="1"/>
    </xf>
    <xf numFmtId="0" fontId="52" fillId="0" borderId="229" xfId="0" applyFont="1" applyBorder="1" applyAlignment="1">
      <alignment horizontal="center"/>
    </xf>
    <xf numFmtId="0" fontId="52" fillId="0" borderId="231" xfId="0" applyFont="1" applyBorder="1" applyAlignment="1">
      <alignment horizontal="center"/>
    </xf>
    <xf numFmtId="0" fontId="52" fillId="0" borderId="205" xfId="0" applyFont="1" applyBorder="1"/>
    <xf numFmtId="0" fontId="60" fillId="0" borderId="171" xfId="0" applyFont="1" applyBorder="1" applyAlignment="1">
      <alignment horizontal="center"/>
    </xf>
    <xf numFmtId="0" fontId="50" fillId="0" borderId="39" xfId="0" applyFont="1" applyBorder="1" applyAlignment="1">
      <alignment horizontal="center" vertical="center" wrapText="1"/>
    </xf>
    <xf numFmtId="0" fontId="58" fillId="0" borderId="232" xfId="0" applyFont="1" applyBorder="1" applyAlignment="1">
      <alignment horizontal="center" vertical="center" wrapText="1"/>
    </xf>
    <xf numFmtId="0" fontId="52" fillId="0" borderId="38" xfId="0" applyFont="1" applyBorder="1"/>
    <xf numFmtId="9" fontId="52" fillId="0" borderId="205" xfId="0" applyNumberFormat="1" applyFont="1" applyBorder="1" applyAlignment="1">
      <alignment horizontal="center"/>
    </xf>
    <xf numFmtId="0" fontId="64" fillId="0" borderId="123" xfId="0" applyFont="1" applyBorder="1" applyAlignment="1">
      <alignment horizontal="center" vertical="center" wrapText="1"/>
    </xf>
    <xf numFmtId="0" fontId="99" fillId="0" borderId="168" xfId="0" applyFont="1" applyBorder="1"/>
    <xf numFmtId="9" fontId="56" fillId="0" borderId="168" xfId="1" applyFont="1" applyBorder="1" applyAlignment="1">
      <alignment horizontal="center"/>
    </xf>
    <xf numFmtId="9" fontId="56" fillId="0" borderId="170" xfId="1" applyFont="1" applyBorder="1" applyAlignment="1">
      <alignment horizontal="center" vertical="center" wrapText="1"/>
    </xf>
    <xf numFmtId="9" fontId="52" fillId="0" borderId="169" xfId="1" applyFont="1" applyBorder="1" applyAlignment="1">
      <alignment horizontal="center" vertical="center" wrapText="1"/>
    </xf>
    <xf numFmtId="9" fontId="56" fillId="0" borderId="50" xfId="1" applyFont="1" applyBorder="1" applyAlignment="1">
      <alignment horizontal="center" vertical="center" wrapText="1"/>
    </xf>
    <xf numFmtId="9" fontId="52" fillId="0" borderId="170" xfId="1" applyFont="1" applyBorder="1" applyAlignment="1">
      <alignment horizontal="center" vertical="center" wrapText="1"/>
    </xf>
    <xf numFmtId="9" fontId="52" fillId="0" borderId="169" xfId="0" applyNumberFormat="1" applyFont="1" applyBorder="1" applyAlignment="1">
      <alignment horizontal="center"/>
    </xf>
    <xf numFmtId="9" fontId="52" fillId="0" borderId="171" xfId="0" applyNumberFormat="1" applyFont="1" applyBorder="1" applyAlignment="1">
      <alignment horizontal="center"/>
    </xf>
    <xf numFmtId="0" fontId="56" fillId="0" borderId="38" xfId="0" applyFont="1" applyFill="1" applyBorder="1" applyAlignment="1">
      <alignment horizontal="center" vertical="center"/>
    </xf>
    <xf numFmtId="0" fontId="52" fillId="0" borderId="39" xfId="0" applyFont="1" applyBorder="1"/>
    <xf numFmtId="171" fontId="52" fillId="0" borderId="205" xfId="1" applyNumberFormat="1" applyFont="1" applyBorder="1" applyAlignment="1">
      <alignment horizontal="center"/>
    </xf>
    <xf numFmtId="0" fontId="52" fillId="0" borderId="168" xfId="0" applyFont="1" applyFill="1" applyBorder="1"/>
    <xf numFmtId="3" fontId="98" fillId="0" borderId="168" xfId="0" applyNumberFormat="1" applyFont="1" applyFill="1" applyBorder="1" applyAlignment="1">
      <alignment horizontal="center" vertical="center" wrapText="1"/>
    </xf>
    <xf numFmtId="3" fontId="65" fillId="0" borderId="169" xfId="139" applyNumberFormat="1" applyFont="1" applyFill="1" applyBorder="1" applyAlignment="1">
      <alignment horizontal="center"/>
    </xf>
    <xf numFmtId="3" fontId="52" fillId="0" borderId="169" xfId="0" applyNumberFormat="1" applyFont="1" applyFill="1" applyBorder="1" applyAlignment="1">
      <alignment horizontal="center" vertical="center" wrapText="1"/>
    </xf>
    <xf numFmtId="3" fontId="52" fillId="0" borderId="169" xfId="0" applyNumberFormat="1" applyFont="1" applyFill="1" applyBorder="1" applyAlignment="1">
      <alignment horizontal="center"/>
    </xf>
    <xf numFmtId="3" fontId="52" fillId="0" borderId="171" xfId="0" applyNumberFormat="1" applyFont="1" applyFill="1" applyBorder="1" applyAlignment="1">
      <alignment horizontal="center"/>
    </xf>
    <xf numFmtId="171" fontId="52" fillId="0" borderId="168" xfId="1" applyNumberFormat="1" applyFont="1" applyFill="1" applyBorder="1" applyAlignment="1">
      <alignment horizontal="center"/>
    </xf>
    <xf numFmtId="171" fontId="56" fillId="0" borderId="169" xfId="1" applyNumberFormat="1" applyFont="1" applyFill="1" applyBorder="1" applyAlignment="1">
      <alignment horizontal="center"/>
    </xf>
    <xf numFmtId="171" fontId="52" fillId="0" borderId="169" xfId="1" applyNumberFormat="1" applyFont="1" applyFill="1" applyBorder="1" applyAlignment="1">
      <alignment horizontal="center"/>
    </xf>
    <xf numFmtId="171" fontId="52" fillId="0" borderId="170" xfId="1" applyNumberFormat="1" applyFont="1" applyFill="1" applyBorder="1" applyAlignment="1">
      <alignment horizontal="center"/>
    </xf>
    <xf numFmtId="171" fontId="52" fillId="0" borderId="149" xfId="0" applyNumberFormat="1" applyFont="1" applyBorder="1" applyAlignment="1">
      <alignment horizontal="center"/>
    </xf>
    <xf numFmtId="171" fontId="52" fillId="0" borderId="169" xfId="0" applyNumberFormat="1" applyFont="1" applyBorder="1" applyAlignment="1">
      <alignment horizontal="center"/>
    </xf>
    <xf numFmtId="171" fontId="52" fillId="0" borderId="171" xfId="1" applyNumberFormat="1" applyFont="1" applyBorder="1" applyAlignment="1">
      <alignment horizontal="center"/>
    </xf>
    <xf numFmtId="171" fontId="52" fillId="0" borderId="205" xfId="1" applyNumberFormat="1" applyFont="1" applyFill="1" applyBorder="1" applyAlignment="1">
      <alignment horizontal="center"/>
    </xf>
    <xf numFmtId="171" fontId="140" fillId="0" borderId="123" xfId="591" applyNumberFormat="1" applyFont="1" applyBorder="1" applyAlignment="1">
      <alignment horizontal="center"/>
    </xf>
    <xf numFmtId="171" fontId="140" fillId="0" borderId="0" xfId="591" applyNumberFormat="1" applyFont="1" applyBorder="1" applyAlignment="1">
      <alignment horizontal="center"/>
    </xf>
    <xf numFmtId="171" fontId="140" fillId="0" borderId="20" xfId="591" applyNumberFormat="1" applyFont="1" applyBorder="1" applyAlignment="1">
      <alignment horizontal="center"/>
    </xf>
    <xf numFmtId="171" fontId="140" fillId="0" borderId="10" xfId="591" applyNumberFormat="1" applyFont="1" applyBorder="1" applyAlignment="1">
      <alignment horizontal="center"/>
    </xf>
    <xf numFmtId="0" fontId="140" fillId="0" borderId="203" xfId="1105" applyFont="1" applyBorder="1"/>
    <xf numFmtId="0" fontId="38" fillId="0" borderId="204" xfId="0" applyFont="1" applyBorder="1"/>
    <xf numFmtId="9" fontId="2" fillId="0" borderId="1" xfId="1" applyFont="1" applyBorder="1" applyAlignment="1">
      <alignment horizontal="center" vertical="center"/>
    </xf>
    <xf numFmtId="9" fontId="56" fillId="0" borderId="11" xfId="1" applyNumberFormat="1" applyFont="1" applyBorder="1" applyAlignment="1">
      <alignment horizontal="center" vertical="center"/>
    </xf>
    <xf numFmtId="0" fontId="50" fillId="0" borderId="32" xfId="0" applyFont="1" applyBorder="1" applyAlignment="1">
      <alignment horizontal="center" vertical="center" wrapText="1"/>
    </xf>
    <xf numFmtId="0" fontId="26" fillId="0" borderId="32" xfId="0" applyFont="1" applyBorder="1" applyAlignment="1">
      <alignment horizontal="center" vertical="center" wrapText="1"/>
    </xf>
    <xf numFmtId="0" fontId="56" fillId="0" borderId="0" xfId="0" applyFont="1" applyBorder="1" applyAlignment="1">
      <alignment horizontal="center" vertical="center" wrapText="1"/>
    </xf>
    <xf numFmtId="0" fontId="56" fillId="0" borderId="233" xfId="0" applyFont="1" applyBorder="1" applyAlignment="1">
      <alignment horizontal="center" vertical="center" wrapText="1"/>
    </xf>
    <xf numFmtId="0" fontId="1" fillId="0" borderId="0" xfId="1222"/>
    <xf numFmtId="9" fontId="56" fillId="0" borderId="171" xfId="1223" applyFont="1" applyBorder="1" applyAlignment="1">
      <alignment horizontal="center"/>
    </xf>
    <xf numFmtId="1" fontId="2" fillId="0" borderId="149" xfId="1224" applyNumberFormat="1" applyFont="1" applyBorder="1" applyAlignment="1">
      <alignment horizontal="center"/>
    </xf>
    <xf numFmtId="1" fontId="2" fillId="0" borderId="169" xfId="1224" applyNumberFormat="1" applyFont="1" applyBorder="1" applyAlignment="1">
      <alignment horizontal="center"/>
    </xf>
    <xf numFmtId="9" fontId="56" fillId="0" borderId="170" xfId="1223" applyFont="1" applyBorder="1" applyAlignment="1">
      <alignment horizontal="center"/>
    </xf>
    <xf numFmtId="9" fontId="56" fillId="0" borderId="169" xfId="1223" applyFont="1" applyBorder="1" applyAlignment="1">
      <alignment horizontal="center"/>
    </xf>
    <xf numFmtId="170" fontId="56" fillId="0" borderId="168" xfId="1225" applyNumberFormat="1" applyFont="1" applyBorder="1"/>
    <xf numFmtId="9" fontId="56" fillId="0" borderId="205" xfId="1223" applyFont="1" applyBorder="1" applyAlignment="1">
      <alignment horizontal="center"/>
    </xf>
    <xf numFmtId="1" fontId="2" fillId="0" borderId="2" xfId="1224" applyNumberFormat="1" applyFont="1" applyBorder="1" applyAlignment="1">
      <alignment horizontal="center"/>
    </xf>
    <xf numFmtId="9" fontId="56" fillId="0" borderId="1" xfId="1223" applyFont="1" applyBorder="1" applyAlignment="1">
      <alignment horizontal="center"/>
    </xf>
    <xf numFmtId="9" fontId="56" fillId="0" borderId="0" xfId="1223" applyFont="1" applyAlignment="1">
      <alignment horizontal="center"/>
    </xf>
    <xf numFmtId="170" fontId="56" fillId="0" borderId="123" xfId="1225" applyNumberFormat="1" applyFont="1" applyBorder="1"/>
    <xf numFmtId="1" fontId="2" fillId="0" borderId="2" xfId="1225" applyNumberFormat="1" applyFont="1" applyBorder="1" applyAlignment="1">
      <alignment horizontal="center"/>
    </xf>
    <xf numFmtId="0" fontId="56" fillId="0" borderId="205" xfId="1224" applyFont="1" applyBorder="1" applyAlignment="1">
      <alignment horizontal="center"/>
    </xf>
    <xf numFmtId="0" fontId="2" fillId="0" borderId="42" xfId="1224" applyFont="1" applyBorder="1" applyAlignment="1">
      <alignment horizontal="center"/>
    </xf>
    <xf numFmtId="0" fontId="2" fillId="0" borderId="32" xfId="1224" applyFont="1" applyBorder="1" applyAlignment="1">
      <alignment horizontal="center"/>
    </xf>
    <xf numFmtId="0" fontId="56" fillId="0" borderId="3" xfId="1224" applyFont="1" applyBorder="1" applyAlignment="1">
      <alignment horizontal="center"/>
    </xf>
    <xf numFmtId="0" fontId="56" fillId="0" borderId="32" xfId="1224" applyFont="1" applyBorder="1" applyAlignment="1">
      <alignment horizontal="center"/>
    </xf>
    <xf numFmtId="170" fontId="56" fillId="0" borderId="38" xfId="1225" applyNumberFormat="1" applyFont="1" applyBorder="1"/>
    <xf numFmtId="0" fontId="2" fillId="0" borderId="232" xfId="1224" applyFont="1" applyBorder="1"/>
    <xf numFmtId="170" fontId="2" fillId="0" borderId="233" xfId="1225" applyNumberFormat="1" applyFont="1" applyBorder="1"/>
    <xf numFmtId="0" fontId="53" fillId="0" borderId="205" xfId="341" applyBorder="1" applyAlignment="1">
      <alignment horizontal="center" vertical="center"/>
    </xf>
    <xf numFmtId="0" fontId="136" fillId="0" borderId="123" xfId="1222" applyFont="1" applyBorder="1" applyAlignment="1">
      <alignment horizontal="center"/>
    </xf>
    <xf numFmtId="0" fontId="2" fillId="0" borderId="0" xfId="1224" applyFont="1"/>
    <xf numFmtId="0" fontId="56" fillId="0" borderId="0" xfId="1224" applyFont="1"/>
    <xf numFmtId="0" fontId="3" fillId="0" borderId="0" xfId="1224" applyFont="1"/>
    <xf numFmtId="0" fontId="56" fillId="0" borderId="205" xfId="1224" applyFont="1" applyBorder="1"/>
    <xf numFmtId="0" fontId="56" fillId="0" borderId="123" xfId="1224" applyFont="1" applyBorder="1"/>
    <xf numFmtId="9" fontId="56" fillId="0" borderId="205" xfId="1226" applyFont="1" applyBorder="1" applyAlignment="1">
      <alignment horizontal="center" vertical="center"/>
    </xf>
    <xf numFmtId="9" fontId="56" fillId="0" borderId="0" xfId="1226" applyFont="1" applyAlignment="1">
      <alignment horizontal="center" vertical="center" wrapText="1"/>
    </xf>
    <xf numFmtId="9" fontId="56" fillId="0" borderId="0" xfId="1226" applyFont="1" applyAlignment="1">
      <alignment horizontal="center" vertical="center"/>
    </xf>
    <xf numFmtId="3" fontId="56" fillId="0" borderId="0" xfId="1224" applyNumberFormat="1" applyFont="1" applyAlignment="1">
      <alignment horizontal="center" vertical="center"/>
    </xf>
    <xf numFmtId="0" fontId="56" fillId="0" borderId="123" xfId="1224" applyFont="1" applyBorder="1" applyAlignment="1">
      <alignment horizontal="center" vertical="center" wrapText="1"/>
    </xf>
    <xf numFmtId="1" fontId="2" fillId="0" borderId="171" xfId="1226" applyNumberFormat="1" applyFont="1" applyBorder="1" applyAlignment="1">
      <alignment horizontal="center" vertical="center" wrapText="1"/>
    </xf>
    <xf numFmtId="1" fontId="2" fillId="0" borderId="169" xfId="1226" applyNumberFormat="1" applyFont="1" applyBorder="1" applyAlignment="1">
      <alignment horizontal="center" vertical="center" wrapText="1"/>
    </xf>
    <xf numFmtId="3" fontId="2" fillId="0" borderId="149" xfId="1224" applyNumberFormat="1" applyFont="1" applyBorder="1" applyAlignment="1">
      <alignment horizontal="center"/>
    </xf>
    <xf numFmtId="3" fontId="56" fillId="0" borderId="169" xfId="1224" applyNumberFormat="1" applyFont="1" applyBorder="1" applyAlignment="1">
      <alignment horizontal="center" vertical="center"/>
    </xf>
    <xf numFmtId="3" fontId="56" fillId="0" borderId="149" xfId="1224" applyNumberFormat="1" applyFont="1" applyBorder="1" applyAlignment="1">
      <alignment horizontal="center" vertical="center"/>
    </xf>
    <xf numFmtId="0" fontId="56" fillId="0" borderId="168" xfId="1224" applyFont="1" applyBorder="1" applyAlignment="1">
      <alignment horizontal="center" vertical="center" wrapText="1"/>
    </xf>
    <xf numFmtId="0" fontId="75" fillId="0" borderId="0" xfId="592" applyFont="1"/>
    <xf numFmtId="1" fontId="2" fillId="0" borderId="232" xfId="1226" applyNumberFormat="1" applyFont="1" applyBorder="1" applyAlignment="1">
      <alignment horizontal="center" vertical="center" wrapText="1"/>
    </xf>
    <xf numFmtId="1" fontId="2" fillId="0" borderId="229" xfId="1226" applyNumberFormat="1" applyFont="1" applyBorder="1" applyAlignment="1">
      <alignment horizontal="center" vertical="center" wrapText="1"/>
    </xf>
    <xf numFmtId="9" fontId="56" fillId="0" borderId="229" xfId="1223" applyFont="1" applyBorder="1" applyAlignment="1">
      <alignment horizontal="center"/>
    </xf>
    <xf numFmtId="3" fontId="2" fillId="0" borderId="159" xfId="1224" applyNumberFormat="1" applyFont="1" applyBorder="1" applyAlignment="1">
      <alignment horizontal="center"/>
    </xf>
    <xf numFmtId="3" fontId="56" fillId="0" borderId="229" xfId="1224" applyNumberFormat="1" applyFont="1" applyBorder="1" applyAlignment="1">
      <alignment horizontal="center" vertical="center"/>
    </xf>
    <xf numFmtId="3" fontId="56" fillId="0" borderId="159" xfId="1224" applyNumberFormat="1" applyFont="1" applyBorder="1" applyAlignment="1">
      <alignment horizontal="center" vertical="center"/>
    </xf>
    <xf numFmtId="0" fontId="56" fillId="0" borderId="233" xfId="1224" applyFont="1" applyBorder="1" applyAlignment="1">
      <alignment horizontal="center" vertical="center" wrapText="1"/>
    </xf>
    <xf numFmtId="169" fontId="2" fillId="0" borderId="0" xfId="1224" applyNumberFormat="1" applyFont="1"/>
    <xf numFmtId="1" fontId="2" fillId="0" borderId="205" xfId="1226" applyNumberFormat="1" applyFont="1" applyBorder="1" applyAlignment="1">
      <alignment horizontal="center" vertical="center" wrapText="1"/>
    </xf>
    <xf numFmtId="1" fontId="2" fillId="0" borderId="0" xfId="1226" applyNumberFormat="1" applyFont="1" applyAlignment="1">
      <alignment horizontal="center" vertical="center" wrapText="1"/>
    </xf>
    <xf numFmtId="3" fontId="2" fillId="0" borderId="2" xfId="1224" applyNumberFormat="1" applyFont="1" applyBorder="1" applyAlignment="1">
      <alignment horizontal="center"/>
    </xf>
    <xf numFmtId="3" fontId="2" fillId="0" borderId="0" xfId="1224" applyNumberFormat="1" applyFont="1" applyAlignment="1">
      <alignment horizontal="center"/>
    </xf>
    <xf numFmtId="1" fontId="2" fillId="0" borderId="2" xfId="1224" applyNumberFormat="1" applyFont="1" applyBorder="1" applyAlignment="1">
      <alignment horizontal="center" vertical="center" wrapText="1"/>
    </xf>
    <xf numFmtId="0" fontId="2" fillId="0" borderId="123" xfId="1224" applyFont="1" applyBorder="1"/>
    <xf numFmtId="169" fontId="2" fillId="0" borderId="0" xfId="1224" applyNumberFormat="1" applyFont="1" applyAlignment="1">
      <alignment horizontal="center"/>
    </xf>
    <xf numFmtId="0" fontId="99" fillId="0" borderId="123" xfId="1224" applyFont="1" applyBorder="1"/>
    <xf numFmtId="0" fontId="75" fillId="0" borderId="0" xfId="592" applyFont="1" applyAlignment="1">
      <alignment vertical="center"/>
    </xf>
    <xf numFmtId="1" fontId="63" fillId="0" borderId="2" xfId="1224" applyNumberFormat="1" applyFont="1" applyBorder="1" applyAlignment="1">
      <alignment horizontal="center" vertical="center" wrapText="1"/>
    </xf>
    <xf numFmtId="9" fontId="63" fillId="0" borderId="0" xfId="1224" applyNumberFormat="1" applyFont="1"/>
    <xf numFmtId="0" fontId="7" fillId="0" borderId="123" xfId="1224" applyFont="1" applyBorder="1"/>
    <xf numFmtId="3" fontId="56" fillId="0" borderId="205" xfId="1224" applyNumberFormat="1" applyFont="1" applyBorder="1" applyAlignment="1">
      <alignment horizontal="center" vertical="center"/>
    </xf>
    <xf numFmtId="9" fontId="56" fillId="0" borderId="0" xfId="1223" applyFont="1" applyAlignment="1">
      <alignment horizontal="center" vertical="center"/>
    </xf>
    <xf numFmtId="3" fontId="56" fillId="0" borderId="2" xfId="1224" applyNumberFormat="1" applyFont="1" applyBorder="1" applyAlignment="1">
      <alignment horizontal="center" vertical="center"/>
    </xf>
    <xf numFmtId="9" fontId="56" fillId="0" borderId="1" xfId="1223" applyFont="1" applyBorder="1" applyAlignment="1">
      <alignment horizontal="center" vertical="center"/>
    </xf>
    <xf numFmtId="0" fontId="63" fillId="0" borderId="0" xfId="1224" applyFont="1"/>
    <xf numFmtId="1" fontId="2" fillId="0" borderId="0" xfId="1224" applyNumberFormat="1" applyFont="1" applyAlignment="1">
      <alignment horizontal="center" vertical="center" wrapText="1"/>
    </xf>
    <xf numFmtId="170" fontId="2" fillId="0" borderId="0" xfId="1225" applyNumberFormat="1" applyFont="1"/>
    <xf numFmtId="3" fontId="56" fillId="0" borderId="39" xfId="1224" applyNumberFormat="1" applyFont="1" applyBorder="1" applyAlignment="1">
      <alignment horizontal="center" vertical="center" wrapText="1"/>
    </xf>
    <xf numFmtId="3" fontId="56" fillId="0" borderId="32" xfId="1224" applyNumberFormat="1" applyFont="1" applyBorder="1" applyAlignment="1">
      <alignment horizontal="center" vertical="center" wrapText="1"/>
    </xf>
    <xf numFmtId="3" fontId="56" fillId="0" borderId="42" xfId="1224" applyNumberFormat="1" applyFont="1" applyBorder="1" applyAlignment="1">
      <alignment horizontal="center" vertical="center" wrapText="1"/>
    </xf>
    <xf numFmtId="0" fontId="56" fillId="0" borderId="38" xfId="1224" applyFont="1" applyBorder="1" applyAlignment="1">
      <alignment horizontal="center" vertical="center"/>
    </xf>
    <xf numFmtId="0" fontId="58" fillId="0" borderId="205" xfId="1224" applyFont="1" applyBorder="1" applyAlignment="1">
      <alignment horizontal="center" vertical="center" wrapText="1"/>
    </xf>
    <xf numFmtId="0" fontId="58" fillId="0" borderId="0" xfId="1224" applyFont="1" applyAlignment="1">
      <alignment horizontal="center" vertical="center" wrapText="1"/>
    </xf>
    <xf numFmtId="0" fontId="58" fillId="0" borderId="2" xfId="1224" applyFont="1" applyBorder="1" applyAlignment="1">
      <alignment horizontal="center" vertical="center" wrapText="1"/>
    </xf>
    <xf numFmtId="0" fontId="2" fillId="0" borderId="205" xfId="1224" applyFont="1" applyBorder="1" applyAlignment="1">
      <alignment horizontal="center" vertical="center" wrapText="1"/>
    </xf>
    <xf numFmtId="0" fontId="2" fillId="0" borderId="0" xfId="1224" applyFont="1" applyAlignment="1">
      <alignment horizontal="center" vertical="center" wrapText="1"/>
    </xf>
    <xf numFmtId="0" fontId="2" fillId="0" borderId="42" xfId="1224" applyFont="1" applyBorder="1" applyAlignment="1">
      <alignment horizontal="center" vertical="center" wrapText="1"/>
    </xf>
    <xf numFmtId="0" fontId="2" fillId="0" borderId="2" xfId="1224" applyFont="1" applyBorder="1" applyAlignment="1">
      <alignment horizontal="center" vertical="center" wrapText="1"/>
    </xf>
    <xf numFmtId="0" fontId="2" fillId="0" borderId="203" xfId="1224" applyFont="1" applyBorder="1"/>
    <xf numFmtId="0" fontId="60" fillId="0" borderId="205" xfId="1224" applyFont="1" applyBorder="1" applyAlignment="1">
      <alignment horizontal="center"/>
    </xf>
    <xf numFmtId="0" fontId="60" fillId="0" borderId="0" xfId="1224" applyFont="1" applyAlignment="1">
      <alignment horizontal="center"/>
    </xf>
    <xf numFmtId="0" fontId="2" fillId="0" borderId="205" xfId="1224" applyFont="1" applyBorder="1"/>
    <xf numFmtId="0" fontId="57" fillId="0" borderId="0" xfId="1224" applyFont="1" applyAlignment="1">
      <alignment horizontal="center" vertical="center"/>
    </xf>
    <xf numFmtId="0" fontId="57" fillId="0" borderId="123" xfId="1224" applyFont="1" applyBorder="1" applyAlignment="1">
      <alignment horizontal="center" vertical="center"/>
    </xf>
    <xf numFmtId="0" fontId="1" fillId="0" borderId="0" xfId="1222" applyBorder="1"/>
    <xf numFmtId="0" fontId="53" fillId="0" borderId="0" xfId="341" applyBorder="1" applyAlignment="1">
      <alignment horizontal="center" vertical="center"/>
    </xf>
    <xf numFmtId="9" fontId="56" fillId="0" borderId="0" xfId="1223" applyFont="1" applyBorder="1" applyAlignment="1">
      <alignment horizontal="center"/>
    </xf>
    <xf numFmtId="1" fontId="2" fillId="0" borderId="0" xfId="1225" applyNumberFormat="1" applyFont="1" applyBorder="1" applyAlignment="1">
      <alignment horizontal="center"/>
    </xf>
    <xf numFmtId="1" fontId="2" fillId="0" borderId="0" xfId="1224" applyNumberFormat="1" applyFont="1" applyBorder="1" applyAlignment="1">
      <alignment horizontal="center"/>
    </xf>
    <xf numFmtId="0" fontId="52" fillId="0" borderId="229" xfId="0" applyFont="1" applyBorder="1" applyAlignment="1">
      <alignment horizontal="center" vertical="center" wrapText="1"/>
    </xf>
    <xf numFmtId="9" fontId="56" fillId="0" borderId="229" xfId="1" applyFont="1" applyBorder="1" applyAlignment="1">
      <alignment horizontal="center" vertical="center"/>
    </xf>
    <xf numFmtId="9" fontId="56" fillId="0" borderId="169" xfId="1" applyFont="1" applyBorder="1" applyAlignment="1">
      <alignment horizontal="center" vertical="center"/>
    </xf>
    <xf numFmtId="0" fontId="2" fillId="0" borderId="229" xfId="0" applyFont="1" applyBorder="1" applyAlignment="1">
      <alignment horizontal="center" vertical="center" wrapText="1"/>
    </xf>
    <xf numFmtId="167" fontId="56" fillId="0" borderId="32" xfId="0" applyNumberFormat="1" applyFont="1" applyBorder="1" applyAlignment="1">
      <alignment horizontal="center" vertical="center" wrapText="1"/>
    </xf>
    <xf numFmtId="0" fontId="57" fillId="0" borderId="234" xfId="0" applyFont="1" applyBorder="1" applyAlignment="1">
      <alignment horizontal="center" vertical="center"/>
    </xf>
    <xf numFmtId="0" fontId="52" fillId="0" borderId="234" xfId="0" applyFont="1" applyBorder="1"/>
    <xf numFmtId="0" fontId="50" fillId="0" borderId="229" xfId="0" applyFont="1" applyBorder="1" applyAlignment="1">
      <alignment horizontal="center" vertical="center" wrapText="1"/>
    </xf>
    <xf numFmtId="0" fontId="2" fillId="0" borderId="232" xfId="0" applyFont="1" applyBorder="1" applyAlignment="1">
      <alignment horizontal="center" vertical="center" wrapText="1"/>
    </xf>
    <xf numFmtId="0" fontId="64" fillId="0" borderId="38" xfId="0" applyFont="1" applyBorder="1" applyAlignment="1">
      <alignment horizontal="center" vertical="center"/>
    </xf>
    <xf numFmtId="167" fontId="56" fillId="0" borderId="39" xfId="0" applyNumberFormat="1" applyFont="1" applyBorder="1" applyAlignment="1">
      <alignment horizontal="center" vertical="center" wrapText="1"/>
    </xf>
    <xf numFmtId="0" fontId="65" fillId="0" borderId="234" xfId="0" applyFont="1" applyBorder="1"/>
    <xf numFmtId="3" fontId="52" fillId="0" borderId="234" xfId="0" applyNumberFormat="1" applyFont="1" applyBorder="1" applyAlignment="1">
      <alignment horizontal="center"/>
    </xf>
    <xf numFmtId="167" fontId="56" fillId="0" borderId="205" xfId="0" applyNumberFormat="1" applyFont="1" applyBorder="1" applyAlignment="1">
      <alignment horizontal="center" vertical="center" wrapText="1"/>
    </xf>
    <xf numFmtId="0" fontId="56" fillId="0" borderId="234" xfId="0" applyFont="1" applyBorder="1" applyAlignment="1">
      <alignment horizontal="center" vertical="center" wrapText="1"/>
    </xf>
    <xf numFmtId="3" fontId="56" fillId="0" borderId="234" xfId="0" applyNumberFormat="1" applyFont="1" applyBorder="1" applyAlignment="1">
      <alignment horizontal="center" vertical="center"/>
    </xf>
    <xf numFmtId="0" fontId="50" fillId="0" borderId="234" xfId="0" applyFont="1" applyBorder="1"/>
    <xf numFmtId="0" fontId="47" fillId="0" borderId="234" xfId="0" applyFont="1" applyBorder="1"/>
    <xf numFmtId="0" fontId="42" fillId="0" borderId="234" xfId="0" applyFont="1" applyBorder="1"/>
    <xf numFmtId="0" fontId="99" fillId="0" borderId="234" xfId="0" applyFont="1" applyBorder="1"/>
    <xf numFmtId="0" fontId="42" fillId="0" borderId="234" xfId="0" applyFont="1" applyFill="1" applyBorder="1"/>
    <xf numFmtId="3" fontId="56" fillId="0" borderId="233" xfId="0" applyNumberFormat="1" applyFont="1" applyBorder="1" applyAlignment="1">
      <alignment horizontal="center" vertical="center"/>
    </xf>
    <xf numFmtId="3" fontId="56" fillId="0" borderId="229" xfId="0" applyNumberFormat="1" applyFont="1" applyBorder="1" applyAlignment="1">
      <alignment horizontal="center" vertical="center"/>
    </xf>
    <xf numFmtId="0" fontId="56" fillId="0" borderId="168" xfId="0" applyFont="1" applyBorder="1" applyAlignment="1">
      <alignment horizontal="center" vertical="center" wrapText="1"/>
    </xf>
    <xf numFmtId="3" fontId="56" fillId="0" borderId="169" xfId="0" applyNumberFormat="1" applyFont="1" applyBorder="1" applyAlignment="1">
      <alignment horizontal="center" vertical="center"/>
    </xf>
    <xf numFmtId="9" fontId="56" fillId="0" borderId="235" xfId="1" applyFont="1" applyBorder="1" applyAlignment="1">
      <alignment horizontal="center" vertical="center"/>
    </xf>
    <xf numFmtId="167" fontId="56" fillId="0" borderId="169" xfId="0" applyNumberFormat="1" applyFont="1" applyBorder="1" applyAlignment="1">
      <alignment horizontal="center" vertical="center" wrapText="1"/>
    </xf>
    <xf numFmtId="167" fontId="56" fillId="0" borderId="171" xfId="0" applyNumberFormat="1" applyFont="1" applyBorder="1" applyAlignment="1">
      <alignment horizontal="center" vertical="center" wrapText="1"/>
    </xf>
    <xf numFmtId="0" fontId="2" fillId="0" borderId="0" xfId="0" applyFont="1" applyBorder="1" applyAlignment="1">
      <alignment horizontal="center" vertical="center" wrapText="1"/>
    </xf>
    <xf numFmtId="0" fontId="60" fillId="0" borderId="229" xfId="0" applyFont="1" applyBorder="1" applyAlignment="1">
      <alignment horizontal="center"/>
    </xf>
    <xf numFmtId="0" fontId="52" fillId="0" borderId="159" xfId="0" applyFont="1" applyBorder="1" applyAlignment="1">
      <alignment horizontal="center" vertical="center" wrapText="1"/>
    </xf>
    <xf numFmtId="9" fontId="52" fillId="0" borderId="2" xfId="1" applyFont="1" applyBorder="1" applyAlignment="1">
      <alignment horizontal="center" vertical="center"/>
    </xf>
    <xf numFmtId="9" fontId="56" fillId="0" borderId="1" xfId="1" applyFont="1" applyBorder="1" applyAlignment="1">
      <alignment horizontal="center"/>
    </xf>
    <xf numFmtId="9" fontId="65" fillId="0" borderId="2" xfId="1" applyFont="1" applyFill="1" applyBorder="1" applyAlignment="1">
      <alignment horizontal="center"/>
    </xf>
    <xf numFmtId="9" fontId="52" fillId="0" borderId="2" xfId="1" applyNumberFormat="1" applyFont="1" applyBorder="1" applyAlignment="1">
      <alignment horizontal="center"/>
    </xf>
    <xf numFmtId="9" fontId="69" fillId="0" borderId="2" xfId="1" applyFont="1" applyBorder="1" applyAlignment="1">
      <alignment horizontal="center" vertical="center"/>
    </xf>
    <xf numFmtId="9" fontId="31" fillId="0" borderId="2" xfId="1" applyFont="1" applyBorder="1" applyAlignment="1">
      <alignment horizontal="center" vertical="center"/>
    </xf>
    <xf numFmtId="9" fontId="56" fillId="0" borderId="228" xfId="1" applyFont="1" applyBorder="1" applyAlignment="1">
      <alignment horizontal="center" vertical="center"/>
    </xf>
    <xf numFmtId="9" fontId="69" fillId="0" borderId="159" xfId="1" applyFont="1" applyBorder="1" applyAlignment="1">
      <alignment horizontal="center" vertical="center"/>
    </xf>
    <xf numFmtId="0" fontId="2" fillId="0" borderId="228" xfId="0" applyFont="1" applyBorder="1" applyAlignment="1">
      <alignment vertical="center" wrapText="1"/>
    </xf>
    <xf numFmtId="0" fontId="2" fillId="0" borderId="159" xfId="0" applyFont="1" applyBorder="1" applyAlignment="1">
      <alignment horizontal="center" vertical="center" wrapText="1"/>
    </xf>
    <xf numFmtId="167" fontId="56" fillId="0" borderId="3" xfId="0" applyNumberFormat="1" applyFont="1" applyBorder="1" applyAlignment="1">
      <alignment horizontal="center" vertical="center" wrapText="1"/>
    </xf>
    <xf numFmtId="167" fontId="56" fillId="0" borderId="42" xfId="0" applyNumberFormat="1" applyFont="1" applyBorder="1" applyAlignment="1">
      <alignment horizontal="center" vertical="center" wrapText="1"/>
    </xf>
    <xf numFmtId="167" fontId="56" fillId="0" borderId="2" xfId="0" applyNumberFormat="1" applyFont="1" applyBorder="1" applyAlignment="1">
      <alignment horizontal="center" vertical="center" wrapText="1"/>
    </xf>
    <xf numFmtId="167" fontId="56" fillId="0" borderId="1" xfId="0" applyNumberFormat="1" applyFont="1" applyFill="1" applyBorder="1" applyAlignment="1">
      <alignment horizontal="center" vertical="center" wrapText="1"/>
    </xf>
    <xf numFmtId="167" fontId="56" fillId="0" borderId="1" xfId="0" applyNumberFormat="1" applyFont="1" applyBorder="1" applyAlignment="1">
      <alignment horizontal="center"/>
    </xf>
    <xf numFmtId="167" fontId="56" fillId="0" borderId="1" xfId="0" applyNumberFormat="1" applyFont="1" applyFill="1" applyBorder="1" applyAlignment="1">
      <alignment horizontal="center"/>
    </xf>
    <xf numFmtId="0" fontId="56" fillId="0" borderId="1" xfId="0" applyFont="1" applyBorder="1" applyAlignment="1">
      <alignment horizontal="center" vertical="center"/>
    </xf>
    <xf numFmtId="167" fontId="56" fillId="0" borderId="1" xfId="0" applyNumberFormat="1" applyFont="1" applyBorder="1" applyAlignment="1">
      <alignment horizontal="center" vertical="center"/>
    </xf>
    <xf numFmtId="1" fontId="56" fillId="0" borderId="152" xfId="1" applyNumberFormat="1" applyFont="1" applyBorder="1" applyAlignment="1">
      <alignment horizontal="center" vertical="center"/>
    </xf>
    <xf numFmtId="167" fontId="56" fillId="0" borderId="14" xfId="0" applyNumberFormat="1" applyFont="1" applyBorder="1" applyAlignment="1">
      <alignment horizontal="center" vertical="center" wrapText="1"/>
    </xf>
    <xf numFmtId="167" fontId="56" fillId="0" borderId="153" xfId="0" applyNumberFormat="1" applyFont="1" applyBorder="1" applyAlignment="1">
      <alignment horizontal="center" vertical="center" wrapText="1"/>
    </xf>
    <xf numFmtId="9" fontId="56" fillId="0" borderId="152" xfId="1" applyFont="1" applyBorder="1" applyAlignment="1">
      <alignment horizontal="center" vertical="center"/>
    </xf>
    <xf numFmtId="9" fontId="56" fillId="0" borderId="14" xfId="1" applyFont="1" applyBorder="1" applyAlignment="1">
      <alignment horizontal="center" vertical="center"/>
    </xf>
    <xf numFmtId="9" fontId="56" fillId="0" borderId="153" xfId="1" applyFont="1" applyBorder="1" applyAlignment="1">
      <alignment horizontal="center" vertical="center"/>
    </xf>
    <xf numFmtId="167" fontId="56" fillId="0" borderId="58" xfId="0" applyNumberFormat="1" applyFont="1" applyBorder="1" applyAlignment="1">
      <alignment horizontal="center" vertical="center" wrapText="1"/>
    </xf>
    <xf numFmtId="9" fontId="56" fillId="0" borderId="170" xfId="1" applyFont="1" applyBorder="1" applyAlignment="1">
      <alignment horizontal="center" vertical="center"/>
    </xf>
    <xf numFmtId="9" fontId="56" fillId="0" borderId="149" xfId="1" applyFont="1" applyBorder="1" applyAlignment="1">
      <alignment horizontal="center" vertical="center"/>
    </xf>
    <xf numFmtId="3" fontId="56" fillId="0" borderId="170" xfId="0" applyNumberFormat="1" applyFont="1" applyBorder="1" applyAlignment="1">
      <alignment horizontal="center" vertical="center"/>
    </xf>
    <xf numFmtId="167" fontId="56" fillId="0" borderId="149" xfId="0" applyNumberFormat="1" applyFont="1" applyBorder="1" applyAlignment="1">
      <alignment horizontal="center" vertical="center" wrapText="1"/>
    </xf>
    <xf numFmtId="0" fontId="65" fillId="2" borderId="7" xfId="0" applyFont="1" applyFill="1" applyBorder="1"/>
    <xf numFmtId="3" fontId="98" fillId="2" borderId="123" xfId="0" applyNumberFormat="1" applyFont="1" applyFill="1" applyBorder="1" applyAlignment="1">
      <alignment horizontal="center" vertical="center" wrapText="1"/>
    </xf>
    <xf numFmtId="3" fontId="65" fillId="2" borderId="1" xfId="0" applyNumberFormat="1" applyFont="1" applyFill="1" applyBorder="1" applyAlignment="1">
      <alignment horizontal="center" vertical="center" wrapText="1"/>
    </xf>
    <xf numFmtId="3" fontId="65" fillId="2" borderId="0" xfId="139" applyNumberFormat="1" applyFont="1" applyFill="1" applyBorder="1" applyAlignment="1">
      <alignment horizontal="center"/>
    </xf>
    <xf numFmtId="3" fontId="52" fillId="2" borderId="0" xfId="0" applyNumberFormat="1" applyFont="1" applyFill="1" applyBorder="1" applyAlignment="1">
      <alignment horizontal="center" vertical="center" wrapText="1"/>
    </xf>
    <xf numFmtId="3" fontId="52" fillId="2" borderId="0" xfId="0" applyNumberFormat="1" applyFont="1" applyFill="1" applyBorder="1" applyAlignment="1">
      <alignment horizontal="center"/>
    </xf>
    <xf numFmtId="3" fontId="52" fillId="2" borderId="154" xfId="0" applyNumberFormat="1" applyFont="1" applyFill="1" applyBorder="1" applyAlignment="1">
      <alignment horizontal="center"/>
    </xf>
    <xf numFmtId="9" fontId="52" fillId="2" borderId="123" xfId="1" applyFont="1" applyFill="1" applyBorder="1" applyAlignment="1">
      <alignment horizontal="center"/>
    </xf>
    <xf numFmtId="9" fontId="56" fillId="2" borderId="0" xfId="1" applyFont="1" applyFill="1" applyBorder="1" applyAlignment="1">
      <alignment horizontal="center"/>
    </xf>
    <xf numFmtId="9" fontId="52" fillId="2" borderId="2" xfId="1" applyFont="1" applyFill="1" applyBorder="1" applyAlignment="1">
      <alignment horizontal="center"/>
    </xf>
    <xf numFmtId="9" fontId="52" fillId="2" borderId="0" xfId="1" applyFont="1" applyFill="1" applyBorder="1" applyAlignment="1">
      <alignment horizontal="center"/>
    </xf>
    <xf numFmtId="9" fontId="56" fillId="2" borderId="8" xfId="1" applyFont="1" applyFill="1" applyBorder="1" applyAlignment="1">
      <alignment horizontal="center"/>
    </xf>
    <xf numFmtId="0" fontId="52" fillId="2" borderId="0" xfId="0" applyFont="1" applyFill="1"/>
    <xf numFmtId="3" fontId="60" fillId="2" borderId="0" xfId="0" applyNumberFormat="1" applyFont="1" applyFill="1" applyAlignment="1">
      <alignment horizontal="center"/>
    </xf>
    <xf numFmtId="9" fontId="60" fillId="2" borderId="0" xfId="1" applyFont="1" applyFill="1" applyAlignment="1">
      <alignment horizontal="center"/>
    </xf>
    <xf numFmtId="0" fontId="52" fillId="2" borderId="7" xfId="0" applyFont="1" applyFill="1" applyBorder="1"/>
    <xf numFmtId="3" fontId="52" fillId="2" borderId="191" xfId="0" applyNumberFormat="1" applyFont="1" applyFill="1" applyBorder="1" applyAlignment="1">
      <alignment horizontal="center" vertical="center"/>
    </xf>
    <xf numFmtId="3" fontId="52" fillId="2" borderId="123" xfId="0" applyNumberFormat="1" applyFont="1" applyFill="1" applyBorder="1" applyAlignment="1">
      <alignment horizontal="center" vertical="center"/>
    </xf>
    <xf numFmtId="3" fontId="52" fillId="2" borderId="1" xfId="0" applyNumberFormat="1" applyFont="1" applyFill="1" applyBorder="1" applyAlignment="1">
      <alignment horizontal="center" vertical="center"/>
    </xf>
    <xf numFmtId="3" fontId="52" fillId="2" borderId="0" xfId="0" applyNumberFormat="1" applyFont="1" applyFill="1" applyBorder="1" applyAlignment="1">
      <alignment horizontal="center" vertical="center"/>
    </xf>
    <xf numFmtId="9" fontId="43" fillId="2" borderId="0" xfId="1" applyFont="1" applyFill="1" applyBorder="1" applyAlignment="1">
      <alignment horizontal="center" vertical="center"/>
    </xf>
    <xf numFmtId="9" fontId="56" fillId="2" borderId="0" xfId="1" applyFont="1" applyFill="1" applyBorder="1" applyAlignment="1">
      <alignment horizontal="center" vertical="center"/>
    </xf>
    <xf numFmtId="9" fontId="52" fillId="2" borderId="191" xfId="1" applyFont="1" applyFill="1" applyBorder="1" applyAlignment="1">
      <alignment horizontal="center" vertical="center"/>
    </xf>
    <xf numFmtId="9" fontId="52" fillId="2" borderId="8" xfId="1" applyFont="1" applyFill="1" applyBorder="1" applyAlignment="1">
      <alignment horizontal="center" vertical="center"/>
    </xf>
    <xf numFmtId="169" fontId="60" fillId="2" borderId="0" xfId="1" applyNumberFormat="1" applyFont="1" applyFill="1" applyAlignment="1">
      <alignment horizontal="center" vertical="center"/>
    </xf>
    <xf numFmtId="9" fontId="60" fillId="2" borderId="0" xfId="1" applyNumberFormat="1" applyFont="1" applyFill="1" applyAlignment="1">
      <alignment horizontal="center" vertical="center" wrapText="1"/>
    </xf>
    <xf numFmtId="0" fontId="40" fillId="2" borderId="7" xfId="0" applyFont="1" applyFill="1" applyBorder="1"/>
    <xf numFmtId="1" fontId="69" fillId="2" borderId="123" xfId="0" applyNumberFormat="1" applyFont="1" applyFill="1" applyBorder="1" applyAlignment="1">
      <alignment horizontal="center"/>
    </xf>
    <xf numFmtId="3" fontId="40" fillId="2" borderId="1" xfId="0" applyNumberFormat="1" applyFont="1" applyFill="1" applyBorder="1" applyAlignment="1">
      <alignment horizontal="center"/>
    </xf>
    <xf numFmtId="3" fontId="40" fillId="2" borderId="0" xfId="0" applyNumberFormat="1" applyFont="1" applyFill="1" applyBorder="1" applyAlignment="1">
      <alignment horizontal="center" vertical="center" wrapText="1"/>
    </xf>
    <xf numFmtId="1" fontId="40" fillId="2" borderId="34" xfId="0" applyNumberFormat="1" applyFont="1" applyFill="1" applyBorder="1" applyAlignment="1">
      <alignment horizontal="center"/>
    </xf>
    <xf numFmtId="169" fontId="40" fillId="2" borderId="154" xfId="0" applyNumberFormat="1" applyFont="1" applyFill="1" applyBorder="1" applyAlignment="1">
      <alignment horizontal="center"/>
    </xf>
    <xf numFmtId="9" fontId="69" fillId="2" borderId="0" xfId="1" applyFont="1" applyFill="1" applyBorder="1" applyAlignment="1">
      <alignment horizontal="center"/>
    </xf>
    <xf numFmtId="9" fontId="40" fillId="2" borderId="8" xfId="1" applyFont="1" applyFill="1" applyBorder="1" applyAlignment="1">
      <alignment horizontal="center"/>
    </xf>
    <xf numFmtId="169" fontId="60" fillId="2" borderId="0" xfId="1" applyNumberFormat="1" applyFont="1" applyFill="1" applyAlignment="1">
      <alignment horizontal="center"/>
    </xf>
    <xf numFmtId="171" fontId="52" fillId="2" borderId="0" xfId="1" applyNumberFormat="1" applyFont="1" applyFill="1"/>
    <xf numFmtId="0" fontId="47" fillId="2" borderId="0" xfId="0" applyFont="1" applyFill="1"/>
    <xf numFmtId="3" fontId="52" fillId="2" borderId="123" xfId="0" applyNumberFormat="1" applyFont="1" applyFill="1" applyBorder="1" applyAlignment="1">
      <alignment horizontal="center"/>
    </xf>
    <xf numFmtId="9" fontId="56" fillId="2" borderId="47" xfId="1" applyFont="1" applyFill="1" applyBorder="1" applyAlignment="1">
      <alignment horizontal="center"/>
    </xf>
    <xf numFmtId="9" fontId="56" fillId="2" borderId="123" xfId="1" applyFont="1" applyFill="1" applyBorder="1" applyAlignment="1">
      <alignment horizontal="center"/>
    </xf>
    <xf numFmtId="167" fontId="56" fillId="2" borderId="123" xfId="0" applyNumberFormat="1" applyFont="1" applyFill="1" applyBorder="1" applyAlignment="1">
      <alignment horizontal="center"/>
    </xf>
    <xf numFmtId="0" fontId="52" fillId="2" borderId="8" xfId="0" applyFont="1" applyFill="1" applyBorder="1"/>
    <xf numFmtId="171" fontId="60" fillId="2" borderId="0" xfId="0" applyNumberFormat="1" applyFont="1" applyFill="1" applyAlignment="1">
      <alignment horizontal="center"/>
    </xf>
    <xf numFmtId="3" fontId="69" fillId="2" borderId="123" xfId="0" applyNumberFormat="1" applyFont="1" applyFill="1" applyBorder="1" applyAlignment="1">
      <alignment horizontal="center"/>
    </xf>
    <xf numFmtId="3" fontId="65" fillId="2" borderId="0" xfId="0" applyNumberFormat="1" applyFont="1" applyFill="1" applyBorder="1" applyAlignment="1">
      <alignment horizontal="center"/>
    </xf>
    <xf numFmtId="3" fontId="56" fillId="2" borderId="123" xfId="0" applyNumberFormat="1" applyFont="1" applyFill="1" applyBorder="1" applyAlignment="1">
      <alignment horizontal="center" vertical="center" wrapText="1"/>
    </xf>
    <xf numFmtId="3" fontId="52" fillId="2" borderId="1" xfId="0" applyNumberFormat="1" applyFont="1" applyFill="1" applyBorder="1" applyAlignment="1">
      <alignment horizontal="center"/>
    </xf>
    <xf numFmtId="3" fontId="52" fillId="2" borderId="2" xfId="0" applyNumberFormat="1" applyFont="1" applyFill="1" applyBorder="1" applyAlignment="1">
      <alignment horizontal="center"/>
    </xf>
    <xf numFmtId="3" fontId="50" fillId="2" borderId="0" xfId="0" applyNumberFormat="1" applyFont="1" applyFill="1" applyBorder="1" applyAlignment="1">
      <alignment horizontal="center" vertical="center" wrapText="1"/>
    </xf>
    <xf numFmtId="3" fontId="50" fillId="2" borderId="123" xfId="0" applyNumberFormat="1" applyFont="1" applyFill="1" applyBorder="1" applyAlignment="1">
      <alignment horizontal="center" vertical="center" wrapText="1"/>
    </xf>
    <xf numFmtId="9" fontId="50" fillId="2" borderId="125" xfId="1" applyFont="1" applyFill="1" applyBorder="1" applyAlignment="1">
      <alignment horizontal="center" vertical="center" wrapText="1"/>
    </xf>
    <xf numFmtId="9" fontId="50" fillId="2" borderId="0" xfId="1" applyFont="1" applyFill="1" applyBorder="1" applyAlignment="1">
      <alignment horizontal="center" vertical="center" wrapText="1"/>
    </xf>
    <xf numFmtId="0" fontId="53" fillId="2" borderId="0" xfId="592" applyFont="1" applyFill="1"/>
    <xf numFmtId="0" fontId="26" fillId="2" borderId="7" xfId="0" applyFont="1" applyFill="1" applyBorder="1"/>
    <xf numFmtId="169" fontId="135" fillId="2" borderId="123" xfId="139" applyNumberFormat="1" applyFont="1" applyFill="1" applyBorder="1" applyAlignment="1">
      <alignment horizontal="center"/>
    </xf>
    <xf numFmtId="169" fontId="133" fillId="2" borderId="0" xfId="592" applyNumberFormat="1" applyFont="1" applyFill="1" applyBorder="1" applyAlignment="1">
      <alignment horizontal="center"/>
    </xf>
    <xf numFmtId="169" fontId="133" fillId="2" borderId="1" xfId="139" applyNumberFormat="1" applyFont="1" applyFill="1" applyBorder="1" applyAlignment="1">
      <alignment horizontal="center"/>
    </xf>
    <xf numFmtId="169" fontId="135" fillId="2" borderId="0" xfId="592" applyNumberFormat="1" applyFont="1" applyFill="1" applyBorder="1" applyAlignment="1">
      <alignment horizontal="center"/>
    </xf>
    <xf numFmtId="169" fontId="133" fillId="2" borderId="61" xfId="139" applyNumberFormat="1" applyFont="1" applyFill="1" applyBorder="1" applyAlignment="1">
      <alignment horizontal="center"/>
    </xf>
    <xf numFmtId="169" fontId="133" fillId="2" borderId="68" xfId="592" applyNumberFormat="1" applyFont="1" applyFill="1" applyBorder="1" applyAlignment="1">
      <alignment horizontal="center"/>
    </xf>
    <xf numFmtId="169" fontId="133" fillId="2" borderId="2" xfId="592" applyNumberFormat="1" applyFont="1" applyFill="1" applyBorder="1" applyAlignment="1">
      <alignment horizontal="center"/>
    </xf>
    <xf numFmtId="169" fontId="133" fillId="2" borderId="8" xfId="139" applyNumberFormat="1" applyFont="1" applyFill="1" applyBorder="1" applyAlignment="1">
      <alignment horizontal="center"/>
    </xf>
    <xf numFmtId="0" fontId="53" fillId="2" borderId="0" xfId="592" applyFill="1"/>
    <xf numFmtId="169" fontId="53" fillId="2" borderId="0" xfId="592" applyNumberFormat="1" applyFill="1"/>
    <xf numFmtId="169" fontId="135" fillId="2" borderId="155" xfId="139" applyNumberFormat="1" applyFont="1" applyFill="1" applyBorder="1" applyAlignment="1">
      <alignment horizontal="center"/>
    </xf>
    <xf numFmtId="169" fontId="135" fillId="2" borderId="124" xfId="139" applyNumberFormat="1" applyFont="1" applyFill="1" applyBorder="1" applyAlignment="1">
      <alignment horizontal="center"/>
    </xf>
    <xf numFmtId="169" fontId="133" fillId="2" borderId="0" xfId="139" applyNumberFormat="1" applyFont="1" applyFill="1" applyBorder="1" applyAlignment="1">
      <alignment horizontal="center"/>
    </xf>
    <xf numFmtId="169" fontId="133" fillId="2" borderId="2" xfId="139" applyNumberFormat="1" applyFont="1" applyFill="1" applyBorder="1" applyAlignment="1">
      <alignment horizontal="center"/>
    </xf>
    <xf numFmtId="169" fontId="133" fillId="2" borderId="34" xfId="592" applyNumberFormat="1" applyFont="1" applyFill="1" applyBorder="1" applyAlignment="1">
      <alignment horizontal="center"/>
    </xf>
    <xf numFmtId="169" fontId="133" fillId="2" borderId="47" xfId="592" applyNumberFormat="1" applyFont="1" applyFill="1" applyBorder="1" applyAlignment="1">
      <alignment horizontal="center"/>
    </xf>
    <xf numFmtId="3" fontId="135" fillId="2" borderId="0" xfId="592" applyNumberFormat="1" applyFont="1" applyFill="1" applyBorder="1" applyAlignment="1">
      <alignment horizontal="center"/>
    </xf>
    <xf numFmtId="9" fontId="135" fillId="2" borderId="123" xfId="1" applyFont="1" applyFill="1" applyBorder="1" applyAlignment="1">
      <alignment horizontal="center"/>
    </xf>
    <xf numFmtId="9" fontId="133" fillId="2" borderId="0" xfId="1" applyFont="1" applyFill="1" applyBorder="1" applyAlignment="1">
      <alignment horizontal="center"/>
    </xf>
    <xf numFmtId="9" fontId="18" fillId="2" borderId="8" xfId="1" applyFont="1" applyFill="1" applyBorder="1" applyAlignment="1">
      <alignment horizontal="center" vertical="center"/>
    </xf>
    <xf numFmtId="0" fontId="137" fillId="2" borderId="0" xfId="930" applyFont="1" applyFill="1"/>
    <xf numFmtId="167" fontId="56" fillId="2" borderId="123" xfId="0" applyNumberFormat="1" applyFont="1" applyFill="1" applyBorder="1" applyAlignment="1">
      <alignment horizontal="center" vertical="center" wrapText="1"/>
    </xf>
    <xf numFmtId="167" fontId="56" fillId="2" borderId="124" xfId="0" applyNumberFormat="1" applyFont="1" applyFill="1" applyBorder="1" applyAlignment="1">
      <alignment horizontal="center" vertical="center" wrapText="1"/>
    </xf>
    <xf numFmtId="167" fontId="52" fillId="2" borderId="0" xfId="0" applyNumberFormat="1" applyFont="1" applyFill="1" applyBorder="1" applyAlignment="1">
      <alignment horizontal="center" vertical="center" wrapText="1"/>
    </xf>
    <xf numFmtId="167" fontId="52" fillId="2" borderId="205" xfId="0" applyNumberFormat="1" applyFont="1" applyFill="1" applyBorder="1" applyAlignment="1">
      <alignment horizontal="center" vertical="center" wrapText="1"/>
    </xf>
    <xf numFmtId="167" fontId="52" fillId="2" borderId="8" xfId="0" applyNumberFormat="1" applyFont="1" applyFill="1" applyBorder="1" applyAlignment="1">
      <alignment horizontal="center"/>
    </xf>
    <xf numFmtId="0" fontId="52" fillId="2" borderId="0" xfId="0" applyFont="1" applyFill="1" applyAlignment="1">
      <alignment horizontal="center" vertical="center" wrapText="1"/>
    </xf>
    <xf numFmtId="3" fontId="29" fillId="2" borderId="1" xfId="592" applyNumberFormat="1" applyFont="1" applyFill="1" applyBorder="1" applyAlignment="1">
      <alignment horizontal="center"/>
    </xf>
    <xf numFmtId="3" fontId="29" fillId="2" borderId="0" xfId="592" applyNumberFormat="1" applyFont="1" applyFill="1" applyBorder="1" applyAlignment="1">
      <alignment horizontal="center"/>
    </xf>
    <xf numFmtId="0" fontId="34" fillId="0" borderId="15" xfId="0" applyFont="1" applyBorder="1" applyAlignment="1">
      <alignment horizontal="left" vertical="center" wrapText="1"/>
    </xf>
    <xf numFmtId="0" fontId="34" fillId="0" borderId="16" xfId="0" applyFont="1" applyBorder="1" applyAlignment="1">
      <alignment horizontal="left" vertical="center" wrapText="1"/>
    </xf>
    <xf numFmtId="0" fontId="34" fillId="0" borderId="17" xfId="0" applyFont="1" applyBorder="1" applyAlignment="1">
      <alignment horizontal="left" vertical="center" wrapText="1"/>
    </xf>
    <xf numFmtId="0" fontId="57" fillId="0" borderId="4" xfId="0" applyFont="1" applyBorder="1" applyAlignment="1">
      <alignment horizontal="center" vertical="center"/>
    </xf>
    <xf numFmtId="0" fontId="57" fillId="0" borderId="5" xfId="0" applyFont="1" applyBorder="1" applyAlignment="1">
      <alignment horizontal="center" vertical="center"/>
    </xf>
    <xf numFmtId="0" fontId="57" fillId="0" borderId="6" xfId="0" applyFont="1" applyBorder="1" applyAlignment="1">
      <alignment horizontal="center" vertical="center"/>
    </xf>
    <xf numFmtId="0" fontId="59" fillId="0" borderId="141" xfId="0" applyFont="1" applyFill="1" applyBorder="1" applyAlignment="1">
      <alignment horizontal="center" vertical="center" wrapText="1"/>
    </xf>
    <xf numFmtId="0" fontId="59" fillId="0" borderId="123" xfId="0" applyFont="1" applyFill="1" applyBorder="1" applyAlignment="1">
      <alignment horizontal="center" vertical="center" wrapText="1"/>
    </xf>
    <xf numFmtId="0" fontId="59" fillId="0" borderId="52" xfId="0" applyFont="1" applyFill="1" applyBorder="1" applyAlignment="1">
      <alignment horizontal="center" vertical="center" wrapText="1"/>
    </xf>
    <xf numFmtId="0" fontId="59" fillId="0" borderId="26" xfId="0" applyFont="1" applyFill="1" applyBorder="1" applyAlignment="1">
      <alignment horizontal="center" vertical="center" wrapText="1"/>
    </xf>
    <xf numFmtId="0" fontId="59" fillId="0" borderId="8" xfId="0" applyFont="1" applyFill="1" applyBorder="1" applyAlignment="1">
      <alignment horizontal="center" vertical="center" wrapText="1"/>
    </xf>
    <xf numFmtId="0" fontId="59" fillId="0" borderId="158" xfId="0" applyFont="1" applyFill="1" applyBorder="1" applyAlignment="1">
      <alignment horizontal="center" vertical="center" wrapText="1"/>
    </xf>
    <xf numFmtId="0" fontId="56" fillId="0" borderId="123" xfId="0" applyFont="1" applyFill="1" applyBorder="1" applyAlignment="1">
      <alignment horizontal="center" vertical="center" wrapText="1"/>
    </xf>
    <xf numFmtId="0" fontId="59" fillId="0" borderId="0" xfId="0" applyFont="1" applyFill="1" applyBorder="1" applyAlignment="1">
      <alignment horizontal="center" vertical="center" wrapText="1"/>
    </xf>
    <xf numFmtId="0" fontId="52" fillId="0" borderId="29" xfId="0" applyFont="1" applyFill="1" applyBorder="1" applyAlignment="1">
      <alignment horizontal="center" vertical="center" wrapText="1"/>
    </xf>
    <xf numFmtId="0" fontId="52" fillId="0" borderId="124" xfId="0" applyFont="1" applyFill="1" applyBorder="1" applyAlignment="1">
      <alignment horizontal="center" vertical="center" wrapText="1"/>
    </xf>
    <xf numFmtId="0" fontId="50" fillId="0" borderId="144" xfId="0" applyFont="1" applyFill="1" applyBorder="1" applyAlignment="1">
      <alignment horizontal="center" vertical="center"/>
    </xf>
    <xf numFmtId="0" fontId="52" fillId="0" borderId="145" xfId="0" applyFont="1" applyFill="1" applyBorder="1" applyAlignment="1">
      <alignment horizontal="center" vertical="center"/>
    </xf>
    <xf numFmtId="0" fontId="52" fillId="0" borderId="146" xfId="0" applyFont="1" applyFill="1" applyBorder="1" applyAlignment="1">
      <alignment horizontal="center" vertical="center"/>
    </xf>
    <xf numFmtId="0" fontId="59" fillId="0" borderId="3" xfId="0" applyFont="1" applyFill="1" applyBorder="1" applyAlignment="1">
      <alignment horizontal="center" vertical="center" wrapText="1"/>
    </xf>
    <xf numFmtId="0" fontId="59" fillId="0" borderId="1" xfId="0" applyFont="1" applyFill="1" applyBorder="1" applyAlignment="1">
      <alignment horizontal="center" vertical="center" wrapText="1"/>
    </xf>
    <xf numFmtId="0" fontId="59" fillId="0" borderId="32" xfId="0" applyFont="1" applyFill="1" applyBorder="1" applyAlignment="1">
      <alignment horizontal="center" vertical="center" wrapText="1"/>
    </xf>
    <xf numFmtId="0" fontId="59" fillId="0" borderId="39" xfId="0" applyFont="1" applyFill="1" applyBorder="1" applyAlignment="1">
      <alignment horizontal="center" vertical="center" wrapText="1"/>
    </xf>
    <xf numFmtId="0" fontId="59" fillId="0" borderId="191" xfId="0" applyFont="1" applyFill="1" applyBorder="1" applyAlignment="1">
      <alignment horizontal="center" vertical="center" wrapText="1"/>
    </xf>
    <xf numFmtId="0" fontId="59" fillId="0" borderId="144" xfId="0" applyFont="1" applyFill="1" applyBorder="1" applyAlignment="1">
      <alignment horizontal="center" vertical="center" wrapText="1"/>
    </xf>
    <xf numFmtId="0" fontId="59" fillId="0" borderId="145" xfId="0" applyFont="1" applyFill="1" applyBorder="1" applyAlignment="1">
      <alignment horizontal="center" vertical="center" wrapText="1"/>
    </xf>
    <xf numFmtId="0" fontId="59" fillId="0" borderId="146" xfId="0" applyFont="1" applyFill="1" applyBorder="1" applyAlignment="1">
      <alignment horizontal="center" vertical="center" wrapText="1"/>
    </xf>
    <xf numFmtId="0" fontId="56" fillId="0" borderId="0" xfId="0" applyFont="1" applyFill="1" applyBorder="1" applyAlignment="1">
      <alignment horizontal="center" vertical="center" wrapText="1"/>
    </xf>
    <xf numFmtId="0" fontId="56" fillId="0" borderId="121" xfId="0" applyFont="1" applyFill="1" applyBorder="1" applyAlignment="1">
      <alignment horizontal="center" vertical="center" wrapText="1"/>
    </xf>
    <xf numFmtId="9" fontId="59" fillId="0" borderId="39" xfId="1" applyFont="1" applyFill="1" applyBorder="1" applyAlignment="1">
      <alignment horizontal="center" vertical="center" wrapText="1"/>
    </xf>
    <xf numFmtId="9" fontId="59" fillId="0" borderId="191" xfId="1" applyFont="1" applyFill="1" applyBorder="1" applyAlignment="1">
      <alignment horizontal="center" vertical="center" wrapText="1"/>
    </xf>
    <xf numFmtId="0" fontId="35" fillId="0" borderId="15" xfId="0" applyFont="1" applyBorder="1" applyAlignment="1">
      <alignment horizontal="left" vertical="center" wrapText="1"/>
    </xf>
    <xf numFmtId="0" fontId="52" fillId="0" borderId="16" xfId="0" applyFont="1" applyBorder="1" applyAlignment="1">
      <alignment horizontal="left" vertical="center" wrapText="1"/>
    </xf>
    <xf numFmtId="0" fontId="52" fillId="0" borderId="17" xfId="0" applyFont="1" applyBorder="1" applyAlignment="1">
      <alignment horizontal="left" vertical="center" wrapText="1"/>
    </xf>
    <xf numFmtId="0" fontId="56" fillId="0" borderId="26" xfId="0" applyFont="1" applyFill="1" applyBorder="1" applyAlignment="1">
      <alignment horizontal="center" vertical="center" wrapText="1"/>
    </xf>
    <xf numFmtId="0" fontId="56" fillId="0" borderId="8" xfId="0" applyFont="1" applyFill="1" applyBorder="1" applyAlignment="1">
      <alignment horizontal="center" vertical="center" wrapText="1"/>
    </xf>
    <xf numFmtId="0" fontId="56" fillId="0" borderId="38" xfId="0" applyFont="1" applyFill="1" applyBorder="1" applyAlignment="1">
      <alignment horizontal="center" vertical="center" wrapText="1"/>
    </xf>
    <xf numFmtId="0" fontId="52" fillId="0" borderId="0" xfId="0" applyFont="1" applyFill="1" applyBorder="1" applyAlignment="1">
      <alignment horizontal="center" vertical="center" wrapText="1"/>
    </xf>
    <xf numFmtId="0" fontId="52" fillId="0" borderId="154" xfId="0" applyFont="1" applyFill="1" applyBorder="1" applyAlignment="1">
      <alignment horizontal="center" vertical="center" wrapText="1"/>
    </xf>
    <xf numFmtId="0" fontId="52" fillId="0" borderId="141" xfId="0" applyFont="1" applyFill="1" applyBorder="1" applyAlignment="1">
      <alignment horizontal="center" vertical="center" wrapText="1"/>
    </xf>
    <xf numFmtId="0" fontId="52" fillId="0" borderId="123" xfId="0" applyFont="1" applyFill="1" applyBorder="1" applyAlignment="1">
      <alignment horizontal="center" vertical="center" wrapText="1"/>
    </xf>
    <xf numFmtId="0" fontId="56" fillId="0" borderId="142" xfId="0" applyFont="1" applyFill="1" applyBorder="1" applyAlignment="1">
      <alignment horizontal="center" vertical="center" wrapText="1"/>
    </xf>
    <xf numFmtId="0" fontId="52" fillId="0" borderId="28" xfId="0" applyFont="1" applyFill="1" applyBorder="1" applyAlignment="1">
      <alignment horizontal="center" vertical="center" wrapText="1"/>
    </xf>
    <xf numFmtId="0" fontId="52" fillId="0" borderId="2" xfId="0" applyFont="1" applyFill="1" applyBorder="1" applyAlignment="1">
      <alignment horizontal="center" vertical="center" wrapText="1"/>
    </xf>
    <xf numFmtId="0" fontId="50" fillId="0" borderId="43" xfId="0" applyFont="1" applyFill="1" applyBorder="1" applyAlignment="1">
      <alignment horizontal="center" vertical="center" wrapText="1"/>
    </xf>
    <xf numFmtId="0" fontId="52" fillId="0" borderId="1" xfId="0" applyFont="1" applyFill="1" applyBorder="1" applyAlignment="1">
      <alignment horizontal="center" vertical="center" wrapText="1"/>
    </xf>
    <xf numFmtId="9" fontId="126" fillId="0" borderId="0" xfId="1" applyFont="1" applyAlignment="1">
      <alignment horizontal="center"/>
    </xf>
    <xf numFmtId="0" fontId="40" fillId="0" borderId="19" xfId="0" applyFont="1" applyFill="1" applyBorder="1" applyAlignment="1">
      <alignment horizontal="center" vertical="center" wrapText="1"/>
    </xf>
    <xf numFmtId="0" fontId="40" fillId="0" borderId="154" xfId="0" applyFont="1" applyFill="1" applyBorder="1" applyAlignment="1">
      <alignment horizontal="center" vertical="center" wrapText="1"/>
    </xf>
    <xf numFmtId="0" fontId="50" fillId="0" borderId="15" xfId="0" applyFont="1" applyBorder="1" applyAlignment="1">
      <alignment horizontal="left" vertical="center" wrapText="1"/>
    </xf>
    <xf numFmtId="0" fontId="40" fillId="0" borderId="22" xfId="0" applyFont="1" applyFill="1" applyBorder="1" applyAlignment="1">
      <alignment horizontal="center" vertical="center"/>
    </xf>
    <xf numFmtId="0" fontId="40" fillId="0" borderId="23" xfId="0" applyFont="1" applyFill="1" applyBorder="1" applyAlignment="1">
      <alignment horizontal="center" vertical="center"/>
    </xf>
    <xf numFmtId="0" fontId="40" fillId="0" borderId="24" xfId="0" applyFont="1" applyFill="1" applyBorder="1" applyAlignment="1">
      <alignment horizontal="center" vertical="center"/>
    </xf>
    <xf numFmtId="0" fontId="40" fillId="0" borderId="25" xfId="0" applyFont="1" applyFill="1" applyBorder="1" applyAlignment="1">
      <alignment horizontal="center" vertical="center" wrapText="1"/>
    </xf>
    <xf numFmtId="0" fontId="40" fillId="0" borderId="18" xfId="0" applyFont="1" applyFill="1" applyBorder="1" applyAlignment="1">
      <alignment horizontal="center" vertical="center" wrapText="1"/>
    </xf>
    <xf numFmtId="0" fontId="40" fillId="0" borderId="123" xfId="0" applyFont="1" applyFill="1" applyBorder="1" applyAlignment="1">
      <alignment horizontal="center" vertical="center" wrapText="1"/>
    </xf>
    <xf numFmtId="0" fontId="69" fillId="0" borderId="27" xfId="0" applyFont="1" applyFill="1" applyBorder="1" applyAlignment="1">
      <alignment horizontal="center" vertical="center" wrapText="1"/>
    </xf>
    <xf numFmtId="0" fontId="69" fillId="0" borderId="0" xfId="0" applyFont="1" applyFill="1" applyBorder="1" applyAlignment="1">
      <alignment horizontal="center" vertical="center" wrapText="1"/>
    </xf>
    <xf numFmtId="0" fontId="40" fillId="0" borderId="28" xfId="0" applyFont="1" applyFill="1" applyBorder="1" applyAlignment="1">
      <alignment horizontal="center" vertical="center" wrapText="1"/>
    </xf>
    <xf numFmtId="0" fontId="40" fillId="0" borderId="2" xfId="0" applyFont="1" applyFill="1" applyBorder="1" applyAlignment="1">
      <alignment horizontal="center" vertical="center" wrapText="1"/>
    </xf>
    <xf numFmtId="0" fontId="40" fillId="0" borderId="43" xfId="0" applyFont="1" applyFill="1" applyBorder="1" applyAlignment="1">
      <alignment horizontal="center" vertical="center" wrapText="1"/>
    </xf>
    <xf numFmtId="0" fontId="40" fillId="0" borderId="1" xfId="0" applyFont="1" applyFill="1" applyBorder="1" applyAlignment="1">
      <alignment horizontal="center" vertical="center" wrapText="1"/>
    </xf>
    <xf numFmtId="0" fontId="69" fillId="0" borderId="26" xfId="0" applyFont="1" applyFill="1" applyBorder="1" applyAlignment="1">
      <alignment horizontal="center" vertical="center" wrapText="1"/>
    </xf>
    <xf numFmtId="0" fontId="69" fillId="0" borderId="8" xfId="0" applyFont="1" applyFill="1" applyBorder="1" applyAlignment="1">
      <alignment horizontal="center" vertical="center" wrapText="1"/>
    </xf>
    <xf numFmtId="0" fontId="128" fillId="0" borderId="38" xfId="0" applyFont="1" applyFill="1" applyBorder="1" applyAlignment="1">
      <alignment horizontal="center" vertical="center" wrapText="1"/>
    </xf>
    <xf numFmtId="0" fontId="128" fillId="0" borderId="123" xfId="0" applyFont="1" applyFill="1" applyBorder="1" applyAlignment="1">
      <alignment horizontal="center" vertical="center" wrapText="1"/>
    </xf>
    <xf numFmtId="0" fontId="88" fillId="0" borderId="3" xfId="0" applyFont="1" applyFill="1" applyBorder="1" applyAlignment="1">
      <alignment horizontal="center" vertical="center" wrapText="1"/>
    </xf>
    <xf numFmtId="0" fontId="88" fillId="0" borderId="1" xfId="0" applyFont="1" applyFill="1" applyBorder="1" applyAlignment="1">
      <alignment horizontal="center" vertical="center" wrapText="1"/>
    </xf>
    <xf numFmtId="0" fontId="40" fillId="0" borderId="0" xfId="0" applyFont="1" applyFill="1" applyBorder="1" applyAlignment="1">
      <alignment horizontal="center" vertical="center" wrapText="1"/>
    </xf>
    <xf numFmtId="0" fontId="40" fillId="0" borderId="144" xfId="0" applyFont="1" applyFill="1" applyBorder="1" applyAlignment="1">
      <alignment horizontal="center" vertical="center"/>
    </xf>
    <xf numFmtId="0" fontId="40" fillId="0" borderId="145" xfId="0" applyFont="1" applyFill="1" applyBorder="1" applyAlignment="1">
      <alignment horizontal="center" vertical="center"/>
    </xf>
    <xf numFmtId="0" fontId="40" fillId="0" borderId="146" xfId="0" applyFont="1" applyFill="1" applyBorder="1" applyAlignment="1">
      <alignment horizontal="center" vertical="center"/>
    </xf>
    <xf numFmtId="0" fontId="40" fillId="0" borderId="26" xfId="0" applyFont="1" applyFill="1" applyBorder="1" applyAlignment="1">
      <alignment horizontal="center" vertical="center" wrapText="1"/>
    </xf>
    <xf numFmtId="0" fontId="40" fillId="0" borderId="8" xfId="0" applyFont="1" applyFill="1" applyBorder="1" applyAlignment="1">
      <alignment horizontal="center" vertical="center" wrapText="1"/>
    </xf>
    <xf numFmtId="0" fontId="69" fillId="0" borderId="123" xfId="0" applyFont="1" applyFill="1" applyBorder="1" applyAlignment="1">
      <alignment horizontal="center" vertical="center" wrapText="1"/>
    </xf>
    <xf numFmtId="0" fontId="40" fillId="0" borderId="33" xfId="0" applyFont="1" applyFill="1" applyBorder="1" applyAlignment="1">
      <alignment horizontal="center" vertical="center" wrapText="1"/>
    </xf>
    <xf numFmtId="0" fontId="40" fillId="0" borderId="34" xfId="0" applyFont="1" applyFill="1" applyBorder="1" applyAlignment="1">
      <alignment horizontal="center" vertical="center" wrapText="1"/>
    </xf>
    <xf numFmtId="0" fontId="69" fillId="0" borderId="141" xfId="0" applyFont="1" applyFill="1" applyBorder="1" applyAlignment="1">
      <alignment horizontal="center" vertical="center" wrapText="1"/>
    </xf>
    <xf numFmtId="0" fontId="47" fillId="0" borderId="15" xfId="0" applyFont="1" applyBorder="1" applyAlignment="1">
      <alignment horizontal="left" vertical="center" wrapText="1"/>
    </xf>
    <xf numFmtId="0" fontId="47" fillId="0" borderId="16" xfId="0" applyFont="1" applyBorder="1" applyAlignment="1">
      <alignment horizontal="left" vertical="center" wrapText="1"/>
    </xf>
    <xf numFmtId="0" fontId="47" fillId="0" borderId="17" xfId="0" applyFont="1" applyBorder="1" applyAlignment="1">
      <alignment horizontal="left" vertical="center" wrapText="1"/>
    </xf>
    <xf numFmtId="0" fontId="56" fillId="0" borderId="1" xfId="0" applyFont="1" applyBorder="1" applyAlignment="1">
      <alignment horizontal="center" vertical="center" wrapText="1"/>
    </xf>
    <xf numFmtId="0" fontId="50" fillId="0" borderId="144" xfId="0" applyFont="1" applyBorder="1" applyAlignment="1">
      <alignment horizontal="center" vertical="center"/>
    </xf>
    <xf numFmtId="0" fontId="52" fillId="0" borderId="145" xfId="0" applyFont="1" applyBorder="1" applyAlignment="1">
      <alignment horizontal="center" vertical="center"/>
    </xf>
    <xf numFmtId="0" fontId="52" fillId="0" borderId="146" xfId="0" applyFont="1" applyBorder="1" applyAlignment="1">
      <alignment horizontal="center" vertical="center"/>
    </xf>
    <xf numFmtId="0" fontId="56" fillId="0" borderId="123" xfId="0" applyFont="1" applyBorder="1" applyAlignment="1">
      <alignment horizontal="center" vertical="center" wrapText="1"/>
    </xf>
    <xf numFmtId="0" fontId="56" fillId="0" borderId="18" xfId="0" applyFont="1" applyBorder="1" applyAlignment="1">
      <alignment horizontal="center" vertical="center" wrapText="1"/>
    </xf>
    <xf numFmtId="0" fontId="34" fillId="0" borderId="144" xfId="0" applyFont="1" applyBorder="1" applyAlignment="1">
      <alignment horizontal="center" vertical="center" wrapText="1"/>
    </xf>
    <xf numFmtId="0" fontId="52" fillId="0" borderId="145" xfId="0" applyFont="1" applyBorder="1" applyAlignment="1">
      <alignment horizontal="center" vertical="center" wrapText="1"/>
    </xf>
    <xf numFmtId="0" fontId="52" fillId="0" borderId="35" xfId="0" applyFont="1" applyBorder="1" applyAlignment="1">
      <alignment horizontal="center" vertical="center" wrapText="1"/>
    </xf>
    <xf numFmtId="0" fontId="56" fillId="0" borderId="52" xfId="0" applyFont="1" applyBorder="1" applyAlignment="1">
      <alignment horizontal="center" vertical="center" wrapText="1"/>
    </xf>
    <xf numFmtId="0" fontId="34" fillId="0" borderId="0" xfId="0" applyFont="1" applyBorder="1" applyAlignment="1">
      <alignment horizontal="center" vertical="center" wrapText="1"/>
    </xf>
    <xf numFmtId="0" fontId="50" fillId="0" borderId="121" xfId="0" applyFont="1" applyBorder="1" applyAlignment="1">
      <alignment horizontal="center" vertical="center" wrapText="1"/>
    </xf>
    <xf numFmtId="0" fontId="34" fillId="0" borderId="8" xfId="0" applyFont="1" applyBorder="1" applyAlignment="1">
      <alignment horizontal="center" vertical="center" wrapText="1"/>
    </xf>
    <xf numFmtId="0" fontId="50" fillId="0" borderId="158" xfId="0" applyFont="1" applyBorder="1" applyAlignment="1">
      <alignment horizontal="center" vertical="center" wrapText="1"/>
    </xf>
    <xf numFmtId="0" fontId="18" fillId="0" borderId="147" xfId="0" applyFont="1" applyBorder="1" applyAlignment="1">
      <alignment horizontal="left" wrapText="1"/>
    </xf>
    <xf numFmtId="0" fontId="30" fillId="0" borderId="148" xfId="0" applyFont="1" applyBorder="1" applyAlignment="1">
      <alignment horizontal="left" wrapText="1"/>
    </xf>
    <xf numFmtId="0" fontId="30" fillId="0" borderId="140" xfId="0" applyFont="1" applyBorder="1" applyAlignment="1">
      <alignment horizontal="left" wrapText="1"/>
    </xf>
    <xf numFmtId="0" fontId="47" fillId="0" borderId="123" xfId="0" applyFont="1" applyBorder="1" applyAlignment="1">
      <alignment horizontal="left" wrapText="1"/>
    </xf>
    <xf numFmtId="0" fontId="47" fillId="0" borderId="0" xfId="0" applyFont="1" applyBorder="1" applyAlignment="1">
      <alignment horizontal="left" wrapText="1"/>
    </xf>
    <xf numFmtId="0" fontId="47" fillId="0" borderId="154" xfId="0" applyFont="1" applyBorder="1" applyAlignment="1">
      <alignment horizontal="left" wrapText="1"/>
    </xf>
    <xf numFmtId="0" fontId="47" fillId="0" borderId="25" xfId="0" applyFont="1" applyBorder="1" applyAlignment="1">
      <alignment horizontal="left" vertical="center" wrapText="1"/>
    </xf>
    <xf numFmtId="0" fontId="47" fillId="0" borderId="27" xfId="0" applyFont="1" applyBorder="1" applyAlignment="1">
      <alignment horizontal="left" vertical="center" wrapText="1"/>
    </xf>
    <xf numFmtId="0" fontId="47" fillId="0" borderId="73" xfId="0" applyFont="1" applyBorder="1" applyAlignment="1">
      <alignment horizontal="left" vertical="center" wrapText="1"/>
    </xf>
    <xf numFmtId="0" fontId="50" fillId="0" borderId="36" xfId="0" applyFont="1" applyBorder="1" applyAlignment="1">
      <alignment horizontal="center" vertical="center"/>
    </xf>
    <xf numFmtId="0" fontId="50" fillId="0" borderId="14" xfId="0" applyFont="1" applyBorder="1" applyAlignment="1">
      <alignment horizontal="center" vertical="center"/>
    </xf>
    <xf numFmtId="0" fontId="50" fillId="0" borderId="58" xfId="0" applyFont="1" applyBorder="1" applyAlignment="1">
      <alignment horizontal="center" vertical="center"/>
    </xf>
    <xf numFmtId="0" fontId="56" fillId="0" borderId="29" xfId="0" applyFont="1" applyBorder="1" applyAlignment="1">
      <alignment horizontal="center" vertical="center" wrapText="1"/>
    </xf>
    <xf numFmtId="0" fontId="56" fillId="0" borderId="124" xfId="0" applyFont="1" applyBorder="1" applyAlignment="1">
      <alignment horizontal="center" vertical="center" wrapText="1"/>
    </xf>
    <xf numFmtId="0" fontId="50" fillId="0" borderId="3" xfId="0" applyFont="1" applyBorder="1" applyAlignment="1">
      <alignment horizontal="center" vertical="center" wrapText="1"/>
    </xf>
    <xf numFmtId="0" fontId="50" fillId="0" borderId="1" xfId="0" applyFont="1" applyBorder="1" applyAlignment="1">
      <alignment horizontal="center" vertical="center" wrapText="1"/>
    </xf>
    <xf numFmtId="0" fontId="52" fillId="0" borderId="29" xfId="0" applyFont="1" applyBorder="1" applyAlignment="1">
      <alignment horizontal="center" vertical="center" wrapText="1"/>
    </xf>
    <xf numFmtId="0" fontId="52" fillId="0" borderId="124" xfId="0" applyFont="1" applyBorder="1" applyAlignment="1">
      <alignment horizontal="center" vertical="center" wrapText="1"/>
    </xf>
    <xf numFmtId="0" fontId="52" fillId="0" borderId="38" xfId="0" applyFont="1" applyBorder="1" applyAlignment="1">
      <alignment horizontal="center" vertical="center" wrapText="1"/>
    </xf>
    <xf numFmtId="0" fontId="52" fillId="0" borderId="123" xfId="0" applyFont="1" applyBorder="1" applyAlignment="1">
      <alignment horizontal="center" vertical="center" wrapText="1"/>
    </xf>
    <xf numFmtId="0" fontId="50" fillId="0" borderId="32" xfId="0" applyFont="1" applyBorder="1" applyAlignment="1">
      <alignment horizontal="center" vertical="center" wrapText="1"/>
    </xf>
    <xf numFmtId="0" fontId="50" fillId="0" borderId="0" xfId="0" applyFont="1" applyBorder="1" applyAlignment="1">
      <alignment horizontal="center" vertical="center" wrapText="1"/>
    </xf>
    <xf numFmtId="0" fontId="59" fillId="0" borderId="39" xfId="0" applyFont="1" applyBorder="1" applyAlignment="1">
      <alignment horizontal="center" vertical="center" wrapText="1"/>
    </xf>
    <xf numFmtId="0" fontId="59" fillId="0" borderId="154" xfId="0" applyFont="1" applyBorder="1" applyAlignment="1">
      <alignment horizontal="center" vertical="center" wrapText="1"/>
    </xf>
    <xf numFmtId="0" fontId="59" fillId="0" borderId="36" xfId="0" applyFont="1" applyBorder="1" applyAlignment="1">
      <alignment horizontal="center" vertical="center" wrapText="1"/>
    </xf>
    <xf numFmtId="0" fontId="59" fillId="0" borderId="14" xfId="0" applyFont="1" applyBorder="1" applyAlignment="1">
      <alignment horizontal="center" vertical="center" wrapText="1"/>
    </xf>
    <xf numFmtId="0" fontId="59" fillId="0" borderId="123" xfId="0" applyFont="1" applyBorder="1" applyAlignment="1">
      <alignment horizontal="center" vertical="center" wrapText="1"/>
    </xf>
    <xf numFmtId="0" fontId="59" fillId="0" borderId="0" xfId="0" applyFont="1" applyBorder="1" applyAlignment="1">
      <alignment horizontal="center" vertical="center" wrapText="1"/>
    </xf>
    <xf numFmtId="0" fontId="59" fillId="0" borderId="37" xfId="0" applyFont="1" applyBorder="1" applyAlignment="1">
      <alignment horizontal="center" vertical="center" wrapText="1"/>
    </xf>
    <xf numFmtId="0" fontId="59" fillId="0" borderId="40" xfId="0" applyFont="1" applyBorder="1" applyAlignment="1">
      <alignment horizontal="center" vertical="center" wrapText="1"/>
    </xf>
    <xf numFmtId="0" fontId="59" fillId="0" borderId="8" xfId="0" applyFont="1" applyBorder="1" applyAlignment="1">
      <alignment horizontal="center" vertical="center" wrapText="1"/>
    </xf>
    <xf numFmtId="0" fontId="30" fillId="0" borderId="15" xfId="0" applyFont="1" applyBorder="1" applyAlignment="1">
      <alignment horizontal="left" vertical="center" wrapText="1"/>
    </xf>
    <xf numFmtId="0" fontId="30" fillId="0" borderId="16" xfId="0" applyFont="1" applyBorder="1" applyAlignment="1">
      <alignment horizontal="left" vertical="center" wrapText="1"/>
    </xf>
    <xf numFmtId="0" fontId="30" fillId="0" borderId="17" xfId="0" applyFont="1" applyBorder="1" applyAlignment="1">
      <alignment horizontal="left" vertical="center" wrapText="1"/>
    </xf>
    <xf numFmtId="0" fontId="66" fillId="0" borderId="124" xfId="0" applyFont="1" applyBorder="1" applyAlignment="1">
      <alignment horizontal="center" vertical="center" wrapText="1"/>
    </xf>
    <xf numFmtId="0" fontId="47"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56" fillId="0" borderId="56" xfId="0" applyFont="1" applyBorder="1" applyAlignment="1">
      <alignment horizontal="center" vertical="center" wrapText="1"/>
    </xf>
    <xf numFmtId="0" fontId="66" fillId="0" borderId="123" xfId="0" applyFont="1" applyBorder="1" applyAlignment="1">
      <alignment horizontal="center" vertical="center" wrapText="1"/>
    </xf>
    <xf numFmtId="0" fontId="59" fillId="0" borderId="32" xfId="0" applyFont="1" applyBorder="1" applyAlignment="1">
      <alignment horizontal="center" vertical="center" wrapText="1"/>
    </xf>
    <xf numFmtId="0" fontId="59" fillId="0" borderId="42" xfId="0" applyFont="1" applyBorder="1" applyAlignment="1">
      <alignment horizontal="center" vertical="center" wrapText="1"/>
    </xf>
    <xf numFmtId="0" fontId="59" fillId="0" borderId="2" xfId="0" applyFont="1" applyBorder="1" applyAlignment="1">
      <alignment horizontal="center" vertical="center" wrapText="1"/>
    </xf>
    <xf numFmtId="0" fontId="56" fillId="0" borderId="38" xfId="0" applyFont="1" applyBorder="1" applyAlignment="1">
      <alignment horizontal="center" vertical="center" wrapText="1"/>
    </xf>
    <xf numFmtId="0" fontId="50" fillId="0" borderId="37" xfId="0" applyFont="1" applyBorder="1" applyAlignment="1">
      <alignment horizontal="center" vertical="center"/>
    </xf>
    <xf numFmtId="0" fontId="56" fillId="0" borderId="46" xfId="0" applyFont="1" applyBorder="1" applyAlignment="1">
      <alignment horizontal="center" vertical="center" wrapText="1"/>
    </xf>
    <xf numFmtId="0" fontId="56" fillId="0" borderId="47" xfId="0" applyFont="1" applyBorder="1" applyAlignment="1">
      <alignment horizontal="center" vertical="center" wrapText="1"/>
    </xf>
    <xf numFmtId="0" fontId="56" fillId="0" borderId="60" xfId="0" applyFont="1" applyBorder="1" applyAlignment="1">
      <alignment horizontal="center" vertical="center" wrapText="1"/>
    </xf>
    <xf numFmtId="0" fontId="59" fillId="0" borderId="38" xfId="0" applyFont="1" applyBorder="1" applyAlignment="1">
      <alignment horizontal="center" vertical="center" wrapText="1"/>
    </xf>
    <xf numFmtId="0" fontId="59" fillId="0" borderId="52" xfId="0" applyFont="1" applyBorder="1" applyAlignment="1">
      <alignment horizontal="center" vertical="center" wrapText="1"/>
    </xf>
    <xf numFmtId="0" fontId="50" fillId="0" borderId="38" xfId="0" applyFont="1" applyBorder="1" applyAlignment="1">
      <alignment horizontal="center" vertical="center"/>
    </xf>
    <xf numFmtId="0" fontId="50" fillId="0" borderId="32" xfId="0" applyFont="1" applyBorder="1" applyAlignment="1">
      <alignment horizontal="center" vertical="center"/>
    </xf>
    <xf numFmtId="0" fontId="58" fillId="0" borderId="32" xfId="0" applyFont="1" applyBorder="1" applyAlignment="1">
      <alignment horizontal="center" vertical="center" wrapText="1"/>
    </xf>
    <xf numFmtId="0" fontId="58" fillId="0" borderId="0" xfId="0" applyFont="1" applyBorder="1" applyAlignment="1">
      <alignment horizontal="center" vertical="center" wrapText="1"/>
    </xf>
    <xf numFmtId="0" fontId="26" fillId="0" borderId="32" xfId="0" applyFont="1" applyBorder="1" applyAlignment="1">
      <alignment horizontal="center" vertical="center" wrapText="1"/>
    </xf>
    <xf numFmtId="0" fontId="41" fillId="0" borderId="0" xfId="0" applyFont="1" applyBorder="1" applyAlignment="1">
      <alignment horizontal="center" vertical="center" wrapText="1"/>
    </xf>
    <xf numFmtId="0" fontId="41" fillId="0" borderId="121" xfId="0" applyFont="1" applyBorder="1" applyAlignment="1">
      <alignment horizontal="center" vertical="center" wrapText="1"/>
    </xf>
    <xf numFmtId="0" fontId="41" fillId="0" borderId="32" xfId="0" applyFont="1" applyBorder="1" applyAlignment="1">
      <alignment horizontal="center" vertical="center" wrapText="1"/>
    </xf>
    <xf numFmtId="0" fontId="56" fillId="0" borderId="36" xfId="0" applyFont="1" applyBorder="1" applyAlignment="1">
      <alignment horizontal="center" vertical="center" wrapText="1"/>
    </xf>
    <xf numFmtId="0" fontId="56" fillId="0" borderId="14" xfId="0" applyFont="1" applyBorder="1" applyAlignment="1">
      <alignment horizontal="center" vertical="center" wrapText="1"/>
    </xf>
    <xf numFmtId="0" fontId="56" fillId="0" borderId="121" xfId="0" applyFont="1" applyBorder="1" applyAlignment="1">
      <alignment horizontal="center" vertical="center" wrapText="1"/>
    </xf>
    <xf numFmtId="0" fontId="56" fillId="0" borderId="58" xfId="0" applyFont="1" applyBorder="1" applyAlignment="1">
      <alignment horizontal="center" vertical="center" wrapText="1"/>
    </xf>
    <xf numFmtId="0" fontId="50" fillId="0" borderId="153"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1" xfId="0" applyFont="1" applyBorder="1" applyAlignment="1">
      <alignment horizontal="center" vertical="center" wrapText="1"/>
    </xf>
    <xf numFmtId="0" fontId="50" fillId="0" borderId="42" xfId="0" applyFont="1" applyBorder="1" applyAlignment="1">
      <alignment horizontal="center" vertical="center" wrapText="1"/>
    </xf>
    <xf numFmtId="0" fontId="50" fillId="0" borderId="2" xfId="0" applyFont="1" applyBorder="1" applyAlignment="1">
      <alignment horizontal="center" vertical="center" wrapText="1"/>
    </xf>
    <xf numFmtId="0" fontId="50" fillId="0" borderId="205" xfId="0" applyFont="1" applyBorder="1" applyAlignment="1">
      <alignment horizontal="center" vertical="center" wrapText="1"/>
    </xf>
    <xf numFmtId="0" fontId="50" fillId="0" borderId="123" xfId="0" applyFont="1" applyBorder="1" applyAlignment="1">
      <alignment horizontal="center"/>
    </xf>
    <xf numFmtId="0" fontId="52" fillId="0" borderId="52" xfId="0" applyFont="1" applyBorder="1" applyAlignment="1">
      <alignment horizontal="center"/>
    </xf>
    <xf numFmtId="0" fontId="66" fillId="0" borderId="38" xfId="0" applyFont="1" applyBorder="1" applyAlignment="1">
      <alignment horizontal="center" vertical="center" wrapText="1"/>
    </xf>
    <xf numFmtId="0" fontId="66" fillId="0" borderId="152" xfId="0" applyFont="1" applyBorder="1" applyAlignment="1">
      <alignment horizontal="center" vertical="center" wrapText="1"/>
    </xf>
    <xf numFmtId="0" fontId="57" fillId="0" borderId="203" xfId="0" applyFont="1" applyBorder="1" applyAlignment="1">
      <alignment horizontal="center" vertical="center"/>
    </xf>
    <xf numFmtId="0" fontId="57" fillId="0" borderId="142" xfId="0" applyFont="1" applyBorder="1" applyAlignment="1">
      <alignment horizontal="center" vertical="center"/>
    </xf>
    <xf numFmtId="0" fontId="57" fillId="0" borderId="204" xfId="0" applyFont="1" applyBorder="1" applyAlignment="1">
      <alignment horizontal="center" vertical="center"/>
    </xf>
    <xf numFmtId="0" fontId="56" fillId="0" borderId="215" xfId="0" applyFont="1" applyBorder="1" applyAlignment="1">
      <alignment horizontal="center" vertical="center"/>
    </xf>
    <xf numFmtId="0" fontId="56" fillId="0" borderId="213" xfId="0" applyFont="1" applyBorder="1" applyAlignment="1">
      <alignment horizontal="center" vertical="center"/>
    </xf>
    <xf numFmtId="0" fontId="56" fillId="0" borderId="216" xfId="0" applyFont="1" applyBorder="1" applyAlignment="1">
      <alignment horizontal="center" vertical="center"/>
    </xf>
    <xf numFmtId="0" fontId="56" fillId="0" borderId="214" xfId="0" applyFont="1" applyBorder="1" applyAlignment="1">
      <alignment horizontal="center" vertical="center"/>
    </xf>
    <xf numFmtId="0" fontId="50" fillId="0" borderId="44" xfId="0" applyFont="1" applyBorder="1" applyAlignment="1">
      <alignment horizontal="center"/>
    </xf>
    <xf numFmtId="0" fontId="52" fillId="0" borderId="44" xfId="0" applyFont="1" applyBorder="1" applyAlignment="1">
      <alignment horizontal="center"/>
    </xf>
    <xf numFmtId="0" fontId="66" fillId="0" borderId="29" xfId="0" applyFont="1" applyBorder="1" applyAlignment="1">
      <alignment horizontal="center" vertical="center" wrapText="1"/>
    </xf>
    <xf numFmtId="0" fontId="66" fillId="0" borderId="30" xfId="0" applyFont="1" applyBorder="1" applyAlignment="1">
      <alignment horizontal="center" vertical="center" wrapText="1"/>
    </xf>
    <xf numFmtId="0" fontId="56" fillId="0" borderId="0" xfId="0" applyFont="1" applyBorder="1" applyAlignment="1">
      <alignment horizontal="center" vertical="center" wrapText="1"/>
    </xf>
    <xf numFmtId="0" fontId="56" fillId="0" borderId="8" xfId="0" applyFont="1" applyBorder="1" applyAlignment="1">
      <alignment horizontal="center" vertical="center" wrapText="1"/>
    </xf>
    <xf numFmtId="0" fontId="50" fillId="0" borderId="40" xfId="0" applyFont="1" applyBorder="1" applyAlignment="1">
      <alignment horizontal="center" vertical="center" wrapText="1"/>
    </xf>
    <xf numFmtId="0" fontId="50" fillId="0" borderId="8" xfId="0" applyFont="1" applyBorder="1" applyAlignment="1">
      <alignment horizontal="center" vertical="center" wrapText="1"/>
    </xf>
    <xf numFmtId="0" fontId="47" fillId="0" borderId="57" xfId="0" applyFont="1" applyBorder="1" applyAlignment="1">
      <alignment horizontal="center" vertical="center" wrapText="1"/>
    </xf>
    <xf numFmtId="0" fontId="47" fillId="0" borderId="125" xfId="0" applyFont="1" applyBorder="1" applyAlignment="1">
      <alignment horizontal="center" vertical="center" wrapText="1"/>
    </xf>
    <xf numFmtId="0" fontId="47" fillId="0" borderId="202" xfId="0" applyFont="1" applyBorder="1" applyAlignment="1">
      <alignment horizontal="center" vertical="center" wrapText="1"/>
    </xf>
    <xf numFmtId="0" fontId="56" fillId="0" borderId="36" xfId="0" applyFont="1" applyBorder="1" applyAlignment="1">
      <alignment horizontal="center" vertical="center"/>
    </xf>
    <xf numFmtId="0" fontId="56" fillId="0" borderId="14" xfId="0" applyFont="1" applyBorder="1" applyAlignment="1">
      <alignment horizontal="center" vertical="center"/>
    </xf>
    <xf numFmtId="0" fontId="56" fillId="0" borderId="58" xfId="0" applyFont="1" applyBorder="1" applyAlignment="1">
      <alignment horizontal="center" vertical="center"/>
    </xf>
    <xf numFmtId="0" fontId="47" fillId="0" borderId="1" xfId="0" applyFont="1" applyBorder="1" applyAlignment="1">
      <alignment horizontal="center" vertical="center" wrapText="1"/>
    </xf>
    <xf numFmtId="0" fontId="50" fillId="0" borderId="120" xfId="0" applyFont="1" applyBorder="1" applyAlignment="1">
      <alignment horizontal="center" vertical="center" wrapText="1"/>
    </xf>
    <xf numFmtId="0" fontId="89" fillId="0" borderId="86" xfId="3" applyFont="1" applyBorder="1" applyAlignment="1">
      <alignment horizontal="center" vertical="center"/>
    </xf>
    <xf numFmtId="0" fontId="90" fillId="0" borderId="87" xfId="3" applyFont="1" applyBorder="1" applyAlignment="1">
      <alignment vertical="center"/>
    </xf>
    <xf numFmtId="0" fontId="90" fillId="0" borderId="88" xfId="3" applyFont="1" applyBorder="1" applyAlignment="1">
      <alignment vertical="center"/>
    </xf>
    <xf numFmtId="0" fontId="65" fillId="0" borderId="98" xfId="3" applyFont="1" applyBorder="1" applyAlignment="1">
      <alignment horizontal="left" vertical="center"/>
    </xf>
    <xf numFmtId="0" fontId="65" fillId="0" borderId="99" xfId="3" applyFont="1" applyBorder="1" applyAlignment="1">
      <alignment horizontal="left" vertical="center"/>
    </xf>
    <xf numFmtId="0" fontId="65" fillId="0" borderId="100" xfId="3" applyFont="1" applyBorder="1" applyAlignment="1">
      <alignment horizontal="left" vertical="center"/>
    </xf>
    <xf numFmtId="0" fontId="65" fillId="0" borderId="107" xfId="3" applyFont="1" applyBorder="1" applyAlignment="1">
      <alignment horizontal="center" vertical="center"/>
    </xf>
    <xf numFmtId="0" fontId="65" fillId="0" borderId="91" xfId="3" applyFont="1" applyBorder="1" applyAlignment="1">
      <alignment horizontal="center" vertical="center"/>
    </xf>
    <xf numFmtId="0" fontId="65" fillId="0" borderId="92" xfId="3" applyFont="1" applyBorder="1" applyAlignment="1">
      <alignment horizontal="center" vertical="center"/>
    </xf>
    <xf numFmtId="0" fontId="65" fillId="0" borderId="104" xfId="3" applyFont="1" applyBorder="1" applyAlignment="1">
      <alignment horizontal="center" vertical="center"/>
    </xf>
    <xf numFmtId="0" fontId="65" fillId="0" borderId="105" xfId="3" applyFont="1" applyBorder="1" applyAlignment="1">
      <alignment horizontal="center" vertical="center"/>
    </xf>
    <xf numFmtId="0" fontId="65" fillId="0" borderId="110" xfId="3" applyFont="1" applyBorder="1" applyAlignment="1">
      <alignment horizontal="center" vertical="center"/>
    </xf>
    <xf numFmtId="0" fontId="65" fillId="0" borderId="102" xfId="3" applyFont="1" applyBorder="1" applyAlignment="1">
      <alignment horizontal="center" vertical="center"/>
    </xf>
    <xf numFmtId="0" fontId="65" fillId="0" borderId="111" xfId="3" applyFont="1" applyBorder="1" applyAlignment="1">
      <alignment horizontal="center" vertical="center"/>
    </xf>
    <xf numFmtId="0" fontId="89" fillId="0" borderId="87" xfId="3" applyFont="1" applyBorder="1" applyAlignment="1">
      <alignment horizontal="center" vertical="center"/>
    </xf>
    <xf numFmtId="0" fontId="89" fillId="0" borderId="88" xfId="3" applyFont="1" applyBorder="1" applyAlignment="1">
      <alignment horizontal="center" vertical="center"/>
    </xf>
    <xf numFmtId="0" fontId="69" fillId="0" borderId="107" xfId="3" applyFont="1" applyBorder="1" applyAlignment="1">
      <alignment horizontal="center" vertical="center"/>
    </xf>
    <xf numFmtId="0" fontId="69" fillId="0" borderId="91" xfId="3" applyFont="1" applyBorder="1" applyAlignment="1">
      <alignment horizontal="center" vertical="center"/>
    </xf>
    <xf numFmtId="0" fontId="69" fillId="0" borderId="108" xfId="3" applyFont="1" applyBorder="1" applyAlignment="1">
      <alignment horizontal="center" vertical="center"/>
    </xf>
    <xf numFmtId="0" fontId="69" fillId="0" borderId="223" xfId="3" applyFont="1" applyBorder="1" applyAlignment="1">
      <alignment horizontal="center" vertical="center"/>
    </xf>
    <xf numFmtId="0" fontId="69" fillId="0" borderId="224" xfId="3" applyFont="1" applyBorder="1" applyAlignment="1">
      <alignment horizontal="center" vertical="center"/>
    </xf>
    <xf numFmtId="0" fontId="69" fillId="0" borderId="225" xfId="3" applyFont="1" applyBorder="1" applyAlignment="1">
      <alignment horizontal="center" vertical="center"/>
    </xf>
    <xf numFmtId="0" fontId="69" fillId="0" borderId="217" xfId="3" applyFont="1" applyFill="1" applyBorder="1" applyAlignment="1">
      <alignment horizontal="center" vertical="center" wrapText="1"/>
    </xf>
    <xf numFmtId="0" fontId="69" fillId="0" borderId="218" xfId="3" applyFont="1" applyFill="1" applyBorder="1" applyAlignment="1">
      <alignment horizontal="center" vertical="center" wrapText="1"/>
    </xf>
    <xf numFmtId="0" fontId="69" fillId="0" borderId="219" xfId="3" applyFont="1" applyFill="1" applyBorder="1" applyAlignment="1">
      <alignment horizontal="center" vertical="center" wrapText="1"/>
    </xf>
    <xf numFmtId="0" fontId="69" fillId="0" borderId="226" xfId="3" applyFont="1" applyFill="1" applyBorder="1" applyAlignment="1">
      <alignment horizontal="center" vertical="center" wrapText="1"/>
    </xf>
    <xf numFmtId="0" fontId="53" fillId="0" borderId="203" xfId="592" applyBorder="1" applyAlignment="1">
      <alignment horizontal="left" vertical="center"/>
    </xf>
    <xf numFmtId="0" fontId="53" fillId="0" borderId="142" xfId="592" applyBorder="1" applyAlignment="1">
      <alignment horizontal="left" vertical="center"/>
    </xf>
    <xf numFmtId="0" fontId="53" fillId="0" borderId="204" xfId="592" applyBorder="1" applyAlignment="1">
      <alignment horizontal="left" vertical="center"/>
    </xf>
    <xf numFmtId="0" fontId="53" fillId="0" borderId="168" xfId="592" applyBorder="1" applyAlignment="1">
      <alignment horizontal="left" vertical="center"/>
    </xf>
    <xf numFmtId="0" fontId="53" fillId="0" borderId="169" xfId="592" applyBorder="1" applyAlignment="1">
      <alignment horizontal="left" vertical="center"/>
    </xf>
    <xf numFmtId="0" fontId="53" fillId="0" borderId="171" xfId="592" applyBorder="1" applyAlignment="1">
      <alignment horizontal="left" vertical="center"/>
    </xf>
    <xf numFmtId="0" fontId="69" fillId="0" borderId="123" xfId="341" applyFont="1" applyBorder="1" applyAlignment="1">
      <alignment horizontal="center" vertical="center" wrapText="1"/>
    </xf>
    <xf numFmtId="0" fontId="69" fillId="0" borderId="123" xfId="348" applyFont="1" applyBorder="1" applyAlignment="1">
      <alignment horizontal="center" vertical="center" wrapText="1"/>
    </xf>
    <xf numFmtId="0" fontId="69" fillId="0" borderId="168" xfId="348" applyFont="1" applyBorder="1" applyAlignment="1">
      <alignment horizontal="center" vertical="center" wrapText="1"/>
    </xf>
    <xf numFmtId="0" fontId="27" fillId="0" borderId="0" xfId="341" applyFont="1" applyBorder="1" applyAlignment="1">
      <alignment horizontal="center" vertical="center" wrapText="1"/>
    </xf>
    <xf numFmtId="0" fontId="27" fillId="0" borderId="169" xfId="341" applyFont="1" applyBorder="1" applyAlignment="1">
      <alignment horizontal="center" vertical="center" wrapText="1"/>
    </xf>
    <xf numFmtId="0" fontId="27" fillId="0" borderId="8" xfId="341" applyFont="1" applyBorder="1" applyAlignment="1">
      <alignment horizontal="center" vertical="center" wrapText="1"/>
    </xf>
    <xf numFmtId="0" fontId="27" fillId="0" borderId="53" xfId="341" applyFont="1" applyBorder="1" applyAlignment="1">
      <alignment horizontal="center" vertical="center" wrapText="1"/>
    </xf>
    <xf numFmtId="0" fontId="88" fillId="0" borderId="3" xfId="341" applyFont="1" applyBorder="1" applyAlignment="1">
      <alignment horizontal="center" vertical="center" wrapText="1"/>
    </xf>
    <xf numFmtId="0" fontId="88" fillId="0" borderId="170" xfId="341" applyFont="1" applyBorder="1" applyAlignment="1">
      <alignment horizontal="center" vertical="center" wrapText="1"/>
    </xf>
    <xf numFmtId="0" fontId="27" fillId="0" borderId="32" xfId="341" applyFont="1" applyBorder="1" applyAlignment="1">
      <alignment horizontal="center" vertical="center" wrapText="1"/>
    </xf>
    <xf numFmtId="0" fontId="129" fillId="0" borderId="42" xfId="341" applyFont="1" applyBorder="1" applyAlignment="1">
      <alignment horizontal="center" vertical="center" wrapText="1"/>
    </xf>
    <xf numFmtId="0" fontId="129" fillId="0" borderId="149" xfId="341" applyFont="1" applyBorder="1" applyAlignment="1">
      <alignment horizontal="center" vertical="center" wrapText="1"/>
    </xf>
    <xf numFmtId="0" fontId="26" fillId="0" borderId="144" xfId="0" applyFont="1" applyBorder="1" applyAlignment="1">
      <alignment horizontal="center" vertical="center"/>
    </xf>
    <xf numFmtId="0" fontId="26" fillId="0" borderId="145" xfId="0" applyFont="1" applyBorder="1" applyAlignment="1">
      <alignment horizontal="center" vertical="center"/>
    </xf>
    <xf numFmtId="0" fontId="26" fillId="0" borderId="35" xfId="0" applyFont="1" applyBorder="1" applyAlignment="1">
      <alignment horizontal="center" vertical="center"/>
    </xf>
    <xf numFmtId="0" fontId="69" fillId="0" borderId="0" xfId="341" applyFont="1" applyBorder="1" applyAlignment="1">
      <alignment horizontal="center" vertical="center" wrapText="1"/>
    </xf>
    <xf numFmtId="0" fontId="69" fillId="0" borderId="126" xfId="341" applyFont="1" applyBorder="1" applyAlignment="1">
      <alignment horizontal="center" vertical="center" wrapText="1"/>
    </xf>
    <xf numFmtId="0" fontId="69" fillId="0" borderId="155" xfId="341" applyFont="1" applyBorder="1" applyAlignment="1">
      <alignment horizontal="center" vertical="center" wrapText="1"/>
    </xf>
    <xf numFmtId="0" fontId="69" fillId="0" borderId="38" xfId="341" applyFont="1" applyBorder="1" applyAlignment="1">
      <alignment horizontal="center" vertical="center" wrapText="1"/>
    </xf>
    <xf numFmtId="0" fontId="69" fillId="0" borderId="124" xfId="341" applyFont="1" applyBorder="1" applyAlignment="1">
      <alignment horizontal="center" vertical="center" wrapText="1"/>
    </xf>
    <xf numFmtId="0" fontId="18" fillId="0" borderId="8" xfId="930" applyFont="1" applyBorder="1" applyAlignment="1">
      <alignment horizontal="center" vertical="center" wrapText="1"/>
    </xf>
    <xf numFmtId="0" fontId="20" fillId="0" borderId="36" xfId="0" applyFont="1" applyBorder="1" applyAlignment="1">
      <alignment horizontal="center" vertical="center"/>
    </xf>
    <xf numFmtId="0" fontId="20" fillId="0" borderId="14" xfId="0" applyFont="1" applyBorder="1" applyAlignment="1">
      <alignment horizontal="center" vertical="center"/>
    </xf>
    <xf numFmtId="0" fontId="20" fillId="0" borderId="37" xfId="0" applyFont="1" applyBorder="1" applyAlignment="1">
      <alignment horizontal="center" vertical="center"/>
    </xf>
    <xf numFmtId="0" fontId="21" fillId="0" borderId="0" xfId="341" applyFont="1" applyBorder="1" applyAlignment="1">
      <alignment horizontal="center" vertical="center" wrapText="1"/>
    </xf>
    <xf numFmtId="0" fontId="21" fillId="0" borderId="0" xfId="348" applyFont="1" applyBorder="1" applyAlignment="1">
      <alignment horizontal="center" vertical="center" wrapText="1"/>
    </xf>
    <xf numFmtId="0" fontId="129" fillId="0" borderId="199" xfId="341" applyFont="1" applyBorder="1" applyAlignment="1">
      <alignment horizontal="center" vertical="center" wrapText="1"/>
    </xf>
    <xf numFmtId="0" fontId="129" fillId="0" borderId="61" xfId="341" applyFont="1" applyBorder="1" applyAlignment="1">
      <alignment horizontal="center" vertical="center" wrapText="1"/>
    </xf>
    <xf numFmtId="0" fontId="129" fillId="0" borderId="197" xfId="341" applyFont="1" applyBorder="1" applyAlignment="1">
      <alignment horizontal="center" vertical="center" wrapText="1"/>
    </xf>
    <xf numFmtId="0" fontId="129" fillId="0" borderId="0" xfId="341" applyFont="1" applyBorder="1" applyAlignment="1">
      <alignment horizontal="center" vertical="center" wrapText="1"/>
    </xf>
    <xf numFmtId="0" fontId="26" fillId="0" borderId="36" xfId="0" applyFont="1" applyBorder="1" applyAlignment="1">
      <alignment horizontal="center" vertical="center"/>
    </xf>
    <xf numFmtId="0" fontId="26" fillId="0" borderId="14" xfId="0" applyFont="1" applyBorder="1" applyAlignment="1">
      <alignment horizontal="center" vertical="center"/>
    </xf>
    <xf numFmtId="0" fontId="26" fillId="0" borderId="58" xfId="0" applyFont="1" applyBorder="1" applyAlignment="1">
      <alignment horizontal="center" vertical="center"/>
    </xf>
    <xf numFmtId="0" fontId="21" fillId="0" borderId="123" xfId="341" applyFont="1" applyBorder="1" applyAlignment="1">
      <alignment horizontal="center" vertical="center" wrapText="1"/>
    </xf>
    <xf numFmtId="0" fontId="21" fillId="0" borderId="1" xfId="341" applyFont="1" applyBorder="1" applyAlignment="1">
      <alignment horizontal="center" vertical="center" wrapText="1"/>
    </xf>
    <xf numFmtId="0" fontId="21" fillId="0" borderId="199" xfId="341" applyFont="1" applyBorder="1" applyAlignment="1">
      <alignment horizontal="center" vertical="center" wrapText="1"/>
    </xf>
    <xf numFmtId="0" fontId="21" fillId="0" borderId="61" xfId="341" applyFont="1" applyBorder="1" applyAlignment="1">
      <alignment horizontal="center" vertical="center" wrapText="1"/>
    </xf>
    <xf numFmtId="0" fontId="21" fillId="0" borderId="200" xfId="341" applyFont="1" applyBorder="1" applyAlignment="1">
      <alignment horizontal="center" vertical="center" wrapText="1"/>
    </xf>
    <xf numFmtId="0" fontId="21" fillId="0" borderId="2" xfId="341" applyFont="1" applyBorder="1" applyAlignment="1">
      <alignment horizontal="center" vertical="center" wrapText="1"/>
    </xf>
    <xf numFmtId="0" fontId="88" fillId="0" borderId="33" xfId="341" applyFont="1" applyBorder="1" applyAlignment="1">
      <alignment horizontal="center" vertical="center" wrapText="1"/>
    </xf>
    <xf numFmtId="0" fontId="88" fillId="0" borderId="34" xfId="341" applyFont="1" applyBorder="1" applyAlignment="1">
      <alignment horizontal="center" vertical="center" wrapText="1"/>
    </xf>
    <xf numFmtId="0" fontId="21" fillId="0" borderId="46" xfId="341" applyFont="1" applyBorder="1" applyAlignment="1">
      <alignment horizontal="center" vertical="center" wrapText="1"/>
    </xf>
    <xf numFmtId="0" fontId="21" fillId="0" borderId="47" xfId="341" applyFont="1" applyBorder="1" applyAlignment="1">
      <alignment horizontal="center" vertical="center" wrapText="1"/>
    </xf>
    <xf numFmtId="0" fontId="50" fillId="0" borderId="194" xfId="0" applyFont="1" applyBorder="1" applyAlignment="1">
      <alignment horizontal="center" vertical="center"/>
    </xf>
    <xf numFmtId="0" fontId="50" fillId="0" borderId="195" xfId="0" applyFont="1" applyBorder="1" applyAlignment="1">
      <alignment horizontal="center" vertical="center"/>
    </xf>
    <xf numFmtId="0" fontId="50" fillId="0" borderId="35" xfId="0" applyFont="1" applyBorder="1" applyAlignment="1">
      <alignment horizontal="center" vertical="center"/>
    </xf>
    <xf numFmtId="0" fontId="56" fillId="0" borderId="227" xfId="0" applyFont="1" applyBorder="1" applyAlignment="1">
      <alignment horizontal="center" vertical="center" wrapText="1"/>
    </xf>
    <xf numFmtId="0" fontId="56" fillId="0" borderId="230" xfId="0" applyFont="1" applyBorder="1" applyAlignment="1">
      <alignment horizontal="center" vertical="center" wrapText="1"/>
    </xf>
    <xf numFmtId="0" fontId="56" fillId="0" borderId="37" xfId="0" applyFont="1" applyBorder="1" applyAlignment="1">
      <alignment horizontal="center" vertical="center"/>
    </xf>
    <xf numFmtId="0" fontId="50" fillId="0" borderId="206" xfId="0" applyFont="1" applyBorder="1" applyAlignment="1">
      <alignment horizontal="center" vertical="center"/>
    </xf>
    <xf numFmtId="0" fontId="50" fillId="0" borderId="207" xfId="0" applyFont="1" applyBorder="1" applyAlignment="1">
      <alignment horizontal="center" vertical="center"/>
    </xf>
    <xf numFmtId="0" fontId="56" fillId="0" borderId="40" xfId="0" applyFont="1" applyBorder="1" applyAlignment="1">
      <alignment horizontal="center" vertical="center" wrapText="1"/>
    </xf>
    <xf numFmtId="0" fontId="38" fillId="0" borderId="203" xfId="0" applyFont="1" applyBorder="1" applyAlignment="1">
      <alignment horizontal="left" vertical="top"/>
    </xf>
    <xf numFmtId="0" fontId="38" fillId="0" borderId="142" xfId="0" applyFont="1" applyBorder="1" applyAlignment="1">
      <alignment horizontal="left" vertical="top"/>
    </xf>
    <xf numFmtId="0" fontId="38" fillId="0" borderId="204" xfId="0" applyFont="1" applyBorder="1" applyAlignment="1">
      <alignment horizontal="left" vertical="top"/>
    </xf>
    <xf numFmtId="0" fontId="38" fillId="0" borderId="168" xfId="0" applyFont="1" applyBorder="1" applyAlignment="1">
      <alignment horizontal="left" vertical="top"/>
    </xf>
    <xf numFmtId="0" fontId="38" fillId="0" borderId="169" xfId="0" applyFont="1" applyBorder="1" applyAlignment="1">
      <alignment horizontal="left" vertical="top"/>
    </xf>
    <xf numFmtId="0" fontId="38" fillId="0" borderId="171" xfId="0" applyFont="1" applyBorder="1" applyAlignment="1">
      <alignment horizontal="left" vertical="top"/>
    </xf>
    <xf numFmtId="0" fontId="50" fillId="0" borderId="145" xfId="0" applyFont="1" applyBorder="1" applyAlignment="1">
      <alignment horizontal="center" vertical="center"/>
    </xf>
    <xf numFmtId="0" fontId="50" fillId="0" borderId="22" xfId="0" applyFont="1" applyBorder="1" applyAlignment="1">
      <alignment horizontal="center" vertical="center"/>
    </xf>
    <xf numFmtId="0" fontId="50" fillId="0" borderId="23" xfId="0" applyFont="1" applyBorder="1" applyAlignment="1">
      <alignment horizontal="center" vertical="center"/>
    </xf>
    <xf numFmtId="0" fontId="66" fillId="0" borderId="230" xfId="0" applyFont="1" applyBorder="1" applyAlignment="1">
      <alignment horizontal="center" vertical="center" wrapText="1"/>
    </xf>
    <xf numFmtId="0" fontId="50" fillId="0" borderId="203" xfId="0" applyFont="1" applyBorder="1" applyAlignment="1">
      <alignment horizontal="center" vertical="center"/>
    </xf>
    <xf numFmtId="0" fontId="50" fillId="0" borderId="142" xfId="0" applyFont="1" applyBorder="1" applyAlignment="1">
      <alignment horizontal="center" vertical="center"/>
    </xf>
    <xf numFmtId="0" fontId="50" fillId="0" borderId="204" xfId="0" applyFont="1" applyBorder="1" applyAlignment="1">
      <alignment horizontal="center" vertical="center"/>
    </xf>
    <xf numFmtId="0" fontId="56" fillId="0" borderId="233" xfId="0" applyFont="1" applyBorder="1" applyAlignment="1">
      <alignment horizontal="center" vertical="center" wrapText="1"/>
    </xf>
    <xf numFmtId="0" fontId="89" fillId="0" borderId="4" xfId="348" applyFont="1" applyBorder="1" applyAlignment="1">
      <alignment horizontal="center" vertical="center"/>
    </xf>
    <xf numFmtId="0" fontId="89" fillId="0" borderId="5" xfId="348" applyFont="1" applyBorder="1" applyAlignment="1">
      <alignment horizontal="center" vertical="center"/>
    </xf>
    <xf numFmtId="0" fontId="89" fillId="0" borderId="6" xfId="348" applyFont="1" applyBorder="1" applyAlignment="1">
      <alignment horizontal="center" vertical="center"/>
    </xf>
    <xf numFmtId="0" fontId="53" fillId="0" borderId="79" xfId="341" applyFont="1" applyBorder="1" applyAlignment="1">
      <alignment horizontal="center" vertical="center"/>
    </xf>
    <xf numFmtId="0" fontId="53" fillId="0" borderId="78" xfId="348" applyFont="1" applyBorder="1" applyAlignment="1"/>
    <xf numFmtId="0" fontId="53" fillId="0" borderId="80" xfId="348" applyFont="1" applyBorder="1" applyAlignment="1"/>
    <xf numFmtId="0" fontId="69" fillId="0" borderId="141" xfId="341" applyFont="1" applyBorder="1" applyAlignment="1">
      <alignment horizontal="center" vertical="center" wrapText="1"/>
    </xf>
    <xf numFmtId="0" fontId="27" fillId="0" borderId="142" xfId="341" applyFont="1" applyBorder="1" applyAlignment="1">
      <alignment horizontal="center" vertical="center" wrapText="1"/>
    </xf>
    <xf numFmtId="0" fontId="27" fillId="0" borderId="26" xfId="341" applyFont="1" applyBorder="1" applyAlignment="1">
      <alignment horizontal="center" vertical="center" wrapText="1"/>
    </xf>
    <xf numFmtId="0" fontId="53" fillId="0" borderId="203" xfId="341" applyBorder="1" applyAlignment="1">
      <alignment horizontal="left" vertical="top"/>
    </xf>
    <xf numFmtId="0" fontId="53" fillId="0" borderId="142" xfId="341" applyBorder="1" applyAlignment="1">
      <alignment horizontal="left" vertical="top"/>
    </xf>
    <xf numFmtId="0" fontId="53" fillId="0" borderId="204" xfId="341" applyBorder="1" applyAlignment="1">
      <alignment horizontal="left" vertical="top"/>
    </xf>
    <xf numFmtId="0" fontId="53" fillId="0" borderId="168" xfId="341" applyBorder="1" applyAlignment="1">
      <alignment horizontal="left" vertical="top"/>
    </xf>
    <xf numFmtId="0" fontId="53" fillId="0" borderId="169" xfId="341" applyBorder="1" applyAlignment="1">
      <alignment horizontal="left" vertical="top"/>
    </xf>
    <xf numFmtId="0" fontId="53" fillId="0" borderId="171" xfId="341" applyBorder="1" applyAlignment="1">
      <alignment horizontal="left" vertical="top"/>
    </xf>
    <xf numFmtId="0" fontId="134" fillId="0" borderId="155" xfId="341" applyFont="1" applyBorder="1" applyAlignment="1">
      <alignment horizontal="center" vertical="center" wrapText="1"/>
    </xf>
    <xf numFmtId="0" fontId="134" fillId="0" borderId="177" xfId="341" applyFont="1" applyBorder="1" applyAlignment="1">
      <alignment horizontal="center" vertical="center" wrapText="1"/>
    </xf>
    <xf numFmtId="0" fontId="88" fillId="0" borderId="1" xfId="341" applyFont="1" applyBorder="1" applyAlignment="1">
      <alignment horizontal="center" vertical="center" wrapText="1"/>
    </xf>
    <xf numFmtId="0" fontId="27" fillId="0" borderId="49" xfId="341" applyFont="1" applyBorder="1" applyAlignment="1">
      <alignment horizontal="center" vertical="center" wrapText="1"/>
    </xf>
    <xf numFmtId="0" fontId="134" fillId="0" borderId="189" xfId="341" applyFont="1" applyBorder="1" applyAlignment="1">
      <alignment horizontal="center" vertical="center" wrapText="1"/>
    </xf>
    <xf numFmtId="0" fontId="69" fillId="0" borderId="25" xfId="341" applyFont="1" applyBorder="1" applyAlignment="1">
      <alignment horizontal="center" vertical="center" wrapText="1"/>
    </xf>
    <xf numFmtId="0" fontId="69" fillId="0" borderId="18" xfId="348" applyFont="1" applyBorder="1" applyAlignment="1">
      <alignment horizontal="center" vertical="center" wrapText="1"/>
    </xf>
    <xf numFmtId="0" fontId="69" fillId="0" borderId="48" xfId="348" applyFont="1" applyBorder="1" applyAlignment="1">
      <alignment horizontal="center" vertical="center" wrapText="1"/>
    </xf>
    <xf numFmtId="0" fontId="27" fillId="0" borderId="27" xfId="341" applyFont="1" applyBorder="1" applyAlignment="1">
      <alignment horizontal="center" vertical="center" wrapText="1"/>
    </xf>
    <xf numFmtId="0" fontId="88" fillId="0" borderId="70" xfId="341" applyFont="1" applyBorder="1" applyAlignment="1">
      <alignment horizontal="center" vertical="center" wrapText="1"/>
    </xf>
    <xf numFmtId="0" fontId="129" fillId="0" borderId="69" xfId="341" applyFont="1" applyBorder="1" applyAlignment="1">
      <alignment horizontal="center" vertical="center" wrapText="1"/>
    </xf>
    <xf numFmtId="0" fontId="134" fillId="0" borderId="126" xfId="341" applyFont="1" applyBorder="1" applyAlignment="1">
      <alignment horizontal="center" vertical="center" wrapText="1"/>
    </xf>
    <xf numFmtId="0" fontId="11" fillId="0" borderId="141" xfId="592" applyFont="1" applyBorder="1" applyAlignment="1">
      <alignment horizontal="left" vertical="center"/>
    </xf>
    <xf numFmtId="0" fontId="29" fillId="0" borderId="142" xfId="592" applyFont="1" applyBorder="1" applyAlignment="1">
      <alignment horizontal="left" vertical="center"/>
    </xf>
    <xf numFmtId="0" fontId="29" fillId="0" borderId="143" xfId="592" applyFont="1" applyBorder="1" applyAlignment="1">
      <alignment horizontal="left" vertical="center"/>
    </xf>
    <xf numFmtId="0" fontId="29" fillId="0" borderId="168" xfId="592" applyFont="1" applyBorder="1" applyAlignment="1">
      <alignment horizontal="left" vertical="center"/>
    </xf>
    <xf numFmtId="0" fontId="29" fillId="0" borderId="169" xfId="592" applyFont="1" applyBorder="1" applyAlignment="1">
      <alignment horizontal="left" vertical="center"/>
    </xf>
    <xf numFmtId="0" fontId="29" fillId="0" borderId="171" xfId="592" applyFont="1" applyBorder="1" applyAlignment="1">
      <alignment horizontal="left" vertical="center"/>
    </xf>
    <xf numFmtId="0" fontId="29" fillId="0" borderId="32" xfId="592" applyFont="1" applyBorder="1" applyAlignment="1">
      <alignment horizontal="center" vertical="center" wrapText="1"/>
    </xf>
    <xf numFmtId="0" fontId="29" fillId="0" borderId="0" xfId="592" applyFont="1" applyBorder="1" applyAlignment="1">
      <alignment horizontal="center" vertical="center" wrapText="1"/>
    </xf>
    <xf numFmtId="0" fontId="29" fillId="0" borderId="38" xfId="592" applyFont="1" applyBorder="1" applyAlignment="1">
      <alignment horizontal="center" vertical="center" wrapText="1"/>
    </xf>
    <xf numFmtId="0" fontId="29" fillId="0" borderId="123" xfId="592" applyFont="1" applyBorder="1" applyAlignment="1">
      <alignment horizontal="center" vertical="center" wrapText="1"/>
    </xf>
    <xf numFmtId="0" fontId="29" fillId="0" borderId="79" xfId="341" applyFont="1" applyBorder="1" applyAlignment="1">
      <alignment horizontal="center" vertical="center"/>
    </xf>
    <xf numFmtId="0" fontId="29" fillId="0" borderId="78" xfId="341" applyFont="1" applyBorder="1" applyAlignment="1">
      <alignment horizontal="center" vertical="center"/>
    </xf>
    <xf numFmtId="0" fontId="29" fillId="0" borderId="80" xfId="341" applyFont="1" applyBorder="1" applyAlignment="1">
      <alignment horizontal="center" vertical="center"/>
    </xf>
    <xf numFmtId="0" fontId="89" fillId="0" borderId="4" xfId="592" applyFont="1" applyBorder="1" applyAlignment="1">
      <alignment horizontal="center" vertical="center"/>
    </xf>
    <xf numFmtId="0" fontId="89" fillId="0" borderId="5" xfId="592" applyFont="1" applyBorder="1" applyAlignment="1">
      <alignment horizontal="center" vertical="center"/>
    </xf>
    <xf numFmtId="0" fontId="89" fillId="0" borderId="6" xfId="592" applyFont="1" applyBorder="1" applyAlignment="1">
      <alignment horizontal="center" vertical="center"/>
    </xf>
    <xf numFmtId="0" fontId="69" fillId="0" borderId="144" xfId="592" applyFont="1" applyBorder="1" applyAlignment="1">
      <alignment horizontal="center" vertical="center" wrapText="1"/>
    </xf>
    <xf numFmtId="0" fontId="69" fillId="0" borderId="145" xfId="592" applyFont="1" applyBorder="1" applyAlignment="1">
      <alignment horizontal="center" vertical="center" wrapText="1"/>
    </xf>
    <xf numFmtId="0" fontId="29" fillId="0" borderId="3" xfId="592" applyFont="1" applyBorder="1" applyAlignment="1">
      <alignment horizontal="center" vertical="center" wrapText="1"/>
    </xf>
    <xf numFmtId="0" fontId="29" fillId="0" borderId="1" xfId="592" applyFont="1" applyBorder="1" applyAlignment="1">
      <alignment horizontal="center" vertical="center" wrapText="1"/>
    </xf>
    <xf numFmtId="0" fontId="69" fillId="0" borderId="43" xfId="592" applyFont="1" applyBorder="1" applyAlignment="1">
      <alignment horizontal="center" vertical="center" wrapText="1"/>
    </xf>
    <xf numFmtId="0" fontId="69" fillId="0" borderId="142" xfId="592" applyFont="1" applyBorder="1" applyAlignment="1">
      <alignment horizontal="center" vertical="center" wrapText="1"/>
    </xf>
    <xf numFmtId="0" fontId="29" fillId="0" borderId="173" xfId="592" applyFont="1" applyBorder="1" applyAlignment="1">
      <alignment horizontal="center" vertical="center" wrapText="1"/>
    </xf>
    <xf numFmtId="0" fontId="29" fillId="0" borderId="174" xfId="592" applyFont="1" applyBorder="1" applyAlignment="1">
      <alignment horizontal="center" vertical="center" wrapText="1"/>
    </xf>
    <xf numFmtId="0" fontId="11" fillId="0" borderId="203" xfId="592" applyFont="1" applyBorder="1" applyAlignment="1">
      <alignment horizontal="left" vertical="top"/>
    </xf>
    <xf numFmtId="0" fontId="19" fillId="0" borderId="142" xfId="592" applyFont="1" applyBorder="1" applyAlignment="1">
      <alignment horizontal="left" vertical="top"/>
    </xf>
    <xf numFmtId="0" fontId="19" fillId="0" borderId="204" xfId="592" applyFont="1" applyBorder="1" applyAlignment="1">
      <alignment horizontal="left" vertical="top"/>
    </xf>
    <xf numFmtId="0" fontId="19" fillId="0" borderId="168" xfId="592" applyFont="1" applyBorder="1" applyAlignment="1">
      <alignment horizontal="left" vertical="top"/>
    </xf>
    <xf numFmtId="0" fontId="19" fillId="0" borderId="169" xfId="592" applyFont="1" applyBorder="1" applyAlignment="1">
      <alignment horizontal="left" vertical="top"/>
    </xf>
    <xf numFmtId="0" fontId="19" fillId="0" borderId="171" xfId="592" applyFont="1" applyBorder="1" applyAlignment="1">
      <alignment horizontal="left" vertical="top"/>
    </xf>
    <xf numFmtId="0" fontId="69" fillId="0" borderId="144" xfId="592" applyFont="1" applyBorder="1" applyAlignment="1">
      <alignment horizontal="center" vertical="center"/>
    </xf>
    <xf numFmtId="0" fontId="69" fillId="0" borderId="145" xfId="592" applyFont="1" applyBorder="1" applyAlignment="1">
      <alignment horizontal="center" vertical="center"/>
    </xf>
    <xf numFmtId="0" fontId="69" fillId="0" borderId="35" xfId="592" applyFont="1" applyBorder="1" applyAlignment="1">
      <alignment horizontal="center" vertical="center"/>
    </xf>
    <xf numFmtId="0" fontId="27" fillId="0" borderId="3" xfId="592" applyFont="1" applyBorder="1" applyAlignment="1">
      <alignment horizontal="center" vertical="center"/>
    </xf>
    <xf numFmtId="0" fontId="27" fillId="0" borderId="32" xfId="592" applyFont="1" applyBorder="1" applyAlignment="1">
      <alignment horizontal="center" vertical="center"/>
    </xf>
    <xf numFmtId="0" fontId="27" fillId="0" borderId="39" xfId="592" applyFont="1" applyBorder="1" applyAlignment="1">
      <alignment horizontal="center" vertical="center"/>
    </xf>
    <xf numFmtId="0" fontId="27" fillId="0" borderId="40" xfId="592" applyFont="1" applyBorder="1" applyAlignment="1">
      <alignment horizontal="center" vertical="center"/>
    </xf>
    <xf numFmtId="0" fontId="69" fillId="0" borderId="183" xfId="592" applyFont="1" applyBorder="1" applyAlignment="1">
      <alignment horizontal="center" vertical="center"/>
    </xf>
    <xf numFmtId="0" fontId="69" fillId="0" borderId="142" xfId="592" applyFont="1" applyBorder="1" applyAlignment="1">
      <alignment horizontal="center" vertical="center"/>
    </xf>
    <xf numFmtId="0" fontId="69" fillId="0" borderId="143" xfId="592" applyFont="1" applyBorder="1" applyAlignment="1">
      <alignment horizontal="center" vertical="center"/>
    </xf>
    <xf numFmtId="0" fontId="57" fillId="0" borderId="4" xfId="1105" applyFont="1" applyBorder="1" applyAlignment="1">
      <alignment horizontal="center" vertical="center"/>
    </xf>
    <xf numFmtId="0" fontId="57" fillId="0" borderId="5" xfId="1105" applyFont="1" applyBorder="1" applyAlignment="1">
      <alignment horizontal="center" vertical="center"/>
    </xf>
    <xf numFmtId="0" fontId="57" fillId="0" borderId="6" xfId="1105" applyFont="1" applyBorder="1" applyAlignment="1">
      <alignment horizontal="center" vertical="center"/>
    </xf>
    <xf numFmtId="0" fontId="38" fillId="0" borderId="32" xfId="1105" applyFont="1" applyBorder="1" applyAlignment="1">
      <alignment horizontal="center" vertical="center"/>
    </xf>
    <xf numFmtId="0" fontId="38" fillId="0" borderId="121" xfId="1105" applyFont="1" applyBorder="1" applyAlignment="1">
      <alignment horizontal="center" vertical="center"/>
    </xf>
    <xf numFmtId="0" fontId="38" fillId="0" borderId="40" xfId="1105" applyFont="1" applyBorder="1" applyAlignment="1">
      <alignment horizontal="center" wrapText="1"/>
    </xf>
    <xf numFmtId="0" fontId="38" fillId="0" borderId="158" xfId="1105" applyFont="1" applyBorder="1" applyAlignment="1">
      <alignment horizontal="center" wrapText="1"/>
    </xf>
    <xf numFmtId="0" fontId="8" fillId="0" borderId="206" xfId="1105" applyFont="1" applyBorder="1" applyAlignment="1">
      <alignment horizontal="center"/>
    </xf>
    <xf numFmtId="0" fontId="8" fillId="0" borderId="207" xfId="1105" applyFont="1" applyBorder="1" applyAlignment="1">
      <alignment horizontal="center"/>
    </xf>
    <xf numFmtId="0" fontId="38" fillId="0" borderId="203" xfId="0" applyFont="1" applyBorder="1" applyAlignment="1">
      <alignment horizontal="left" vertical="center"/>
    </xf>
    <xf numFmtId="0" fontId="38" fillId="0" borderId="142" xfId="0" applyFont="1" applyBorder="1" applyAlignment="1">
      <alignment horizontal="left" vertical="center"/>
    </xf>
    <xf numFmtId="0" fontId="38" fillId="0" borderId="204" xfId="0" applyFont="1" applyBorder="1" applyAlignment="1">
      <alignment horizontal="left" vertical="center"/>
    </xf>
    <xf numFmtId="0" fontId="38" fillId="0" borderId="168" xfId="0" applyFont="1" applyBorder="1" applyAlignment="1">
      <alignment horizontal="left" vertical="center"/>
    </xf>
    <xf numFmtId="0" fontId="38" fillId="0" borderId="169" xfId="0" applyFont="1" applyBorder="1" applyAlignment="1">
      <alignment horizontal="left" vertical="center"/>
    </xf>
    <xf numFmtId="0" fontId="38" fillId="0" borderId="171" xfId="0" applyFont="1" applyBorder="1" applyAlignment="1">
      <alignment horizontal="left" vertical="center"/>
    </xf>
    <xf numFmtId="9" fontId="38" fillId="0" borderId="0" xfId="1" applyFont="1" applyAlignment="1">
      <alignment horizontal="center" vertical="center" wrapText="1"/>
    </xf>
    <xf numFmtId="0" fontId="9" fillId="0" borderId="0" xfId="0" applyFont="1" applyAlignment="1">
      <alignment horizontal="center" vertical="center"/>
    </xf>
    <xf numFmtId="9" fontId="38" fillId="0" borderId="0" xfId="1" applyFont="1" applyAlignment="1">
      <alignment horizontal="center"/>
    </xf>
    <xf numFmtId="0" fontId="38" fillId="0" borderId="152" xfId="0" applyFont="1" applyBorder="1" applyAlignment="1">
      <alignment horizontal="center" vertical="center"/>
    </xf>
    <xf numFmtId="0" fontId="38" fillId="0" borderId="14" xfId="0" applyFont="1" applyBorder="1" applyAlignment="1">
      <alignment horizontal="center" vertical="center"/>
    </xf>
    <xf numFmtId="0" fontId="38" fillId="0" borderId="37" xfId="0" applyFont="1" applyBorder="1" applyAlignment="1">
      <alignment horizontal="center" vertical="center"/>
    </xf>
    <xf numFmtId="0" fontId="38" fillId="0" borderId="29" xfId="0" applyFont="1" applyBorder="1" applyAlignment="1">
      <alignment horizontal="center" vertical="center" wrapText="1"/>
    </xf>
    <xf numFmtId="0" fontId="52" fillId="0" borderId="56" xfId="0" applyFont="1" applyBorder="1" applyAlignment="1">
      <alignment horizontal="center" vertical="center" wrapText="1"/>
    </xf>
    <xf numFmtId="0" fontId="56" fillId="0" borderId="152" xfId="0" applyFont="1" applyBorder="1" applyAlignment="1">
      <alignment horizontal="center" vertical="center"/>
    </xf>
    <xf numFmtId="0" fontId="136" fillId="0" borderId="36" xfId="0" applyFont="1" applyBorder="1" applyAlignment="1">
      <alignment horizontal="center" vertical="center"/>
    </xf>
    <xf numFmtId="0" fontId="57" fillId="0" borderId="14" xfId="0" applyFont="1" applyBorder="1" applyAlignment="1">
      <alignment horizontal="center" vertical="center"/>
    </xf>
    <xf numFmtId="0" fontId="57" fillId="0" borderId="37" xfId="0" applyFont="1" applyBorder="1" applyAlignment="1">
      <alignment horizontal="center" vertical="center"/>
    </xf>
    <xf numFmtId="0" fontId="57" fillId="0" borderId="141" xfId="0" applyFont="1" applyBorder="1" applyAlignment="1">
      <alignment horizontal="center" vertical="center"/>
    </xf>
    <xf numFmtId="0" fontId="57" fillId="0" borderId="143" xfId="0" applyFont="1" applyBorder="1" applyAlignment="1">
      <alignment horizontal="center" vertical="center"/>
    </xf>
    <xf numFmtId="0" fontId="136" fillId="0" borderId="14" xfId="0" applyFont="1" applyBorder="1" applyAlignment="1">
      <alignment horizontal="center" vertical="center"/>
    </xf>
    <xf numFmtId="0" fontId="57" fillId="0" borderId="58" xfId="0" applyFont="1" applyBorder="1" applyAlignment="1">
      <alignment horizontal="center" vertical="center"/>
    </xf>
    <xf numFmtId="0" fontId="56" fillId="0" borderId="32" xfId="0" applyFont="1" applyBorder="1" applyAlignment="1">
      <alignment horizontal="center" vertical="center" wrapText="1"/>
    </xf>
    <xf numFmtId="0" fontId="8" fillId="0" borderId="126" xfId="0" applyFont="1" applyBorder="1" applyAlignment="1">
      <alignment horizontal="center" vertical="center" wrapText="1"/>
    </xf>
    <xf numFmtId="0" fontId="8" fillId="0" borderId="155" xfId="0" applyFont="1" applyBorder="1" applyAlignment="1">
      <alignment horizontal="center" vertical="center" wrapText="1"/>
    </xf>
    <xf numFmtId="0" fontId="8" fillId="0" borderId="172" xfId="0" applyFont="1" applyBorder="1" applyAlignment="1">
      <alignment horizontal="center" vertical="center" wrapText="1"/>
    </xf>
    <xf numFmtId="0" fontId="9" fillId="0" borderId="36" xfId="0" applyFont="1" applyBorder="1" applyAlignment="1">
      <alignment horizontal="center" vertical="center"/>
    </xf>
    <xf numFmtId="0" fontId="9" fillId="0" borderId="152" xfId="0" applyFont="1" applyBorder="1" applyAlignment="1">
      <alignment horizontal="center" vertical="center"/>
    </xf>
    <xf numFmtId="0" fontId="38" fillId="0" borderId="58" xfId="0" applyFont="1" applyBorder="1" applyAlignment="1">
      <alignment horizontal="center" vertical="center"/>
    </xf>
    <xf numFmtId="0" fontId="9" fillId="0" borderId="38" xfId="0" applyFont="1" applyBorder="1" applyAlignment="1">
      <alignment horizontal="center" vertical="center" wrapText="1"/>
    </xf>
    <xf numFmtId="0" fontId="9" fillId="0" borderId="123"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205" xfId="0" applyFont="1" applyBorder="1" applyAlignment="1">
      <alignment horizontal="center" vertical="center" wrapText="1"/>
    </xf>
    <xf numFmtId="0" fontId="9" fillId="0" borderId="51"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121" xfId="0" applyFont="1" applyBorder="1" applyAlignment="1">
      <alignment horizontal="center" vertical="center" wrapText="1"/>
    </xf>
    <xf numFmtId="0" fontId="58" fillId="0" borderId="29" xfId="0" applyFont="1" applyBorder="1" applyAlignment="1">
      <alignment horizontal="center" vertical="center" wrapText="1"/>
    </xf>
    <xf numFmtId="0" fontId="58" fillId="0" borderId="124" xfId="0" applyFont="1" applyBorder="1" applyAlignment="1">
      <alignment horizontal="center" vertical="center" wrapText="1"/>
    </xf>
    <xf numFmtId="0" fontId="58" fillId="0" borderId="56" xfId="0" applyFont="1" applyBorder="1" applyAlignment="1">
      <alignment horizontal="center" vertical="center" wrapText="1"/>
    </xf>
    <xf numFmtId="0" fontId="58" fillId="0" borderId="152" xfId="0" applyFont="1" applyBorder="1" applyAlignment="1">
      <alignment horizontal="center" vertical="center" wrapText="1"/>
    </xf>
    <xf numFmtId="0" fontId="38" fillId="0" borderId="36" xfId="0" applyFont="1" applyBorder="1" applyAlignment="1">
      <alignment horizontal="center" vertical="center" wrapText="1"/>
    </xf>
    <xf numFmtId="0" fontId="58" fillId="0" borderId="209" xfId="0" applyFont="1" applyBorder="1" applyAlignment="1">
      <alignment horizontal="center" vertical="center" wrapText="1"/>
    </xf>
    <xf numFmtId="0" fontId="14" fillId="0" borderId="38" xfId="0" applyFont="1" applyBorder="1" applyAlignment="1">
      <alignment horizontal="center" vertical="center" wrapText="1"/>
    </xf>
    <xf numFmtId="0" fontId="14" fillId="0" borderId="52" xfId="0" applyFont="1" applyBorder="1" applyAlignment="1">
      <alignment horizontal="center" vertical="center" wrapText="1"/>
    </xf>
    <xf numFmtId="0" fontId="38" fillId="0" borderId="14" xfId="0" applyFont="1" applyBorder="1" applyAlignment="1">
      <alignment horizontal="center" vertical="center" wrapText="1"/>
    </xf>
    <xf numFmtId="0" fontId="14" fillId="0" borderId="123" xfId="0" applyFont="1" applyBorder="1" applyAlignment="1">
      <alignment horizontal="center" vertical="center" wrapText="1"/>
    </xf>
    <xf numFmtId="0" fontId="14" fillId="0" borderId="39" xfId="0" applyFont="1" applyBorder="1" applyAlignment="1">
      <alignment horizontal="center" vertical="center" wrapText="1"/>
    </xf>
    <xf numFmtId="0" fontId="14" fillId="0" borderId="205" xfId="0" applyFont="1" applyBorder="1" applyAlignment="1">
      <alignment horizontal="center" vertical="center" wrapText="1"/>
    </xf>
    <xf numFmtId="0" fontId="14" fillId="0" borderId="51" xfId="0" applyFont="1" applyBorder="1" applyAlignment="1">
      <alignment horizontal="center" vertical="center" wrapText="1"/>
    </xf>
    <xf numFmtId="0" fontId="4" fillId="0" borderId="15" xfId="0" applyFont="1" applyBorder="1" applyAlignment="1">
      <alignment horizontal="left" vertical="center" wrapText="1"/>
    </xf>
    <xf numFmtId="0" fontId="35" fillId="0" borderId="16" xfId="0" applyFont="1" applyBorder="1" applyAlignment="1">
      <alignment horizontal="left" vertical="center" wrapText="1"/>
    </xf>
    <xf numFmtId="0" fontId="35" fillId="0" borderId="17" xfId="0" applyFont="1" applyBorder="1" applyAlignment="1">
      <alignment horizontal="left" vertical="center" wrapText="1"/>
    </xf>
    <xf numFmtId="0" fontId="50" fillId="0" borderId="206" xfId="0" applyFont="1" applyFill="1" applyBorder="1" applyAlignment="1">
      <alignment horizontal="center" vertical="center"/>
    </xf>
    <xf numFmtId="0" fontId="52" fillId="0" borderId="207" xfId="0" applyFont="1" applyFill="1" applyBorder="1" applyAlignment="1">
      <alignment horizontal="center" vertical="center"/>
    </xf>
    <xf numFmtId="0" fontId="52" fillId="0" borderId="208" xfId="0" applyFont="1" applyFill="1" applyBorder="1" applyAlignment="1">
      <alignment horizontal="center" vertical="center"/>
    </xf>
    <xf numFmtId="0" fontId="24" fillId="0" borderId="43" xfId="0" applyFont="1" applyFill="1" applyBorder="1" applyAlignment="1">
      <alignment horizontal="center" vertical="center" wrapText="1"/>
    </xf>
    <xf numFmtId="0" fontId="56" fillId="0" borderId="126" xfId="0" applyFont="1" applyFill="1" applyBorder="1" applyAlignment="1">
      <alignment horizontal="center" vertical="center" wrapText="1"/>
    </xf>
    <xf numFmtId="0" fontId="56" fillId="0" borderId="155" xfId="0" applyFont="1" applyFill="1" applyBorder="1" applyAlignment="1">
      <alignment horizontal="center" vertical="center" wrapText="1"/>
    </xf>
    <xf numFmtId="0" fontId="22" fillId="0" borderId="26"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52" fillId="0" borderId="205" xfId="0" applyFont="1" applyFill="1" applyBorder="1" applyAlignment="1">
      <alignment horizontal="center" vertical="center" wrapText="1"/>
    </xf>
    <xf numFmtId="0" fontId="50" fillId="0" borderId="208" xfId="0" applyFont="1" applyFill="1" applyBorder="1" applyAlignment="1">
      <alignment horizontal="center" vertical="center"/>
    </xf>
    <xf numFmtId="0" fontId="4" fillId="0" borderId="206" xfId="0" applyFont="1" applyFill="1" applyBorder="1" applyAlignment="1">
      <alignment horizontal="center" vertical="center"/>
    </xf>
    <xf numFmtId="0" fontId="4" fillId="0" borderId="203" xfId="0" applyFont="1" applyFill="1" applyBorder="1" applyAlignment="1">
      <alignment horizontal="center" vertical="center" wrapText="1"/>
    </xf>
    <xf numFmtId="0" fontId="4" fillId="0" borderId="142" xfId="0" applyFont="1" applyFill="1" applyBorder="1" applyAlignment="1">
      <alignment horizontal="center" vertical="center" wrapText="1"/>
    </xf>
    <xf numFmtId="0" fontId="4" fillId="0" borderId="204" xfId="0" applyFont="1" applyBorder="1" applyAlignment="1">
      <alignment horizontal="center" vertical="center" wrapText="1"/>
    </xf>
    <xf numFmtId="0" fontId="52" fillId="0" borderId="205" xfId="0" applyFont="1" applyBorder="1" applyAlignment="1">
      <alignment horizontal="center" vertical="center" wrapText="1"/>
    </xf>
    <xf numFmtId="0" fontId="52" fillId="0" borderId="232" xfId="0" applyFont="1" applyBorder="1" applyAlignment="1">
      <alignment horizontal="center" vertical="center" wrapText="1"/>
    </xf>
    <xf numFmtId="0" fontId="4" fillId="0" borderId="0" xfId="0" applyFont="1" applyFill="1" applyBorder="1" applyAlignment="1">
      <alignment horizontal="center" vertical="center" wrapText="1"/>
    </xf>
    <xf numFmtId="0" fontId="4" fillId="0" borderId="205" xfId="0" applyFont="1" applyFill="1" applyBorder="1" applyAlignment="1">
      <alignment horizontal="center" vertical="center" wrapText="1"/>
    </xf>
    <xf numFmtId="0" fontId="50" fillId="0" borderId="207" xfId="0" applyFont="1" applyFill="1" applyBorder="1" applyAlignment="1">
      <alignment horizontal="center" vertical="center"/>
    </xf>
    <xf numFmtId="0" fontId="4" fillId="0" borderId="4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8" xfId="0" applyFont="1" applyBorder="1" applyAlignment="1">
      <alignment horizontal="center" vertical="center" wrapText="1"/>
    </xf>
    <xf numFmtId="0" fontId="52" fillId="0" borderId="2" xfId="0" applyFont="1" applyBorder="1" applyAlignment="1">
      <alignment horizontal="center" vertical="center" wrapText="1"/>
    </xf>
    <xf numFmtId="0" fontId="4" fillId="0" borderId="4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28" xfId="0" applyFont="1" applyBorder="1" applyAlignment="1">
      <alignment horizontal="center" vertical="center" wrapText="1"/>
    </xf>
    <xf numFmtId="0" fontId="140" fillId="0" borderId="203" xfId="1083" applyFont="1" applyBorder="1" applyAlignment="1">
      <alignment horizontal="left" vertical="center"/>
    </xf>
    <xf numFmtId="0" fontId="140" fillId="0" borderId="142" xfId="1083" applyFont="1" applyBorder="1" applyAlignment="1">
      <alignment horizontal="left" vertical="center"/>
    </xf>
    <xf numFmtId="0" fontId="140" fillId="0" borderId="204" xfId="1083" applyFont="1" applyBorder="1" applyAlignment="1">
      <alignment horizontal="left" vertical="center"/>
    </xf>
    <xf numFmtId="0" fontId="140" fillId="0" borderId="168" xfId="1083" applyFont="1" applyBorder="1" applyAlignment="1">
      <alignment horizontal="left" vertical="center"/>
    </xf>
    <xf numFmtId="0" fontId="140" fillId="0" borderId="169" xfId="1083" applyFont="1" applyBorder="1" applyAlignment="1">
      <alignment horizontal="left" vertical="center"/>
    </xf>
    <xf numFmtId="0" fontId="140" fillId="0" borderId="171" xfId="1083" applyFont="1" applyBorder="1" applyAlignment="1">
      <alignment horizontal="left" vertical="center"/>
    </xf>
    <xf numFmtId="0" fontId="13" fillId="0" borderId="203" xfId="1079" applyFont="1" applyBorder="1" applyAlignment="1">
      <alignment horizontal="left" vertical="top"/>
    </xf>
    <xf numFmtId="0" fontId="17" fillId="0" borderId="142" xfId="1079" applyBorder="1" applyAlignment="1">
      <alignment horizontal="left" vertical="top"/>
    </xf>
    <xf numFmtId="0" fontId="17" fillId="0" borderId="204" xfId="1079" applyBorder="1" applyAlignment="1">
      <alignment horizontal="left" vertical="top"/>
    </xf>
    <xf numFmtId="0" fontId="17" fillId="0" borderId="168" xfId="1079" applyBorder="1" applyAlignment="1">
      <alignment horizontal="left" vertical="top"/>
    </xf>
    <xf numFmtId="0" fontId="17" fillId="0" borderId="169" xfId="1079" applyBorder="1" applyAlignment="1">
      <alignment horizontal="left" vertical="top"/>
    </xf>
    <xf numFmtId="0" fontId="17" fillId="0" borderId="171" xfId="1079" applyBorder="1" applyAlignment="1">
      <alignment horizontal="left" vertical="top"/>
    </xf>
    <xf numFmtId="0" fontId="141" fillId="0" borderId="141" xfId="1079" applyFont="1" applyBorder="1" applyAlignment="1">
      <alignment horizontal="center"/>
    </xf>
    <xf numFmtId="0" fontId="141" fillId="0" borderId="142" xfId="1079" applyFont="1" applyBorder="1" applyAlignment="1">
      <alignment horizontal="center"/>
    </xf>
    <xf numFmtId="0" fontId="141" fillId="0" borderId="143" xfId="1079" applyFont="1" applyBorder="1" applyAlignment="1">
      <alignment horizontal="center"/>
    </xf>
    <xf numFmtId="0" fontId="140" fillId="0" borderId="194" xfId="1079" applyFont="1" applyBorder="1" applyAlignment="1">
      <alignment horizontal="center"/>
    </xf>
    <xf numFmtId="0" fontId="140" fillId="0" borderId="195" xfId="1079" applyFont="1" applyBorder="1" applyAlignment="1">
      <alignment horizontal="center"/>
    </xf>
    <xf numFmtId="0" fontId="140" fillId="0" borderId="146" xfId="1079" applyFont="1" applyBorder="1" applyAlignment="1">
      <alignment horizontal="center"/>
    </xf>
    <xf numFmtId="0" fontId="140" fillId="0" borderId="206" xfId="1079" applyFont="1" applyBorder="1" applyAlignment="1">
      <alignment horizontal="center"/>
    </xf>
    <xf numFmtId="0" fontId="140" fillId="0" borderId="207" xfId="1079" applyFont="1" applyBorder="1" applyAlignment="1">
      <alignment horizontal="center"/>
    </xf>
    <xf numFmtId="0" fontId="140" fillId="0" borderId="203" xfId="1079" applyFont="1" applyBorder="1" applyAlignment="1">
      <alignment horizontal="center" vertical="center" wrapText="1"/>
    </xf>
    <xf numFmtId="0" fontId="140" fillId="0" borderId="52" xfId="1079" applyFont="1" applyBorder="1" applyAlignment="1">
      <alignment horizontal="center" vertical="center" wrapText="1"/>
    </xf>
    <xf numFmtId="0" fontId="140" fillId="0" borderId="142" xfId="1079" applyFont="1" applyBorder="1" applyAlignment="1">
      <alignment horizontal="center" vertical="center" wrapText="1"/>
    </xf>
    <xf numFmtId="0" fontId="140" fillId="0" borderId="121" xfId="1079" applyFont="1" applyBorder="1" applyAlignment="1">
      <alignment horizontal="center" vertical="center" wrapText="1"/>
    </xf>
    <xf numFmtId="0" fontId="140" fillId="0" borderId="26" xfId="1079" applyFont="1" applyBorder="1" applyAlignment="1">
      <alignment horizontal="center" vertical="center" wrapText="1"/>
    </xf>
    <xf numFmtId="0" fontId="140" fillId="0" borderId="158" xfId="1079" applyFont="1" applyBorder="1" applyAlignment="1">
      <alignment horizontal="center" vertical="center" wrapText="1"/>
    </xf>
    <xf numFmtId="0" fontId="141" fillId="0" borderId="4" xfId="1079" applyFont="1" applyBorder="1" applyAlignment="1">
      <alignment horizontal="center"/>
    </xf>
    <xf numFmtId="0" fontId="141" fillId="0" borderId="5" xfId="1079" applyFont="1" applyBorder="1" applyAlignment="1">
      <alignment horizontal="center"/>
    </xf>
    <xf numFmtId="0" fontId="141" fillId="0" borderId="6" xfId="1079" applyFont="1" applyBorder="1" applyAlignment="1">
      <alignment horizontal="center"/>
    </xf>
    <xf numFmtId="0" fontId="38" fillId="0" borderId="141" xfId="0" applyFont="1" applyBorder="1" applyAlignment="1">
      <alignment horizontal="center"/>
    </xf>
    <xf numFmtId="0" fontId="38" fillId="0" borderId="142" xfId="0" applyFont="1" applyBorder="1" applyAlignment="1">
      <alignment horizontal="center"/>
    </xf>
    <xf numFmtId="0" fontId="38" fillId="0" borderId="143" xfId="0" applyFont="1" applyBorder="1" applyAlignment="1">
      <alignment horizontal="center"/>
    </xf>
    <xf numFmtId="0" fontId="139" fillId="0" borderId="36" xfId="0" applyFont="1" applyBorder="1" applyAlignment="1">
      <alignment horizontal="center" vertical="center" wrapText="1"/>
    </xf>
    <xf numFmtId="0" fontId="139" fillId="0" borderId="14" xfId="0" applyFont="1" applyBorder="1" applyAlignment="1">
      <alignment horizontal="center" vertical="center" wrapText="1"/>
    </xf>
    <xf numFmtId="0" fontId="139" fillId="0" borderId="152" xfId="0" applyFont="1" applyBorder="1" applyAlignment="1">
      <alignment horizontal="center" vertical="center" wrapText="1"/>
    </xf>
    <xf numFmtId="0" fontId="139" fillId="0" borderId="37" xfId="0" applyFont="1" applyBorder="1" applyAlignment="1">
      <alignment horizontal="center" vertical="center" wrapText="1"/>
    </xf>
    <xf numFmtId="0" fontId="56" fillId="0" borderId="3" xfId="0" applyFont="1" applyBorder="1" applyAlignment="1">
      <alignment horizontal="center" vertical="center" wrapText="1"/>
    </xf>
    <xf numFmtId="0" fontId="56" fillId="0" borderId="120" xfId="0" applyFont="1" applyBorder="1" applyAlignment="1">
      <alignment horizontal="center" vertical="center" wrapText="1"/>
    </xf>
    <xf numFmtId="0" fontId="56" fillId="0" borderId="158" xfId="0" applyFont="1" applyBorder="1" applyAlignment="1">
      <alignment horizontal="center" vertical="center" wrapText="1"/>
    </xf>
    <xf numFmtId="0" fontId="138" fillId="0" borderId="192" xfId="1130" applyFont="1" applyBorder="1" applyAlignment="1">
      <alignment horizontal="center"/>
    </xf>
    <xf numFmtId="0" fontId="148" fillId="0" borderId="192" xfId="1130" applyFont="1" applyBorder="1" applyAlignment="1">
      <alignment horizontal="center"/>
    </xf>
    <xf numFmtId="0" fontId="56" fillId="0" borderId="32" xfId="1224" applyFont="1" applyBorder="1" applyAlignment="1">
      <alignment horizontal="center" vertical="center" wrapText="1"/>
    </xf>
    <xf numFmtId="0" fontId="56" fillId="0" borderId="229" xfId="1224" applyFont="1" applyBorder="1" applyAlignment="1">
      <alignment horizontal="center" vertical="center" wrapText="1"/>
    </xf>
    <xf numFmtId="0" fontId="2" fillId="0" borderId="15" xfId="1224" applyFont="1" applyBorder="1" applyAlignment="1">
      <alignment horizontal="left" vertical="center" wrapText="1"/>
    </xf>
    <xf numFmtId="0" fontId="2" fillId="0" borderId="16" xfId="1224" applyFont="1" applyBorder="1" applyAlignment="1">
      <alignment horizontal="left" vertical="center" wrapText="1"/>
    </xf>
    <xf numFmtId="0" fontId="2" fillId="0" borderId="17" xfId="1224" applyFont="1" applyBorder="1" applyAlignment="1">
      <alignment horizontal="left" vertical="center" wrapText="1"/>
    </xf>
    <xf numFmtId="0" fontId="57" fillId="0" borderId="203" xfId="1224" applyFont="1" applyBorder="1" applyAlignment="1">
      <alignment horizontal="center" vertical="center"/>
    </xf>
    <xf numFmtId="0" fontId="57" fillId="0" borderId="142" xfId="1224" applyFont="1" applyBorder="1" applyAlignment="1">
      <alignment horizontal="center" vertical="center"/>
    </xf>
    <xf numFmtId="0" fontId="57" fillId="0" borderId="204" xfId="1224" applyFont="1" applyBorder="1" applyAlignment="1">
      <alignment horizontal="center" vertical="center"/>
    </xf>
    <xf numFmtId="0" fontId="56" fillId="0" borderId="1" xfId="1224" applyFont="1" applyBorder="1" applyAlignment="1">
      <alignment horizontal="center" vertical="center" wrapText="1"/>
    </xf>
    <xf numFmtId="0" fontId="56" fillId="0" borderId="0" xfId="1224" applyFont="1" applyAlignment="1">
      <alignment horizontal="center" vertical="center" wrapText="1"/>
    </xf>
    <xf numFmtId="0" fontId="56" fillId="0" borderId="207" xfId="1224" applyFont="1" applyBorder="1" applyAlignment="1">
      <alignment horizontal="center" vertical="center"/>
    </xf>
    <xf numFmtId="0" fontId="56" fillId="0" borderId="208" xfId="1224" applyFont="1" applyBorder="1" applyAlignment="1">
      <alignment horizontal="center" vertical="center"/>
    </xf>
    <xf numFmtId="0" fontId="2" fillId="0" borderId="229" xfId="1224" applyFont="1" applyBorder="1" applyAlignment="1">
      <alignment horizontal="center"/>
    </xf>
    <xf numFmtId="170" fontId="2" fillId="0" borderId="229" xfId="1225" applyNumberFormat="1" applyFont="1" applyBorder="1" applyAlignment="1">
      <alignment horizontal="center"/>
    </xf>
    <xf numFmtId="0" fontId="136" fillId="0" borderId="203" xfId="1222" applyFont="1" applyBorder="1" applyAlignment="1">
      <alignment horizontal="center"/>
    </xf>
    <xf numFmtId="0" fontId="136" fillId="0" borderId="142" xfId="1222" applyFont="1" applyBorder="1" applyAlignment="1">
      <alignment horizontal="center"/>
    </xf>
    <xf numFmtId="0" fontId="136" fillId="0" borderId="204" xfId="1222" applyFont="1" applyBorder="1" applyAlignment="1">
      <alignment horizontal="center"/>
    </xf>
    <xf numFmtId="0" fontId="136" fillId="0" borderId="123" xfId="1222" applyFont="1" applyBorder="1" applyAlignment="1">
      <alignment horizontal="center"/>
    </xf>
    <xf numFmtId="0" fontId="136" fillId="0" borderId="0" xfId="1222" applyFont="1" applyBorder="1" applyAlignment="1">
      <alignment horizontal="center"/>
    </xf>
    <xf numFmtId="0" fontId="136" fillId="0" borderId="205" xfId="1222" applyFont="1" applyBorder="1" applyAlignment="1">
      <alignment horizontal="center"/>
    </xf>
    <xf numFmtId="0" fontId="56" fillId="0" borderId="42" xfId="0" applyFont="1" applyBorder="1" applyAlignment="1">
      <alignment horizontal="center" vertical="center" wrapText="1"/>
    </xf>
    <xf numFmtId="0" fontId="56" fillId="0" borderId="205" xfId="0" applyFont="1" applyBorder="1" applyAlignment="1">
      <alignment horizontal="center" vertical="center" wrapText="1"/>
    </xf>
    <xf numFmtId="0" fontId="2" fillId="0" borderId="152" xfId="0" applyFont="1" applyBorder="1" applyAlignment="1">
      <alignment horizontal="center" vertical="center"/>
    </xf>
    <xf numFmtId="0" fontId="2" fillId="0" borderId="42" xfId="0" applyFont="1" applyBorder="1" applyAlignment="1">
      <alignment horizontal="center" vertical="center" wrapText="1"/>
    </xf>
    <xf numFmtId="0" fontId="50" fillId="0" borderId="152" xfId="0" applyFont="1" applyBorder="1" applyAlignment="1">
      <alignment horizontal="center" vertical="center"/>
    </xf>
    <xf numFmtId="0" fontId="50" fillId="0" borderId="153" xfId="0" applyFont="1" applyBorder="1" applyAlignment="1">
      <alignment horizontal="center" vertical="center"/>
    </xf>
    <xf numFmtId="0" fontId="56" fillId="0" borderId="229" xfId="0" applyFont="1" applyBorder="1" applyAlignment="1">
      <alignment horizontal="center" vertical="center" wrapText="1"/>
    </xf>
    <xf numFmtId="0" fontId="2" fillId="0" borderId="32" xfId="0" applyFont="1" applyBorder="1" applyAlignment="1">
      <alignment horizontal="center" vertical="center" wrapText="1"/>
    </xf>
    <xf numFmtId="0" fontId="59" fillId="0" borderId="234" xfId="0" applyFont="1" applyBorder="1" applyAlignment="1">
      <alignment horizontal="center" vertical="center" wrapText="1"/>
    </xf>
    <xf numFmtId="0" fontId="59" fillId="0" borderId="233" xfId="0" applyFont="1" applyBorder="1" applyAlignment="1">
      <alignment horizontal="center" vertical="center" wrapText="1"/>
    </xf>
    <xf numFmtId="0" fontId="41" fillId="0" borderId="229" xfId="0" applyFont="1" applyBorder="1" applyAlignment="1">
      <alignment horizontal="center" vertical="center" wrapText="1"/>
    </xf>
    <xf numFmtId="0" fontId="56" fillId="0" borderId="228" xfId="0" applyFont="1" applyBorder="1" applyAlignment="1">
      <alignment horizontal="center" vertical="center" wrapText="1"/>
    </xf>
    <xf numFmtId="0" fontId="57" fillId="0" borderId="4" xfId="591" applyFont="1" applyBorder="1" applyAlignment="1">
      <alignment horizontal="center"/>
    </xf>
    <xf numFmtId="0" fontId="57" fillId="0" borderId="5" xfId="591" applyFont="1" applyBorder="1" applyAlignment="1">
      <alignment horizontal="center"/>
    </xf>
    <xf numFmtId="0" fontId="57" fillId="0" borderId="6" xfId="591" applyFont="1" applyBorder="1" applyAlignment="1">
      <alignment horizontal="center"/>
    </xf>
    <xf numFmtId="0" fontId="140" fillId="0" borderId="203" xfId="591" applyFont="1" applyBorder="1" applyAlignment="1">
      <alignment horizontal="left" wrapText="1"/>
    </xf>
    <xf numFmtId="0" fontId="140" fillId="0" borderId="142" xfId="591" applyFont="1" applyBorder="1" applyAlignment="1">
      <alignment horizontal="left" wrapText="1"/>
    </xf>
    <xf numFmtId="0" fontId="140" fillId="0" borderId="204" xfId="591" applyFont="1" applyBorder="1" applyAlignment="1">
      <alignment horizontal="left" wrapText="1"/>
    </xf>
    <xf numFmtId="0" fontId="140" fillId="0" borderId="168" xfId="591" applyFont="1" applyBorder="1" applyAlignment="1">
      <alignment horizontal="left" wrapText="1"/>
    </xf>
    <xf numFmtId="0" fontId="140" fillId="0" borderId="169" xfId="591" applyFont="1" applyBorder="1" applyAlignment="1">
      <alignment horizontal="left" wrapText="1"/>
    </xf>
    <xf numFmtId="0" fontId="140" fillId="0" borderId="171" xfId="591" applyFont="1" applyBorder="1" applyAlignment="1">
      <alignment horizontal="left" wrapText="1"/>
    </xf>
    <xf numFmtId="0" fontId="57" fillId="0" borderId="4" xfId="0" applyFont="1" applyBorder="1" applyAlignment="1">
      <alignment horizontal="center" vertical="center" wrapText="1"/>
    </xf>
    <xf numFmtId="0" fontId="57" fillId="0" borderId="5" xfId="0" applyFont="1" applyBorder="1" applyAlignment="1">
      <alignment horizontal="center" vertical="center" wrapText="1"/>
    </xf>
    <xf numFmtId="0" fontId="57" fillId="0" borderId="6" xfId="0" applyFont="1" applyBorder="1" applyAlignment="1">
      <alignment horizontal="center" vertical="center" wrapText="1"/>
    </xf>
    <xf numFmtId="0" fontId="136" fillId="0" borderId="203" xfId="1105" applyFont="1" applyBorder="1" applyAlignment="1">
      <alignment horizontal="center"/>
    </xf>
    <xf numFmtId="0" fontId="136" fillId="0" borderId="142" xfId="1105" applyFont="1" applyBorder="1" applyAlignment="1">
      <alignment horizontal="center"/>
    </xf>
    <xf numFmtId="0" fontId="136" fillId="0" borderId="204" xfId="1105" applyFont="1" applyBorder="1" applyAlignment="1">
      <alignment horizontal="center"/>
    </xf>
    <xf numFmtId="0" fontId="38" fillId="0" borderId="203" xfId="1105" applyFont="1" applyBorder="1" applyAlignment="1">
      <alignment horizontal="center" vertical="center"/>
    </xf>
    <xf numFmtId="0" fontId="38" fillId="0" borderId="142" xfId="1105" applyFont="1" applyBorder="1" applyAlignment="1">
      <alignment horizontal="center" vertical="center"/>
    </xf>
    <xf numFmtId="0" fontId="38" fillId="0" borderId="204" xfId="1105" applyFont="1" applyBorder="1" applyAlignment="1">
      <alignment horizontal="center" vertical="center"/>
    </xf>
    <xf numFmtId="0" fontId="140" fillId="0" borderId="203" xfId="1105" applyFont="1" applyBorder="1" applyAlignment="1">
      <alignment horizontal="left" vertical="top"/>
    </xf>
    <xf numFmtId="0" fontId="140" fillId="0" borderId="142" xfId="1105" applyFont="1" applyBorder="1" applyAlignment="1">
      <alignment horizontal="left" vertical="top"/>
    </xf>
    <xf numFmtId="0" fontId="140" fillId="0" borderId="204" xfId="1105" applyFont="1" applyBorder="1" applyAlignment="1">
      <alignment horizontal="left" vertical="top"/>
    </xf>
    <xf numFmtId="0" fontId="140" fillId="0" borderId="168" xfId="1105" applyFont="1" applyBorder="1" applyAlignment="1">
      <alignment horizontal="left" vertical="top"/>
    </xf>
    <xf numFmtId="0" fontId="140" fillId="0" borderId="169" xfId="1105" applyFont="1" applyBorder="1" applyAlignment="1">
      <alignment horizontal="left" vertical="top"/>
    </xf>
    <xf numFmtId="0" fontId="140" fillId="0" borderId="171" xfId="1105" applyFont="1" applyBorder="1" applyAlignment="1">
      <alignment horizontal="left" vertical="top"/>
    </xf>
    <xf numFmtId="0" fontId="143" fillId="0" borderId="203" xfId="1105" applyFont="1" applyBorder="1" applyAlignment="1">
      <alignment horizontal="center"/>
    </xf>
    <xf numFmtId="0" fontId="143" fillId="0" borderId="142" xfId="1105" applyFont="1" applyBorder="1" applyAlignment="1">
      <alignment horizontal="center"/>
    </xf>
    <xf numFmtId="0" fontId="143" fillId="0" borderId="204" xfId="1105" applyFont="1" applyBorder="1" applyAlignment="1">
      <alignment horizontal="center"/>
    </xf>
    <xf numFmtId="0" fontId="140" fillId="0" borderId="206" xfId="1105" applyFont="1" applyBorder="1" applyAlignment="1">
      <alignment horizontal="center"/>
    </xf>
    <xf numFmtId="0" fontId="140" fillId="0" borderId="207" xfId="1105" applyFont="1" applyBorder="1" applyAlignment="1">
      <alignment horizontal="center"/>
    </xf>
    <xf numFmtId="0" fontId="140" fillId="0" borderId="208" xfId="1105" applyFont="1" applyBorder="1" applyAlignment="1">
      <alignment horizontal="center"/>
    </xf>
    <xf numFmtId="3" fontId="56" fillId="2" borderId="1" xfId="0" applyNumberFormat="1" applyFont="1" applyFill="1" applyBorder="1" applyAlignment="1">
      <alignment horizontal="center"/>
    </xf>
    <xf numFmtId="0" fontId="50" fillId="2" borderId="0" xfId="0" applyFont="1" applyFill="1"/>
    <xf numFmtId="0" fontId="57" fillId="2" borderId="0" xfId="0" applyFont="1" applyFill="1" applyBorder="1" applyAlignment="1">
      <alignment horizontal="center" vertical="center"/>
    </xf>
    <xf numFmtId="0" fontId="60" fillId="2" borderId="0" xfId="0" applyFont="1" applyFill="1" applyBorder="1" applyAlignment="1">
      <alignment horizontal="center"/>
    </xf>
    <xf numFmtId="0" fontId="60" fillId="2" borderId="8" xfId="0" applyFont="1" applyFill="1" applyBorder="1" applyAlignment="1">
      <alignment horizontal="center"/>
    </xf>
    <xf numFmtId="0" fontId="66" fillId="2" borderId="57" xfId="0" applyFont="1" applyFill="1" applyBorder="1" applyAlignment="1">
      <alignment horizontal="center" vertical="center" wrapText="1"/>
    </xf>
    <xf numFmtId="0" fontId="66" fillId="2" borderId="123" xfId="0" applyFont="1" applyFill="1" applyBorder="1" applyAlignment="1">
      <alignment horizontal="center" vertical="center" wrapText="1"/>
    </xf>
    <xf numFmtId="0" fontId="66" fillId="2" borderId="125" xfId="0" applyFont="1" applyFill="1" applyBorder="1" applyAlignment="1">
      <alignment horizontal="center" vertical="center" wrapText="1"/>
    </xf>
    <xf numFmtId="3" fontId="56" fillId="2" borderId="38" xfId="0" applyNumberFormat="1" applyFont="1" applyFill="1" applyBorder="1" applyAlignment="1">
      <alignment horizontal="center" vertical="center" wrapText="1"/>
    </xf>
    <xf numFmtId="9" fontId="56" fillId="2" borderId="125" xfId="1" applyNumberFormat="1" applyFont="1" applyFill="1" applyBorder="1" applyAlignment="1">
      <alignment horizontal="center" vertical="center"/>
    </xf>
    <xf numFmtId="3" fontId="56" fillId="2" borderId="123" xfId="0" applyNumberFormat="1" applyFont="1" applyFill="1" applyBorder="1" applyAlignment="1">
      <alignment horizontal="center"/>
    </xf>
    <xf numFmtId="3" fontId="56" fillId="2" borderId="123" xfId="0" applyNumberFormat="1" applyFont="1" applyFill="1" applyBorder="1" applyAlignment="1">
      <alignment horizontal="center" vertical="center"/>
    </xf>
    <xf numFmtId="9" fontId="56" fillId="2" borderId="202" xfId="1" applyNumberFormat="1" applyFont="1" applyFill="1" applyBorder="1" applyAlignment="1">
      <alignment horizontal="center" vertical="center"/>
    </xf>
    <xf numFmtId="3" fontId="56" fillId="2" borderId="161" xfId="0" applyNumberFormat="1" applyFont="1" applyFill="1" applyBorder="1" applyAlignment="1">
      <alignment horizontal="center" vertical="center" wrapText="1"/>
    </xf>
    <xf numFmtId="9" fontId="56" fillId="2" borderId="54" xfId="1" applyNumberFormat="1" applyFont="1" applyFill="1" applyBorder="1" applyAlignment="1">
      <alignment horizontal="center" vertical="center"/>
    </xf>
    <xf numFmtId="0" fontId="56" fillId="2" borderId="0" xfId="0" applyFont="1" applyFill="1"/>
    <xf numFmtId="9" fontId="125" fillId="2" borderId="125" xfId="1" applyNumberFormat="1" applyFont="1" applyFill="1" applyBorder="1" applyAlignment="1">
      <alignment horizontal="center" vertical="center"/>
    </xf>
  </cellXfs>
  <cellStyles count="1227">
    <cellStyle name="20% - Accent1 2" xfId="537" xr:uid="{00000000-0005-0000-0000-000000000000}"/>
    <cellStyle name="20% - Accent2 2" xfId="538" xr:uid="{00000000-0005-0000-0000-000001000000}"/>
    <cellStyle name="20% - Accent3 2" xfId="539" xr:uid="{00000000-0005-0000-0000-000002000000}"/>
    <cellStyle name="20% - Accent4 2" xfId="540" xr:uid="{00000000-0005-0000-0000-000003000000}"/>
    <cellStyle name="20% - Accent5 2" xfId="541" xr:uid="{00000000-0005-0000-0000-000004000000}"/>
    <cellStyle name="20% - Accent6 2" xfId="542" xr:uid="{00000000-0005-0000-0000-000005000000}"/>
    <cellStyle name="40% - Accent1 2" xfId="543" xr:uid="{00000000-0005-0000-0000-000006000000}"/>
    <cellStyle name="40% - Accent2 2" xfId="544" xr:uid="{00000000-0005-0000-0000-000007000000}"/>
    <cellStyle name="40% - Accent3 2" xfId="545" xr:uid="{00000000-0005-0000-0000-000008000000}"/>
    <cellStyle name="40% - Accent4 2" xfId="546" xr:uid="{00000000-0005-0000-0000-000009000000}"/>
    <cellStyle name="40% - Accent5 2" xfId="547" xr:uid="{00000000-0005-0000-0000-00000A000000}"/>
    <cellStyle name="40% - Accent6 2" xfId="548" xr:uid="{00000000-0005-0000-0000-00000B000000}"/>
    <cellStyle name="60% - Accent1 2" xfId="549" xr:uid="{00000000-0005-0000-0000-00000C000000}"/>
    <cellStyle name="60% - Accent2 2" xfId="550" xr:uid="{00000000-0005-0000-0000-00000D000000}"/>
    <cellStyle name="60% - Accent3 2" xfId="551" xr:uid="{00000000-0005-0000-0000-00000E000000}"/>
    <cellStyle name="60% - Accent4 2" xfId="552" xr:uid="{00000000-0005-0000-0000-00000F000000}"/>
    <cellStyle name="60% - Accent5 2" xfId="553" xr:uid="{00000000-0005-0000-0000-000010000000}"/>
    <cellStyle name="60% - Accent6 2" xfId="554" xr:uid="{00000000-0005-0000-0000-000011000000}"/>
    <cellStyle name="Accent1 2" xfId="555" xr:uid="{00000000-0005-0000-0000-000012000000}"/>
    <cellStyle name="Accent2 2" xfId="556" xr:uid="{00000000-0005-0000-0000-000013000000}"/>
    <cellStyle name="Accent3 2" xfId="557" xr:uid="{00000000-0005-0000-0000-000014000000}"/>
    <cellStyle name="Accent4 2" xfId="558" xr:uid="{00000000-0005-0000-0000-000015000000}"/>
    <cellStyle name="Accent5 2" xfId="559" xr:uid="{00000000-0005-0000-0000-000016000000}"/>
    <cellStyle name="Accent6 2" xfId="560" xr:uid="{00000000-0005-0000-0000-000017000000}"/>
    <cellStyle name="Bad 2" xfId="561" xr:uid="{00000000-0005-0000-0000-000018000000}"/>
    <cellStyle name="Besuchter Hyperlink" xfId="5" builtinId="9" hidden="1"/>
    <cellStyle name="Besuchter Hyperlink" xfId="7" builtinId="9" hidden="1"/>
    <cellStyle name="Besuchter Hyperlink" xfId="9" builtinId="9" hidden="1"/>
    <cellStyle name="Besuchter Hyperlink" xfId="11" builtinId="9" hidden="1"/>
    <cellStyle name="Besuchter Hyperlink" xfId="13" builtinId="9" hidden="1"/>
    <cellStyle name="Besuchter Hyperlink" xfId="15" builtinId="9" hidden="1"/>
    <cellStyle name="Besuchter Hyperlink" xfId="17" builtinId="9" hidden="1"/>
    <cellStyle name="Besuchter Hyperlink" xfId="19" builtinId="9" hidden="1"/>
    <cellStyle name="Besuchter Hyperlink" xfId="21" builtinId="9" hidden="1"/>
    <cellStyle name="Besuchter Hyperlink" xfId="23" builtinId="9" hidden="1"/>
    <cellStyle name="Besuchter Hyperlink" xfId="25" builtinId="9" hidden="1"/>
    <cellStyle name="Besuchter Hyperlink" xfId="27" builtinId="9" hidden="1"/>
    <cellStyle name="Besuchter Hyperlink" xfId="29" builtinId="9" hidden="1"/>
    <cellStyle name="Besuchter Hyperlink" xfId="31" builtinId="9" hidden="1"/>
    <cellStyle name="Besuchter Hyperlink" xfId="33" builtinId="9" hidden="1"/>
    <cellStyle name="Besuchter Hyperlink" xfId="35" builtinId="9" hidden="1"/>
    <cellStyle name="Besuchter Hyperlink" xfId="37" builtinId="9" hidden="1"/>
    <cellStyle name="Besuchter Hyperlink" xfId="39" builtinId="9" hidden="1"/>
    <cellStyle name="Besuchter Hyperlink" xfId="41" builtinId="9" hidden="1"/>
    <cellStyle name="Besuchter Hyperlink" xfId="43" builtinId="9" hidden="1"/>
    <cellStyle name="Besuchter Hyperlink" xfId="45" builtinId="9" hidden="1"/>
    <cellStyle name="Besuchter Hyperlink" xfId="47" builtinId="9" hidden="1"/>
    <cellStyle name="Besuchter Hyperlink" xfId="49" builtinId="9" hidden="1"/>
    <cellStyle name="Besuchter Hyperlink" xfId="51" builtinId="9" hidden="1"/>
    <cellStyle name="Besuchter Hyperlink" xfId="53" builtinId="9" hidden="1"/>
    <cellStyle name="Besuchter Hyperlink" xfId="55" builtinId="9" hidden="1"/>
    <cellStyle name="Besuchter Hyperlink" xfId="57" builtinId="9" hidden="1"/>
    <cellStyle name="Besuchter Hyperlink" xfId="59" builtinId="9" hidden="1"/>
    <cellStyle name="Besuchter Hyperlink" xfId="61" builtinId="9" hidden="1"/>
    <cellStyle name="Besuchter Hyperlink" xfId="63" builtinId="9" hidden="1"/>
    <cellStyle name="Besuchter Hyperlink" xfId="65" builtinId="9" hidden="1"/>
    <cellStyle name="Besuchter Hyperlink" xfId="67" builtinId="9" hidden="1"/>
    <cellStyle name="Besuchter Hyperlink" xfId="69" builtinId="9" hidden="1"/>
    <cellStyle name="Besuchter Hyperlink" xfId="71" builtinId="9" hidden="1"/>
    <cellStyle name="Besuchter Hyperlink" xfId="73" builtinId="9" hidden="1"/>
    <cellStyle name="Besuchter Hyperlink" xfId="75" builtinId="9" hidden="1"/>
    <cellStyle name="Besuchter Hyperlink" xfId="77" builtinId="9" hidden="1"/>
    <cellStyle name="Besuchter Hyperlink" xfId="79" builtinId="9" hidden="1"/>
    <cellStyle name="Besuchter Hyperlink" xfId="81" builtinId="9" hidden="1"/>
    <cellStyle name="Besuchter Hyperlink" xfId="83" builtinId="9" hidden="1"/>
    <cellStyle name="Besuchter Hyperlink" xfId="85" builtinId="9" hidden="1"/>
    <cellStyle name="Besuchter Hyperlink" xfId="87" builtinId="9" hidden="1"/>
    <cellStyle name="Besuchter Hyperlink" xfId="89" builtinId="9" hidden="1"/>
    <cellStyle name="Besuchter Hyperlink" xfId="91" builtinId="9" hidden="1"/>
    <cellStyle name="Besuchter Hyperlink" xfId="93" builtinId="9" hidden="1"/>
    <cellStyle name="Besuchter Hyperlink" xfId="95" builtinId="9" hidden="1"/>
    <cellStyle name="Besuchter Hyperlink" xfId="97" builtinId="9" hidden="1"/>
    <cellStyle name="Besuchter Hyperlink" xfId="99" builtinId="9" hidden="1"/>
    <cellStyle name="Besuchter Hyperlink" xfId="101" builtinId="9" hidden="1"/>
    <cellStyle name="Besuchter Hyperlink" xfId="103" builtinId="9" hidden="1"/>
    <cellStyle name="Besuchter Hyperlink" xfId="105" builtinId="9" hidden="1"/>
    <cellStyle name="Besuchter Hyperlink" xfId="107" builtinId="9" hidden="1"/>
    <cellStyle name="Besuchter Hyperlink" xfId="109" builtinId="9" hidden="1"/>
    <cellStyle name="Besuchter Hyperlink" xfId="111" builtinId="9" hidden="1"/>
    <cellStyle name="Besuchter Hyperlink" xfId="113" builtinId="9" hidden="1"/>
    <cellStyle name="Besuchter Hyperlink" xfId="116" builtinId="9" hidden="1"/>
    <cellStyle name="Besuchter Hyperlink" xfId="118" builtinId="9" hidden="1"/>
    <cellStyle name="Besuchter Hyperlink" xfId="120" builtinId="9" hidden="1"/>
    <cellStyle name="Besuchter Hyperlink" xfId="122" builtinId="9" hidden="1"/>
    <cellStyle name="Besuchter Hyperlink" xfId="124" builtinId="9" hidden="1"/>
    <cellStyle name="Besuchter Hyperlink" xfId="126" builtinId="9" hidden="1"/>
    <cellStyle name="Besuchter Hyperlink" xfId="128" builtinId="9" hidden="1"/>
    <cellStyle name="Besuchter Hyperlink" xfId="130" builtinId="9" hidden="1"/>
    <cellStyle name="Besuchter Hyperlink" xfId="132" builtinId="9" hidden="1"/>
    <cellStyle name="Besuchter Hyperlink" xfId="134" builtinId="9" hidden="1"/>
    <cellStyle name="Besuchter Hyperlink" xfId="136" builtinId="9" hidden="1"/>
    <cellStyle name="Besuchter Hyperlink" xfId="138" builtinId="9" hidden="1"/>
    <cellStyle name="Besuchter Hyperlink" xfId="140" builtinId="9" hidden="1"/>
    <cellStyle name="Besuchter Hyperlink" xfId="141" builtinId="9" hidden="1"/>
    <cellStyle name="Besuchter Hyperlink" xfId="142" builtinId="9" hidden="1"/>
    <cellStyle name="Besuchter Hyperlink" xfId="143" builtinId="9" hidden="1"/>
    <cellStyle name="Besuchter Hyperlink" xfId="144" builtinId="9" hidden="1"/>
    <cellStyle name="Besuchter Hyperlink" xfId="145" builtinId="9" hidden="1"/>
    <cellStyle name="Besuchter Hyperlink" xfId="146" builtinId="9" hidden="1"/>
    <cellStyle name="Besuchter Hyperlink" xfId="147" builtinId="9" hidden="1"/>
    <cellStyle name="Besuchter Hyperlink" xfId="148" builtinId="9" hidden="1"/>
    <cellStyle name="Besuchter Hyperlink" xfId="149" builtinId="9" hidden="1"/>
    <cellStyle name="Besuchter Hyperlink" xfId="150" builtinId="9" hidden="1"/>
    <cellStyle name="Besuchter Hyperlink" xfId="151" builtinId="9" hidden="1"/>
    <cellStyle name="Besuchter Hyperlink" xfId="152" builtinId="9" hidden="1"/>
    <cellStyle name="Besuchter Hyperlink" xfId="153" builtinId="9" hidden="1"/>
    <cellStyle name="Besuchter Hyperlink" xfId="154" builtinId="9" hidden="1"/>
    <cellStyle name="Besuchter Hyperlink" xfId="155" builtinId="9" hidden="1"/>
    <cellStyle name="Besuchter Hyperlink" xfId="156" builtinId="9" hidden="1"/>
    <cellStyle name="Besuchter Hyperlink" xfId="157" builtinId="9" hidden="1"/>
    <cellStyle name="Besuchter Hyperlink" xfId="158" builtinId="9" hidden="1"/>
    <cellStyle name="Besuchter Hyperlink" xfId="159" builtinId="9" hidden="1"/>
    <cellStyle name="Besuchter Hyperlink" xfId="160" builtinId="9" hidden="1"/>
    <cellStyle name="Besuchter Hyperlink" xfId="161" builtinId="9" hidden="1"/>
    <cellStyle name="Besuchter Hyperlink" xfId="162" builtinId="9" hidden="1"/>
    <cellStyle name="Besuchter Hyperlink" xfId="163" builtinId="9" hidden="1"/>
    <cellStyle name="Besuchter Hyperlink" xfId="164" builtinId="9" hidden="1"/>
    <cellStyle name="Besuchter Hyperlink" xfId="165" builtinId="9" hidden="1"/>
    <cellStyle name="Besuchter Hyperlink" xfId="166" builtinId="9" hidden="1"/>
    <cellStyle name="Besuchter Hyperlink" xfId="167" builtinId="9" hidden="1"/>
    <cellStyle name="Besuchter Hyperlink" xfId="168" builtinId="9" hidden="1"/>
    <cellStyle name="Besuchter Hyperlink" xfId="169" builtinId="9" hidden="1"/>
    <cellStyle name="Besuchter Hyperlink" xfId="170" builtinId="9" hidden="1"/>
    <cellStyle name="Besuchter Hyperlink" xfId="171" builtinId="9" hidden="1"/>
    <cellStyle name="Besuchter Hyperlink" xfId="172" builtinId="9" hidden="1"/>
    <cellStyle name="Besuchter Hyperlink" xfId="173" builtinId="9" hidden="1"/>
    <cellStyle name="Besuchter Hyperlink" xfId="174" builtinId="9" hidden="1"/>
    <cellStyle name="Besuchter Hyperlink" xfId="175" builtinId="9" hidden="1"/>
    <cellStyle name="Besuchter Hyperlink" xfId="176" builtinId="9" hidden="1"/>
    <cellStyle name="Besuchter Hyperlink" xfId="177" builtinId="9" hidden="1"/>
    <cellStyle name="Besuchter Hyperlink" xfId="178" builtinId="9" hidden="1"/>
    <cellStyle name="Besuchter Hyperlink" xfId="179" builtinId="9" hidden="1"/>
    <cellStyle name="Besuchter Hyperlink" xfId="180" builtinId="9" hidden="1"/>
    <cellStyle name="Besuchter Hyperlink" xfId="181" builtinId="9" hidden="1"/>
    <cellStyle name="Besuchter Hyperlink" xfId="182" builtinId="9" hidden="1"/>
    <cellStyle name="Besuchter Hyperlink" xfId="183" builtinId="9" hidden="1"/>
    <cellStyle name="Besuchter Hyperlink" xfId="184" builtinId="9" hidden="1"/>
    <cellStyle name="Besuchter Hyperlink" xfId="185" builtinId="9" hidden="1"/>
    <cellStyle name="Besuchter Hyperlink" xfId="186" builtinId="9" hidden="1"/>
    <cellStyle name="Besuchter Hyperlink" xfId="187" builtinId="9" hidden="1"/>
    <cellStyle name="Besuchter Hyperlink" xfId="188" builtinId="9" hidden="1"/>
    <cellStyle name="Besuchter Hyperlink" xfId="189" builtinId="9" hidden="1"/>
    <cellStyle name="Besuchter Hyperlink" xfId="190" builtinId="9" hidden="1"/>
    <cellStyle name="Besuchter Hyperlink" xfId="191" builtinId="9" hidden="1"/>
    <cellStyle name="Besuchter Hyperlink" xfId="192" builtinId="9" hidden="1"/>
    <cellStyle name="Besuchter Hyperlink" xfId="193" builtinId="9" hidden="1"/>
    <cellStyle name="Besuchter Hyperlink" xfId="194" builtinId="9" hidden="1"/>
    <cellStyle name="Besuchter Hyperlink" xfId="195" builtinId="9" hidden="1"/>
    <cellStyle name="Besuchter Hyperlink" xfId="196" builtinId="9" hidden="1"/>
    <cellStyle name="Besuchter Hyperlink" xfId="197" builtinId="9" hidden="1"/>
    <cellStyle name="Besuchter Hyperlink" xfId="198" builtinId="9" hidden="1"/>
    <cellStyle name="Besuchter Hyperlink" xfId="199" builtinId="9" hidden="1"/>
    <cellStyle name="Besuchter Hyperlink" xfId="200" builtinId="9" hidden="1"/>
    <cellStyle name="Besuchter Hyperlink" xfId="201" builtinId="9" hidden="1"/>
    <cellStyle name="Besuchter Hyperlink" xfId="202" builtinId="9" hidden="1"/>
    <cellStyle name="Besuchter Hyperlink" xfId="203" builtinId="9" hidden="1"/>
    <cellStyle name="Besuchter Hyperlink" xfId="204" builtinId="9" hidden="1"/>
    <cellStyle name="Besuchter Hyperlink" xfId="205" builtinId="9" hidden="1"/>
    <cellStyle name="Besuchter Hyperlink" xfId="206" builtinId="9" hidden="1"/>
    <cellStyle name="Besuchter Hyperlink" xfId="207" builtinId="9" hidden="1"/>
    <cellStyle name="Besuchter Hyperlink" xfId="208" builtinId="9" hidden="1"/>
    <cellStyle name="Besuchter Hyperlink" xfId="209" builtinId="9" hidden="1"/>
    <cellStyle name="Besuchter Hyperlink" xfId="210" builtinId="9" hidden="1"/>
    <cellStyle name="Besuchter Hyperlink" xfId="211" builtinId="9" hidden="1"/>
    <cellStyle name="Besuchter Hyperlink" xfId="212" builtinId="9" hidden="1"/>
    <cellStyle name="Besuchter Hyperlink" xfId="213" builtinId="9" hidden="1"/>
    <cellStyle name="Besuchter Hyperlink" xfId="214" builtinId="9" hidden="1"/>
    <cellStyle name="Besuchter Hyperlink" xfId="215" builtinId="9" hidden="1"/>
    <cellStyle name="Besuchter Hyperlink" xfId="216" builtinId="9" hidden="1"/>
    <cellStyle name="Besuchter Hyperlink" xfId="217" builtinId="9" hidden="1"/>
    <cellStyle name="Besuchter Hyperlink" xfId="218" builtinId="9" hidden="1"/>
    <cellStyle name="Besuchter Hyperlink" xfId="219" builtinId="9" hidden="1"/>
    <cellStyle name="Besuchter Hyperlink" xfId="220" builtinId="9" hidden="1"/>
    <cellStyle name="Besuchter Hyperlink" xfId="221" builtinId="9" hidden="1"/>
    <cellStyle name="Besuchter Hyperlink" xfId="222" builtinId="9" hidden="1"/>
    <cellStyle name="Besuchter Hyperlink" xfId="223" builtinId="9" hidden="1"/>
    <cellStyle name="Besuchter Hyperlink" xfId="224" builtinId="9" hidden="1"/>
    <cellStyle name="Besuchter Hyperlink" xfId="225" builtinId="9" hidden="1"/>
    <cellStyle name="Besuchter Hyperlink" xfId="226" builtinId="9" hidden="1"/>
    <cellStyle name="Besuchter Hyperlink" xfId="227" builtinId="9" hidden="1"/>
    <cellStyle name="Besuchter Hyperlink" xfId="228" builtinId="9" hidden="1"/>
    <cellStyle name="Besuchter Hyperlink" xfId="229" builtinId="9" hidden="1"/>
    <cellStyle name="Besuchter Hyperlink" xfId="230" builtinId="9" hidden="1"/>
    <cellStyle name="Besuchter Hyperlink" xfId="231" builtinId="9" hidden="1"/>
    <cellStyle name="Besuchter Hyperlink" xfId="232" builtinId="9" hidden="1"/>
    <cellStyle name="Besuchter Hyperlink" xfId="233" builtinId="9" hidden="1"/>
    <cellStyle name="Besuchter Hyperlink" xfId="234" builtinId="9" hidden="1"/>
    <cellStyle name="Besuchter Hyperlink" xfId="235" builtinId="9" hidden="1"/>
    <cellStyle name="Besuchter Hyperlink" xfId="236" builtinId="9" hidden="1"/>
    <cellStyle name="Besuchter Hyperlink" xfId="237" builtinId="9" hidden="1"/>
    <cellStyle name="Besuchter Hyperlink" xfId="238" builtinId="9" hidden="1"/>
    <cellStyle name="Besuchter Hyperlink" xfId="239" builtinId="9" hidden="1"/>
    <cellStyle name="Besuchter Hyperlink" xfId="240" builtinId="9" hidden="1"/>
    <cellStyle name="Besuchter Hyperlink" xfId="241" builtinId="9" hidden="1"/>
    <cellStyle name="Besuchter Hyperlink" xfId="242" builtinId="9" hidden="1"/>
    <cellStyle name="Besuchter Hyperlink" xfId="243" builtinId="9" hidden="1"/>
    <cellStyle name="Besuchter Hyperlink" xfId="244" builtinId="9" hidden="1"/>
    <cellStyle name="Besuchter Hyperlink" xfId="245" builtinId="9" hidden="1"/>
    <cellStyle name="Besuchter Hyperlink" xfId="246" builtinId="9" hidden="1"/>
    <cellStyle name="Besuchter Hyperlink" xfId="247" builtinId="9" hidden="1"/>
    <cellStyle name="Besuchter Hyperlink" xfId="248" builtinId="9" hidden="1"/>
    <cellStyle name="Besuchter Hyperlink" xfId="249" builtinId="9" hidden="1"/>
    <cellStyle name="Besuchter Hyperlink" xfId="250" builtinId="9" hidden="1"/>
    <cellStyle name="Besuchter Hyperlink" xfId="251" builtinId="9" hidden="1"/>
    <cellStyle name="Besuchter Hyperlink" xfId="252" builtinId="9" hidden="1"/>
    <cellStyle name="Besuchter Hyperlink" xfId="253" builtinId="9" hidden="1"/>
    <cellStyle name="Besuchter Hyperlink" xfId="254" builtinId="9" hidden="1"/>
    <cellStyle name="Besuchter Hyperlink" xfId="255" builtinId="9" hidden="1"/>
    <cellStyle name="Besuchter Hyperlink" xfId="256" builtinId="9" hidden="1"/>
    <cellStyle name="Besuchter Hyperlink" xfId="257" builtinId="9" hidden="1"/>
    <cellStyle name="Besuchter Hyperlink" xfId="258" builtinId="9" hidden="1"/>
    <cellStyle name="Besuchter Hyperlink" xfId="259" builtinId="9" hidden="1"/>
    <cellStyle name="Besuchter Hyperlink" xfId="260" builtinId="9" hidden="1"/>
    <cellStyle name="Besuchter Hyperlink" xfId="261" builtinId="9" hidden="1"/>
    <cellStyle name="Besuchter Hyperlink" xfId="262" builtinId="9" hidden="1"/>
    <cellStyle name="Besuchter Hyperlink" xfId="264" builtinId="9" hidden="1"/>
    <cellStyle name="Besuchter Hyperlink" xfId="265" builtinId="9" hidden="1"/>
    <cellStyle name="Besuchter Hyperlink" xfId="266" builtinId="9" hidden="1"/>
    <cellStyle name="Besuchter Hyperlink" xfId="267" builtinId="9" hidden="1"/>
    <cellStyle name="Besuchter Hyperlink" xfId="268" builtinId="9" hidden="1"/>
    <cellStyle name="Besuchter Hyperlink" xfId="269" builtinId="9" hidden="1"/>
    <cellStyle name="Besuchter Hyperlink" xfId="270" builtinId="9" hidden="1"/>
    <cellStyle name="Besuchter Hyperlink" xfId="271" builtinId="9" hidden="1"/>
    <cellStyle name="Besuchter Hyperlink" xfId="272" builtinId="9" hidden="1"/>
    <cellStyle name="Besuchter Hyperlink" xfId="273" builtinId="9" hidden="1"/>
    <cellStyle name="Besuchter Hyperlink" xfId="274" builtinId="9" hidden="1"/>
    <cellStyle name="Besuchter Hyperlink" xfId="275" builtinId="9" hidden="1"/>
    <cellStyle name="Besuchter Hyperlink" xfId="276" builtinId="9" hidden="1"/>
    <cellStyle name="Besuchter Hyperlink" xfId="277" builtinId="9" hidden="1"/>
    <cellStyle name="Besuchter Hyperlink" xfId="278" builtinId="9" hidden="1"/>
    <cellStyle name="Besuchter Hyperlink" xfId="279" builtinId="9" hidden="1"/>
    <cellStyle name="Besuchter Hyperlink" xfId="280" builtinId="9" hidden="1"/>
    <cellStyle name="Besuchter Hyperlink" xfId="281" builtinId="9" hidden="1"/>
    <cellStyle name="Besuchter Hyperlink" xfId="282" builtinId="9" hidden="1"/>
    <cellStyle name="Besuchter Hyperlink" xfId="283" builtinId="9" hidden="1"/>
    <cellStyle name="Besuchter Hyperlink" xfId="284" builtinId="9" hidden="1"/>
    <cellStyle name="Besuchter Hyperlink" xfId="285" builtinId="9" hidden="1"/>
    <cellStyle name="Besuchter Hyperlink" xfId="286" builtinId="9" hidden="1"/>
    <cellStyle name="Besuchter Hyperlink" xfId="287" builtinId="9" hidden="1"/>
    <cellStyle name="Besuchter Hyperlink" xfId="288" builtinId="9" hidden="1"/>
    <cellStyle name="Besuchter Hyperlink" xfId="289" builtinId="9" hidden="1"/>
    <cellStyle name="Besuchter Hyperlink" xfId="290" builtinId="9" hidden="1"/>
    <cellStyle name="Besuchter Hyperlink" xfId="291" builtinId="9" hidden="1"/>
    <cellStyle name="Besuchter Hyperlink" xfId="292" builtinId="9" hidden="1"/>
    <cellStyle name="Besuchter Hyperlink" xfId="293" builtinId="9" hidden="1"/>
    <cellStyle name="Besuchter Hyperlink" xfId="294" builtinId="9" hidden="1"/>
    <cellStyle name="Besuchter Hyperlink" xfId="295" builtinId="9" hidden="1"/>
    <cellStyle name="Besuchter Hyperlink" xfId="296" builtinId="9" hidden="1"/>
    <cellStyle name="Besuchter Hyperlink" xfId="297" builtinId="9" hidden="1"/>
    <cellStyle name="Besuchter Hyperlink" xfId="298" builtinId="9" hidden="1"/>
    <cellStyle name="Besuchter Hyperlink" xfId="299" builtinId="9" hidden="1"/>
    <cellStyle name="Besuchter Hyperlink" xfId="300" builtinId="9" hidden="1"/>
    <cellStyle name="Besuchter Hyperlink" xfId="301" builtinId="9" hidden="1"/>
    <cellStyle name="Besuchter Hyperlink" xfId="302" builtinId="9" hidden="1"/>
    <cellStyle name="Besuchter Hyperlink" xfId="303" builtinId="9" hidden="1"/>
    <cellStyle name="Besuchter Hyperlink" xfId="304" builtinId="9" hidden="1"/>
    <cellStyle name="Besuchter Hyperlink" xfId="305" builtinId="9" hidden="1"/>
    <cellStyle name="Besuchter Hyperlink" xfId="306" builtinId="9" hidden="1"/>
    <cellStyle name="Besuchter Hyperlink" xfId="307" builtinId="9" hidden="1"/>
    <cellStyle name="Besuchter Hyperlink" xfId="308" builtinId="9" hidden="1"/>
    <cellStyle name="Besuchter Hyperlink" xfId="309" builtinId="9" hidden="1"/>
    <cellStyle name="Besuchter Hyperlink" xfId="310" builtinId="9" hidden="1"/>
    <cellStyle name="Besuchter Hyperlink" xfId="311" builtinId="9" hidden="1"/>
    <cellStyle name="Besuchter Hyperlink" xfId="312" builtinId="9" hidden="1"/>
    <cellStyle name="Besuchter Hyperlink" xfId="313" builtinId="9" hidden="1"/>
    <cellStyle name="Besuchter Hyperlink" xfId="314" builtinId="9" hidden="1"/>
    <cellStyle name="Besuchter Hyperlink" xfId="315" builtinId="9" hidden="1"/>
    <cellStyle name="Besuchter Hyperlink" xfId="316" builtinId="9" hidden="1"/>
    <cellStyle name="Besuchter Hyperlink" xfId="317" builtinId="9" hidden="1"/>
    <cellStyle name="Besuchter Hyperlink" xfId="318" builtinId="9" hidden="1"/>
    <cellStyle name="Besuchter Hyperlink" xfId="319" builtinId="9" hidden="1"/>
    <cellStyle name="Besuchter Hyperlink" xfId="320" builtinId="9" hidden="1"/>
    <cellStyle name="Besuchter Hyperlink" xfId="321" builtinId="9" hidden="1"/>
    <cellStyle name="Besuchter Hyperlink" xfId="322" builtinId="9" hidden="1"/>
    <cellStyle name="Besuchter Hyperlink" xfId="323" builtinId="9" hidden="1"/>
    <cellStyle name="Besuchter Hyperlink" xfId="324" builtinId="9" hidden="1"/>
    <cellStyle name="Besuchter Hyperlink" xfId="325" builtinId="9" hidden="1"/>
    <cellStyle name="Besuchter Hyperlink" xfId="326" builtinId="9" hidden="1"/>
    <cellStyle name="Besuchter Hyperlink" xfId="327" builtinId="9" hidden="1"/>
    <cellStyle name="Besuchter Hyperlink" xfId="328" builtinId="9" hidden="1"/>
    <cellStyle name="Besuchter Hyperlink" xfId="329" builtinId="9" hidden="1"/>
    <cellStyle name="Besuchter Hyperlink" xfId="330" builtinId="9" hidden="1"/>
    <cellStyle name="Besuchter Hyperlink" xfId="331" builtinId="9" hidden="1"/>
    <cellStyle name="Besuchter Hyperlink" xfId="332" builtinId="9" hidden="1"/>
    <cellStyle name="Besuchter Hyperlink" xfId="333" builtinId="9" hidden="1"/>
    <cellStyle name="Besuchter Hyperlink" xfId="334" builtinId="9" hidden="1"/>
    <cellStyle name="Besuchter Hyperlink" xfId="335" builtinId="9" hidden="1"/>
    <cellStyle name="Besuchter Hyperlink" xfId="336" builtinId="9" hidden="1"/>
    <cellStyle name="Besuchter Hyperlink" xfId="337" builtinId="9" hidden="1"/>
    <cellStyle name="Besuchter Hyperlink" xfId="338" builtinId="9" hidden="1"/>
    <cellStyle name="Besuchter Hyperlink" xfId="339" builtinId="9" hidden="1"/>
    <cellStyle name="Besuchter Hyperlink" xfId="340" builtinId="9" hidden="1"/>
    <cellStyle name="Besuchter Hyperlink" xfId="361" builtinId="9" hidden="1"/>
    <cellStyle name="Besuchter Hyperlink" xfId="362" builtinId="9" hidden="1"/>
    <cellStyle name="Besuchter Hyperlink" xfId="363" builtinId="9" hidden="1"/>
    <cellStyle name="Besuchter Hyperlink" xfId="364" builtinId="9" hidden="1"/>
    <cellStyle name="Besuchter Hyperlink" xfId="365" builtinId="9" hidden="1"/>
    <cellStyle name="Besuchter Hyperlink" xfId="366" builtinId="9" hidden="1"/>
    <cellStyle name="Besuchter Hyperlink" xfId="367" builtinId="9" hidden="1"/>
    <cellStyle name="Besuchter Hyperlink" xfId="368" builtinId="9" hidden="1"/>
    <cellStyle name="Besuchter Hyperlink" xfId="369" builtinId="9" hidden="1"/>
    <cellStyle name="Besuchter Hyperlink" xfId="370" builtinId="9" hidden="1"/>
    <cellStyle name="Besuchter Hyperlink" xfId="371" builtinId="9" hidden="1"/>
    <cellStyle name="Besuchter Hyperlink" xfId="372" builtinId="9" hidden="1"/>
    <cellStyle name="Besuchter Hyperlink" xfId="373" builtinId="9" hidden="1"/>
    <cellStyle name="Besuchter Hyperlink" xfId="374" builtinId="9" hidden="1"/>
    <cellStyle name="Besuchter Hyperlink" xfId="375" builtinId="9" hidden="1"/>
    <cellStyle name="Besuchter Hyperlink" xfId="376" builtinId="9" hidden="1"/>
    <cellStyle name="Besuchter Hyperlink" xfId="377" builtinId="9" hidden="1"/>
    <cellStyle name="Besuchter Hyperlink" xfId="378" builtinId="9" hidden="1"/>
    <cellStyle name="Besuchter Hyperlink" xfId="379" builtinId="9" hidden="1"/>
    <cellStyle name="Besuchter Hyperlink" xfId="380" builtinId="9" hidden="1"/>
    <cellStyle name="Besuchter Hyperlink" xfId="381" builtinId="9" hidden="1"/>
    <cellStyle name="Besuchter Hyperlink" xfId="382" builtinId="9" hidden="1"/>
    <cellStyle name="Besuchter Hyperlink" xfId="383" builtinId="9" hidden="1"/>
    <cellStyle name="Besuchter Hyperlink" xfId="384" builtinId="9" hidden="1"/>
    <cellStyle name="Besuchter Hyperlink" xfId="385" builtinId="9" hidden="1"/>
    <cellStyle name="Besuchter Hyperlink" xfId="386" builtinId="9" hidden="1"/>
    <cellStyle name="Besuchter Hyperlink" xfId="387" builtinId="9" hidden="1"/>
    <cellStyle name="Besuchter Hyperlink" xfId="388" builtinId="9" hidden="1"/>
    <cellStyle name="Besuchter Hyperlink" xfId="389" builtinId="9" hidden="1"/>
    <cellStyle name="Besuchter Hyperlink" xfId="390" builtinId="9" hidden="1"/>
    <cellStyle name="Besuchter Hyperlink" xfId="391" builtinId="9" hidden="1"/>
    <cellStyle name="Besuchter Hyperlink" xfId="392" builtinId="9" hidden="1"/>
    <cellStyle name="Besuchter Hyperlink" xfId="393" builtinId="9" hidden="1"/>
    <cellStyle name="Besuchter Hyperlink" xfId="394" builtinId="9" hidden="1"/>
    <cellStyle name="Besuchter Hyperlink" xfId="395" builtinId="9" hidden="1"/>
    <cellStyle name="Besuchter Hyperlink" xfId="396" builtinId="9" hidden="1"/>
    <cellStyle name="Besuchter Hyperlink" xfId="397" builtinId="9" hidden="1"/>
    <cellStyle name="Besuchter Hyperlink" xfId="398" builtinId="9" hidden="1"/>
    <cellStyle name="Besuchter Hyperlink" xfId="399" builtinId="9" hidden="1"/>
    <cellStyle name="Besuchter Hyperlink" xfId="400" builtinId="9" hidden="1"/>
    <cellStyle name="Besuchter Hyperlink" xfId="401" builtinId="9" hidden="1"/>
    <cellStyle name="Besuchter Hyperlink" xfId="402" builtinId="9" hidden="1"/>
    <cellStyle name="Besuchter Hyperlink" xfId="403" builtinId="9" hidden="1"/>
    <cellStyle name="Besuchter Hyperlink" xfId="404" builtinId="9" hidden="1"/>
    <cellStyle name="Besuchter Hyperlink" xfId="405" builtinId="9" hidden="1"/>
    <cellStyle name="Besuchter Hyperlink" xfId="406" builtinId="9" hidden="1"/>
    <cellStyle name="Besuchter Hyperlink" xfId="407" builtinId="9" hidden="1"/>
    <cellStyle name="Besuchter Hyperlink" xfId="408" builtinId="9" hidden="1"/>
    <cellStyle name="Besuchter Hyperlink" xfId="409" builtinId="9" hidden="1"/>
    <cellStyle name="Besuchter Hyperlink" xfId="410" builtinId="9" hidden="1"/>
    <cellStyle name="Besuchter Hyperlink" xfId="411" builtinId="9" hidden="1"/>
    <cellStyle name="Besuchter Hyperlink" xfId="412" builtinId="9" hidden="1"/>
    <cellStyle name="Besuchter Hyperlink" xfId="413" builtinId="9" hidden="1"/>
    <cellStyle name="Besuchter Hyperlink" xfId="414" builtinId="9" hidden="1"/>
    <cellStyle name="Besuchter Hyperlink" xfId="415" builtinId="9" hidden="1"/>
    <cellStyle name="Besuchter Hyperlink" xfId="416" builtinId="9" hidden="1"/>
    <cellStyle name="Besuchter Hyperlink" xfId="417" builtinId="9" hidden="1"/>
    <cellStyle name="Besuchter Hyperlink" xfId="418" builtinId="9" hidden="1"/>
    <cellStyle name="Besuchter Hyperlink" xfId="432" builtinId="9" hidden="1"/>
    <cellStyle name="Besuchter Hyperlink" xfId="433" builtinId="9" hidden="1"/>
    <cellStyle name="Besuchter Hyperlink" xfId="434" builtinId="9" hidden="1"/>
    <cellStyle name="Besuchter Hyperlink" xfId="435" builtinId="9" hidden="1"/>
    <cellStyle name="Besuchter Hyperlink" xfId="436" builtinId="9" hidden="1"/>
    <cellStyle name="Besuchter Hyperlink" xfId="437" builtinId="9" hidden="1"/>
    <cellStyle name="Besuchter Hyperlink" xfId="438" builtinId="9" hidden="1"/>
    <cellStyle name="Besuchter Hyperlink" xfId="439" builtinId="9" hidden="1"/>
    <cellStyle name="Besuchter Hyperlink" xfId="440" builtinId="9" hidden="1"/>
    <cellStyle name="Besuchter Hyperlink" xfId="441" builtinId="9" hidden="1"/>
    <cellStyle name="Besuchter Hyperlink" xfId="442" builtinId="9" hidden="1"/>
    <cellStyle name="Besuchter Hyperlink" xfId="443" builtinId="9" hidden="1"/>
    <cellStyle name="Besuchter Hyperlink" xfId="444" builtinId="9" hidden="1"/>
    <cellStyle name="Besuchter Hyperlink" xfId="445" builtinId="9" hidden="1"/>
    <cellStyle name="Besuchter Hyperlink" xfId="446" builtinId="9" hidden="1"/>
    <cellStyle name="Besuchter Hyperlink" xfId="448" builtinId="9" hidden="1"/>
    <cellStyle name="Besuchter Hyperlink" xfId="450" builtinId="9" hidden="1"/>
    <cellStyle name="Besuchter Hyperlink" xfId="452" builtinId="9" hidden="1"/>
    <cellStyle name="Besuchter Hyperlink" xfId="454" builtinId="9" hidden="1"/>
    <cellStyle name="Besuchter Hyperlink" xfId="456" builtinId="9" hidden="1"/>
    <cellStyle name="Besuchter Hyperlink" xfId="458" builtinId="9" hidden="1"/>
    <cellStyle name="Besuchter Hyperlink" xfId="460" builtinId="9" hidden="1"/>
    <cellStyle name="Besuchter Hyperlink" xfId="462" builtinId="9" hidden="1"/>
    <cellStyle name="Besuchter Hyperlink" xfId="464" builtinId="9" hidden="1"/>
    <cellStyle name="Besuchter Hyperlink" xfId="466" builtinId="9" hidden="1"/>
    <cellStyle name="Besuchter Hyperlink" xfId="468" builtinId="9" hidden="1"/>
    <cellStyle name="Besuchter Hyperlink" xfId="470" builtinId="9" hidden="1"/>
    <cellStyle name="Besuchter Hyperlink" xfId="472" builtinId="9" hidden="1"/>
    <cellStyle name="Besuchter Hyperlink" xfId="474" builtinId="9" hidden="1"/>
    <cellStyle name="Besuchter Hyperlink" xfId="476" builtinId="9" hidden="1"/>
    <cellStyle name="Besuchter Hyperlink" xfId="478" builtinId="9" hidden="1"/>
    <cellStyle name="Besuchter Hyperlink" xfId="480" builtinId="9" hidden="1"/>
    <cellStyle name="Besuchter Hyperlink" xfId="482" builtinId="9" hidden="1"/>
    <cellStyle name="Besuchter Hyperlink" xfId="484" builtinId="9" hidden="1"/>
    <cellStyle name="Besuchter Hyperlink" xfId="486" builtinId="9" hidden="1"/>
    <cellStyle name="Besuchter Hyperlink" xfId="488" builtinId="9" hidden="1"/>
    <cellStyle name="Besuchter Hyperlink" xfId="490" builtinId="9" hidden="1"/>
    <cellStyle name="Besuchter Hyperlink" xfId="492" builtinId="9" hidden="1"/>
    <cellStyle name="Besuchter Hyperlink" xfId="494" builtinId="9" hidden="1"/>
    <cellStyle name="Besuchter Hyperlink" xfId="496" builtinId="9" hidden="1"/>
    <cellStyle name="Besuchter Hyperlink" xfId="498" builtinId="9" hidden="1"/>
    <cellStyle name="Besuchter Hyperlink" xfId="500" builtinId="9" hidden="1"/>
    <cellStyle name="Besuchter Hyperlink" xfId="502" builtinId="9" hidden="1"/>
    <cellStyle name="Besuchter Hyperlink" xfId="504" builtinId="9" hidden="1"/>
    <cellStyle name="Besuchter Hyperlink" xfId="506" builtinId="9" hidden="1"/>
    <cellStyle name="Besuchter Hyperlink" xfId="508" builtinId="9" hidden="1"/>
    <cellStyle name="Besuchter Hyperlink" xfId="510" builtinId="9" hidden="1"/>
    <cellStyle name="Besuchter Hyperlink" xfId="512" builtinId="9" hidden="1"/>
    <cellStyle name="Besuchter Hyperlink" xfId="514" builtinId="9" hidden="1"/>
    <cellStyle name="Besuchter Hyperlink" xfId="516" builtinId="9" hidden="1"/>
    <cellStyle name="Besuchter Hyperlink" xfId="518" builtinId="9" hidden="1"/>
    <cellStyle name="Besuchter Hyperlink" xfId="520" builtinId="9" hidden="1"/>
    <cellStyle name="Besuchter Hyperlink" xfId="522" builtinId="9" hidden="1"/>
    <cellStyle name="Besuchter Hyperlink" xfId="524" builtinId="9" hidden="1"/>
    <cellStyle name="Besuchter Hyperlink" xfId="526" builtinId="9" hidden="1"/>
    <cellStyle name="Besuchter Hyperlink" xfId="528" builtinId="9" hidden="1"/>
    <cellStyle name="Besuchter Hyperlink" xfId="530" builtinId="9" hidden="1"/>
    <cellStyle name="Besuchter Hyperlink" xfId="532" builtinId="9" hidden="1"/>
    <cellStyle name="Besuchter Hyperlink" xfId="534" builtinId="9" hidden="1"/>
    <cellStyle name="Besuchter Hyperlink" xfId="535" builtinId="9" hidden="1"/>
    <cellStyle name="Besuchter Hyperlink" xfId="536" builtinId="9" hidden="1"/>
    <cellStyle name="Besuchter Hyperlink" xfId="669" builtinId="9" hidden="1"/>
    <cellStyle name="Besuchter Hyperlink" xfId="672" builtinId="9" hidden="1"/>
    <cellStyle name="Besuchter Hyperlink" xfId="673" builtinId="9" hidden="1"/>
    <cellStyle name="Besuchter Hyperlink" xfId="674" builtinId="9" hidden="1"/>
    <cellStyle name="Besuchter Hyperlink" xfId="675" builtinId="9" hidden="1"/>
    <cellStyle name="Besuchter Hyperlink" xfId="676" builtinId="9" hidden="1"/>
    <cellStyle name="Besuchter Hyperlink" xfId="677" builtinId="9" hidden="1"/>
    <cellStyle name="Besuchter Hyperlink" xfId="678" builtinId="9" hidden="1"/>
    <cellStyle name="Besuchter Hyperlink" xfId="679" builtinId="9" hidden="1"/>
    <cellStyle name="Besuchter Hyperlink" xfId="680" builtinId="9" hidden="1"/>
    <cellStyle name="Besuchter Hyperlink" xfId="681" builtinId="9" hidden="1"/>
    <cellStyle name="Besuchter Hyperlink" xfId="682" builtinId="9" hidden="1"/>
    <cellStyle name="Besuchter Hyperlink" xfId="683" builtinId="9" hidden="1"/>
    <cellStyle name="Besuchter Hyperlink" xfId="684" builtinId="9" hidden="1"/>
    <cellStyle name="Besuchter Hyperlink" xfId="685" builtinId="9" hidden="1"/>
    <cellStyle name="Besuchter Hyperlink" xfId="686" builtinId="9" hidden="1"/>
    <cellStyle name="Besuchter Hyperlink" xfId="687" builtinId="9" hidden="1"/>
    <cellStyle name="Besuchter Hyperlink" xfId="688" builtinId="9" hidden="1"/>
    <cellStyle name="Besuchter Hyperlink" xfId="689" builtinId="9" hidden="1"/>
    <cellStyle name="Besuchter Hyperlink" xfId="690" builtinId="9" hidden="1"/>
    <cellStyle name="Besuchter Hyperlink" xfId="691" builtinId="9" hidden="1"/>
    <cellStyle name="Besuchter Hyperlink" xfId="692" builtinId="9" hidden="1"/>
    <cellStyle name="Besuchter Hyperlink" xfId="693" builtinId="9" hidden="1"/>
    <cellStyle name="Besuchter Hyperlink" xfId="694" builtinId="9" hidden="1"/>
    <cellStyle name="Besuchter Hyperlink" xfId="695" builtinId="9" hidden="1"/>
    <cellStyle name="Besuchter Hyperlink" xfId="696" builtinId="9" hidden="1"/>
    <cellStyle name="Besuchter Hyperlink" xfId="697" builtinId="9" hidden="1"/>
    <cellStyle name="Besuchter Hyperlink" xfId="698" builtinId="9" hidden="1"/>
    <cellStyle name="Besuchter Hyperlink" xfId="699" builtinId="9" hidden="1"/>
    <cellStyle name="Besuchter Hyperlink" xfId="700" builtinId="9" hidden="1"/>
    <cellStyle name="Besuchter Hyperlink" xfId="701" builtinId="9" hidden="1"/>
    <cellStyle name="Besuchter Hyperlink" xfId="702" builtinId="9" hidden="1"/>
    <cellStyle name="Besuchter Hyperlink" xfId="703" builtinId="9" hidden="1"/>
    <cellStyle name="Besuchter Hyperlink" xfId="704" builtinId="9" hidden="1"/>
    <cellStyle name="Besuchter Hyperlink" xfId="705" builtinId="9" hidden="1"/>
    <cellStyle name="Besuchter Hyperlink" xfId="706" builtinId="9" hidden="1"/>
    <cellStyle name="Besuchter Hyperlink" xfId="707" builtinId="9" hidden="1"/>
    <cellStyle name="Besuchter Hyperlink" xfId="708" builtinId="9" hidden="1"/>
    <cellStyle name="Besuchter Hyperlink" xfId="709" builtinId="9" hidden="1"/>
    <cellStyle name="Besuchter Hyperlink" xfId="710" builtinId="9" hidden="1"/>
    <cellStyle name="Besuchter Hyperlink" xfId="711" builtinId="9" hidden="1"/>
    <cellStyle name="Besuchter Hyperlink" xfId="712" builtinId="9" hidden="1"/>
    <cellStyle name="Besuchter Hyperlink" xfId="713" builtinId="9" hidden="1"/>
    <cellStyle name="Besuchter Hyperlink" xfId="714" builtinId="9" hidden="1"/>
    <cellStyle name="Besuchter Hyperlink" xfId="715" builtinId="9" hidden="1"/>
    <cellStyle name="Besuchter Hyperlink" xfId="716" builtinId="9" hidden="1"/>
    <cellStyle name="Besuchter Hyperlink" xfId="717" builtinId="9" hidden="1"/>
    <cellStyle name="Besuchter Hyperlink" xfId="718" builtinId="9" hidden="1"/>
    <cellStyle name="Besuchter Hyperlink" xfId="719" builtinId="9" hidden="1"/>
    <cellStyle name="Besuchter Hyperlink" xfId="720" builtinId="9" hidden="1"/>
    <cellStyle name="Besuchter Hyperlink" xfId="721" builtinId="9" hidden="1"/>
    <cellStyle name="Besuchter Hyperlink" xfId="722" builtinId="9" hidden="1"/>
    <cellStyle name="Besuchter Hyperlink" xfId="723" builtinId="9" hidden="1"/>
    <cellStyle name="Besuchter Hyperlink" xfId="724" builtinId="9" hidden="1"/>
    <cellStyle name="Besuchter Hyperlink" xfId="725" builtinId="9" hidden="1"/>
    <cellStyle name="Besuchter Hyperlink" xfId="726" builtinId="9" hidden="1"/>
    <cellStyle name="Besuchter Hyperlink" xfId="727" builtinId="9" hidden="1"/>
    <cellStyle name="Besuchter Hyperlink" xfId="728" builtinId="9" hidden="1"/>
    <cellStyle name="Besuchter Hyperlink" xfId="729" builtinId="9" hidden="1"/>
    <cellStyle name="Besuchter Hyperlink" xfId="730" builtinId="9" hidden="1"/>
    <cellStyle name="Besuchter Hyperlink" xfId="731" builtinId="9" hidden="1"/>
    <cellStyle name="Besuchter Hyperlink" xfId="732" builtinId="9" hidden="1"/>
    <cellStyle name="Besuchter Hyperlink" xfId="738" builtinId="9" hidden="1"/>
    <cellStyle name="Besuchter Hyperlink" xfId="739" builtinId="9" hidden="1"/>
    <cellStyle name="Besuchter Hyperlink" xfId="740" builtinId="9" hidden="1"/>
    <cellStyle name="Besuchter Hyperlink" xfId="741" builtinId="9" hidden="1"/>
    <cellStyle name="Besuchter Hyperlink" xfId="742" builtinId="9" hidden="1"/>
    <cellStyle name="Besuchter Hyperlink" xfId="743" builtinId="9" hidden="1"/>
    <cellStyle name="Besuchter Hyperlink" xfId="744" builtinId="9" hidden="1"/>
    <cellStyle name="Besuchter Hyperlink" xfId="745" builtinId="9" hidden="1"/>
    <cellStyle name="Besuchter Hyperlink" xfId="746" builtinId="9" hidden="1"/>
    <cellStyle name="Besuchter Hyperlink" xfId="747" builtinId="9" hidden="1"/>
    <cellStyle name="Besuchter Hyperlink" xfId="748" builtinId="9" hidden="1"/>
    <cellStyle name="Besuchter Hyperlink" xfId="749" builtinId="9" hidden="1"/>
    <cellStyle name="Besuchter Hyperlink" xfId="750" builtinId="9" hidden="1"/>
    <cellStyle name="Besuchter Hyperlink" xfId="751" builtinId="9" hidden="1"/>
    <cellStyle name="Besuchter Hyperlink" xfId="752" builtinId="9" hidden="1"/>
    <cellStyle name="Besuchter Hyperlink" xfId="753" builtinId="9" hidden="1"/>
    <cellStyle name="Besuchter Hyperlink" xfId="754" builtinId="9" hidden="1"/>
    <cellStyle name="Besuchter Hyperlink" xfId="755" builtinId="9" hidden="1"/>
    <cellStyle name="Besuchter Hyperlink" xfId="756" builtinId="9" hidden="1"/>
    <cellStyle name="Besuchter Hyperlink" xfId="757" builtinId="9" hidden="1"/>
    <cellStyle name="Besuchter Hyperlink" xfId="758" builtinId="9" hidden="1"/>
    <cellStyle name="Besuchter Hyperlink" xfId="759" builtinId="9" hidden="1"/>
    <cellStyle name="Besuchter Hyperlink" xfId="760" builtinId="9" hidden="1"/>
    <cellStyle name="Besuchter Hyperlink" xfId="761" builtinId="9" hidden="1"/>
    <cellStyle name="Besuchter Hyperlink" xfId="762" builtinId="9" hidden="1"/>
    <cellStyle name="Besuchter Hyperlink" xfId="763" builtinId="9" hidden="1"/>
    <cellStyle name="Besuchter Hyperlink" xfId="764" builtinId="9" hidden="1"/>
    <cellStyle name="Besuchter Hyperlink" xfId="765" builtinId="9" hidden="1"/>
    <cellStyle name="Besuchter Hyperlink" xfId="766" builtinId="9" hidden="1"/>
    <cellStyle name="Besuchter Hyperlink" xfId="767" builtinId="9" hidden="1"/>
    <cellStyle name="Besuchter Hyperlink" xfId="768" builtinId="9" hidden="1"/>
    <cellStyle name="Besuchter Hyperlink" xfId="769" builtinId="9" hidden="1"/>
    <cellStyle name="Besuchter Hyperlink" xfId="770" builtinId="9" hidden="1"/>
    <cellStyle name="Besuchter Hyperlink" xfId="771" builtinId="9" hidden="1"/>
    <cellStyle name="Besuchter Hyperlink" xfId="772" builtinId="9" hidden="1"/>
    <cellStyle name="Besuchter Hyperlink" xfId="773" builtinId="9" hidden="1"/>
    <cellStyle name="Besuchter Hyperlink" xfId="774" builtinId="9" hidden="1"/>
    <cellStyle name="Besuchter Hyperlink" xfId="775" builtinId="9" hidden="1"/>
    <cellStyle name="Besuchter Hyperlink" xfId="776" builtinId="9" hidden="1"/>
    <cellStyle name="Besuchter Hyperlink" xfId="777" builtinId="9" hidden="1"/>
    <cellStyle name="Besuchter Hyperlink" xfId="778" builtinId="9" hidden="1"/>
    <cellStyle name="Besuchter Hyperlink" xfId="779" builtinId="9" hidden="1"/>
    <cellStyle name="Besuchter Hyperlink" xfId="780" builtinId="9" hidden="1"/>
    <cellStyle name="Besuchter Hyperlink" xfId="781" builtinId="9" hidden="1"/>
    <cellStyle name="Besuchter Hyperlink" xfId="782" builtinId="9" hidden="1"/>
    <cellStyle name="Besuchter Hyperlink" xfId="783" builtinId="9" hidden="1"/>
    <cellStyle name="Besuchter Hyperlink" xfId="784" builtinId="9" hidden="1"/>
    <cellStyle name="Besuchter Hyperlink" xfId="785" builtinId="9" hidden="1"/>
    <cellStyle name="Besuchter Hyperlink" xfId="786" builtinId="9" hidden="1"/>
    <cellStyle name="Besuchter Hyperlink" xfId="787" builtinId="9" hidden="1"/>
    <cellStyle name="Besuchter Hyperlink" xfId="788" builtinId="9" hidden="1"/>
    <cellStyle name="Besuchter Hyperlink" xfId="789" builtinId="9" hidden="1"/>
    <cellStyle name="Besuchter Hyperlink" xfId="790" builtinId="9" hidden="1"/>
    <cellStyle name="Besuchter Hyperlink" xfId="791" builtinId="9" hidden="1"/>
    <cellStyle name="Besuchter Hyperlink" xfId="792" builtinId="9" hidden="1"/>
    <cellStyle name="Besuchter Hyperlink" xfId="793" builtinId="9" hidden="1"/>
    <cellStyle name="Besuchter Hyperlink" xfId="794" builtinId="9" hidden="1"/>
    <cellStyle name="Besuchter Hyperlink" xfId="795" builtinId="9" hidden="1"/>
    <cellStyle name="Besuchter Hyperlink" xfId="796" builtinId="9" hidden="1"/>
    <cellStyle name="Besuchter Hyperlink" xfId="797" builtinId="9" hidden="1"/>
    <cellStyle name="Besuchter Hyperlink" xfId="798" builtinId="9" hidden="1"/>
    <cellStyle name="Besuchter Hyperlink" xfId="799" builtinId="9" hidden="1"/>
    <cellStyle name="Besuchter Hyperlink" xfId="800" builtinId="9" hidden="1"/>
    <cellStyle name="Besuchter Hyperlink" xfId="801" builtinId="9" hidden="1"/>
    <cellStyle name="Besuchter Hyperlink" xfId="802" builtinId="9" hidden="1"/>
    <cellStyle name="Besuchter Hyperlink" xfId="803" builtinId="9" hidden="1"/>
    <cellStyle name="Besuchter Hyperlink" xfId="804" builtinId="9" hidden="1"/>
    <cellStyle name="Besuchter Hyperlink" xfId="805" builtinId="9" hidden="1"/>
    <cellStyle name="Besuchter Hyperlink" xfId="806" builtinId="9" hidden="1"/>
    <cellStyle name="Besuchter Hyperlink" xfId="807" builtinId="9" hidden="1"/>
    <cellStyle name="Besuchter Hyperlink" xfId="808" builtinId="9" hidden="1"/>
    <cellStyle name="Besuchter Hyperlink" xfId="809" builtinId="9" hidden="1"/>
    <cellStyle name="Besuchter Hyperlink" xfId="810" builtinId="9" hidden="1"/>
    <cellStyle name="Besuchter Hyperlink" xfId="811" builtinId="9" hidden="1"/>
    <cellStyle name="Besuchter Hyperlink" xfId="812" builtinId="9" hidden="1"/>
    <cellStyle name="Besuchter Hyperlink" xfId="813" builtinId="9" hidden="1"/>
    <cellStyle name="Besuchter Hyperlink" xfId="814" builtinId="9" hidden="1"/>
    <cellStyle name="Besuchter Hyperlink" xfId="815" builtinId="9" hidden="1"/>
    <cellStyle name="Besuchter Hyperlink" xfId="816" builtinId="9" hidden="1"/>
    <cellStyle name="Besuchter Hyperlink" xfId="817" builtinId="9" hidden="1"/>
    <cellStyle name="Besuchter Hyperlink" xfId="818" builtinId="9" hidden="1"/>
    <cellStyle name="Besuchter Hyperlink" xfId="819" builtinId="9" hidden="1"/>
    <cellStyle name="Besuchter Hyperlink" xfId="820" builtinId="9" hidden="1"/>
    <cellStyle name="Besuchter Hyperlink" xfId="821" builtinId="9" hidden="1"/>
    <cellStyle name="Besuchter Hyperlink" xfId="822" builtinId="9" hidden="1"/>
    <cellStyle name="Besuchter Hyperlink" xfId="823" builtinId="9" hidden="1"/>
    <cellStyle name="Besuchter Hyperlink" xfId="824" builtinId="9" hidden="1"/>
    <cellStyle name="Besuchter Hyperlink" xfId="825" builtinId="9" hidden="1"/>
    <cellStyle name="Besuchter Hyperlink" xfId="826" builtinId="9" hidden="1"/>
    <cellStyle name="Besuchter Hyperlink" xfId="827" builtinId="9" hidden="1"/>
    <cellStyle name="Besuchter Hyperlink" xfId="828" builtinId="9" hidden="1"/>
    <cellStyle name="Besuchter Hyperlink" xfId="829" builtinId="9" hidden="1"/>
    <cellStyle name="Besuchter Hyperlink" xfId="830" builtinId="9" hidden="1"/>
    <cellStyle name="Besuchter Hyperlink" xfId="831" builtinId="9" hidden="1"/>
    <cellStyle name="Besuchter Hyperlink" xfId="832" builtinId="9" hidden="1"/>
    <cellStyle name="Besuchter Hyperlink" xfId="833" builtinId="9" hidden="1"/>
    <cellStyle name="Besuchter Hyperlink" xfId="834" builtinId="9" hidden="1"/>
    <cellStyle name="Besuchter Hyperlink" xfId="835" builtinId="9" hidden="1"/>
    <cellStyle name="Besuchter Hyperlink" xfId="836" builtinId="9" hidden="1"/>
    <cellStyle name="Besuchter Hyperlink" xfId="837" builtinId="9" hidden="1"/>
    <cellStyle name="Besuchter Hyperlink" xfId="838" builtinId="9" hidden="1"/>
    <cellStyle name="Besuchter Hyperlink" xfId="839" builtinId="9" hidden="1"/>
    <cellStyle name="Besuchter Hyperlink" xfId="840" builtinId="9" hidden="1"/>
    <cellStyle name="Besuchter Hyperlink" xfId="841" builtinId="9" hidden="1"/>
    <cellStyle name="Besuchter Hyperlink" xfId="842" builtinId="9" hidden="1"/>
    <cellStyle name="Besuchter Hyperlink" xfId="843" builtinId="9" hidden="1"/>
    <cellStyle name="Besuchter Hyperlink" xfId="844" builtinId="9" hidden="1"/>
    <cellStyle name="Besuchter Hyperlink" xfId="845" builtinId="9" hidden="1"/>
    <cellStyle name="Besuchter Hyperlink" xfId="846" builtinId="9" hidden="1"/>
    <cellStyle name="Besuchter Hyperlink" xfId="847" builtinId="9" hidden="1"/>
    <cellStyle name="Besuchter Hyperlink" xfId="848" builtinId="9" hidden="1"/>
    <cellStyle name="Besuchter Hyperlink" xfId="849" builtinId="9" hidden="1"/>
    <cellStyle name="Besuchter Hyperlink" xfId="850" builtinId="9" hidden="1"/>
    <cellStyle name="Besuchter Hyperlink" xfId="851" builtinId="9" hidden="1"/>
    <cellStyle name="Besuchter Hyperlink" xfId="852" builtinId="9" hidden="1"/>
    <cellStyle name="Besuchter Hyperlink" xfId="853" builtinId="9" hidden="1"/>
    <cellStyle name="Besuchter Hyperlink" xfId="854" builtinId="9" hidden="1"/>
    <cellStyle name="Besuchter Hyperlink" xfId="855" builtinId="9" hidden="1"/>
    <cellStyle name="Besuchter Hyperlink" xfId="856" builtinId="9" hidden="1"/>
    <cellStyle name="Besuchter Hyperlink" xfId="857" builtinId="9" hidden="1"/>
    <cellStyle name="Besuchter Hyperlink" xfId="858" builtinId="9" hidden="1"/>
    <cellStyle name="Besuchter Hyperlink" xfId="859" builtinId="9" hidden="1"/>
    <cellStyle name="Besuchter Hyperlink" xfId="860" builtinId="9" hidden="1"/>
    <cellStyle name="Besuchter Hyperlink" xfId="861" builtinId="9" hidden="1"/>
    <cellStyle name="Besuchter Hyperlink" xfId="862" builtinId="9" hidden="1"/>
    <cellStyle name="Besuchter Hyperlink" xfId="863" builtinId="9" hidden="1"/>
    <cellStyle name="Besuchter Hyperlink" xfId="864" builtinId="9" hidden="1"/>
    <cellStyle name="Besuchter Hyperlink" xfId="865" builtinId="9" hidden="1"/>
    <cellStyle name="Besuchter Hyperlink" xfId="866" builtinId="9" hidden="1"/>
    <cellStyle name="Besuchter Hyperlink" xfId="867" builtinId="9" hidden="1"/>
    <cellStyle name="Besuchter Hyperlink" xfId="868" builtinId="9" hidden="1"/>
    <cellStyle name="Besuchter Hyperlink" xfId="869" builtinId="9" hidden="1"/>
    <cellStyle name="Besuchter Hyperlink" xfId="870" builtinId="9" hidden="1"/>
    <cellStyle name="Besuchter Hyperlink" xfId="871" builtinId="9" hidden="1"/>
    <cellStyle name="Besuchter Hyperlink" xfId="872" builtinId="9" hidden="1"/>
    <cellStyle name="Besuchter Hyperlink" xfId="873" builtinId="9" hidden="1"/>
    <cellStyle name="Besuchter Hyperlink" xfId="874" builtinId="9" hidden="1"/>
    <cellStyle name="Besuchter Hyperlink" xfId="875" builtinId="9" hidden="1"/>
    <cellStyle name="Besuchter Hyperlink" xfId="876" builtinId="9" hidden="1"/>
    <cellStyle name="Besuchter Hyperlink" xfId="877" builtinId="9" hidden="1"/>
    <cellStyle name="Besuchter Hyperlink" xfId="878" builtinId="9" hidden="1"/>
    <cellStyle name="Besuchter Hyperlink" xfId="879" builtinId="9" hidden="1"/>
    <cellStyle name="Besuchter Hyperlink" xfId="880" builtinId="9" hidden="1"/>
    <cellStyle name="Besuchter Hyperlink" xfId="881" builtinId="9" hidden="1"/>
    <cellStyle name="Besuchter Hyperlink" xfId="882" builtinId="9" hidden="1"/>
    <cellStyle name="Besuchter Hyperlink" xfId="883" builtinId="9" hidden="1"/>
    <cellStyle name="Besuchter Hyperlink" xfId="884" builtinId="9" hidden="1"/>
    <cellStyle name="Besuchter Hyperlink" xfId="885" builtinId="9" hidden="1"/>
    <cellStyle name="Besuchter Hyperlink" xfId="886" builtinId="9" hidden="1"/>
    <cellStyle name="Besuchter Hyperlink" xfId="887" builtinId="9" hidden="1"/>
    <cellStyle name="Besuchter Hyperlink" xfId="888" builtinId="9" hidden="1"/>
    <cellStyle name="Besuchter Hyperlink" xfId="889" builtinId="9" hidden="1"/>
    <cellStyle name="Besuchter Hyperlink" xfId="890" builtinId="9" hidden="1"/>
    <cellStyle name="Besuchter Hyperlink" xfId="891" builtinId="9" hidden="1"/>
    <cellStyle name="Besuchter Hyperlink" xfId="892" builtinId="9" hidden="1"/>
    <cellStyle name="Besuchter Hyperlink" xfId="893" builtinId="9" hidden="1"/>
    <cellStyle name="Besuchter Hyperlink" xfId="894" builtinId="9" hidden="1"/>
    <cellStyle name="Besuchter Hyperlink" xfId="895" builtinId="9" hidden="1"/>
    <cellStyle name="Besuchter Hyperlink" xfId="896" builtinId="9" hidden="1"/>
    <cellStyle name="Besuchter Hyperlink" xfId="897" builtinId="9" hidden="1"/>
    <cellStyle name="Besuchter Hyperlink" xfId="898" builtinId="9" hidden="1"/>
    <cellStyle name="Besuchter Hyperlink" xfId="899" builtinId="9" hidden="1"/>
    <cellStyle name="Besuchter Hyperlink" xfId="900" builtinId="9" hidden="1"/>
    <cellStyle name="Besuchter Hyperlink" xfId="901" builtinId="9" hidden="1"/>
    <cellStyle name="Besuchter Hyperlink" xfId="902" builtinId="9" hidden="1"/>
    <cellStyle name="Besuchter Hyperlink" xfId="903" builtinId="9" hidden="1"/>
    <cellStyle name="Besuchter Hyperlink" xfId="904" builtinId="9" hidden="1"/>
    <cellStyle name="Besuchter Hyperlink" xfId="905" builtinId="9" hidden="1"/>
    <cellStyle name="Besuchter Hyperlink" xfId="906" builtinId="9" hidden="1"/>
    <cellStyle name="Besuchter Hyperlink" xfId="907" builtinId="9" hidden="1"/>
    <cellStyle name="Besuchter Hyperlink" xfId="910" builtinId="9" hidden="1"/>
    <cellStyle name="Besuchter Hyperlink" xfId="911" builtinId="9" hidden="1"/>
    <cellStyle name="Besuchter Hyperlink" xfId="912" builtinId="9" hidden="1"/>
    <cellStyle name="Besuchter Hyperlink" xfId="913" builtinId="9" hidden="1"/>
    <cellStyle name="Besuchter Hyperlink" xfId="914" builtinId="9" hidden="1"/>
    <cellStyle name="Besuchter Hyperlink" xfId="915" builtinId="9" hidden="1"/>
    <cellStyle name="Besuchter Hyperlink" xfId="916" builtinId="9" hidden="1"/>
    <cellStyle name="Besuchter Hyperlink" xfId="918" builtinId="9" hidden="1"/>
    <cellStyle name="Besuchter Hyperlink" xfId="919" builtinId="9" hidden="1"/>
    <cellStyle name="Besuchter Hyperlink" xfId="920" builtinId="9" hidden="1"/>
    <cellStyle name="Besuchter Hyperlink" xfId="921" builtinId="9" hidden="1"/>
    <cellStyle name="Besuchter Hyperlink" xfId="922" builtinId="9" hidden="1"/>
    <cellStyle name="Besuchter Hyperlink" xfId="923" builtinId="9" hidden="1"/>
    <cellStyle name="Besuchter Hyperlink" xfId="924" builtinId="9" hidden="1"/>
    <cellStyle name="Besuchter Hyperlink" xfId="925" builtinId="9" hidden="1"/>
    <cellStyle name="Besuchter Hyperlink" xfId="926" builtinId="9" hidden="1"/>
    <cellStyle name="Besuchter Hyperlink" xfId="927" builtinId="9" hidden="1"/>
    <cellStyle name="Besuchter Hyperlink" xfId="935" builtinId="9" hidden="1"/>
    <cellStyle name="Besuchter Hyperlink" xfId="936" builtinId="9" hidden="1"/>
    <cellStyle name="Besuchter Hyperlink" xfId="937" builtinId="9" hidden="1"/>
    <cellStyle name="Besuchter Hyperlink" xfId="938" builtinId="9" hidden="1"/>
    <cellStyle name="Besuchter Hyperlink" xfId="939" builtinId="9" hidden="1"/>
    <cellStyle name="Besuchter Hyperlink" xfId="940" builtinId="9" hidden="1"/>
    <cellStyle name="Besuchter Hyperlink" xfId="941" builtinId="9" hidden="1"/>
    <cellStyle name="Besuchter Hyperlink" xfId="942" builtinId="9" hidden="1"/>
    <cellStyle name="Besuchter Hyperlink" xfId="943" builtinId="9" hidden="1"/>
    <cellStyle name="Besuchter Hyperlink" xfId="944" builtinId="9" hidden="1"/>
    <cellStyle name="Besuchter Hyperlink" xfId="945" builtinId="9" hidden="1"/>
    <cellStyle name="Besuchter Hyperlink" xfId="946" builtinId="9" hidden="1"/>
    <cellStyle name="Besuchter Hyperlink" xfId="947" builtinId="9" hidden="1"/>
    <cellStyle name="Besuchter Hyperlink" xfId="948" builtinId="9" hidden="1"/>
    <cellStyle name="Besuchter Hyperlink" xfId="949" builtinId="9" hidden="1"/>
    <cellStyle name="Besuchter Hyperlink" xfId="950" builtinId="9" hidden="1"/>
    <cellStyle name="Besuchter Hyperlink" xfId="951" builtinId="9" hidden="1"/>
    <cellStyle name="Besuchter Hyperlink" xfId="952" builtinId="9" hidden="1"/>
    <cellStyle name="Besuchter Hyperlink" xfId="953" builtinId="9" hidden="1"/>
    <cellStyle name="Besuchter Hyperlink" xfId="954" builtinId="9" hidden="1"/>
    <cellStyle name="Besuchter Hyperlink" xfId="955" builtinId="9" hidden="1"/>
    <cellStyle name="Besuchter Hyperlink" xfId="956" builtinId="9" hidden="1"/>
    <cellStyle name="Besuchter Hyperlink" xfId="957" builtinId="9" hidden="1"/>
    <cellStyle name="Besuchter Hyperlink" xfId="958" builtinId="9" hidden="1"/>
    <cellStyle name="Besuchter Hyperlink" xfId="959" builtinId="9" hidden="1"/>
    <cellStyle name="Besuchter Hyperlink" xfId="960" builtinId="9" hidden="1"/>
    <cellStyle name="Besuchter Hyperlink" xfId="961" builtinId="9" hidden="1"/>
    <cellStyle name="Besuchter Hyperlink" xfId="962" builtinId="9" hidden="1"/>
    <cellStyle name="Besuchter Hyperlink" xfId="963" builtinId="9" hidden="1"/>
    <cellStyle name="Besuchter Hyperlink" xfId="964" builtinId="9" hidden="1"/>
    <cellStyle name="Besuchter Hyperlink" xfId="965" builtinId="9" hidden="1"/>
    <cellStyle name="Besuchter Hyperlink" xfId="966" builtinId="9" hidden="1"/>
    <cellStyle name="Besuchter Hyperlink" xfId="967" builtinId="9" hidden="1"/>
    <cellStyle name="Besuchter Hyperlink" xfId="968" builtinId="9" hidden="1"/>
    <cellStyle name="Besuchter Hyperlink" xfId="969" builtinId="9" hidden="1"/>
    <cellStyle name="Besuchter Hyperlink" xfId="970" builtinId="9" hidden="1"/>
    <cellStyle name="Besuchter Hyperlink" xfId="971" builtinId="9" hidden="1"/>
    <cellStyle name="Besuchter Hyperlink" xfId="972" builtinId="9" hidden="1"/>
    <cellStyle name="Besuchter Hyperlink" xfId="973" builtinId="9" hidden="1"/>
    <cellStyle name="Besuchter Hyperlink" xfId="974" builtinId="9" hidden="1"/>
    <cellStyle name="Besuchter Hyperlink" xfId="975" builtinId="9" hidden="1"/>
    <cellStyle name="Besuchter Hyperlink" xfId="976" builtinId="9" hidden="1"/>
    <cellStyle name="Besuchter Hyperlink" xfId="977" builtinId="9" hidden="1"/>
    <cellStyle name="Besuchter Hyperlink" xfId="978" builtinId="9" hidden="1"/>
    <cellStyle name="Besuchter Hyperlink" xfId="979" builtinId="9" hidden="1"/>
    <cellStyle name="Besuchter Hyperlink" xfId="980" builtinId="9" hidden="1"/>
    <cellStyle name="Besuchter Hyperlink" xfId="981" builtinId="9" hidden="1"/>
    <cellStyle name="Besuchter Hyperlink" xfId="985" builtinId="9" hidden="1"/>
    <cellStyle name="Besuchter Hyperlink" xfId="986" builtinId="9" hidden="1"/>
    <cellStyle name="Besuchter Hyperlink" xfId="987" builtinId="9" hidden="1"/>
    <cellStyle name="Besuchter Hyperlink" xfId="988" builtinId="9" hidden="1"/>
    <cellStyle name="Besuchter Hyperlink" xfId="989" builtinId="9" hidden="1"/>
    <cellStyle name="Besuchter Hyperlink" xfId="990" builtinId="9" hidden="1"/>
    <cellStyle name="Besuchter Hyperlink" xfId="991" builtinId="9" hidden="1"/>
    <cellStyle name="Besuchter Hyperlink" xfId="992" builtinId="9" hidden="1"/>
    <cellStyle name="Besuchter Hyperlink" xfId="993" builtinId="9" hidden="1"/>
    <cellStyle name="Besuchter Hyperlink" xfId="994" builtinId="9" hidden="1"/>
    <cellStyle name="Besuchter Hyperlink" xfId="995" builtinId="9" hidden="1"/>
    <cellStyle name="Besuchter Hyperlink" xfId="996" builtinId="9" hidden="1"/>
    <cellStyle name="Besuchter Hyperlink" xfId="997" builtinId="9" hidden="1"/>
    <cellStyle name="Besuchter Hyperlink" xfId="998" builtinId="9" hidden="1"/>
    <cellStyle name="Besuchter Hyperlink" xfId="999" builtinId="9" hidden="1"/>
    <cellStyle name="Besuchter Hyperlink" xfId="1001" builtinId="9" hidden="1"/>
    <cellStyle name="Besuchter Hyperlink" xfId="1002" builtinId="9" hidden="1"/>
    <cellStyle name="Besuchter Hyperlink" xfId="1003" builtinId="9" hidden="1"/>
    <cellStyle name="Besuchter Hyperlink" xfId="1004" builtinId="9" hidden="1"/>
    <cellStyle name="Besuchter Hyperlink" xfId="1005" builtinId="9" hidden="1"/>
    <cellStyle name="Besuchter Hyperlink" xfId="1006" builtinId="9" hidden="1"/>
    <cellStyle name="Besuchter Hyperlink" xfId="1007" builtinId="9" hidden="1"/>
    <cellStyle name="Besuchter Hyperlink" xfId="1008" builtinId="9" hidden="1"/>
    <cellStyle name="Besuchter Hyperlink" xfId="1009" builtinId="9" hidden="1"/>
    <cellStyle name="Besuchter Hyperlink" xfId="1010" builtinId="9" hidden="1"/>
    <cellStyle name="Besuchter Hyperlink" xfId="1011" builtinId="9" hidden="1"/>
    <cellStyle name="Besuchter Hyperlink" xfId="1012" builtinId="9" hidden="1"/>
    <cellStyle name="Besuchter Hyperlink" xfId="1013" builtinId="9" hidden="1"/>
    <cellStyle name="Besuchter Hyperlink" xfId="1014" builtinId="9" hidden="1"/>
    <cellStyle name="Besuchter Hyperlink" xfId="1015" builtinId="9" hidden="1"/>
    <cellStyle name="Besuchter Hyperlink" xfId="1016" builtinId="9" hidden="1"/>
    <cellStyle name="Besuchter Hyperlink" xfId="1017" builtinId="9" hidden="1"/>
    <cellStyle name="Besuchter Hyperlink" xfId="1018" builtinId="9" hidden="1"/>
    <cellStyle name="Besuchter Hyperlink" xfId="1019" builtinId="9" hidden="1"/>
    <cellStyle name="Besuchter Hyperlink" xfId="1020" builtinId="9" hidden="1"/>
    <cellStyle name="Besuchter Hyperlink" xfId="1021" builtinId="9" hidden="1"/>
    <cellStyle name="Besuchter Hyperlink" xfId="1022" builtinId="9" hidden="1"/>
    <cellStyle name="Besuchter Hyperlink" xfId="1023" builtinId="9" hidden="1"/>
    <cellStyle name="Besuchter Hyperlink" xfId="1024" builtinId="9" hidden="1"/>
    <cellStyle name="Besuchter Hyperlink" xfId="1025" builtinId="9" hidden="1"/>
    <cellStyle name="Besuchter Hyperlink" xfId="1026" builtinId="9" hidden="1"/>
    <cellStyle name="Besuchter Hyperlink" xfId="1027" builtinId="9" hidden="1"/>
    <cellStyle name="Besuchter Hyperlink" xfId="1028" builtinId="9" hidden="1"/>
    <cellStyle name="Besuchter Hyperlink" xfId="1029" builtinId="9" hidden="1"/>
    <cellStyle name="Besuchter Hyperlink" xfId="1030" builtinId="9" hidden="1"/>
    <cellStyle name="Besuchter Hyperlink" xfId="1031" builtinId="9" hidden="1"/>
    <cellStyle name="Besuchter Hyperlink" xfId="1032" builtinId="9" hidden="1"/>
    <cellStyle name="Besuchter Hyperlink" xfId="1033" builtinId="9" hidden="1"/>
    <cellStyle name="Besuchter Hyperlink" xfId="1034" builtinId="9" hidden="1"/>
    <cellStyle name="Besuchter Hyperlink" xfId="1035" builtinId="9" hidden="1"/>
    <cellStyle name="Besuchter Hyperlink" xfId="1036" builtinId="9" hidden="1"/>
    <cellStyle name="Besuchter Hyperlink" xfId="1037" builtinId="9" hidden="1"/>
    <cellStyle name="Besuchter Hyperlink" xfId="1038" builtinId="9" hidden="1"/>
    <cellStyle name="Besuchter Hyperlink" xfId="1039" builtinId="9" hidden="1"/>
    <cellStyle name="Besuchter Hyperlink" xfId="1040" builtinId="9" hidden="1"/>
    <cellStyle name="Besuchter Hyperlink" xfId="1041" builtinId="9" hidden="1"/>
    <cellStyle name="Besuchter Hyperlink" xfId="1042" builtinId="9" hidden="1"/>
    <cellStyle name="Besuchter Hyperlink" xfId="1043" builtinId="9" hidden="1"/>
    <cellStyle name="Besuchter Hyperlink" xfId="1044" builtinId="9" hidden="1"/>
    <cellStyle name="Besuchter Hyperlink" xfId="1045" builtinId="9" hidden="1"/>
    <cellStyle name="Besuchter Hyperlink" xfId="1046" builtinId="9" hidden="1"/>
    <cellStyle name="Besuchter Hyperlink" xfId="1047" builtinId="9" hidden="1"/>
    <cellStyle name="Besuchter Hyperlink" xfId="1048" builtinId="9" hidden="1"/>
    <cellStyle name="Besuchter Hyperlink" xfId="1049" builtinId="9" hidden="1"/>
    <cellStyle name="Besuchter Hyperlink" xfId="1050" builtinId="9" hidden="1"/>
    <cellStyle name="Besuchter Hyperlink" xfId="1051" builtinId="9" hidden="1"/>
    <cellStyle name="Besuchter Hyperlink" xfId="1052" builtinId="9" hidden="1"/>
    <cellStyle name="Besuchter Hyperlink" xfId="1053" builtinId="9" hidden="1"/>
    <cellStyle name="Besuchter Hyperlink" xfId="1054" builtinId="9" hidden="1"/>
    <cellStyle name="Besuchter Hyperlink" xfId="1055" builtinId="9" hidden="1"/>
    <cellStyle name="Besuchter Hyperlink" xfId="1056" builtinId="9" hidden="1"/>
    <cellStyle name="Besuchter Hyperlink" xfId="1057" builtinId="9" hidden="1"/>
    <cellStyle name="Besuchter Hyperlink" xfId="1058" builtinId="9" hidden="1"/>
    <cellStyle name="Besuchter Hyperlink" xfId="1059" builtinId="9" hidden="1"/>
    <cellStyle name="Besuchter Hyperlink" xfId="1060" builtinId="9" hidden="1"/>
    <cellStyle name="Besuchter Hyperlink" xfId="1061" builtinId="9" hidden="1"/>
    <cellStyle name="Besuchter Hyperlink" xfId="1062" builtinId="9" hidden="1"/>
    <cellStyle name="Besuchter Hyperlink" xfId="1063" builtinId="9" hidden="1"/>
    <cellStyle name="Besuchter Hyperlink" xfId="1064" builtinId="9" hidden="1"/>
    <cellStyle name="Besuchter Hyperlink" xfId="1065" builtinId="9" hidden="1"/>
    <cellStyle name="Besuchter Hyperlink" xfId="1066" builtinId="9" hidden="1"/>
    <cellStyle name="Besuchter Hyperlink" xfId="1067" builtinId="9" hidden="1"/>
    <cellStyle name="Besuchter Hyperlink" xfId="1068" builtinId="9" hidden="1"/>
    <cellStyle name="Besuchter Hyperlink" xfId="1069" builtinId="9" hidden="1"/>
    <cellStyle name="Besuchter Hyperlink" xfId="1070" builtinId="9" hidden="1"/>
    <cellStyle name="Besuchter Hyperlink" xfId="1071" builtinId="9" hidden="1"/>
    <cellStyle name="Besuchter Hyperlink" xfId="1072" builtinId="9" hidden="1"/>
    <cellStyle name="Besuchter Hyperlink" xfId="1073" builtinId="9" hidden="1"/>
    <cellStyle name="Besuchter Hyperlink" xfId="1074" builtinId="9" hidden="1"/>
    <cellStyle name="Besuchter Hyperlink" xfId="1075" builtinId="9" hidden="1"/>
    <cellStyle name="Besuchter Hyperlink" xfId="1076" builtinId="9" hidden="1"/>
    <cellStyle name="Besuchter Hyperlink" xfId="1077" builtinId="9" hidden="1"/>
    <cellStyle name="Besuchter Hyperlink" xfId="1078" builtinId="9" hidden="1"/>
    <cellStyle name="Besuchter Hyperlink" xfId="1085" builtinId="9" hidden="1"/>
    <cellStyle name="Besuchter Hyperlink" xfId="1086" builtinId="9" hidden="1"/>
    <cellStyle name="Besuchter Hyperlink" xfId="1087" builtinId="9" hidden="1"/>
    <cellStyle name="Besuchter Hyperlink" xfId="1088" builtinId="9" hidden="1"/>
    <cellStyle name="Besuchter Hyperlink" xfId="1089" builtinId="9" hidden="1"/>
    <cellStyle name="Besuchter Hyperlink" xfId="1090" builtinId="9" hidden="1"/>
    <cellStyle name="Besuchter Hyperlink" xfId="1091" builtinId="9" hidden="1"/>
    <cellStyle name="Besuchter Hyperlink" xfId="1092" builtinId="9" hidden="1"/>
    <cellStyle name="Besuchter Hyperlink" xfId="1093" builtinId="9" hidden="1"/>
    <cellStyle name="Besuchter Hyperlink" xfId="1094" builtinId="9" hidden="1"/>
    <cellStyle name="Besuchter Hyperlink" xfId="1095" builtinId="9" hidden="1"/>
    <cellStyle name="Besuchter Hyperlink" xfId="1096" builtinId="9" hidden="1"/>
    <cellStyle name="Besuchter Hyperlink" xfId="1097" builtinId="9" hidden="1"/>
    <cellStyle name="Besuchter Hyperlink" xfId="1098" builtinId="9" hidden="1"/>
    <cellStyle name="Besuchter Hyperlink" xfId="1102" builtinId="9" hidden="1"/>
    <cellStyle name="Besuchter Hyperlink" xfId="1103" builtinId="9" hidden="1"/>
    <cellStyle name="Besuchter Hyperlink" xfId="1108" builtinId="9" hidden="1"/>
    <cellStyle name="Besuchter Hyperlink" xfId="1109" builtinId="9" hidden="1"/>
    <cellStyle name="Besuchter Hyperlink" xfId="1110" builtinId="9" hidden="1"/>
    <cellStyle name="Besuchter Hyperlink" xfId="1111" builtinId="9" hidden="1"/>
    <cellStyle name="Besuchter Hyperlink" xfId="1112" builtinId="9" hidden="1"/>
    <cellStyle name="Besuchter Hyperlink" xfId="1113" builtinId="9" hidden="1"/>
    <cellStyle name="Besuchter Hyperlink" xfId="1114" builtinId="9" hidden="1"/>
    <cellStyle name="Besuchter Hyperlink" xfId="1115" builtinId="9" hidden="1"/>
    <cellStyle name="Besuchter Hyperlink" xfId="1152" builtinId="9" hidden="1"/>
    <cellStyle name="Besuchter Hyperlink" xfId="1153" builtinId="9" hidden="1"/>
    <cellStyle name="Besuchter Hyperlink" xfId="1154" builtinId="9" hidden="1"/>
    <cellStyle name="Besuchter Hyperlink" xfId="1155" builtinId="9" hidden="1"/>
    <cellStyle name="Besuchter Hyperlink" xfId="1156" builtinId="9" hidden="1"/>
    <cellStyle name="Besuchter Hyperlink" xfId="1157" builtinId="9" hidden="1"/>
    <cellStyle name="Besuchter Hyperlink" xfId="1158" builtinId="9" hidden="1"/>
    <cellStyle name="Besuchter Hyperlink" xfId="1159" builtinId="9" hidden="1"/>
    <cellStyle name="Besuchter Hyperlink" xfId="1160" builtinId="9" hidden="1"/>
    <cellStyle name="Besuchter Hyperlink" xfId="1161" builtinId="9" hidden="1"/>
    <cellStyle name="Besuchter Hyperlink" xfId="1162" builtinId="9" hidden="1"/>
    <cellStyle name="Besuchter Hyperlink" xfId="1163" builtinId="9" hidden="1"/>
    <cellStyle name="Besuchter Hyperlink" xfId="1164" builtinId="9" hidden="1"/>
    <cellStyle name="Besuchter Hyperlink" xfId="1165" builtinId="9" hidden="1"/>
    <cellStyle name="Besuchter Hyperlink" xfId="1166" builtinId="9" hidden="1"/>
    <cellStyle name="Besuchter Hyperlink" xfId="1167" builtinId="9" hidden="1"/>
    <cellStyle name="Besuchter Hyperlink" xfId="1168" builtinId="9" hidden="1"/>
    <cellStyle name="Besuchter Hyperlink" xfId="1169" builtinId="9" hidden="1"/>
    <cellStyle name="Besuchter Hyperlink" xfId="1170" builtinId="9" hidden="1"/>
    <cellStyle name="Besuchter Hyperlink" xfId="1171" builtinId="9" hidden="1"/>
    <cellStyle name="Besuchter Hyperlink" xfId="1172" builtinId="9" hidden="1"/>
    <cellStyle name="Besuchter Hyperlink" xfId="1173" builtinId="9" hidden="1"/>
    <cellStyle name="Besuchter Hyperlink" xfId="1176" builtinId="9" hidden="1"/>
    <cellStyle name="Besuchter Hyperlink" xfId="1177" builtinId="9" hidden="1"/>
    <cellStyle name="Besuchter Hyperlink" xfId="1178" builtinId="9" hidden="1"/>
    <cellStyle name="Besuchter Hyperlink" xfId="1179" builtinId="9" hidden="1"/>
    <cellStyle name="Besuchter Hyperlink" xfId="1180" builtinId="9" hidden="1"/>
    <cellStyle name="Besuchter Hyperlink" xfId="1181" builtinId="9" hidden="1"/>
    <cellStyle name="Besuchter Hyperlink" xfId="1182" builtinId="9" hidden="1"/>
    <cellStyle name="Besuchter Hyperlink" xfId="1183" builtinId="9" hidden="1"/>
    <cellStyle name="Besuchter Hyperlink" xfId="1184" builtinId="9" hidden="1"/>
    <cellStyle name="Besuchter Hyperlink" xfId="1185" builtinId="9" hidden="1"/>
    <cellStyle name="Besuchter Hyperlink" xfId="1186" builtinId="9" hidden="1"/>
    <cellStyle name="Besuchter Hyperlink" xfId="1187" builtinId="9" hidden="1"/>
    <cellStyle name="Besuchter Hyperlink" xfId="1188" builtinId="9" hidden="1"/>
    <cellStyle name="Besuchter Hyperlink" xfId="1189" builtinId="9" hidden="1"/>
    <cellStyle name="Besuchter Hyperlink" xfId="1190" builtinId="9" hidden="1"/>
    <cellStyle name="Besuchter Hyperlink" xfId="1191" builtinId="9" hidden="1"/>
    <cellStyle name="Besuchter Hyperlink" xfId="1192" builtinId="9" hidden="1"/>
    <cellStyle name="Besuchter Hyperlink" xfId="1193" builtinId="9" hidden="1"/>
    <cellStyle name="Besuchter Hyperlink" xfId="1194" builtinId="9" hidden="1"/>
    <cellStyle name="Besuchter Hyperlink" xfId="1195" builtinId="9" hidden="1"/>
    <cellStyle name="Besuchter Hyperlink" xfId="1196" builtinId="9" hidden="1"/>
    <cellStyle name="Besuchter Hyperlink" xfId="1197" builtinId="9" hidden="1"/>
    <cellStyle name="Besuchter Hyperlink" xfId="1198" builtinId="9" hidden="1"/>
    <cellStyle name="Besuchter Hyperlink" xfId="1199" builtinId="9" hidden="1"/>
    <cellStyle name="Besuchter Hyperlink" xfId="1200" builtinId="9" hidden="1"/>
    <cellStyle name="Besuchter Hyperlink" xfId="1201" builtinId="9" hidden="1"/>
    <cellStyle name="Besuchter Hyperlink" xfId="1202" builtinId="9" hidden="1"/>
    <cellStyle name="Besuchter Hyperlink" xfId="1203" builtinId="9" hidden="1"/>
    <cellStyle name="Besuchter Hyperlink" xfId="1204" builtinId="9" hidden="1"/>
    <cellStyle name="Besuchter Hyperlink" xfId="1205" builtinId="9" hidden="1"/>
    <cellStyle name="Besuchter Hyperlink" xfId="1206" builtinId="9" hidden="1"/>
    <cellStyle name="Besuchter Hyperlink" xfId="1207" builtinId="9" hidden="1"/>
    <cellStyle name="Besuchter Hyperlink" xfId="1208" builtinId="9" hidden="1"/>
    <cellStyle name="Besuchter Hyperlink" xfId="1209" builtinId="9" hidden="1"/>
    <cellStyle name="Besuchter Hyperlink" xfId="1210" builtinId="9" hidden="1"/>
    <cellStyle name="Besuchter Hyperlink" xfId="1211" builtinId="9" hidden="1"/>
    <cellStyle name="Besuchter Hyperlink" xfId="1212" builtinId="9" hidden="1"/>
    <cellStyle name="Besuchter Hyperlink" xfId="1213" builtinId="9" hidden="1"/>
    <cellStyle name="Besuchter Hyperlink" xfId="1214" builtinId="9" hidden="1"/>
    <cellStyle name="Besuchter Hyperlink" xfId="1215" builtinId="9" hidden="1"/>
    <cellStyle name="Besuchter Hyperlink" xfId="1216" builtinId="9" hidden="1"/>
    <cellStyle name="Besuchter Hyperlink" xfId="1217" builtinId="9" hidden="1"/>
    <cellStyle name="Besuchter Hyperlink" xfId="1218" builtinId="9" hidden="1"/>
    <cellStyle name="Besuchter Hyperlink" xfId="1219" builtinId="9" hidden="1"/>
    <cellStyle name="Besuchter Hyperlink" xfId="1220" builtinId="9" hidden="1"/>
    <cellStyle name="Besuchter Hyperlink" xfId="1221" builtinId="9" hidden="1"/>
    <cellStyle name="Calculation 2" xfId="562" xr:uid="{00000000-0005-0000-0000-000019000000}"/>
    <cellStyle name="Check Cell 2" xfId="563" xr:uid="{00000000-0005-0000-0000-00001A000000}"/>
    <cellStyle name="Comma 10" xfId="564" xr:uid="{00000000-0005-0000-0000-00001C000000}"/>
    <cellStyle name="Comma 10 2" xfId="1141" xr:uid="{00000000-0005-0000-0000-00001D000000}"/>
    <cellStyle name="Comma 11" xfId="565" xr:uid="{00000000-0005-0000-0000-00001E000000}"/>
    <cellStyle name="Comma 11 2" xfId="1138" xr:uid="{00000000-0005-0000-0000-00001F000000}"/>
    <cellStyle name="Comma 12" xfId="733" xr:uid="{00000000-0005-0000-0000-000020000000}"/>
    <cellStyle name="Comma 12 2" xfId="736" xr:uid="{00000000-0005-0000-0000-000021000000}"/>
    <cellStyle name="Comma 13" xfId="735" xr:uid="{00000000-0005-0000-0000-000022000000}"/>
    <cellStyle name="Comma 14" xfId="1150" xr:uid="{00000000-0005-0000-0000-000023000000}"/>
    <cellStyle name="Comma 15" xfId="1151" xr:uid="{00000000-0005-0000-0000-000024000000}"/>
    <cellStyle name="Comma 2" xfId="566" xr:uid="{00000000-0005-0000-0000-000025000000}"/>
    <cellStyle name="Comma 2 2" xfId="567" xr:uid="{00000000-0005-0000-0000-000026000000}"/>
    <cellStyle name="Comma 2 2 2" xfId="568" xr:uid="{00000000-0005-0000-0000-000027000000}"/>
    <cellStyle name="Comma 2 2 2 2" xfId="1081" xr:uid="{00000000-0005-0000-0000-000028000000}"/>
    <cellStyle name="Comma 2 2 2 3" xfId="1129" xr:uid="{00000000-0005-0000-0000-000029000000}"/>
    <cellStyle name="Comma 2 2 3" xfId="1107" xr:uid="{00000000-0005-0000-0000-00002A000000}"/>
    <cellStyle name="Comma 2 3" xfId="569" xr:uid="{00000000-0005-0000-0000-00002B000000}"/>
    <cellStyle name="Comma 2 3 2" xfId="1143" xr:uid="{00000000-0005-0000-0000-00002C000000}"/>
    <cellStyle name="Comma 2 4" xfId="1080" xr:uid="{00000000-0005-0000-0000-00002D000000}"/>
    <cellStyle name="Comma 2 5" xfId="1225" xr:uid="{00000000-0005-0000-0000-00002E000000}"/>
    <cellStyle name="Comma 3" xfId="570" xr:uid="{00000000-0005-0000-0000-00002F000000}"/>
    <cellStyle name="Comma 3 2" xfId="571" xr:uid="{00000000-0005-0000-0000-000030000000}"/>
    <cellStyle name="Comma 4" xfId="572" xr:uid="{00000000-0005-0000-0000-000031000000}"/>
    <cellStyle name="Comma 4 2" xfId="573" xr:uid="{00000000-0005-0000-0000-000032000000}"/>
    <cellStyle name="Comma 5" xfId="574" xr:uid="{00000000-0005-0000-0000-000033000000}"/>
    <cellStyle name="Comma 5 2" xfId="931" xr:uid="{00000000-0005-0000-0000-000034000000}"/>
    <cellStyle name="Comma 5 3" xfId="1124" xr:uid="{00000000-0005-0000-0000-000035000000}"/>
    <cellStyle name="Comma 6" xfId="575" xr:uid="{00000000-0005-0000-0000-000036000000}"/>
    <cellStyle name="Comma 6 2" xfId="1132" xr:uid="{00000000-0005-0000-0000-000037000000}"/>
    <cellStyle name="Comma 7" xfId="576" xr:uid="{00000000-0005-0000-0000-000038000000}"/>
    <cellStyle name="Comma 7 2" xfId="1134" xr:uid="{00000000-0005-0000-0000-000039000000}"/>
    <cellStyle name="Comma 8" xfId="577" xr:uid="{00000000-0005-0000-0000-00003A000000}"/>
    <cellStyle name="Comma 9" xfId="578" xr:uid="{00000000-0005-0000-0000-00003B000000}"/>
    <cellStyle name="Comma0" xfId="579" xr:uid="{00000000-0005-0000-0000-00003C000000}"/>
    <cellStyle name="Commentaire" xfId="580" xr:uid="{00000000-0005-0000-0000-00003D000000}"/>
    <cellStyle name="Date" xfId="343" xr:uid="{00000000-0005-0000-0000-00003E000000}"/>
    <cellStyle name="Date 2" xfId="420" xr:uid="{00000000-0005-0000-0000-00003F000000}"/>
    <cellStyle name="En-tête 1" xfId="344" xr:uid="{00000000-0005-0000-0000-000040000000}"/>
    <cellStyle name="En-tête 1 2" xfId="421" xr:uid="{00000000-0005-0000-0000-000041000000}"/>
    <cellStyle name="En-tête 2" xfId="345" xr:uid="{00000000-0005-0000-0000-000042000000}"/>
    <cellStyle name="En-tête 2 2" xfId="422" xr:uid="{00000000-0005-0000-0000-000043000000}"/>
    <cellStyle name="Explanatory Text 2" xfId="581" xr:uid="{00000000-0005-0000-0000-000044000000}"/>
    <cellStyle name="Financier0" xfId="346" xr:uid="{00000000-0005-0000-0000-000045000000}"/>
    <cellStyle name="Financier0 2" xfId="423" xr:uid="{00000000-0005-0000-0000-000046000000}"/>
    <cellStyle name="Good 2" xfId="582" xr:uid="{00000000-0005-0000-0000-0000AA030000}"/>
    <cellStyle name="Heading 1 2" xfId="583" xr:uid="{00000000-0005-0000-0000-0000AB030000}"/>
    <cellStyle name="Heading 2 2" xfId="584" xr:uid="{00000000-0005-0000-0000-0000AC030000}"/>
    <cellStyle name="Heading 3 2" xfId="585" xr:uid="{00000000-0005-0000-0000-0000AD030000}"/>
    <cellStyle name="Heading 4 2" xfId="586" xr:uid="{00000000-0005-0000-0000-0000AE030000}"/>
    <cellStyle name="Hyperlink 2" xfId="424" xr:uid="{00000000-0005-0000-0000-00001E040000}"/>
    <cellStyle name="Input 2" xfId="587" xr:uid="{00000000-0005-0000-0000-00001F040000}"/>
    <cellStyle name="Komma" xfId="139" builtinId="3"/>
    <cellStyle name="Lien hypertexte 2" xfId="588" xr:uid="{00000000-0005-0000-0000-000020040000}"/>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8" builtinId="8" hidden="1"/>
    <cellStyle name="Link" xfId="80" builtinId="8" hidden="1"/>
    <cellStyle name="Link" xfId="82" builtinId="8" hidden="1"/>
    <cellStyle name="Link" xfId="84" builtinId="8" hidden="1"/>
    <cellStyle name="Link" xfId="86" builtinId="8" hidden="1"/>
    <cellStyle name="Link" xfId="88" builtinId="8" hidden="1"/>
    <cellStyle name="Link" xfId="90" builtinId="8" hidden="1"/>
    <cellStyle name="Link" xfId="92" builtinId="8" hidden="1"/>
    <cellStyle name="Link" xfId="94" builtinId="8" hidden="1"/>
    <cellStyle name="Link" xfId="96" builtinId="8" hidden="1"/>
    <cellStyle name="Link" xfId="98" builtinId="8" hidden="1"/>
    <cellStyle name="Link" xfId="100" builtinId="8" hidden="1"/>
    <cellStyle name="Link" xfId="102" builtinId="8" hidden="1"/>
    <cellStyle name="Link" xfId="104" builtinId="8" hidden="1"/>
    <cellStyle name="Link" xfId="106" builtinId="8" hidden="1"/>
    <cellStyle name="Link" xfId="108" builtinId="8" hidden="1"/>
    <cellStyle name="Link" xfId="110" builtinId="8" hidden="1"/>
    <cellStyle name="Link" xfId="112"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447" builtinId="8" hidden="1"/>
    <cellStyle name="Link" xfId="449" builtinId="8" hidden="1"/>
    <cellStyle name="Link" xfId="451" builtinId="8" hidden="1"/>
    <cellStyle name="Link" xfId="453" builtinId="8" hidden="1"/>
    <cellStyle name="Link" xfId="455" builtinId="8" hidden="1"/>
    <cellStyle name="Link" xfId="457" builtinId="8" hidden="1"/>
    <cellStyle name="Link" xfId="459" builtinId="8" hidden="1"/>
    <cellStyle name="Link" xfId="461" builtinId="8" hidden="1"/>
    <cellStyle name="Link" xfId="463" builtinId="8" hidden="1"/>
    <cellStyle name="Link" xfId="465" builtinId="8" hidden="1"/>
    <cellStyle name="Link" xfId="467" builtinId="8" hidden="1"/>
    <cellStyle name="Link" xfId="469" builtinId="8" hidden="1"/>
    <cellStyle name="Link" xfId="471" builtinId="8" hidden="1"/>
    <cellStyle name="Link" xfId="473" builtinId="8" hidden="1"/>
    <cellStyle name="Link" xfId="475" builtinId="8" hidden="1"/>
    <cellStyle name="Link" xfId="477" builtinId="8" hidden="1"/>
    <cellStyle name="Link" xfId="479" builtinId="8" hidden="1"/>
    <cellStyle name="Link" xfId="481" builtinId="8" hidden="1"/>
    <cellStyle name="Link" xfId="483" builtinId="8" hidden="1"/>
    <cellStyle name="Link" xfId="485" builtinId="8" hidden="1"/>
    <cellStyle name="Link" xfId="487" builtinId="8" hidden="1"/>
    <cellStyle name="Link" xfId="489" builtinId="8" hidden="1"/>
    <cellStyle name="Link" xfId="491" builtinId="8" hidden="1"/>
    <cellStyle name="Link" xfId="493" builtinId="8" hidden="1"/>
    <cellStyle name="Link" xfId="495" builtinId="8" hidden="1"/>
    <cellStyle name="Link" xfId="497" builtinId="8" hidden="1"/>
    <cellStyle name="Link" xfId="499" builtinId="8" hidden="1"/>
    <cellStyle name="Link" xfId="501" builtinId="8" hidden="1"/>
    <cellStyle name="Link" xfId="503" builtinId="8" hidden="1"/>
    <cellStyle name="Link" xfId="505" builtinId="8" hidden="1"/>
    <cellStyle name="Link" xfId="507" builtinId="8" hidden="1"/>
    <cellStyle name="Link" xfId="509" builtinId="8" hidden="1"/>
    <cellStyle name="Link" xfId="511" builtinId="8" hidden="1"/>
    <cellStyle name="Link" xfId="513" builtinId="8" hidden="1"/>
    <cellStyle name="Link" xfId="515" builtinId="8" hidden="1"/>
    <cellStyle name="Link" xfId="517" builtinId="8" hidden="1"/>
    <cellStyle name="Link" xfId="519" builtinId="8" hidden="1"/>
    <cellStyle name="Link" xfId="521" builtinId="8" hidden="1"/>
    <cellStyle name="Link" xfId="523" builtinId="8" hidden="1"/>
    <cellStyle name="Link" xfId="525" builtinId="8" hidden="1"/>
    <cellStyle name="Link" xfId="527" builtinId="8" hidden="1"/>
    <cellStyle name="Link" xfId="529" builtinId="8" hidden="1"/>
    <cellStyle name="Link" xfId="531" builtinId="8" hidden="1"/>
    <cellStyle name="Link" xfId="533" builtinId="8" hidden="1"/>
    <cellStyle name="Linked Cell 2" xfId="589" xr:uid="{00000000-0005-0000-0000-000021040000}"/>
    <cellStyle name="Monétaire0" xfId="347" xr:uid="{00000000-0005-0000-0000-000022040000}"/>
    <cellStyle name="Monétaire0 2" xfId="425" xr:uid="{00000000-0005-0000-0000-000023040000}"/>
    <cellStyle name="Neutral 2" xfId="590" xr:uid="{00000000-0005-0000-0000-000024040000}"/>
    <cellStyle name="Normal 10" xfId="591" xr:uid="{00000000-0005-0000-0000-000026040000}"/>
    <cellStyle name="Normal 10 2" xfId="930" xr:uid="{00000000-0005-0000-0000-000027040000}"/>
    <cellStyle name="Normal 10 3" xfId="1116" xr:uid="{00000000-0005-0000-0000-000028040000}"/>
    <cellStyle name="Normal 11" xfId="2" xr:uid="{00000000-0005-0000-0000-000029040000}"/>
    <cellStyle name="Normal 11 2" xfId="592" xr:uid="{00000000-0005-0000-0000-00002A040000}"/>
    <cellStyle name="Normal 12" xfId="114" xr:uid="{00000000-0005-0000-0000-00002B040000}"/>
    <cellStyle name="Normal 12 2" xfId="593" xr:uid="{00000000-0005-0000-0000-00002C040000}"/>
    <cellStyle name="Normal 12 2 2" xfId="1130" xr:uid="{00000000-0005-0000-0000-00002D040000}"/>
    <cellStyle name="Normal 12 3" xfId="1083" xr:uid="{00000000-0005-0000-0000-00002E040000}"/>
    <cellStyle name="Normal 13" xfId="594" xr:uid="{00000000-0005-0000-0000-00002F040000}"/>
    <cellStyle name="Normal 13 2" xfId="982" xr:uid="{00000000-0005-0000-0000-000030040000}"/>
    <cellStyle name="Normal 14" xfId="595" xr:uid="{00000000-0005-0000-0000-000031040000}"/>
    <cellStyle name="Normal 15" xfId="431" xr:uid="{00000000-0005-0000-0000-000032040000}"/>
    <cellStyle name="Normal 15 2" xfId="596" xr:uid="{00000000-0005-0000-0000-000033040000}"/>
    <cellStyle name="Normal 15 2 2" xfId="1119" xr:uid="{00000000-0005-0000-0000-000034040000}"/>
    <cellStyle name="Normal 15 3" xfId="734" xr:uid="{00000000-0005-0000-0000-000035040000}"/>
    <cellStyle name="Normal 15 4" xfId="737" xr:uid="{00000000-0005-0000-0000-000036040000}"/>
    <cellStyle name="Normal 16" xfId="597" xr:uid="{00000000-0005-0000-0000-000037040000}"/>
    <cellStyle name="Normal 17" xfId="598" xr:uid="{00000000-0005-0000-0000-000038040000}"/>
    <cellStyle name="Normal 18" xfId="599" xr:uid="{00000000-0005-0000-0000-000039040000}"/>
    <cellStyle name="Normal 19" xfId="600" xr:uid="{00000000-0005-0000-0000-00003A040000}"/>
    <cellStyle name="Normal 2" xfId="3" xr:uid="{00000000-0005-0000-0000-00003B040000}"/>
    <cellStyle name="Normal 2 2" xfId="348" xr:uid="{00000000-0005-0000-0000-00003C040000}"/>
    <cellStyle name="Normal 2 2 2" xfId="430" xr:uid="{00000000-0005-0000-0000-00003D040000}"/>
    <cellStyle name="Normal 2 3" xfId="426" xr:uid="{00000000-0005-0000-0000-00003E040000}"/>
    <cellStyle name="Normal 2 4" xfId="601" xr:uid="{00000000-0005-0000-0000-00003F040000}"/>
    <cellStyle name="Normal 2 5" xfId="602" xr:uid="{00000000-0005-0000-0000-000040040000}"/>
    <cellStyle name="Normal 2 6" xfId="917" xr:uid="{00000000-0005-0000-0000-000041040000}"/>
    <cellStyle name="Normal 20" xfId="603" xr:uid="{00000000-0005-0000-0000-000042040000}"/>
    <cellStyle name="Normal 20 2" xfId="1127" xr:uid="{00000000-0005-0000-0000-000043040000}"/>
    <cellStyle name="Normal 21" xfId="604" xr:uid="{00000000-0005-0000-0000-000044040000}"/>
    <cellStyle name="Normal 21 2" xfId="1148" xr:uid="{00000000-0005-0000-0000-000045040000}"/>
    <cellStyle name="Normal 22" xfId="605" xr:uid="{00000000-0005-0000-0000-000046040000}"/>
    <cellStyle name="Normal 22 2" xfId="1139" xr:uid="{00000000-0005-0000-0000-000047040000}"/>
    <cellStyle name="Normal 23" xfId="606" xr:uid="{00000000-0005-0000-0000-000048040000}"/>
    <cellStyle name="Normal 23 2" xfId="1142" xr:uid="{00000000-0005-0000-0000-000049040000}"/>
    <cellStyle name="Normal 24" xfId="607" xr:uid="{00000000-0005-0000-0000-00004A040000}"/>
    <cellStyle name="Normal 24 2" xfId="1145" xr:uid="{00000000-0005-0000-0000-00004B040000}"/>
    <cellStyle name="Normal 25" xfId="608" xr:uid="{00000000-0005-0000-0000-00004C040000}"/>
    <cellStyle name="Normal 25 2" xfId="1144" xr:uid="{00000000-0005-0000-0000-00004D040000}"/>
    <cellStyle name="Normal 26" xfId="609" xr:uid="{00000000-0005-0000-0000-00004E040000}"/>
    <cellStyle name="Normal 27" xfId="610" xr:uid="{00000000-0005-0000-0000-00004F040000}"/>
    <cellStyle name="Normal 27 2" xfId="1147" xr:uid="{00000000-0005-0000-0000-000050040000}"/>
    <cellStyle name="Normal 28" xfId="611" xr:uid="{00000000-0005-0000-0000-000051040000}"/>
    <cellStyle name="Normal 28 2" xfId="1146" xr:uid="{00000000-0005-0000-0000-000052040000}"/>
    <cellStyle name="Normal 29" xfId="612" xr:uid="{00000000-0005-0000-0000-000053040000}"/>
    <cellStyle name="Normal 29 2" xfId="1135" xr:uid="{00000000-0005-0000-0000-000054040000}"/>
    <cellStyle name="Normal 3" xfId="342" xr:uid="{00000000-0005-0000-0000-000055040000}"/>
    <cellStyle name="Normal 3 10" xfId="1104" xr:uid="{00000000-0005-0000-0000-000056040000}"/>
    <cellStyle name="Normal 3 11" xfId="1224" xr:uid="{00000000-0005-0000-0000-000057040000}"/>
    <cellStyle name="Normal 3 2" xfId="429" xr:uid="{00000000-0005-0000-0000-000058040000}"/>
    <cellStyle name="Normal 3 2 2" xfId="613" xr:uid="{00000000-0005-0000-0000-000059040000}"/>
    <cellStyle name="Normal 3 2 2 2" xfId="932" xr:uid="{00000000-0005-0000-0000-00005A040000}"/>
    <cellStyle name="Normal 3 2 2 3" xfId="1079" xr:uid="{00000000-0005-0000-0000-00005B040000}"/>
    <cellStyle name="Normal 3 2 2 4" xfId="1099" xr:uid="{00000000-0005-0000-0000-00005C040000}"/>
    <cellStyle name="Normal 3 2 2 5" xfId="1122" xr:uid="{00000000-0005-0000-0000-00005D040000}"/>
    <cellStyle name="Normal 3 2 3" xfId="614" xr:uid="{00000000-0005-0000-0000-00005E040000}"/>
    <cellStyle name="Normal 3 2 4" xfId="615" xr:uid="{00000000-0005-0000-0000-00005F040000}"/>
    <cellStyle name="Normal 3 2 4 2" xfId="616" xr:uid="{00000000-0005-0000-0000-000060040000}"/>
    <cellStyle name="Normal 3 2 4 2 2" xfId="1121" xr:uid="{00000000-0005-0000-0000-000061040000}"/>
    <cellStyle name="Normal 3 2 5" xfId="617" xr:uid="{00000000-0005-0000-0000-000062040000}"/>
    <cellStyle name="Normal 3 2 6" xfId="618" xr:uid="{00000000-0005-0000-0000-000063040000}"/>
    <cellStyle name="Normal 3 2 6 2" xfId="1118" xr:uid="{00000000-0005-0000-0000-000064040000}"/>
    <cellStyle name="Normal 3 2 7" xfId="1105" xr:uid="{00000000-0005-0000-0000-000065040000}"/>
    <cellStyle name="Normal 3 3" xfId="619" xr:uid="{00000000-0005-0000-0000-000066040000}"/>
    <cellStyle name="Normal 3 4" xfId="620" xr:uid="{00000000-0005-0000-0000-000067040000}"/>
    <cellStyle name="Normal 3 4 2" xfId="1133" xr:uid="{00000000-0005-0000-0000-000068040000}"/>
    <cellStyle name="Normal 3 5" xfId="621" xr:uid="{00000000-0005-0000-0000-000069040000}"/>
    <cellStyle name="Normal 3 6" xfId="622" xr:uid="{00000000-0005-0000-0000-00006A040000}"/>
    <cellStyle name="Normal 3 7" xfId="623" xr:uid="{00000000-0005-0000-0000-00006B040000}"/>
    <cellStyle name="Normal 3 8" xfId="624" xr:uid="{00000000-0005-0000-0000-00006C040000}"/>
    <cellStyle name="Normal 3 8 2" xfId="1136" xr:uid="{00000000-0005-0000-0000-00006D040000}"/>
    <cellStyle name="Normal 3 9" xfId="625" xr:uid="{00000000-0005-0000-0000-00006E040000}"/>
    <cellStyle name="Normal 30" xfId="626" xr:uid="{00000000-0005-0000-0000-00006F040000}"/>
    <cellStyle name="Normal 30 2" xfId="1128" xr:uid="{00000000-0005-0000-0000-000070040000}"/>
    <cellStyle name="Normal 31" xfId="627" xr:uid="{00000000-0005-0000-0000-000071040000}"/>
    <cellStyle name="Normal 31 2" xfId="1149" xr:uid="{00000000-0005-0000-0000-000072040000}"/>
    <cellStyle name="Normal 32" xfId="628" xr:uid="{00000000-0005-0000-0000-000073040000}"/>
    <cellStyle name="Normal 33" xfId="629" xr:uid="{00000000-0005-0000-0000-000074040000}"/>
    <cellStyle name="Normal 34" xfId="933" xr:uid="{00000000-0005-0000-0000-000075040000}"/>
    <cellStyle name="Normal 35" xfId="1000" xr:uid="{00000000-0005-0000-0000-000076040000}"/>
    <cellStyle name="Normal 36" xfId="1174" xr:uid="{00000000-0005-0000-0000-000077040000}"/>
    <cellStyle name="Normal 37" xfId="1175" xr:uid="{00000000-0005-0000-0000-000078040000}"/>
    <cellStyle name="Normal 38" xfId="1222" xr:uid="{00000000-0005-0000-0000-000079040000}"/>
    <cellStyle name="Normal 4" xfId="349" xr:uid="{00000000-0005-0000-0000-00007A040000}"/>
    <cellStyle name="Normal 4 2" xfId="630" xr:uid="{00000000-0005-0000-0000-00007B040000}"/>
    <cellStyle name="Normal 4 3" xfId="631" xr:uid="{00000000-0005-0000-0000-00007C040000}"/>
    <cellStyle name="Normal 4 4" xfId="670" xr:uid="{00000000-0005-0000-0000-00007D040000}"/>
    <cellStyle name="Normal 4 5" xfId="928" xr:uid="{00000000-0005-0000-0000-00007E040000}"/>
    <cellStyle name="Normal 4 5 2" xfId="1100" xr:uid="{00000000-0005-0000-0000-00007F040000}"/>
    <cellStyle name="Normal 4 6" xfId="1125" xr:uid="{00000000-0005-0000-0000-000080040000}"/>
    <cellStyle name="Normal 5" xfId="350" xr:uid="{00000000-0005-0000-0000-000081040000}"/>
    <cellStyle name="Normal 5 2" xfId="632" xr:uid="{00000000-0005-0000-0000-000082040000}"/>
    <cellStyle name="Normal 6" xfId="351" xr:uid="{00000000-0005-0000-0000-000083040000}"/>
    <cellStyle name="Normal 6 2" xfId="633" xr:uid="{00000000-0005-0000-0000-000084040000}"/>
    <cellStyle name="Normal 7" xfId="352" xr:uid="{00000000-0005-0000-0000-000085040000}"/>
    <cellStyle name="Normal 7 2" xfId="634" xr:uid="{00000000-0005-0000-0000-000086040000}"/>
    <cellStyle name="Normal 8" xfId="353" xr:uid="{00000000-0005-0000-0000-000087040000}"/>
    <cellStyle name="Normal 8 2" xfId="635" xr:uid="{00000000-0005-0000-0000-000088040000}"/>
    <cellStyle name="Normal 9" xfId="419" xr:uid="{00000000-0005-0000-0000-000089040000}"/>
    <cellStyle name="Normal_AppendixTables(NationalAccountsData).xls" xfId="341" xr:uid="{00000000-0005-0000-0000-00008A040000}"/>
    <cellStyle name="Note 2" xfId="636" xr:uid="{00000000-0005-0000-0000-00008B040000}"/>
    <cellStyle name="Note 3" xfId="637" xr:uid="{00000000-0005-0000-0000-00008C040000}"/>
    <cellStyle name="Output 2" xfId="638" xr:uid="{00000000-0005-0000-0000-00008D040000}"/>
    <cellStyle name="Percent 10" xfId="639" xr:uid="{00000000-0005-0000-0000-00008F040000}"/>
    <cellStyle name="Percent 10 2" xfId="983" xr:uid="{00000000-0005-0000-0000-000090040000}"/>
    <cellStyle name="Percent 11" xfId="640" xr:uid="{00000000-0005-0000-0000-000091040000}"/>
    <cellStyle name="Percent 12" xfId="641" xr:uid="{00000000-0005-0000-0000-000092040000}"/>
    <cellStyle name="Percent 12 2" xfId="642" xr:uid="{00000000-0005-0000-0000-000093040000}"/>
    <cellStyle name="Percent 12 2 2" xfId="1120" xr:uid="{00000000-0005-0000-0000-000094040000}"/>
    <cellStyle name="Percent 13" xfId="643" xr:uid="{00000000-0005-0000-0000-000095040000}"/>
    <cellStyle name="Percent 14" xfId="644" xr:uid="{00000000-0005-0000-0000-000096040000}"/>
    <cellStyle name="Percent 15" xfId="645" xr:uid="{00000000-0005-0000-0000-000097040000}"/>
    <cellStyle name="Percent 15 2" xfId="1140" xr:uid="{00000000-0005-0000-0000-000098040000}"/>
    <cellStyle name="Percent 16" xfId="646" xr:uid="{00000000-0005-0000-0000-000099040000}"/>
    <cellStyle name="Percent 16 2" xfId="1137" xr:uid="{00000000-0005-0000-0000-00009A040000}"/>
    <cellStyle name="Percent 17" xfId="934" xr:uid="{00000000-0005-0000-0000-00009B040000}"/>
    <cellStyle name="Percent 18" xfId="1082" xr:uid="{00000000-0005-0000-0000-00009C040000}"/>
    <cellStyle name="Percent 19" xfId="1223" xr:uid="{00000000-0005-0000-0000-00009D040000}"/>
    <cellStyle name="Percent 2" xfId="263" xr:uid="{00000000-0005-0000-0000-00009E040000}"/>
    <cellStyle name="Percent 2 2" xfId="647" xr:uid="{00000000-0005-0000-0000-00009F040000}"/>
    <cellStyle name="Percent 2 2 2" xfId="1123" xr:uid="{00000000-0005-0000-0000-0000A0040000}"/>
    <cellStyle name="Percent 2 3" xfId="648" xr:uid="{00000000-0005-0000-0000-0000A1040000}"/>
    <cellStyle name="Percent 2 4" xfId="649" xr:uid="{00000000-0005-0000-0000-0000A2040000}"/>
    <cellStyle name="Percent 2 5" xfId="1226" xr:uid="{00000000-0005-0000-0000-0000A3040000}"/>
    <cellStyle name="Percent 3" xfId="427" xr:uid="{00000000-0005-0000-0000-0000A4040000}"/>
    <cellStyle name="Percent 3 2" xfId="650" xr:uid="{00000000-0005-0000-0000-0000A5040000}"/>
    <cellStyle name="Percent 4" xfId="651" xr:uid="{00000000-0005-0000-0000-0000A6040000}"/>
    <cellStyle name="Percent 4 2" xfId="671" xr:uid="{00000000-0005-0000-0000-0000A7040000}"/>
    <cellStyle name="Percent 4 3" xfId="929" xr:uid="{00000000-0005-0000-0000-0000A8040000}"/>
    <cellStyle name="Percent 4 3 2" xfId="1101" xr:uid="{00000000-0005-0000-0000-0000A9040000}"/>
    <cellStyle name="Percent 4 4" xfId="1126" xr:uid="{00000000-0005-0000-0000-0000AA040000}"/>
    <cellStyle name="Percent 5" xfId="652" xr:uid="{00000000-0005-0000-0000-0000AB040000}"/>
    <cellStyle name="Percent 6" xfId="653" xr:uid="{00000000-0005-0000-0000-0000AC040000}"/>
    <cellStyle name="Percent 6 2" xfId="654" xr:uid="{00000000-0005-0000-0000-0000AD040000}"/>
    <cellStyle name="Percent 7" xfId="655" xr:uid="{00000000-0005-0000-0000-0000AE040000}"/>
    <cellStyle name="Percent 7 2" xfId="1106" xr:uid="{00000000-0005-0000-0000-0000AF040000}"/>
    <cellStyle name="Percent 8" xfId="656" xr:uid="{00000000-0005-0000-0000-0000B0040000}"/>
    <cellStyle name="Percent 8 2" xfId="984" xr:uid="{00000000-0005-0000-0000-0000B1040000}"/>
    <cellStyle name="Percent 8 3" xfId="1117" xr:uid="{00000000-0005-0000-0000-0000B2040000}"/>
    <cellStyle name="Percent 9" xfId="657" xr:uid="{00000000-0005-0000-0000-0000B3040000}"/>
    <cellStyle name="Percent 9 2" xfId="1084" xr:uid="{00000000-0005-0000-0000-0000B4040000}"/>
    <cellStyle name="Percent 9 3" xfId="1131" xr:uid="{00000000-0005-0000-0000-0000B5040000}"/>
    <cellStyle name="Pourcentage 2" xfId="354" xr:uid="{00000000-0005-0000-0000-0000B6040000}"/>
    <cellStyle name="Pourcentage 3" xfId="355" xr:uid="{00000000-0005-0000-0000-0000B7040000}"/>
    <cellStyle name="Pourcentage 3 2" xfId="356" xr:uid="{00000000-0005-0000-0000-0000B8040000}"/>
    <cellStyle name="Pourcentage 4" xfId="357" xr:uid="{00000000-0005-0000-0000-0000B9040000}"/>
    <cellStyle name="Pourcentage 4 2" xfId="658" xr:uid="{00000000-0005-0000-0000-0000BA040000}"/>
    <cellStyle name="Pourcentage 5" xfId="659" xr:uid="{00000000-0005-0000-0000-0000BB040000}"/>
    <cellStyle name="Prozent" xfId="1" builtinId="5"/>
    <cellStyle name="Satisfaisant" xfId="660" xr:uid="{00000000-0005-0000-0000-0000BC040000}"/>
    <cellStyle name="Standard" xfId="0" builtinId="0"/>
    <cellStyle name="Standard 11" xfId="358" xr:uid="{00000000-0005-0000-0000-0000BD040000}"/>
    <cellStyle name="style_col_headings" xfId="359" xr:uid="{00000000-0005-0000-0000-0000BE040000}"/>
    <cellStyle name="Titre" xfId="661" xr:uid="{00000000-0005-0000-0000-0000BF040000}"/>
    <cellStyle name="Titre 1" xfId="662" xr:uid="{00000000-0005-0000-0000-0000C0040000}"/>
    <cellStyle name="Titre 2" xfId="663" xr:uid="{00000000-0005-0000-0000-0000C1040000}"/>
    <cellStyle name="Titre 3" xfId="664" xr:uid="{00000000-0005-0000-0000-0000C2040000}"/>
    <cellStyle name="Titre 4" xfId="665" xr:uid="{00000000-0005-0000-0000-0000C3040000}"/>
    <cellStyle name="Total 2" xfId="666" xr:uid="{00000000-0005-0000-0000-0000C4040000}"/>
    <cellStyle name="Vérification" xfId="667" xr:uid="{00000000-0005-0000-0000-0000C5040000}"/>
    <cellStyle name="Virgule fixe" xfId="360" xr:uid="{00000000-0005-0000-0000-0000C6040000}"/>
    <cellStyle name="Virgule fixe 2" xfId="428" xr:uid="{00000000-0005-0000-0000-0000C7040000}"/>
    <cellStyle name="Warning Text 2" xfId="668" xr:uid="{00000000-0005-0000-0000-0000C8040000}"/>
    <cellStyle name="一般 2 3" xfId="908" xr:uid="{00000000-0005-0000-0000-0000C9040000}"/>
    <cellStyle name="一般 3" xfId="909" xr:uid="{00000000-0005-0000-0000-0000CA040000}"/>
  </cellStyles>
  <dxfs count="21">
    <dxf>
      <font>
        <color theme="0"/>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9" defaultPivotStyle="PivotStyleMedium4"/>
  <colors>
    <mruColors>
      <color rgb="FFF9FCFF"/>
      <color rgb="FFEDEAE6"/>
      <color rgb="FFECDEE1"/>
      <color rgb="FFF2DB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3.xml"/><Relationship Id="rId61"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xVal>
            <c:numRef>
              <c:f>TableA4!$P$10:$P$52</c:f>
              <c:numCache>
                <c:formatCode>0%</c:formatCode>
                <c:ptCount val="43"/>
                <c:pt idx="0">
                  <c:v>0.43561327527257365</c:v>
                </c:pt>
                <c:pt idx="1">
                  <c:v>0.63707162800450889</c:v>
                </c:pt>
                <c:pt idx="3">
                  <c:v>0.51079708096514354</c:v>
                </c:pt>
                <c:pt idx="4">
                  <c:v>1.0459478672026534</c:v>
                </c:pt>
                <c:pt idx="5">
                  <c:v>0.62424587574706658</c:v>
                </c:pt>
                <c:pt idx="6">
                  <c:v>0.37469158681083548</c:v>
                </c:pt>
                <c:pt idx="7">
                  <c:v>0.83980010002856997</c:v>
                </c:pt>
                <c:pt idx="8">
                  <c:v>0.35113512632375482</c:v>
                </c:pt>
                <c:pt idx="9">
                  <c:v>0.28285909683503752</c:v>
                </c:pt>
                <c:pt idx="10">
                  <c:v>0.2338030357460614</c:v>
                </c:pt>
                <c:pt idx="11">
                  <c:v>0.13830806972928111</c:v>
                </c:pt>
                <c:pt idx="13">
                  <c:v>0.67304135369080642</c:v>
                </c:pt>
                <c:pt idx="16">
                  <c:v>0.18583546955900887</c:v>
                </c:pt>
                <c:pt idx="17">
                  <c:v>4.7053689258015251E-2</c:v>
                </c:pt>
                <c:pt idx="18">
                  <c:v>0.12269555518747587</c:v>
                </c:pt>
                <c:pt idx="19">
                  <c:v>0.54583244130060771</c:v>
                </c:pt>
                <c:pt idx="23">
                  <c:v>0.37935721698885838</c:v>
                </c:pt>
                <c:pt idx="24">
                  <c:v>0.38665659545495995</c:v>
                </c:pt>
                <c:pt idx="25">
                  <c:v>0.38815750454674208</c:v>
                </c:pt>
                <c:pt idx="26">
                  <c:v>0.58760425366217361</c:v>
                </c:pt>
                <c:pt idx="27">
                  <c:v>0.52588557151835713</c:v>
                </c:pt>
                <c:pt idx="28">
                  <c:v>0.29554344801039062</c:v>
                </c:pt>
                <c:pt idx="29">
                  <c:v>0.45408528644092888</c:v>
                </c:pt>
                <c:pt idx="30">
                  <c:v>0.60791032866305494</c:v>
                </c:pt>
                <c:pt idx="32">
                  <c:v>0.18138526162148752</c:v>
                </c:pt>
                <c:pt idx="33">
                  <c:v>0.49212306945558248</c:v>
                </c:pt>
                <c:pt idx="34">
                  <c:v>0.31509012804501185</c:v>
                </c:pt>
                <c:pt idx="36">
                  <c:v>0.18729308232823494</c:v>
                </c:pt>
                <c:pt idx="37">
                  <c:v>0.23320832282540019</c:v>
                </c:pt>
                <c:pt idx="38">
                  <c:v>0.12897932451908642</c:v>
                </c:pt>
                <c:pt idx="39">
                  <c:v>0.55897274397359109</c:v>
                </c:pt>
                <c:pt idx="40">
                  <c:v>0.14628968956737795</c:v>
                </c:pt>
                <c:pt idx="41">
                  <c:v>0.18815911779605865</c:v>
                </c:pt>
                <c:pt idx="42">
                  <c:v>0.363045392813305</c:v>
                </c:pt>
              </c:numCache>
            </c:numRef>
          </c:xVal>
          <c:yVal>
            <c:numRef>
              <c:f>TableA4!$Q$10:$Q$52</c:f>
              <c:numCache>
                <c:formatCode>0%</c:formatCode>
                <c:ptCount val="43"/>
                <c:pt idx="0">
                  <c:v>0.25488124316983574</c:v>
                </c:pt>
                <c:pt idx="1">
                  <c:v>0.26847341805206931</c:v>
                </c:pt>
                <c:pt idx="3">
                  <c:v>0.16606770279075128</c:v>
                </c:pt>
                <c:pt idx="4">
                  <c:v>0.17710496544712098</c:v>
                </c:pt>
                <c:pt idx="5">
                  <c:v>0.41779324861589467</c:v>
                </c:pt>
                <c:pt idx="6">
                  <c:v>0.21364438937029676</c:v>
                </c:pt>
                <c:pt idx="7">
                  <c:v>0.41064854981442322</c:v>
                </c:pt>
                <c:pt idx="8">
                  <c:v>0.22014648186731803</c:v>
                </c:pt>
                <c:pt idx="9">
                  <c:v>0.16154355885776669</c:v>
                </c:pt>
                <c:pt idx="10">
                  <c:v>0.20180769652168562</c:v>
                </c:pt>
                <c:pt idx="11">
                  <c:v>0.13243130450907675</c:v>
                </c:pt>
                <c:pt idx="13">
                  <c:v>0.16333894634731203</c:v>
                </c:pt>
                <c:pt idx="16">
                  <c:v>0.15259698545154851</c:v>
                </c:pt>
                <c:pt idx="17">
                  <c:v>7.5448118962814031E-2</c:v>
                </c:pt>
                <c:pt idx="18">
                  <c:v>8.145888320207427E-2</c:v>
                </c:pt>
                <c:pt idx="19">
                  <c:v>0.33458659205576913</c:v>
                </c:pt>
                <c:pt idx="23">
                  <c:v>0.15877905866314909</c:v>
                </c:pt>
                <c:pt idx="24">
                  <c:v>0.24987466640404191</c:v>
                </c:pt>
                <c:pt idx="25">
                  <c:v>0.3547800616447801</c:v>
                </c:pt>
                <c:pt idx="26">
                  <c:v>0.24031618579004613</c:v>
                </c:pt>
                <c:pt idx="27">
                  <c:v>0.45857840919815962</c:v>
                </c:pt>
                <c:pt idx="28">
                  <c:v>0.2635832470099459</c:v>
                </c:pt>
                <c:pt idx="29">
                  <c:v>0.21960024923494834</c:v>
                </c:pt>
                <c:pt idx="30">
                  <c:v>0.27156039314384334</c:v>
                </c:pt>
                <c:pt idx="31">
                  <c:v>0.16543308667617826</c:v>
                </c:pt>
                <c:pt idx="32">
                  <c:v>2.8551659513278864E-2</c:v>
                </c:pt>
                <c:pt idx="33">
                  <c:v>0.29703816620183826</c:v>
                </c:pt>
                <c:pt idx="34">
                  <c:v>8.5595101870932569E-2</c:v>
                </c:pt>
                <c:pt idx="36">
                  <c:v>0.15551963836942637</c:v>
                </c:pt>
                <c:pt idx="37">
                  <c:v>6.4755462776257475E-2</c:v>
                </c:pt>
                <c:pt idx="38">
                  <c:v>0.2023465573582357</c:v>
                </c:pt>
                <c:pt idx="39">
                  <c:v>0.17481608797111872</c:v>
                </c:pt>
                <c:pt idx="40">
                  <c:v>4.4407051189953896E-2</c:v>
                </c:pt>
                <c:pt idx="41">
                  <c:v>0.14817462662935943</c:v>
                </c:pt>
                <c:pt idx="42">
                  <c:v>0.20661988218055255</c:v>
                </c:pt>
              </c:numCache>
            </c:numRef>
          </c:yVal>
          <c:smooth val="0"/>
          <c:extLst>
            <c:ext xmlns:c16="http://schemas.microsoft.com/office/drawing/2014/chart" uri="{C3380CC4-5D6E-409C-BE32-E72D297353CC}">
              <c16:uniqueId val="{00000000-5838-4D07-8491-39B885DD6ED3}"/>
            </c:ext>
          </c:extLst>
        </c:ser>
        <c:dLbls>
          <c:showLegendKey val="0"/>
          <c:showVal val="0"/>
          <c:showCatName val="0"/>
          <c:showSerName val="0"/>
          <c:showPercent val="0"/>
          <c:showBubbleSize val="0"/>
        </c:dLbls>
        <c:axId val="43821312"/>
        <c:axId val="43831296"/>
      </c:scatterChart>
      <c:valAx>
        <c:axId val="43821312"/>
        <c:scaling>
          <c:orientation val="minMax"/>
        </c:scaling>
        <c:delete val="0"/>
        <c:axPos val="b"/>
        <c:numFmt formatCode="0%" sourceLinked="1"/>
        <c:majorTickMark val="out"/>
        <c:minorTickMark val="none"/>
        <c:tickLblPos val="nextTo"/>
        <c:crossAx val="43831296"/>
        <c:crosses val="autoZero"/>
        <c:crossBetween val="midCat"/>
      </c:valAx>
      <c:valAx>
        <c:axId val="43831296"/>
        <c:scaling>
          <c:orientation val="minMax"/>
        </c:scaling>
        <c:delete val="0"/>
        <c:axPos val="l"/>
        <c:majorGridlines/>
        <c:numFmt formatCode="0%" sourceLinked="1"/>
        <c:majorTickMark val="out"/>
        <c:minorTickMark val="none"/>
        <c:tickLblPos val="nextTo"/>
        <c:crossAx val="43821312"/>
        <c:crosses val="autoZero"/>
        <c:crossBetween val="midCat"/>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TableC6!#REF!</c:f>
              <c:numCache>
                <c:formatCode>General</c:formatCode>
                <c:ptCount val="1"/>
                <c:pt idx="0">
                  <c:v>1</c:v>
                </c:pt>
              </c:numCache>
            </c:numRef>
          </c:val>
          <c:smooth val="0"/>
          <c:extLst>
            <c:ext xmlns:c16="http://schemas.microsoft.com/office/drawing/2014/chart" uri="{C3380CC4-5D6E-409C-BE32-E72D297353CC}">
              <c16:uniqueId val="{00000000-F668-4BEC-8ACE-F24F6A813B89}"/>
            </c:ext>
          </c:extLst>
        </c:ser>
        <c:dLbls>
          <c:showLegendKey val="0"/>
          <c:showVal val="0"/>
          <c:showCatName val="0"/>
          <c:showSerName val="0"/>
          <c:showPercent val="0"/>
          <c:showBubbleSize val="0"/>
        </c:dLbls>
        <c:smooth val="0"/>
        <c:axId val="182580352"/>
        <c:axId val="182581888"/>
      </c:lineChart>
      <c:catAx>
        <c:axId val="182580352"/>
        <c:scaling>
          <c:orientation val="minMax"/>
        </c:scaling>
        <c:delete val="0"/>
        <c:axPos val="b"/>
        <c:majorTickMark val="out"/>
        <c:minorTickMark val="none"/>
        <c:tickLblPos val="nextTo"/>
        <c:crossAx val="182581888"/>
        <c:crosses val="autoZero"/>
        <c:auto val="1"/>
        <c:lblAlgn val="ctr"/>
        <c:lblOffset val="100"/>
        <c:noMultiLvlLbl val="0"/>
      </c:catAx>
      <c:valAx>
        <c:axId val="182581888"/>
        <c:scaling>
          <c:orientation val="minMax"/>
        </c:scaling>
        <c:delete val="0"/>
        <c:axPos val="l"/>
        <c:majorGridlines/>
        <c:numFmt formatCode="General" sourceLinked="1"/>
        <c:majorTickMark val="out"/>
        <c:minorTickMark val="none"/>
        <c:tickLblPos val="nextTo"/>
        <c:crossAx val="1825803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20</xdr:col>
      <xdr:colOff>209550</xdr:colOff>
      <xdr:row>29</xdr:row>
      <xdr:rowOff>25400</xdr:rowOff>
    </xdr:from>
    <xdr:to>
      <xdr:col>25</xdr:col>
      <xdr:colOff>654050</xdr:colOff>
      <xdr:row>43</xdr:row>
      <xdr:rowOff>101600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904874</xdr:colOff>
      <xdr:row>76</xdr:row>
      <xdr:rowOff>23131</xdr:rowOff>
    </xdr:from>
    <xdr:to>
      <xdr:col>17</xdr:col>
      <xdr:colOff>1245053</xdr:colOff>
      <xdr:row>90</xdr:row>
      <xdr:rowOff>99331</xdr:rowOff>
    </xdr:to>
    <xdr:graphicFrame macro="">
      <xdr:nvGraphicFramePr>
        <xdr:cNvPr id="3" name="Chart 2">
          <a:extLst>
            <a:ext uri="{FF2B5EF4-FFF2-40B4-BE49-F238E27FC236}">
              <a16:creationId xmlns:a16="http://schemas.microsoft.com/office/drawing/2014/main" id="{00000000-0008-0000-2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zucman/Dropbox/TorslovEtal17/RawData/TWZRawData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zucman/Dropbox/TorslovEtal17/RawData/TWZRawDataC.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zucman/Dropbox/TorslovEtal17/RawData/TWZRawDataB.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zucman/Dropbox/TorslovEtal17/RawData/TWZRawDataD.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gzucman/Dropbox/TorslovEtal17/RawData/TWZRawData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stralianNA2"/>
      <sheetName val="AustralianNA"/>
      <sheetName val="AustralianNA3"/>
      <sheetName val="AustralianNA4"/>
      <sheetName val="AustralianNA5"/>
      <sheetName val="FX"/>
      <sheetName val="OECDTable14a"/>
      <sheetName val="OECDTable14a2014"/>
      <sheetName val="OECDTable14a2014(small)"/>
      <sheetName val="UNnataccount.xls"/>
      <sheetName val="OECDTable14a(small)"/>
      <sheetName val="Data C33-37"/>
      <sheetName val="OECDnew.xls"/>
      <sheetName val="OECDCorpTaxRev"/>
      <sheetName val="EurostatCorpTaxRev"/>
      <sheetName val="Data2"/>
      <sheetName val="Turnover"/>
      <sheetName val="NbEmployed"/>
      <sheetName val="NbEmployed (2)"/>
      <sheetName val="Data5"/>
      <sheetName val="Data6"/>
      <sheetName val="PersoCost"/>
      <sheetName val="Data11"/>
      <sheetName val="Data9"/>
      <sheetName val="Data12"/>
      <sheetName val="Data10"/>
      <sheetName val="UNnataccount_corp_va_gdpshare.x"/>
      <sheetName val="UNnataccount_labour_corp_share."/>
      <sheetName val="Eurostat Fats"/>
      <sheetName val="OECD FATS"/>
      <sheetName val="World Bank Data Labor Force"/>
      <sheetName val="TangibleAsset2015"/>
      <sheetName val="UNimputedcapitalstock2015"/>
      <sheetName val="Penn World Tables"/>
      <sheetName val="CBC- IRS"/>
      <sheetName val="Ireland"/>
      <sheetName val="Switzerland"/>
      <sheetName val="China"/>
      <sheetName val="Singapo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na"/>
      <sheetName val="HavenRawData"/>
      <sheetName val="India"/>
      <sheetName val="PuertoRicoTaxRev"/>
      <sheetName val="PuertoRicoBOP"/>
      <sheetName val="Interest shifted to EU"/>
      <sheetName val="Non-EU tax havens"/>
      <sheetName val="Non EU income shifted to EU"/>
      <sheetName val="Breakdown EU havens"/>
      <sheetName val="Breakdown non-EU have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ld BOP data"/>
      <sheetName val="Allincome"/>
      <sheetName val="Div"/>
      <sheetName val="Int"/>
      <sheetName val="Retained"/>
      <sheetName val="Total"/>
      <sheetName val="Equity"/>
      <sheetName val="Debt"/>
      <sheetName val="IMF balance of payment all"/>
      <sheetName val="CDIS_discrepancies_in_stocks"/>
      <sheetName val="Div(PA)"/>
      <sheetName val="Div(AP)"/>
      <sheetName val="Div(FellowResUCP)"/>
      <sheetName val="Div(FellowForeignUCP)"/>
      <sheetName val="Int(PA)"/>
      <sheetName val="Int(AP)"/>
      <sheetName val="Int(FellowResUCP)"/>
      <sheetName val="Int(FellowForeignUCP)"/>
      <sheetName val="Inward, All"/>
      <sheetName val="IMF_fdi_credit_debitinc"/>
      <sheetName val="Outward, All"/>
      <sheetName val="DIA Eurostat"/>
      <sheetName val="DIRE Eurostat"/>
      <sheetName val="ChinaBoP"/>
      <sheetName val="FDI DIRE EQ in non-OECD"/>
      <sheetName val="Data C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 2,4"/>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customProperty" Target="../customProperty1.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3" Type="http://schemas.openxmlformats.org/officeDocument/2006/relationships/hyperlink" Target="http://stats.oecd.org/OECDStat_Metadata/ShowMetadata.ashx?Dataset=FDI_POS_AGGR&amp;Coords=%5BCOU%5D.%5BRUS%5D&amp;ShowOnWeb=true&amp;Lang=en" TargetMode="External"/><Relationship Id="rId2" Type="http://schemas.openxmlformats.org/officeDocument/2006/relationships/hyperlink" Target="http://stats.oecd.org/OECDStat_Metadata/ShowMetadata.ashx?Dataset=FDI_POS_AGGR&amp;Coords=%5BCOU%5D.%5BZAF%5D&amp;ShowOnWeb=true&amp;Lang=en" TargetMode="External"/><Relationship Id="rId1" Type="http://schemas.openxmlformats.org/officeDocument/2006/relationships/hyperlink" Target="http://stats.oecd.org/OECDStat_Metadata/ShowMetadata.ashx?Dataset=FDI_INC_AGGR&amp;Coords=%5BCOU%5D.%5BBRA%5D&amp;ShowOnWeb=true&amp;Lang=en" TargetMode="External"/><Relationship Id="rId4" Type="http://schemas.openxmlformats.org/officeDocument/2006/relationships/hyperlink" Target="http://stats.oecd.org/OECDStat_Metadata/ShowMetadata.ashx?Dataset=FDI_POS_AGGR&amp;Coords=%5BCOU%5D.%5BIND%5D&amp;ShowOnWeb=true&amp;Lang=en"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tats.oecd.org/OECDStat_Metadata/ShowMetadata.ashx?Dataset=FDI_POS_AGGR&amp;Coords=%5BCOU%5D.%5BRUS%5D&amp;ShowOnWeb=true&amp;Lang=en" TargetMode="External"/><Relationship Id="rId2" Type="http://schemas.openxmlformats.org/officeDocument/2006/relationships/hyperlink" Target="http://stats.oecd.org/OECDStat_Metadata/ShowMetadata.ashx?Dataset=FDI_POS_AGGR&amp;Coords=%5BCOU%5D.%5BZAF%5D&amp;ShowOnWeb=true&amp;Lang=en" TargetMode="External"/><Relationship Id="rId1" Type="http://schemas.openxmlformats.org/officeDocument/2006/relationships/hyperlink" Target="http://stats.oecd.org/OECDStat_Metadata/ShowMetadata.ashx?Dataset=FDI_INC_AGGR&amp;Coords=%5BCOU%5D.%5BBRA%5D&amp;ShowOnWeb=true&amp;Lang=en" TargetMode="External"/><Relationship Id="rId4" Type="http://schemas.openxmlformats.org/officeDocument/2006/relationships/hyperlink" Target="http://stats.oecd.org/OECDStat_Metadata/ShowMetadata.ashx?Dataset=FDI_POS_AGGR&amp;Coords=%5BCOU%5D.%5BIND%5D&amp;ShowOnWeb=true&amp;Lang=en"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tats.oecd.org/OECDStat_Metadata/ShowMetadata.ashx?Dataset=FDI_POS_AGGR&amp;Coords=%5BCOU%5D.%5BRUS%5D&amp;ShowOnWeb=true&amp;Lang=en" TargetMode="External"/><Relationship Id="rId2" Type="http://schemas.openxmlformats.org/officeDocument/2006/relationships/hyperlink" Target="http://stats.oecd.org/OECDStat_Metadata/ShowMetadata.ashx?Dataset=FDI_POS_AGGR&amp;Coords=%5BCOU%5D.%5BZAF%5D&amp;ShowOnWeb=true&amp;Lang=en" TargetMode="External"/><Relationship Id="rId1" Type="http://schemas.openxmlformats.org/officeDocument/2006/relationships/hyperlink" Target="http://stats.oecd.org/OECDStat_Metadata/ShowMetadata.ashx?Dataset=FDI_INC_AGGR&amp;Coords=%5BCOU%5D.%5BBRA%5D&amp;ShowOnWeb=true&amp;Lang=en"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tats.oecd.org/OECDStat_Metadata/ShowMetadata.ashx?Dataset=FDI_POS_AGGR&amp;Coords=%5BCOU%5D.%5BIND%5D&amp;ShowOnWeb=true&amp;Lang=en" TargetMode="Externa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
  <sheetViews>
    <sheetView topLeftCell="A10" workbookViewId="0">
      <selection activeCell="D42" sqref="D42"/>
    </sheetView>
  </sheetViews>
  <sheetFormatPr baseColWidth="10" defaultColWidth="11" defaultRowHeight="15.5" x14ac:dyDescent="0.35"/>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O68"/>
  <sheetViews>
    <sheetView workbookViewId="0">
      <pane xSplit="1" ySplit="8" topLeftCell="B54" activePane="bottomRight" state="frozen"/>
      <selection pane="topRight" activeCell="B1" sqref="B1"/>
      <selection pane="bottomLeft" activeCell="A10" sqref="A10"/>
      <selection pane="bottomRight" activeCell="A68" sqref="A68"/>
    </sheetView>
  </sheetViews>
  <sheetFormatPr baseColWidth="10" defaultColWidth="10.81640625" defaultRowHeight="15.5" x14ac:dyDescent="0.35"/>
  <cols>
    <col min="1" max="1" width="19" style="1" customWidth="1"/>
    <col min="2" max="22" width="10.81640625" style="1"/>
    <col min="23" max="23" width="19" style="1" customWidth="1"/>
    <col min="24" max="38" width="11.36328125" style="1" customWidth="1"/>
    <col min="39" max="16384" width="10.81640625" style="1"/>
  </cols>
  <sheetData>
    <row r="1" spans="1:41" x14ac:dyDescent="0.35">
      <c r="W1" s="27" t="s">
        <v>163</v>
      </c>
      <c r="Y1" s="27"/>
      <c r="Z1" s="27"/>
      <c r="AA1" s="27"/>
      <c r="AB1" s="27"/>
      <c r="AC1" s="27"/>
      <c r="AD1" s="27"/>
      <c r="AE1" s="27"/>
      <c r="AF1" s="27"/>
      <c r="AG1" s="27"/>
      <c r="AH1" s="27"/>
      <c r="AI1" s="27"/>
      <c r="AJ1" s="27"/>
      <c r="AL1" s="27"/>
    </row>
    <row r="2" spans="1:41" ht="16" thickBot="1" x14ac:dyDescent="0.4"/>
    <row r="3" spans="1:41" ht="32.25" customHeight="1" thickTop="1" x14ac:dyDescent="0.35">
      <c r="A3" s="2212" t="s">
        <v>581</v>
      </c>
      <c r="B3" s="2213"/>
      <c r="C3" s="2213"/>
      <c r="D3" s="2213"/>
      <c r="E3" s="2213"/>
      <c r="F3" s="2213"/>
      <c r="G3" s="2213"/>
      <c r="H3" s="2213"/>
      <c r="I3" s="2213"/>
      <c r="J3" s="2213"/>
      <c r="K3" s="2213"/>
      <c r="L3" s="2213"/>
      <c r="M3" s="2213"/>
      <c r="N3" s="2213"/>
      <c r="O3" s="2213"/>
      <c r="P3" s="2214"/>
      <c r="W3" s="2048" t="s">
        <v>133</v>
      </c>
      <c r="X3" s="2049"/>
      <c r="Y3" s="2049"/>
      <c r="Z3" s="2049"/>
      <c r="AA3" s="2049"/>
      <c r="AB3" s="2049"/>
      <c r="AC3" s="2049"/>
      <c r="AD3" s="2049"/>
      <c r="AE3" s="2049"/>
      <c r="AF3" s="2049"/>
      <c r="AG3" s="2049"/>
      <c r="AH3" s="2049"/>
      <c r="AI3" s="2049"/>
      <c r="AJ3" s="2049"/>
      <c r="AK3" s="2049"/>
      <c r="AL3" s="2050"/>
    </row>
    <row r="4" spans="1:41" ht="12" customHeight="1" x14ac:dyDescent="0.35">
      <c r="A4" s="291"/>
      <c r="B4" s="1312"/>
      <c r="C4" s="1312"/>
      <c r="D4" s="1312"/>
      <c r="E4" s="1312"/>
      <c r="F4" s="1312"/>
      <c r="G4" s="1312"/>
      <c r="H4" s="1312"/>
      <c r="I4" s="1312"/>
      <c r="J4" s="1312"/>
      <c r="K4" s="1312"/>
      <c r="L4" s="1312"/>
      <c r="M4" s="1312"/>
      <c r="N4" s="1312"/>
      <c r="O4" s="1312"/>
      <c r="P4" s="1523"/>
      <c r="W4" s="11"/>
      <c r="X4" s="50"/>
      <c r="Y4" s="50"/>
      <c r="Z4" s="50"/>
      <c r="AA4" s="50"/>
      <c r="AB4" s="50"/>
      <c r="AC4" s="50"/>
      <c r="AD4" s="50"/>
      <c r="AE4" s="50"/>
      <c r="AF4" s="50"/>
      <c r="AG4" s="50"/>
      <c r="AH4" s="50"/>
      <c r="AI4" s="50"/>
      <c r="AJ4" s="50"/>
      <c r="AK4" s="50"/>
      <c r="AL4" s="12"/>
    </row>
    <row r="5" spans="1:41" ht="16" thickBot="1" x14ac:dyDescent="0.4">
      <c r="A5" s="292"/>
      <c r="B5" s="10" t="s">
        <v>20</v>
      </c>
      <c r="C5" s="10" t="s">
        <v>21</v>
      </c>
      <c r="D5" s="10" t="s">
        <v>22</v>
      </c>
      <c r="E5" s="10" t="s">
        <v>23</v>
      </c>
      <c r="F5" s="10" t="s">
        <v>24</v>
      </c>
      <c r="G5" s="10" t="s">
        <v>25</v>
      </c>
      <c r="H5" s="10" t="s">
        <v>26</v>
      </c>
      <c r="I5" s="10" t="s">
        <v>33</v>
      </c>
      <c r="J5" s="10" t="s">
        <v>34</v>
      </c>
      <c r="K5" s="10" t="s">
        <v>37</v>
      </c>
      <c r="L5" s="10" t="s">
        <v>105</v>
      </c>
      <c r="M5" s="10" t="s">
        <v>138</v>
      </c>
      <c r="N5" s="10" t="s">
        <v>139</v>
      </c>
      <c r="O5" s="10" t="s">
        <v>140</v>
      </c>
      <c r="P5" s="1734" t="s">
        <v>141</v>
      </c>
      <c r="W5" s="13"/>
      <c r="X5" s="10" t="s">
        <v>20</v>
      </c>
      <c r="Y5" s="10" t="s">
        <v>21</v>
      </c>
      <c r="Z5" s="10" t="s">
        <v>22</v>
      </c>
      <c r="AA5" s="10" t="s">
        <v>23</v>
      </c>
      <c r="AB5" s="10" t="s">
        <v>24</v>
      </c>
      <c r="AD5" s="10" t="s">
        <v>26</v>
      </c>
      <c r="AE5" s="10" t="s">
        <v>33</v>
      </c>
      <c r="AF5" s="10"/>
      <c r="AG5" s="10"/>
      <c r="AH5" s="10"/>
      <c r="AI5" s="10"/>
      <c r="AJ5" s="10"/>
      <c r="AL5" s="14" t="s">
        <v>34</v>
      </c>
    </row>
    <row r="6" spans="1:41" ht="21" customHeight="1" x14ac:dyDescent="0.35">
      <c r="A6" s="292"/>
      <c r="B6" s="2215" t="s">
        <v>2</v>
      </c>
      <c r="C6" s="2216"/>
      <c r="D6" s="2216"/>
      <c r="E6" s="2217" t="s">
        <v>19</v>
      </c>
      <c r="F6" s="2217"/>
      <c r="G6" s="2217"/>
      <c r="H6" s="2216" t="s">
        <v>116</v>
      </c>
      <c r="I6" s="2216"/>
      <c r="J6" s="2216"/>
      <c r="K6" s="2216" t="s">
        <v>70</v>
      </c>
      <c r="L6" s="2216"/>
      <c r="M6" s="2216"/>
      <c r="N6" s="2216" t="s">
        <v>72</v>
      </c>
      <c r="O6" s="2216"/>
      <c r="P6" s="2218"/>
      <c r="W6" s="13"/>
      <c r="X6" s="2149" t="s">
        <v>2</v>
      </c>
      <c r="Y6" s="2150"/>
      <c r="Z6" s="2150"/>
      <c r="AA6" s="2149" t="s">
        <v>19</v>
      </c>
      <c r="AB6" s="2150"/>
      <c r="AC6" s="2150"/>
      <c r="AD6" s="2149" t="s">
        <v>116</v>
      </c>
      <c r="AE6" s="2150"/>
      <c r="AF6" s="2150"/>
      <c r="AG6" s="2149" t="s">
        <v>70</v>
      </c>
      <c r="AH6" s="2150"/>
      <c r="AI6" s="2150"/>
      <c r="AJ6" s="2149" t="s">
        <v>72</v>
      </c>
      <c r="AK6" s="2150"/>
      <c r="AL6" s="2183"/>
      <c r="AN6" s="27"/>
    </row>
    <row r="7" spans="1:41" ht="42" customHeight="1" x14ac:dyDescent="0.35">
      <c r="A7" s="2208"/>
      <c r="B7" s="2210" t="s">
        <v>113</v>
      </c>
      <c r="C7" s="2160" t="s">
        <v>121</v>
      </c>
      <c r="D7" s="2205" t="s">
        <v>115</v>
      </c>
      <c r="E7" s="2211" t="s">
        <v>113</v>
      </c>
      <c r="F7" s="2160" t="s">
        <v>114</v>
      </c>
      <c r="G7" s="2201" t="s">
        <v>115</v>
      </c>
      <c r="H7" s="2202" t="s">
        <v>113</v>
      </c>
      <c r="I7" s="2161" t="s">
        <v>117</v>
      </c>
      <c r="J7" s="2161" t="s">
        <v>115</v>
      </c>
      <c r="K7" s="2203" t="s">
        <v>113</v>
      </c>
      <c r="L7" s="2179" t="s">
        <v>118</v>
      </c>
      <c r="M7" s="2205" t="s">
        <v>115</v>
      </c>
      <c r="N7" s="2202" t="s">
        <v>113</v>
      </c>
      <c r="O7" s="2167" t="s">
        <v>119</v>
      </c>
      <c r="P7" s="2207" t="s">
        <v>115</v>
      </c>
      <c r="W7" s="2219"/>
      <c r="X7" s="2221" t="s">
        <v>113</v>
      </c>
      <c r="Y7" s="2160" t="s">
        <v>121</v>
      </c>
      <c r="Z7" s="2160" t="s">
        <v>115</v>
      </c>
      <c r="AA7" s="2221" t="s">
        <v>113</v>
      </c>
      <c r="AB7" s="2160" t="s">
        <v>114</v>
      </c>
      <c r="AC7" s="2160" t="s">
        <v>115</v>
      </c>
      <c r="AD7" s="2221" t="s">
        <v>113</v>
      </c>
      <c r="AE7" s="2160" t="s">
        <v>117</v>
      </c>
      <c r="AF7" s="2160" t="s">
        <v>115</v>
      </c>
      <c r="AG7" s="2221" t="s">
        <v>113</v>
      </c>
      <c r="AH7" s="2179" t="s">
        <v>118</v>
      </c>
      <c r="AI7" s="2160" t="s">
        <v>115</v>
      </c>
      <c r="AJ7" s="2221" t="s">
        <v>113</v>
      </c>
      <c r="AK7" s="2179" t="s">
        <v>119</v>
      </c>
      <c r="AL7" s="2225" t="s">
        <v>115</v>
      </c>
      <c r="AN7" s="27"/>
      <c r="AO7" s="27"/>
    </row>
    <row r="8" spans="1:41" ht="33" customHeight="1" x14ac:dyDescent="0.35">
      <c r="A8" s="2209"/>
      <c r="B8" s="2178"/>
      <c r="C8" s="2161"/>
      <c r="D8" s="2206"/>
      <c r="E8" s="2211"/>
      <c r="F8" s="2137"/>
      <c r="G8" s="2201"/>
      <c r="H8" s="2202"/>
      <c r="I8" s="2161"/>
      <c r="J8" s="2161"/>
      <c r="K8" s="2204"/>
      <c r="L8" s="2167"/>
      <c r="M8" s="2206"/>
      <c r="N8" s="2202"/>
      <c r="O8" s="2167"/>
      <c r="P8" s="2207"/>
      <c r="W8" s="2220"/>
      <c r="X8" s="2222"/>
      <c r="Y8" s="2161"/>
      <c r="Z8" s="2161"/>
      <c r="AA8" s="2222"/>
      <c r="AB8" s="2161"/>
      <c r="AC8" s="2161"/>
      <c r="AD8" s="2222"/>
      <c r="AE8" s="2161"/>
      <c r="AF8" s="2161"/>
      <c r="AG8" s="2222"/>
      <c r="AH8" s="2167"/>
      <c r="AI8" s="2161"/>
      <c r="AJ8" s="2222"/>
      <c r="AK8" s="2167"/>
      <c r="AL8" s="2226"/>
    </row>
    <row r="9" spans="1:41" ht="33" customHeight="1" x14ac:dyDescent="0.35">
      <c r="A9" s="300"/>
      <c r="B9" s="2197" t="s">
        <v>142</v>
      </c>
      <c r="C9" s="2198"/>
      <c r="D9" s="2198"/>
      <c r="E9" s="2199"/>
      <c r="F9" s="2199"/>
      <c r="G9" s="2199"/>
      <c r="H9" s="2198"/>
      <c r="I9" s="2198"/>
      <c r="J9" s="2198"/>
      <c r="K9" s="2198"/>
      <c r="L9" s="2198"/>
      <c r="M9" s="2198"/>
      <c r="N9" s="2198"/>
      <c r="O9" s="2198"/>
      <c r="P9" s="2200"/>
      <c r="W9" s="51"/>
      <c r="X9" s="2131" t="s">
        <v>134</v>
      </c>
      <c r="Y9" s="2223"/>
      <c r="Z9" s="2223"/>
      <c r="AA9" s="2223"/>
      <c r="AB9" s="2223"/>
      <c r="AC9" s="2223"/>
      <c r="AD9" s="2223"/>
      <c r="AE9" s="2223"/>
      <c r="AF9" s="2223"/>
      <c r="AG9" s="2223"/>
      <c r="AH9" s="2223"/>
      <c r="AI9" s="2223"/>
      <c r="AJ9" s="2223"/>
      <c r="AK9" s="2223"/>
      <c r="AL9" s="2224"/>
    </row>
    <row r="10" spans="1:41" ht="14.25" customHeight="1" x14ac:dyDescent="0.35">
      <c r="A10" s="301" t="s">
        <v>136</v>
      </c>
      <c r="B10" s="1747"/>
      <c r="C10" s="1725">
        <f>Y10/$Z$64</f>
        <v>373241.76878398593</v>
      </c>
      <c r="D10" s="1726"/>
      <c r="E10" s="1724"/>
      <c r="F10" s="1725">
        <f>AB10/$Z$64</f>
        <v>337111.81278066325</v>
      </c>
      <c r="G10" s="1726"/>
      <c r="H10" s="1724"/>
      <c r="I10" s="1725">
        <f t="shared" ref="I10:I17" si="0">AE10/$Z$64</f>
        <v>4479.1878082512349</v>
      </c>
      <c r="J10" s="1726"/>
      <c r="K10" s="1724"/>
      <c r="L10" s="1725">
        <f>AH10/$Z$64</f>
        <v>85895.998376326301</v>
      </c>
      <c r="M10" s="1726"/>
      <c r="N10" s="570"/>
      <c r="O10" s="1725">
        <f>AK10/$Z$64</f>
        <v>590440.2884017129</v>
      </c>
      <c r="P10" s="1735"/>
      <c r="W10" s="31" t="s">
        <v>136</v>
      </c>
      <c r="X10" s="24"/>
      <c r="Y10" s="55">
        <f>[1]Data2!$B$264</f>
        <v>336536.8</v>
      </c>
      <c r="Z10" s="53"/>
      <c r="AA10" s="52"/>
      <c r="AB10" s="55">
        <f>[1]Data2!$C$264</f>
        <v>303959.90000000002</v>
      </c>
      <c r="AC10" s="53"/>
      <c r="AD10" s="52"/>
      <c r="AE10" s="55">
        <f>[1]Data2!$D$264</f>
        <v>4038.7</v>
      </c>
      <c r="AF10" s="53"/>
      <c r="AG10" s="52"/>
      <c r="AH10" s="55">
        <f>[1]Data2!$E$264</f>
        <v>77448.899999999994</v>
      </c>
      <c r="AI10" s="53"/>
      <c r="AJ10" s="52"/>
      <c r="AK10" s="55">
        <f>[1]Data2!$G$264</f>
        <v>532375.80000000005</v>
      </c>
      <c r="AL10" s="35"/>
    </row>
    <row r="11" spans="1:41" ht="14.25" customHeight="1" x14ac:dyDescent="0.35">
      <c r="A11" s="301" t="s">
        <v>120</v>
      </c>
      <c r="B11" s="295"/>
      <c r="C11" s="55">
        <f>Y11/$Z$64</f>
        <v>194825.53825781145</v>
      </c>
      <c r="D11" s="1727"/>
      <c r="E11" s="718"/>
      <c r="F11" s="55">
        <f>AB11/$Z$64</f>
        <v>65574.457749548339</v>
      </c>
      <c r="G11" s="1727"/>
      <c r="H11" s="718"/>
      <c r="I11" s="55">
        <f t="shared" si="0"/>
        <v>2286.4519735287954</v>
      </c>
      <c r="J11" s="1727"/>
      <c r="K11" s="718"/>
      <c r="L11" s="55">
        <f>AH11/$Z$64</f>
        <v>43156.781000356008</v>
      </c>
      <c r="M11" s="1727"/>
      <c r="N11" s="1732"/>
      <c r="O11" s="55">
        <f>AK11/$Z$64</f>
        <v>249711.69810316316</v>
      </c>
      <c r="P11" s="1736"/>
      <c r="W11" s="31" t="s">
        <v>120</v>
      </c>
      <c r="X11" s="24"/>
      <c r="Y11" s="55">
        <f>[1]Data2!$B$41</f>
        <v>175666.2</v>
      </c>
      <c r="Z11" s="53"/>
      <c r="AA11" s="52"/>
      <c r="AB11" s="55">
        <f>[1]Data2!$C$41</f>
        <v>59125.8</v>
      </c>
      <c r="AC11" s="53"/>
      <c r="AD11" s="52"/>
      <c r="AE11" s="55">
        <f>[1]Data2!$D$41</f>
        <v>2061.6</v>
      </c>
      <c r="AF11" s="53"/>
      <c r="AG11" s="52"/>
      <c r="AH11" s="55">
        <f>[1]Data2!$E$41</f>
        <v>38912.699999999997</v>
      </c>
      <c r="AI11" s="53"/>
      <c r="AJ11" s="52"/>
      <c r="AK11" s="55">
        <f>[1]Data2!$G$41</f>
        <v>225154.8</v>
      </c>
      <c r="AL11" s="35"/>
    </row>
    <row r="12" spans="1:41" ht="14.25" customHeight="1" x14ac:dyDescent="0.35">
      <c r="A12" s="301" t="s">
        <v>130</v>
      </c>
      <c r="B12" s="295"/>
      <c r="C12" s="55"/>
      <c r="D12" s="1727"/>
      <c r="E12" s="718">
        <f>F12-G12</f>
        <v>488.10026850505562</v>
      </c>
      <c r="F12" s="55">
        <f>AB12/$Z$64</f>
        <v>1472.9515260203691</v>
      </c>
      <c r="G12" s="1727">
        <f>AC12/$Z$64</f>
        <v>984.85125751531348</v>
      </c>
      <c r="H12" s="718"/>
      <c r="I12" s="55">
        <f t="shared" si="0"/>
        <v>21.848614609292426</v>
      </c>
      <c r="J12" s="1727"/>
      <c r="K12" s="718">
        <f>L12-M12</f>
        <v>-3014.9979094092105</v>
      </c>
      <c r="L12" s="55">
        <f>AH12/$Z$64</f>
        <v>5444.9631179858461</v>
      </c>
      <c r="M12" s="1727">
        <f>AI12/$Z$64</f>
        <v>8459.9610273950566</v>
      </c>
      <c r="N12" s="718">
        <f>O12-P12</f>
        <v>7659.3257539712904</v>
      </c>
      <c r="O12" s="55">
        <f>AK12/$Z$64</f>
        <v>11704.09212351898</v>
      </c>
      <c r="P12" s="1737">
        <f>AL12/$Z$64</f>
        <v>4044.7663695476895</v>
      </c>
      <c r="W12" s="31" t="s">
        <v>130</v>
      </c>
      <c r="X12" s="24"/>
      <c r="Y12" s="55"/>
      <c r="Z12" s="55">
        <f>[1]Turnover!B$14</f>
        <v>0</v>
      </c>
      <c r="AA12" s="24">
        <f>AC12-AB12</f>
        <v>-440.09999999999991</v>
      </c>
      <c r="AB12" s="55">
        <f>[1]Data2!C$13</f>
        <v>1328.1</v>
      </c>
      <c r="AC12" s="53">
        <f>[1]Turnover!C$14</f>
        <v>888</v>
      </c>
      <c r="AD12" s="52"/>
      <c r="AE12" s="55">
        <f>[1]Data2!D$13</f>
        <v>19.7</v>
      </c>
      <c r="AF12" s="53"/>
      <c r="AG12" s="24">
        <f>AI12-AH12</f>
        <v>2718.5</v>
      </c>
      <c r="AH12" s="55">
        <f>[1]Data2!E$13</f>
        <v>4909.5</v>
      </c>
      <c r="AI12" s="55">
        <f>[1]Turnover!E$14</f>
        <v>7628</v>
      </c>
      <c r="AJ12" s="24">
        <f>AL12-AK12</f>
        <v>-6906.1</v>
      </c>
      <c r="AK12" s="55">
        <f>[1]Data2!G$13</f>
        <v>10553.1</v>
      </c>
      <c r="AL12" s="60">
        <f>[1]Turnover!F$14</f>
        <v>3647</v>
      </c>
    </row>
    <row r="13" spans="1:41" ht="14.25" customHeight="1" x14ac:dyDescent="0.35">
      <c r="A13" s="301" t="s">
        <v>128</v>
      </c>
      <c r="B13" s="295">
        <f>C13-D13</f>
        <v>-1130.5826260260253</v>
      </c>
      <c r="C13" s="55">
        <f>Y13/$Z$64</f>
        <v>1195.1303097956099</v>
      </c>
      <c r="D13" s="1727">
        <f>Z13/$Z$64</f>
        <v>2325.7129358216353</v>
      </c>
      <c r="E13" s="718"/>
      <c r="F13" s="55"/>
      <c r="G13" s="1727"/>
      <c r="H13" s="718"/>
      <c r="I13" s="55">
        <f t="shared" si="0"/>
        <v>0</v>
      </c>
      <c r="J13" s="1727"/>
      <c r="K13" s="718">
        <f>L13-M13</f>
        <v>-53.235203108935863</v>
      </c>
      <c r="L13" s="55">
        <f>AH13/$Z$64</f>
        <v>74.307471006222968</v>
      </c>
      <c r="M13" s="1727">
        <f>AI13/$Z$64</f>
        <v>127.54267411515883</v>
      </c>
      <c r="N13" s="718">
        <f>O13-P13</f>
        <v>498.6364024536997</v>
      </c>
      <c r="O13" s="55">
        <f>AK13/$Z$64</f>
        <v>6740.4639669764292</v>
      </c>
      <c r="P13" s="1736">
        <f>AL13/$Z$64</f>
        <v>6241.8275645227295</v>
      </c>
      <c r="W13" s="31" t="s">
        <v>128</v>
      </c>
      <c r="X13" s="24">
        <f>Z13-Y13</f>
        <v>1019.4000000000001</v>
      </c>
      <c r="Y13" s="55">
        <f>[1]Data2!B$19</f>
        <v>1077.5999999999999</v>
      </c>
      <c r="Z13" s="55">
        <f>[1]Turnover!B$20</f>
        <v>2097</v>
      </c>
      <c r="AA13" s="52"/>
      <c r="AB13" s="55"/>
      <c r="AC13" s="53"/>
      <c r="AD13" s="52"/>
      <c r="AE13" s="55">
        <f>[1]Data2!D$19</f>
        <v>0</v>
      </c>
      <c r="AF13" s="53"/>
      <c r="AG13" s="24">
        <f>AI13-AH13</f>
        <v>48</v>
      </c>
      <c r="AH13" s="55">
        <f>[1]Data2!E$19</f>
        <v>67</v>
      </c>
      <c r="AI13" s="55">
        <f>[1]Turnover!E$20</f>
        <v>115</v>
      </c>
      <c r="AJ13" s="24">
        <f>AL13-AK13</f>
        <v>-449.60000000000036</v>
      </c>
      <c r="AK13" s="55">
        <f>[1]Data2!G$19</f>
        <v>6077.6</v>
      </c>
      <c r="AL13" s="35">
        <f>[1]Turnover!F$20</f>
        <v>5628</v>
      </c>
    </row>
    <row r="14" spans="1:41" ht="14.25" customHeight="1" x14ac:dyDescent="0.35">
      <c r="A14" s="301" t="s">
        <v>125</v>
      </c>
      <c r="B14" s="295"/>
      <c r="C14" s="55">
        <f t="shared" ref="C14:C21" si="1">Y14/$Z$64</f>
        <v>22153.497053764229</v>
      </c>
      <c r="D14" s="1727"/>
      <c r="E14" s="718"/>
      <c r="F14" s="55">
        <f t="shared" ref="F14:F21" si="2">AB14/$Z$64</f>
        <v>3287.1628853036459</v>
      </c>
      <c r="G14" s="1727"/>
      <c r="H14" s="718"/>
      <c r="I14" s="55">
        <f t="shared" si="0"/>
        <v>12.976080757803116</v>
      </c>
      <c r="J14" s="1727"/>
      <c r="K14" s="718"/>
      <c r="L14" s="55"/>
      <c r="M14" s="1727"/>
      <c r="N14" s="718">
        <f>O14-P14</f>
        <v>-41.922722448286777</v>
      </c>
      <c r="O14" s="55">
        <f>AK14/$Z$64</f>
        <v>1715.9480468780328</v>
      </c>
      <c r="P14" s="1737">
        <f>AL14/$Z$64</f>
        <v>1757.8707693263195</v>
      </c>
      <c r="W14" s="31" t="s">
        <v>125</v>
      </c>
      <c r="X14" s="24"/>
      <c r="Y14" s="55">
        <f>[1]Data2!B$28</f>
        <v>19974.900000000001</v>
      </c>
      <c r="Z14" s="53"/>
      <c r="AA14" s="24"/>
      <c r="AB14" s="55">
        <f>[1]Data2!C$28</f>
        <v>2963.9</v>
      </c>
      <c r="AC14" s="53"/>
      <c r="AD14" s="52"/>
      <c r="AE14" s="55">
        <f>[1]Data2!D$28</f>
        <v>11.7</v>
      </c>
      <c r="AF14" s="53"/>
      <c r="AG14" s="52"/>
      <c r="AH14" s="55"/>
      <c r="AI14" s="55">
        <f>[1]Turnover!E$29</f>
        <v>0</v>
      </c>
      <c r="AJ14" s="24">
        <f>AL14-AK14</f>
        <v>37.799999999999955</v>
      </c>
      <c r="AK14" s="55">
        <f>[1]Data2!G$28</f>
        <v>1547.2</v>
      </c>
      <c r="AL14" s="60">
        <f>[1]Turnover!F$29</f>
        <v>1585</v>
      </c>
    </row>
    <row r="15" spans="1:41" ht="14.25" customHeight="1" x14ac:dyDescent="0.35">
      <c r="A15" s="301" t="s">
        <v>131</v>
      </c>
      <c r="B15" s="295"/>
      <c r="C15" s="55">
        <f t="shared" si="1"/>
        <v>22469.248352204104</v>
      </c>
      <c r="D15" s="1727"/>
      <c r="E15" s="718"/>
      <c r="F15" s="55">
        <f t="shared" si="2"/>
        <v>7202.9447939853098</v>
      </c>
      <c r="G15" s="1727"/>
      <c r="H15" s="718"/>
      <c r="I15" s="55">
        <f t="shared" si="0"/>
        <v>79.852804663403788</v>
      </c>
      <c r="J15" s="1727"/>
      <c r="K15" s="718"/>
      <c r="L15" s="55">
        <f t="shared" ref="L15:L21" si="3">AH15/$Z$64</f>
        <v>2002.1981702617065</v>
      </c>
      <c r="M15" s="1727"/>
      <c r="N15" s="1732"/>
      <c r="O15" s="55"/>
      <c r="P15" s="1737"/>
      <c r="W15" s="31" t="s">
        <v>131</v>
      </c>
      <c r="X15" s="24"/>
      <c r="Y15" s="55">
        <f>[1]Data2!B$31</f>
        <v>20259.599999999999</v>
      </c>
      <c r="Z15" s="53"/>
      <c r="AA15" s="24"/>
      <c r="AB15" s="55">
        <f>[1]Data2!C$31</f>
        <v>6494.6</v>
      </c>
      <c r="AC15" s="53"/>
      <c r="AD15" s="52"/>
      <c r="AE15" s="55">
        <f>[1]Data2!D$31</f>
        <v>72</v>
      </c>
      <c r="AF15" s="53"/>
      <c r="AG15" s="52"/>
      <c r="AH15" s="55">
        <f>[1]Data2!E$31</f>
        <v>1805.3</v>
      </c>
      <c r="AI15" s="53"/>
      <c r="AJ15" s="52"/>
      <c r="AK15" s="55"/>
      <c r="AL15" s="60"/>
    </row>
    <row r="16" spans="1:41" ht="14.25" customHeight="1" x14ac:dyDescent="0.35">
      <c r="A16" s="301" t="s">
        <v>124</v>
      </c>
      <c r="B16" s="295">
        <f t="shared" ref="B16:B21" si="4">C16-D16</f>
        <v>-11865.572239616085</v>
      </c>
      <c r="C16" s="55">
        <f t="shared" si="1"/>
        <v>75334.799519552296</v>
      </c>
      <c r="D16" s="1728">
        <f>Z16/$Z$64</f>
        <v>87200.371759168382</v>
      </c>
      <c r="E16" s="718">
        <f>F16-G16</f>
        <v>-5754.5036427296809</v>
      </c>
      <c r="F16" s="55">
        <f t="shared" si="2"/>
        <v>7650.7859401392316</v>
      </c>
      <c r="G16" s="1728">
        <f>AC16/$Z$64</f>
        <v>13405.289582868912</v>
      </c>
      <c r="H16" s="718">
        <f>I16-J16</f>
        <v>-216.48982597633915</v>
      </c>
      <c r="I16" s="55">
        <f t="shared" si="0"/>
        <v>106.24859287158449</v>
      </c>
      <c r="J16" s="1728">
        <f>AF16/$Z$64</f>
        <v>322.73841884792364</v>
      </c>
      <c r="K16" s="718">
        <f>L16-M16</f>
        <v>-5695.1685725978441</v>
      </c>
      <c r="L16" s="55">
        <f t="shared" si="3"/>
        <v>6703.0884181270303</v>
      </c>
      <c r="M16" s="1728">
        <f>AI16/$Z$64</f>
        <v>12398.256990724874</v>
      </c>
      <c r="N16" s="718">
        <f t="shared" ref="N16:N21" si="5">O16-P16</f>
        <v>4276.6722230909872</v>
      </c>
      <c r="O16" s="55">
        <f>AK16/$Z$64</f>
        <v>55563.245084893511</v>
      </c>
      <c r="P16" s="1736">
        <f>AL16/$Z$64</f>
        <v>51286.572861802524</v>
      </c>
      <c r="W16" s="31" t="s">
        <v>124</v>
      </c>
      <c r="X16" s="24">
        <f>Z16-Y16</f>
        <v>10698.699999999997</v>
      </c>
      <c r="Y16" s="55">
        <f>[1]Data2!B$22</f>
        <v>67926.3</v>
      </c>
      <c r="Z16" s="8">
        <f>[1]Turnover!B$23</f>
        <v>78625</v>
      </c>
      <c r="AA16" s="24">
        <f>AC16-AB16</f>
        <v>5188.6000000000004</v>
      </c>
      <c r="AB16" s="55">
        <f>[1]Data2!C$22</f>
        <v>6898.4</v>
      </c>
      <c r="AC16" s="8">
        <f>[1]Turnover!C$23</f>
        <v>12087</v>
      </c>
      <c r="AD16" s="24">
        <f>AF16-AE16</f>
        <v>195.2</v>
      </c>
      <c r="AE16" s="55">
        <f>[1]Data2!D$22</f>
        <v>95.8</v>
      </c>
      <c r="AF16" s="8">
        <f>[1]Turnover!D$23</f>
        <v>291</v>
      </c>
      <c r="AG16" s="24">
        <f>AI16-AH16</f>
        <v>5135.1000000000004</v>
      </c>
      <c r="AH16" s="55">
        <f>[1]Data2!E$22</f>
        <v>6043.9</v>
      </c>
      <c r="AI16" s="8">
        <f>[1]Turnover!E$23</f>
        <v>11179</v>
      </c>
      <c r="AJ16" s="24">
        <f>AL16-AK16</f>
        <v>-3856.0999999999985</v>
      </c>
      <c r="AK16" s="55">
        <f>[1]Data2!G$22</f>
        <v>50099.1</v>
      </c>
      <c r="AL16" s="35">
        <f>[1]Turnover!F$23</f>
        <v>46243</v>
      </c>
      <c r="AN16" s="27"/>
    </row>
    <row r="17" spans="1:40" ht="14.25" customHeight="1" x14ac:dyDescent="0.35">
      <c r="A17" s="301" t="s">
        <v>123</v>
      </c>
      <c r="B17" s="295">
        <f t="shared" si="4"/>
        <v>-12234.115114472319</v>
      </c>
      <c r="C17" s="65">
        <f t="shared" si="1"/>
        <v>39117.892684484934</v>
      </c>
      <c r="D17" s="1728">
        <f>Z17/$Z$64</f>
        <v>51352.007798957253</v>
      </c>
      <c r="E17" s="718">
        <f>F17-G17</f>
        <v>-16856.59434442511</v>
      </c>
      <c r="F17" s="65">
        <f t="shared" si="2"/>
        <v>3261.8761638269011</v>
      </c>
      <c r="G17" s="1728">
        <f>AC17/$Z$64</f>
        <v>20118.470508252012</v>
      </c>
      <c r="H17" s="718">
        <f>I17-J17</f>
        <v>-156.15659578621182</v>
      </c>
      <c r="I17" s="65">
        <f t="shared" si="0"/>
        <v>558.08237925867763</v>
      </c>
      <c r="J17" s="1728">
        <f>AF17/$Z$64</f>
        <v>714.23897504488946</v>
      </c>
      <c r="K17" s="718">
        <f>L17-M17</f>
        <v>-8768.9470187731731</v>
      </c>
      <c r="L17" s="65">
        <f t="shared" si="3"/>
        <v>5915.0965054416356</v>
      </c>
      <c r="M17" s="1728">
        <f>AI17/$Z$64</f>
        <v>14684.043524214809</v>
      </c>
      <c r="N17" s="718">
        <f t="shared" si="5"/>
        <v>13887.622704370493</v>
      </c>
      <c r="O17" s="8">
        <f>AK17/$Z$64</f>
        <v>77573.561623629328</v>
      </c>
      <c r="P17" s="1736">
        <f>AL17/$Z$64</f>
        <v>63685.938919258835</v>
      </c>
      <c r="W17" s="31" t="s">
        <v>123</v>
      </c>
      <c r="X17" s="24">
        <f>Z17-Y17</f>
        <v>11031</v>
      </c>
      <c r="Y17" s="8">
        <f>[1]Data2!B$17</f>
        <v>35271</v>
      </c>
      <c r="Z17" s="8">
        <f>[1]Turnover!B$18</f>
        <v>46302</v>
      </c>
      <c r="AA17" s="24">
        <f>AC17-AB17</f>
        <v>15198.9</v>
      </c>
      <c r="AB17" s="8">
        <f>[1]Data2!C$17</f>
        <v>2941.1</v>
      </c>
      <c r="AC17" s="8">
        <f>[1]Turnover!C$18</f>
        <v>18140</v>
      </c>
      <c r="AD17" s="24">
        <f>AF17-AE17</f>
        <v>140.80000000000001</v>
      </c>
      <c r="AE17" s="8">
        <f>[1]Data2!D$17</f>
        <v>503.2</v>
      </c>
      <c r="AF17" s="8">
        <f>[1]Turnover!D$18</f>
        <v>644</v>
      </c>
      <c r="AG17" s="24">
        <f>AI17-AH17</f>
        <v>7906.6</v>
      </c>
      <c r="AH17" s="8">
        <f>[1]Data2!E$17</f>
        <v>5333.4</v>
      </c>
      <c r="AI17" s="8">
        <f>[1]Turnover!E$18</f>
        <v>13240</v>
      </c>
      <c r="AJ17" s="24">
        <f>AL17-AK17</f>
        <v>-12521.899999999994</v>
      </c>
      <c r="AK17" s="8">
        <f>[1]Data2!G$17</f>
        <v>69944.899999999994</v>
      </c>
      <c r="AL17" s="35">
        <f>[1]Turnover!F$18</f>
        <v>57423</v>
      </c>
    </row>
    <row r="18" spans="1:40" ht="14.25" customHeight="1" x14ac:dyDescent="0.35">
      <c r="A18" s="301" t="s">
        <v>126</v>
      </c>
      <c r="B18" s="295">
        <f t="shared" si="4"/>
        <v>586.14176756401321</v>
      </c>
      <c r="C18" s="65">
        <f t="shared" si="1"/>
        <v>10306.002601870552</v>
      </c>
      <c r="D18" s="1728">
        <f>Z18/$Z$64</f>
        <v>9719.8608343065389</v>
      </c>
      <c r="E18" s="718">
        <f>F18-G18</f>
        <v>2325.9347491679227</v>
      </c>
      <c r="F18" s="65">
        <f t="shared" si="2"/>
        <v>3162.1710646707902</v>
      </c>
      <c r="G18" s="1728">
        <f>AC18/$Z$64</f>
        <v>836.23631550286746</v>
      </c>
      <c r="H18" s="718"/>
      <c r="I18" s="65"/>
      <c r="J18" s="1728">
        <f>AF18/$Z$64</f>
        <v>128.651740846595</v>
      </c>
      <c r="K18" s="718">
        <f>L18-M18</f>
        <v>-727.54777582212341</v>
      </c>
      <c r="L18" s="65">
        <f t="shared" si="3"/>
        <v>408.13655716850826</v>
      </c>
      <c r="M18" s="1728">
        <f>AI18/$Z$64</f>
        <v>1135.6843329906317</v>
      </c>
      <c r="N18" s="718">
        <f t="shared" si="5"/>
        <v>15654.476914221452</v>
      </c>
      <c r="O18" s="8">
        <f>AK18/$Z$64</f>
        <v>15654.476914221452</v>
      </c>
      <c r="P18" s="1736"/>
      <c r="W18" s="31" t="s">
        <v>126</v>
      </c>
      <c r="X18" s="24">
        <f>Z18-Y18</f>
        <v>-528.5</v>
      </c>
      <c r="Y18" s="8">
        <f>[1]Data2!B$39</f>
        <v>9292.5</v>
      </c>
      <c r="Z18" s="8">
        <f>[1]Turnover!B$40</f>
        <v>8764</v>
      </c>
      <c r="AA18" s="24">
        <f>AC18-AB18</f>
        <v>-2097.1999999999998</v>
      </c>
      <c r="AB18" s="8">
        <f>[1]Data2!C$39</f>
        <v>2851.2</v>
      </c>
      <c r="AC18" s="8">
        <f>[1]Turnover!C$40</f>
        <v>754</v>
      </c>
      <c r="AD18" s="24"/>
      <c r="AE18" s="8"/>
      <c r="AF18" s="8">
        <f>[1]Turnover!D$40</f>
        <v>116</v>
      </c>
      <c r="AG18" s="24">
        <f>AI18-AH18</f>
        <v>656</v>
      </c>
      <c r="AH18" s="8">
        <f>[1]Data2!E$39</f>
        <v>368</v>
      </c>
      <c r="AI18" s="8">
        <f>[1]Turnover!E$40</f>
        <v>1024</v>
      </c>
      <c r="AJ18" s="24"/>
      <c r="AK18" s="8">
        <f>[1]Data2!G$39</f>
        <v>14115</v>
      </c>
      <c r="AL18" s="35" t="str">
        <f>[1]Turnover!F$40</f>
        <v>:</v>
      </c>
    </row>
    <row r="19" spans="1:40" ht="14.25" customHeight="1" x14ac:dyDescent="0.35">
      <c r="A19" s="301" t="s">
        <v>127</v>
      </c>
      <c r="B19" s="295">
        <f t="shared" si="4"/>
        <v>7174.1090589679698</v>
      </c>
      <c r="C19" s="65">
        <f t="shared" si="1"/>
        <v>15294.695666543561</v>
      </c>
      <c r="D19" s="1728">
        <f>Z19/$Z$64</f>
        <v>8120.5866075755912</v>
      </c>
      <c r="E19" s="718">
        <f>F19-G19</f>
        <v>20546.902986605804</v>
      </c>
      <c r="F19" s="65">
        <f t="shared" si="2"/>
        <v>30710.390513486807</v>
      </c>
      <c r="G19" s="1728">
        <f>AC19/$Z$64</f>
        <v>10163.487526881005</v>
      </c>
      <c r="H19" s="718">
        <f>I19-J19</f>
        <v>235.56577375704114</v>
      </c>
      <c r="I19" s="65">
        <f>AE19/$Z$64</f>
        <v>499.52365583884813</v>
      </c>
      <c r="J19" s="1728">
        <f>AF19/$Z$64</f>
        <v>263.95788208180699</v>
      </c>
      <c r="K19" s="718">
        <f>L19-M19</f>
        <v>9116.1958123858367</v>
      </c>
      <c r="L19" s="65">
        <f t="shared" si="3"/>
        <v>13645.624343571129</v>
      </c>
      <c r="M19" s="1728">
        <f>AI19/$Z$64</f>
        <v>4529.4285311852927</v>
      </c>
      <c r="N19" s="718">
        <f t="shared" si="5"/>
        <v>44492.984598390307</v>
      </c>
      <c r="O19" s="8">
        <f>AK19/$Z$64</f>
        <v>59767.051623729152</v>
      </c>
      <c r="P19" s="1736">
        <f>AL19/$Z$64</f>
        <v>15274.067025338847</v>
      </c>
      <c r="W19" s="31" t="s">
        <v>127</v>
      </c>
      <c r="X19" s="24">
        <f>Z19-Y19</f>
        <v>-6468.6</v>
      </c>
      <c r="Y19" s="8">
        <f>[1]Data2!B$40</f>
        <v>13790.6</v>
      </c>
      <c r="Z19" s="8">
        <f>[1]Turnover!B$41</f>
        <v>7322</v>
      </c>
      <c r="AA19" s="24">
        <f>AC19-AB19</f>
        <v>-18526.3</v>
      </c>
      <c r="AB19" s="8">
        <f>[1]Data2!C$40</f>
        <v>27690.3</v>
      </c>
      <c r="AC19" s="8">
        <f>[1]Turnover!C$41</f>
        <v>9164</v>
      </c>
      <c r="AD19" s="24">
        <f>AF19-AE19</f>
        <v>-212.39999999999998</v>
      </c>
      <c r="AE19" s="8">
        <f>[1]Data2!D$40</f>
        <v>450.4</v>
      </c>
      <c r="AF19" s="8">
        <f>[1]Turnover!D$41</f>
        <v>238</v>
      </c>
      <c r="AG19" s="24">
        <f>AI19-AH19</f>
        <v>-8219.7000000000007</v>
      </c>
      <c r="AH19" s="8">
        <f>[1]Data2!E$40</f>
        <v>12303.7</v>
      </c>
      <c r="AI19" s="8">
        <f>[1]Turnover!E$41</f>
        <v>4084</v>
      </c>
      <c r="AJ19" s="24">
        <f>AL19-AK19</f>
        <v>-40117.5</v>
      </c>
      <c r="AK19" s="8">
        <f>[1]Data2!G$40</f>
        <v>53889.5</v>
      </c>
      <c r="AL19" s="35">
        <f>[1]Turnover!F$41</f>
        <v>13772</v>
      </c>
      <c r="AN19" s="27"/>
    </row>
    <row r="20" spans="1:40" ht="14.25" customHeight="1" x14ac:dyDescent="0.35">
      <c r="A20" s="1738" t="s">
        <v>129</v>
      </c>
      <c r="B20" s="295"/>
      <c r="C20" s="65">
        <f t="shared" si="1"/>
        <v>8954.2720695961689</v>
      </c>
      <c r="D20" s="1728"/>
      <c r="E20" s="718"/>
      <c r="F20" s="65">
        <f t="shared" si="2"/>
        <v>8826.1748621152838</v>
      </c>
      <c r="G20" s="1728"/>
      <c r="H20" s="718"/>
      <c r="I20" s="65">
        <f>AE20/$Z$64</f>
        <v>1007.9198455291856</v>
      </c>
      <c r="J20" s="1728"/>
      <c r="K20" s="718"/>
      <c r="L20" s="65">
        <f t="shared" si="3"/>
        <v>8963.3664167939296</v>
      </c>
      <c r="M20" s="1728"/>
      <c r="N20" s="718">
        <f t="shared" si="5"/>
        <v>20992.858719316275</v>
      </c>
      <c r="O20" s="8">
        <f>AK20/$Z$64</f>
        <v>20992.858719316275</v>
      </c>
      <c r="P20" s="1736"/>
      <c r="W20" s="56" t="s">
        <v>129</v>
      </c>
      <c r="X20" s="24"/>
      <c r="Y20" s="8">
        <f>Y11-SUM(Y12:Y19)</f>
        <v>8073.7000000000116</v>
      </c>
      <c r="Z20" s="8"/>
      <c r="AA20" s="24"/>
      <c r="AB20" s="8">
        <f>AB11-SUM(AB12:AB19)</f>
        <v>7958.2000000000044</v>
      </c>
      <c r="AC20" s="8"/>
      <c r="AD20" s="24"/>
      <c r="AE20" s="8">
        <f>AE11-SUM(AE12:AE19)</f>
        <v>908.8</v>
      </c>
      <c r="AF20" s="8"/>
      <c r="AG20" s="24"/>
      <c r="AH20" s="8">
        <f>AH11-SUM(AH12:AH19)</f>
        <v>8081.8999999999978</v>
      </c>
      <c r="AI20" s="8"/>
      <c r="AJ20" s="24"/>
      <c r="AK20" s="8">
        <f>AK11-SUM(AK12:AK19)</f>
        <v>18928.399999999994</v>
      </c>
      <c r="AL20" s="35"/>
    </row>
    <row r="21" spans="1:40" ht="14.25" customHeight="1" thickBot="1" x14ac:dyDescent="0.4">
      <c r="A21" s="1746" t="s">
        <v>132</v>
      </c>
      <c r="B21" s="1748">
        <f t="shared" si="4"/>
        <v>-20337.209594758097</v>
      </c>
      <c r="C21" s="1730">
        <f t="shared" si="1"/>
        <v>96436.790405241903</v>
      </c>
      <c r="D21" s="1731">
        <v>116774</v>
      </c>
      <c r="E21" s="1729">
        <f>F21-G21</f>
        <v>-125820.62489921355</v>
      </c>
      <c r="F21" s="1730">
        <f t="shared" si="2"/>
        <v>242593.37510078645</v>
      </c>
      <c r="G21" s="1731">
        <v>368414</v>
      </c>
      <c r="H21" s="1729"/>
      <c r="I21" s="1730">
        <f>AE21/$Z$64</f>
        <v>338.26535308802994</v>
      </c>
      <c r="J21" s="1731"/>
      <c r="K21" s="1729">
        <f>L21-M21</f>
        <v>-36531.38136701347</v>
      </c>
      <c r="L21" s="1730">
        <f t="shared" si="3"/>
        <v>32756.618632986527</v>
      </c>
      <c r="M21" s="1731">
        <v>69288</v>
      </c>
      <c r="N21" s="1729">
        <f t="shared" si="5"/>
        <v>-53179.384748557932</v>
      </c>
      <c r="O21" s="1733">
        <f>AK21/$Z$64</f>
        <v>199967.61525144207</v>
      </c>
      <c r="P21" s="1739">
        <v>253147</v>
      </c>
      <c r="W21" s="56" t="s">
        <v>132</v>
      </c>
      <c r="X21" s="58">
        <f>Z21-Y21</f>
        <v>-86953.1</v>
      </c>
      <c r="Y21" s="49">
        <f>[1]Data2!B$129</f>
        <v>86953.1</v>
      </c>
      <c r="Z21" s="49"/>
      <c r="AA21" s="58">
        <f>AC21-AB21</f>
        <v>-218736.5</v>
      </c>
      <c r="AB21" s="49">
        <f>[1]Data2!C$129</f>
        <v>218736.5</v>
      </c>
      <c r="AC21" s="49"/>
      <c r="AD21" s="58">
        <f>AF21-AE21</f>
        <v>-305</v>
      </c>
      <c r="AE21" s="49">
        <f>[1]Data2!D$129</f>
        <v>305</v>
      </c>
      <c r="AF21" s="49"/>
      <c r="AG21" s="58">
        <f>AI21-AH21</f>
        <v>-29535.3</v>
      </c>
      <c r="AH21" s="49">
        <f>[1]Data2!E$129</f>
        <v>29535.3</v>
      </c>
      <c r="AI21" s="49"/>
      <c r="AJ21" s="58">
        <f>AL21-AK21</f>
        <v>-180302.6</v>
      </c>
      <c r="AK21" s="49">
        <f>[1]Data2!G$129</f>
        <v>180302.6</v>
      </c>
      <c r="AL21" s="59"/>
    </row>
    <row r="22" spans="1:40" ht="33" customHeight="1" x14ac:dyDescent="0.35">
      <c r="A22" s="300"/>
      <c r="B22" s="2197" t="s">
        <v>143</v>
      </c>
      <c r="C22" s="2198"/>
      <c r="D22" s="2198"/>
      <c r="E22" s="2198"/>
      <c r="F22" s="2198"/>
      <c r="G22" s="2198"/>
      <c r="H22" s="2198"/>
      <c r="I22" s="2198"/>
      <c r="J22" s="2198"/>
      <c r="K22" s="2198"/>
      <c r="L22" s="2198"/>
      <c r="M22" s="2198"/>
      <c r="N22" s="2198"/>
      <c r="O22" s="2198"/>
      <c r="P22" s="2200"/>
      <c r="W22" s="51"/>
      <c r="X22" s="2131" t="s">
        <v>135</v>
      </c>
      <c r="Y22" s="2223"/>
      <c r="Z22" s="2223"/>
      <c r="AA22" s="2223"/>
      <c r="AB22" s="2223"/>
      <c r="AC22" s="2223"/>
      <c r="AD22" s="2223"/>
      <c r="AE22" s="2223"/>
      <c r="AF22" s="2223"/>
      <c r="AG22" s="2223"/>
      <c r="AH22" s="2223"/>
      <c r="AI22" s="2223"/>
      <c r="AJ22" s="2223"/>
      <c r="AK22" s="2223"/>
      <c r="AL22" s="2224"/>
    </row>
    <row r="23" spans="1:40" ht="14.25" customHeight="1" x14ac:dyDescent="0.35">
      <c r="A23" s="301" t="s">
        <v>136</v>
      </c>
      <c r="B23" s="1747"/>
      <c r="C23" s="1725">
        <f>Y23</f>
        <v>438978</v>
      </c>
      <c r="D23" s="1726"/>
      <c r="E23" s="1724"/>
      <c r="F23" s="1725">
        <f>AB23</f>
        <v>237932</v>
      </c>
      <c r="G23" s="1726"/>
      <c r="H23" s="1724"/>
      <c r="I23" s="1725">
        <f>AE23</f>
        <v>14942</v>
      </c>
      <c r="J23" s="1726"/>
      <c r="K23" s="1724"/>
      <c r="L23" s="1725">
        <f>AH23</f>
        <v>99913</v>
      </c>
      <c r="M23" s="1726"/>
      <c r="N23" s="570"/>
      <c r="O23" s="1725">
        <f>AK23</f>
        <v>916055</v>
      </c>
      <c r="P23" s="1735"/>
      <c r="W23" s="31" t="s">
        <v>136</v>
      </c>
      <c r="X23" s="24"/>
      <c r="Y23" s="55">
        <f>[1]NbEmployed!$B$264</f>
        <v>438978</v>
      </c>
      <c r="Z23" s="53"/>
      <c r="AA23" s="52"/>
      <c r="AB23" s="55">
        <f>[1]NbEmployed!$C$264</f>
        <v>237932</v>
      </c>
      <c r="AC23" s="53"/>
      <c r="AD23" s="52"/>
      <c r="AE23" s="55">
        <f>[1]NbEmployed!$D$264</f>
        <v>14942</v>
      </c>
      <c r="AF23" s="53"/>
      <c r="AG23" s="52"/>
      <c r="AH23" s="55">
        <f>[1]NbEmployed!$E$264</f>
        <v>99913</v>
      </c>
      <c r="AI23" s="53"/>
      <c r="AJ23" s="52"/>
      <c r="AK23" s="55">
        <f>[1]NbEmployed!$G$264</f>
        <v>916055</v>
      </c>
      <c r="AL23" s="35"/>
    </row>
    <row r="24" spans="1:40" ht="14.25" customHeight="1" x14ac:dyDescent="0.35">
      <c r="A24" s="301" t="s">
        <v>120</v>
      </c>
      <c r="B24" s="295"/>
      <c r="C24" s="55">
        <f t="shared" ref="C24:D34" si="6">Y24</f>
        <v>290935</v>
      </c>
      <c r="D24" s="1727"/>
      <c r="E24" s="718"/>
      <c r="F24" s="55">
        <f t="shared" ref="F24:F34" si="7">AB24</f>
        <v>133063</v>
      </c>
      <c r="G24" s="1727"/>
      <c r="H24" s="718"/>
      <c r="I24" s="55">
        <f t="shared" ref="I24:I34" si="8">AE24</f>
        <v>9320</v>
      </c>
      <c r="J24" s="1727"/>
      <c r="K24" s="718"/>
      <c r="L24" s="55">
        <f t="shared" ref="L24:L34" si="9">AH24</f>
        <v>68957</v>
      </c>
      <c r="M24" s="1727"/>
      <c r="N24" s="1732"/>
      <c r="O24" s="55">
        <f t="shared" ref="O24:O34" si="10">AK24</f>
        <v>540731</v>
      </c>
      <c r="P24" s="1736"/>
      <c r="W24" s="31" t="s">
        <v>120</v>
      </c>
      <c r="X24" s="24"/>
      <c r="Y24" s="55">
        <f>[1]NbEmployed!$B$41</f>
        <v>290935</v>
      </c>
      <c r="Z24" s="53"/>
      <c r="AA24" s="52"/>
      <c r="AB24" s="55">
        <f>[1]NbEmployed!$C$41</f>
        <v>133063</v>
      </c>
      <c r="AC24" s="53"/>
      <c r="AD24" s="52"/>
      <c r="AE24" s="55">
        <f>[1]NbEmployed!$D$41</f>
        <v>9320</v>
      </c>
      <c r="AF24" s="53"/>
      <c r="AG24" s="52"/>
      <c r="AH24" s="55">
        <f>[1]NbEmployed!$E$41</f>
        <v>68957</v>
      </c>
      <c r="AI24" s="53"/>
      <c r="AJ24" s="52"/>
      <c r="AK24" s="55">
        <f>[1]NbEmployed!$G$41</f>
        <v>540731</v>
      </c>
      <c r="AL24" s="35"/>
    </row>
    <row r="25" spans="1:40" ht="14.25" customHeight="1" x14ac:dyDescent="0.35">
      <c r="A25" s="301" t="s">
        <v>130</v>
      </c>
      <c r="B25" s="295"/>
      <c r="C25" s="55"/>
      <c r="D25" s="1727"/>
      <c r="E25" s="718">
        <f>F25-G25</f>
        <v>-432</v>
      </c>
      <c r="F25" s="55">
        <f t="shared" si="7"/>
        <v>1014</v>
      </c>
      <c r="G25" s="1727">
        <f t="shared" ref="G25:G32" si="11">AC25</f>
        <v>1446</v>
      </c>
      <c r="H25" s="718"/>
      <c r="I25" s="55">
        <f t="shared" si="8"/>
        <v>696</v>
      </c>
      <c r="J25" s="1727"/>
      <c r="K25" s="718"/>
      <c r="L25" s="55">
        <f t="shared" si="9"/>
        <v>16221</v>
      </c>
      <c r="M25" s="1727"/>
      <c r="N25" s="718"/>
      <c r="O25" s="55">
        <f t="shared" si="10"/>
        <v>30787</v>
      </c>
      <c r="P25" s="1737">
        <f t="shared" ref="P25:P32" si="12">AL25</f>
        <v>6875</v>
      </c>
      <c r="W25" s="31" t="s">
        <v>130</v>
      </c>
      <c r="X25" s="24"/>
      <c r="Y25" s="55"/>
      <c r="Z25" s="55">
        <f>'[1]NbEmployed (2)'!B$14</f>
        <v>0</v>
      </c>
      <c r="AA25" s="24">
        <f>AC25-AB25</f>
        <v>432</v>
      </c>
      <c r="AB25" s="55">
        <f>[1]NbEmployed!C$13</f>
        <v>1014</v>
      </c>
      <c r="AC25" s="53">
        <f>'[1]NbEmployed (2)'!C$14</f>
        <v>1446</v>
      </c>
      <c r="AD25" s="52"/>
      <c r="AE25" s="55">
        <f>[1]NbEmployed!D$13</f>
        <v>696</v>
      </c>
      <c r="AF25" s="53"/>
      <c r="AG25" s="24"/>
      <c r="AH25" s="55">
        <f>[1]NbEmployed!E$13</f>
        <v>16221</v>
      </c>
      <c r="AI25" s="55"/>
      <c r="AJ25" s="24">
        <f>AL25-AK25</f>
        <v>-23912</v>
      </c>
      <c r="AK25" s="55">
        <f>[1]NbEmployed!G$13</f>
        <v>30787</v>
      </c>
      <c r="AL25" s="60">
        <f>'[1]NbEmployed (2)'!F$14</f>
        <v>6875</v>
      </c>
    </row>
    <row r="26" spans="1:40" ht="14.25" customHeight="1" x14ac:dyDescent="0.35">
      <c r="A26" s="301" t="s">
        <v>128</v>
      </c>
      <c r="B26" s="295">
        <f>C26-D26</f>
        <v>-3567</v>
      </c>
      <c r="C26" s="55">
        <f t="shared" si="6"/>
        <v>3499</v>
      </c>
      <c r="D26" s="1727">
        <f t="shared" si="6"/>
        <v>7066</v>
      </c>
      <c r="E26" s="718"/>
      <c r="F26" s="55"/>
      <c r="G26" s="1727"/>
      <c r="H26" s="718"/>
      <c r="I26" s="55">
        <f t="shared" si="8"/>
        <v>0</v>
      </c>
      <c r="J26" s="1727"/>
      <c r="K26" s="718">
        <f>L26-M26</f>
        <v>25</v>
      </c>
      <c r="L26" s="55">
        <f t="shared" si="9"/>
        <v>184</v>
      </c>
      <c r="M26" s="1727">
        <f t="shared" ref="M26:M32" si="13">AI26</f>
        <v>159</v>
      </c>
      <c r="N26" s="718">
        <f>O26-P26</f>
        <v>2270</v>
      </c>
      <c r="O26" s="55">
        <f t="shared" si="10"/>
        <v>18412</v>
      </c>
      <c r="P26" s="1736">
        <f t="shared" si="12"/>
        <v>16142</v>
      </c>
      <c r="W26" s="31" t="s">
        <v>128</v>
      </c>
      <c r="X26" s="24">
        <f>Z26-Y26</f>
        <v>3567</v>
      </c>
      <c r="Y26" s="55">
        <f>[1]NbEmployed!B$19</f>
        <v>3499</v>
      </c>
      <c r="Z26" s="55">
        <f>'[1]NbEmployed (2)'!B$20</f>
        <v>7066</v>
      </c>
      <c r="AA26" s="52"/>
      <c r="AB26" s="55"/>
      <c r="AC26" s="53"/>
      <c r="AD26" s="52"/>
      <c r="AE26" s="55">
        <f>[1]NbEmployed!D$19</f>
        <v>0</v>
      </c>
      <c r="AF26" s="53"/>
      <c r="AG26" s="24">
        <f>AI26-AH26</f>
        <v>-25</v>
      </c>
      <c r="AH26" s="55">
        <f>[1]NbEmployed!E$19</f>
        <v>184</v>
      </c>
      <c r="AI26" s="55">
        <f>'[1]NbEmployed (2)'!E$20</f>
        <v>159</v>
      </c>
      <c r="AJ26" s="24">
        <f>AL26-AK26</f>
        <v>-2270</v>
      </c>
      <c r="AK26" s="55">
        <f>[1]NbEmployed!G$19</f>
        <v>18412</v>
      </c>
      <c r="AL26" s="35">
        <f>'[1]NbEmployed (2)'!F$20</f>
        <v>16142</v>
      </c>
    </row>
    <row r="27" spans="1:40" ht="14.25" customHeight="1" x14ac:dyDescent="0.35">
      <c r="A27" s="301" t="s">
        <v>125</v>
      </c>
      <c r="B27" s="295"/>
      <c r="C27" s="55">
        <f t="shared" si="6"/>
        <v>21428</v>
      </c>
      <c r="D27" s="1727"/>
      <c r="E27" s="718"/>
      <c r="F27" s="55">
        <f t="shared" si="7"/>
        <v>5026</v>
      </c>
      <c r="G27" s="1727"/>
      <c r="H27" s="718"/>
      <c r="I27" s="55">
        <f t="shared" si="8"/>
        <v>82</v>
      </c>
      <c r="J27" s="1727"/>
      <c r="K27" s="718"/>
      <c r="L27" s="55"/>
      <c r="M27" s="1727"/>
      <c r="N27" s="718"/>
      <c r="O27" s="55">
        <f t="shared" si="10"/>
        <v>1244</v>
      </c>
      <c r="P27" s="1737">
        <f t="shared" si="12"/>
        <v>1105</v>
      </c>
      <c r="W27" s="31" t="s">
        <v>125</v>
      </c>
      <c r="X27" s="24"/>
      <c r="Y27" s="55">
        <f>[1]NbEmployed!B$28</f>
        <v>21428</v>
      </c>
      <c r="Z27" s="53"/>
      <c r="AA27" s="24"/>
      <c r="AB27" s="55">
        <f>[1]NbEmployed!C$28</f>
        <v>5026</v>
      </c>
      <c r="AC27" s="53"/>
      <c r="AD27" s="52"/>
      <c r="AE27" s="55">
        <f>[1]NbEmployed!D$28</f>
        <v>82</v>
      </c>
      <c r="AF27" s="53"/>
      <c r="AG27" s="52"/>
      <c r="AH27" s="55"/>
      <c r="AI27" s="55"/>
      <c r="AJ27" s="24">
        <f>AL27-AK27</f>
        <v>-139</v>
      </c>
      <c r="AK27" s="55">
        <f>[1]NbEmployed!G$28</f>
        <v>1244</v>
      </c>
      <c r="AL27" s="60">
        <f>'[1]NbEmployed (2)'!F$29</f>
        <v>1105</v>
      </c>
    </row>
    <row r="28" spans="1:40" ht="14.25" customHeight="1" x14ac:dyDescent="0.35">
      <c r="A28" s="301" t="s">
        <v>131</v>
      </c>
      <c r="B28" s="295"/>
      <c r="C28" s="55">
        <f t="shared" si="6"/>
        <v>84136</v>
      </c>
      <c r="D28" s="1727"/>
      <c r="E28" s="718"/>
      <c r="F28" s="55">
        <f t="shared" si="7"/>
        <v>10851</v>
      </c>
      <c r="G28" s="1727"/>
      <c r="H28" s="718"/>
      <c r="I28" s="55">
        <f t="shared" si="8"/>
        <v>507</v>
      </c>
      <c r="J28" s="1727"/>
      <c r="K28" s="718"/>
      <c r="L28" s="55">
        <f t="shared" si="9"/>
        <v>3904</v>
      </c>
      <c r="M28" s="1727"/>
      <c r="N28" s="1732"/>
      <c r="O28" s="55"/>
      <c r="P28" s="1737"/>
      <c r="W28" s="31" t="s">
        <v>131</v>
      </c>
      <c r="X28" s="24"/>
      <c r="Y28" s="55">
        <f>[1]NbEmployed!B$31</f>
        <v>84136</v>
      </c>
      <c r="Z28" s="53"/>
      <c r="AA28" s="24"/>
      <c r="AB28" s="55">
        <f>[1]NbEmployed!C$31</f>
        <v>10851</v>
      </c>
      <c r="AC28" s="53"/>
      <c r="AD28" s="52"/>
      <c r="AE28" s="55">
        <f>[1]NbEmployed!D$31</f>
        <v>507</v>
      </c>
      <c r="AF28" s="53"/>
      <c r="AG28" s="52"/>
      <c r="AH28" s="55">
        <f>[1]NbEmployed!E$31</f>
        <v>3904</v>
      </c>
      <c r="AI28" s="53"/>
      <c r="AJ28" s="52"/>
      <c r="AK28" s="55"/>
      <c r="AL28" s="60"/>
    </row>
    <row r="29" spans="1:40" ht="14.25" customHeight="1" x14ac:dyDescent="0.35">
      <c r="A29" s="301" t="s">
        <v>124</v>
      </c>
      <c r="B29" s="295">
        <f>C29-D29</f>
        <v>-70799</v>
      </c>
      <c r="C29" s="55">
        <f t="shared" si="6"/>
        <v>71382</v>
      </c>
      <c r="D29" s="1728">
        <f t="shared" si="6"/>
        <v>142181</v>
      </c>
      <c r="E29" s="718">
        <f>F29-G29</f>
        <v>-2146</v>
      </c>
      <c r="F29" s="55">
        <f t="shared" si="7"/>
        <v>10264</v>
      </c>
      <c r="G29" s="1728">
        <f t="shared" si="11"/>
        <v>12410</v>
      </c>
      <c r="H29" s="718">
        <f>I29-J29</f>
        <v>516</v>
      </c>
      <c r="I29" s="55">
        <f t="shared" si="8"/>
        <v>1034</v>
      </c>
      <c r="J29" s="1728">
        <f>AF29</f>
        <v>518</v>
      </c>
      <c r="K29" s="718">
        <f>L29-M29</f>
        <v>-374</v>
      </c>
      <c r="L29" s="55">
        <f t="shared" si="9"/>
        <v>19330</v>
      </c>
      <c r="M29" s="1728">
        <f t="shared" si="13"/>
        <v>19704</v>
      </c>
      <c r="N29" s="718">
        <f>O29-P29</f>
        <v>-269</v>
      </c>
      <c r="O29" s="55">
        <f t="shared" si="10"/>
        <v>122874</v>
      </c>
      <c r="P29" s="1736">
        <f t="shared" si="12"/>
        <v>123143</v>
      </c>
      <c r="W29" s="31" t="s">
        <v>124</v>
      </c>
      <c r="X29" s="24">
        <f>Z29-Y29</f>
        <v>70799</v>
      </c>
      <c r="Y29" s="55">
        <f>[1]NbEmployed!B$22</f>
        <v>71382</v>
      </c>
      <c r="Z29" s="8">
        <f>'[1]NbEmployed (2)'!B$23</f>
        <v>142181</v>
      </c>
      <c r="AA29" s="24">
        <f>AC29-AB29</f>
        <v>2146</v>
      </c>
      <c r="AB29" s="55">
        <f>[1]NbEmployed!C$22</f>
        <v>10264</v>
      </c>
      <c r="AC29" s="8">
        <f>'[1]NbEmployed (2)'!C$23</f>
        <v>12410</v>
      </c>
      <c r="AD29" s="24">
        <f>AF29-AE29</f>
        <v>-516</v>
      </c>
      <c r="AE29" s="55">
        <f>[1]NbEmployed!D$22</f>
        <v>1034</v>
      </c>
      <c r="AF29" s="8">
        <f>'[1]NbEmployed (2)'!D$23</f>
        <v>518</v>
      </c>
      <c r="AG29" s="24">
        <f>AI29-AH29</f>
        <v>374</v>
      </c>
      <c r="AH29" s="55">
        <f>[1]NbEmployed!E$22</f>
        <v>19330</v>
      </c>
      <c r="AI29" s="8">
        <f>'[1]NbEmployed (2)'!E$23</f>
        <v>19704</v>
      </c>
      <c r="AJ29" s="24">
        <f>AL29-AK29</f>
        <v>269</v>
      </c>
      <c r="AK29" s="55">
        <f>[1]NbEmployed!G$22</f>
        <v>122874</v>
      </c>
      <c r="AL29" s="35">
        <f>'[1]NbEmployed (2)'!F$23</f>
        <v>123143</v>
      </c>
    </row>
    <row r="30" spans="1:40" ht="14.25" customHeight="1" x14ac:dyDescent="0.35">
      <c r="A30" s="301" t="s">
        <v>123</v>
      </c>
      <c r="B30" s="295">
        <f>C30-D30</f>
        <v>-24536</v>
      </c>
      <c r="C30" s="65">
        <f t="shared" si="6"/>
        <v>41314</v>
      </c>
      <c r="D30" s="1728">
        <f t="shared" si="6"/>
        <v>65850</v>
      </c>
      <c r="E30" s="718">
        <f>F30-G30</f>
        <v>-11102</v>
      </c>
      <c r="F30" s="65">
        <f t="shared" si="7"/>
        <v>8503</v>
      </c>
      <c r="G30" s="1728">
        <f t="shared" si="11"/>
        <v>19605</v>
      </c>
      <c r="H30" s="718">
        <f>I30-J30</f>
        <v>161</v>
      </c>
      <c r="I30" s="65">
        <f t="shared" si="8"/>
        <v>1674</v>
      </c>
      <c r="J30" s="1728">
        <f>AF30</f>
        <v>1513</v>
      </c>
      <c r="K30" s="718">
        <f>L30-M30</f>
        <v>5006</v>
      </c>
      <c r="L30" s="65">
        <f t="shared" si="9"/>
        <v>18056</v>
      </c>
      <c r="M30" s="1728">
        <f t="shared" si="13"/>
        <v>13050</v>
      </c>
      <c r="N30" s="718">
        <f>O30-P30</f>
        <v>33766</v>
      </c>
      <c r="O30" s="8">
        <f t="shared" si="10"/>
        <v>140233</v>
      </c>
      <c r="P30" s="1736">
        <f t="shared" si="12"/>
        <v>106467</v>
      </c>
      <c r="W30" s="31" t="s">
        <v>123</v>
      </c>
      <c r="X30" s="24">
        <f>Z30-Y30</f>
        <v>24536</v>
      </c>
      <c r="Y30" s="8">
        <f>[1]NbEmployed!B$17</f>
        <v>41314</v>
      </c>
      <c r="Z30" s="8">
        <f>'[1]NbEmployed (2)'!B$18</f>
        <v>65850</v>
      </c>
      <c r="AA30" s="24">
        <f>AC30-AB30</f>
        <v>11102</v>
      </c>
      <c r="AB30" s="8">
        <f>[1]NbEmployed!C$17</f>
        <v>8503</v>
      </c>
      <c r="AC30" s="8">
        <f>'[1]NbEmployed (2)'!C$18</f>
        <v>19605</v>
      </c>
      <c r="AD30" s="24">
        <f>AF30-AE30</f>
        <v>-161</v>
      </c>
      <c r="AE30" s="8">
        <f>[1]NbEmployed!D$17</f>
        <v>1674</v>
      </c>
      <c r="AF30" s="8">
        <f>'[1]NbEmployed (2)'!D$18</f>
        <v>1513</v>
      </c>
      <c r="AG30" s="24">
        <f>AI30-AH30</f>
        <v>-5006</v>
      </c>
      <c r="AH30" s="8">
        <f>[1]NbEmployed!E$17</f>
        <v>18056</v>
      </c>
      <c r="AI30" s="8">
        <f>'[1]NbEmployed (2)'!E$18</f>
        <v>13050</v>
      </c>
      <c r="AJ30" s="24">
        <f>AL30-AK30</f>
        <v>-33766</v>
      </c>
      <c r="AK30" s="8">
        <f>[1]NbEmployed!G$17</f>
        <v>140233</v>
      </c>
      <c r="AL30" s="35">
        <f>'[1]NbEmployed (2)'!F$18</f>
        <v>106467</v>
      </c>
    </row>
    <row r="31" spans="1:40" ht="14.25" customHeight="1" x14ac:dyDescent="0.35">
      <c r="A31" s="301" t="s">
        <v>126</v>
      </c>
      <c r="B31" s="295">
        <f>C31-D31</f>
        <v>-1724</v>
      </c>
      <c r="C31" s="65">
        <f t="shared" si="6"/>
        <v>18081</v>
      </c>
      <c r="D31" s="1728">
        <f t="shared" si="6"/>
        <v>19805</v>
      </c>
      <c r="E31" s="718">
        <f>F31-G31</f>
        <v>-273</v>
      </c>
      <c r="F31" s="65">
        <f t="shared" si="7"/>
        <v>3459</v>
      </c>
      <c r="G31" s="1728">
        <f t="shared" si="11"/>
        <v>3732</v>
      </c>
      <c r="H31" s="718"/>
      <c r="I31" s="65"/>
      <c r="J31" s="1728">
        <f>AF31</f>
        <v>343</v>
      </c>
      <c r="K31" s="718">
        <f>L31-M31</f>
        <v>-812</v>
      </c>
      <c r="L31" s="65">
        <f t="shared" si="9"/>
        <v>1200</v>
      </c>
      <c r="M31" s="1728">
        <f t="shared" si="13"/>
        <v>2012</v>
      </c>
      <c r="N31" s="718"/>
      <c r="O31" s="8">
        <f t="shared" si="10"/>
        <v>33305</v>
      </c>
      <c r="P31" s="1736"/>
      <c r="W31" s="31" t="s">
        <v>126</v>
      </c>
      <c r="X31" s="24">
        <f>Z31-Y31</f>
        <v>1724</v>
      </c>
      <c r="Y31" s="8">
        <f>[1]NbEmployed!B$39</f>
        <v>18081</v>
      </c>
      <c r="Z31" s="8">
        <f>'[1]NbEmployed (2)'!B$40</f>
        <v>19805</v>
      </c>
      <c r="AA31" s="24">
        <f>AC31-AB31</f>
        <v>273</v>
      </c>
      <c r="AB31" s="8">
        <f>[1]NbEmployed!C$39</f>
        <v>3459</v>
      </c>
      <c r="AC31" s="8">
        <f>'[1]NbEmployed (2)'!C$40</f>
        <v>3732</v>
      </c>
      <c r="AD31" s="24"/>
      <c r="AE31" s="8"/>
      <c r="AF31" s="8">
        <f>'[1]NbEmployed (2)'!D$40</f>
        <v>343</v>
      </c>
      <c r="AG31" s="24">
        <f>AI31-AH31</f>
        <v>812</v>
      </c>
      <c r="AH31" s="8">
        <f>[1]NbEmployed!E$39</f>
        <v>1200</v>
      </c>
      <c r="AI31" s="8">
        <f>'[1]NbEmployed (2)'!E$40</f>
        <v>2012</v>
      </c>
      <c r="AJ31" s="24"/>
      <c r="AK31" s="8">
        <f>[1]NbEmployed!G$39</f>
        <v>33305</v>
      </c>
      <c r="AL31" s="35"/>
    </row>
    <row r="32" spans="1:40" ht="14.25" customHeight="1" x14ac:dyDescent="0.35">
      <c r="A32" s="301" t="s">
        <v>127</v>
      </c>
      <c r="B32" s="295">
        <f>C32-D32</f>
        <v>-3436</v>
      </c>
      <c r="C32" s="65">
        <f t="shared" si="6"/>
        <v>27717</v>
      </c>
      <c r="D32" s="1728">
        <f t="shared" si="6"/>
        <v>31153</v>
      </c>
      <c r="E32" s="718">
        <f>F32-G32</f>
        <v>19051</v>
      </c>
      <c r="F32" s="65">
        <f t="shared" si="7"/>
        <v>86318</v>
      </c>
      <c r="G32" s="1728">
        <f t="shared" si="11"/>
        <v>67267</v>
      </c>
      <c r="H32" s="718">
        <f>I32-J32</f>
        <v>-312</v>
      </c>
      <c r="I32" s="65">
        <f t="shared" si="8"/>
        <v>1611</v>
      </c>
      <c r="J32" s="1728">
        <f>AF32</f>
        <v>1923</v>
      </c>
      <c r="K32" s="718">
        <f>L32-M32</f>
        <v>-1474</v>
      </c>
      <c r="L32" s="65">
        <f t="shared" si="9"/>
        <v>5757</v>
      </c>
      <c r="M32" s="1728">
        <f t="shared" si="13"/>
        <v>7231</v>
      </c>
      <c r="N32" s="718">
        <f>O32-P32</f>
        <v>76016</v>
      </c>
      <c r="O32" s="8">
        <f t="shared" si="10"/>
        <v>136664</v>
      </c>
      <c r="P32" s="1736">
        <f t="shared" si="12"/>
        <v>60648</v>
      </c>
      <c r="W32" s="31" t="s">
        <v>127</v>
      </c>
      <c r="X32" s="24">
        <f>Z32-Y32</f>
        <v>3436</v>
      </c>
      <c r="Y32" s="8">
        <f>[1]NbEmployed!B$40</f>
        <v>27717</v>
      </c>
      <c r="Z32" s="8">
        <f>'[1]NbEmployed (2)'!B$41</f>
        <v>31153</v>
      </c>
      <c r="AA32" s="24">
        <f>AC32-AB32</f>
        <v>-19051</v>
      </c>
      <c r="AB32" s="8">
        <f>[1]NbEmployed!C$40</f>
        <v>86318</v>
      </c>
      <c r="AC32" s="8">
        <f>'[1]NbEmployed (2)'!C$41</f>
        <v>67267</v>
      </c>
      <c r="AD32" s="24">
        <f>AF32-AE32</f>
        <v>312</v>
      </c>
      <c r="AE32" s="8">
        <f>[1]NbEmployed!D$40</f>
        <v>1611</v>
      </c>
      <c r="AF32" s="8">
        <f>'[1]NbEmployed (2)'!D$41</f>
        <v>1923</v>
      </c>
      <c r="AG32" s="24">
        <f>AI32-AH32</f>
        <v>1474</v>
      </c>
      <c r="AH32" s="8">
        <f>[1]NbEmployed!E$40</f>
        <v>5757</v>
      </c>
      <c r="AI32" s="8">
        <f>'[1]NbEmployed (2)'!E$41</f>
        <v>7231</v>
      </c>
      <c r="AJ32" s="24">
        <f>AL32-AK32</f>
        <v>-76016</v>
      </c>
      <c r="AK32" s="8">
        <f>[1]NbEmployed!G$40</f>
        <v>136664</v>
      </c>
      <c r="AL32" s="35">
        <f>'[1]NbEmployed (2)'!F$41</f>
        <v>60648</v>
      </c>
    </row>
    <row r="33" spans="1:38" ht="14.25" customHeight="1" x14ac:dyDescent="0.35">
      <c r="A33" s="1738" t="s">
        <v>129</v>
      </c>
      <c r="B33" s="295"/>
      <c r="C33" s="65">
        <f t="shared" si="6"/>
        <v>23378</v>
      </c>
      <c r="D33" s="1728"/>
      <c r="E33" s="718"/>
      <c r="F33" s="65">
        <f t="shared" si="7"/>
        <v>7628</v>
      </c>
      <c r="G33" s="1728"/>
      <c r="H33" s="718"/>
      <c r="I33" s="65">
        <f t="shared" si="8"/>
        <v>3716</v>
      </c>
      <c r="J33" s="1728"/>
      <c r="K33" s="718"/>
      <c r="L33" s="65">
        <f t="shared" si="9"/>
        <v>4305</v>
      </c>
      <c r="M33" s="1728"/>
      <c r="N33" s="718"/>
      <c r="O33" s="8">
        <f t="shared" si="10"/>
        <v>57212</v>
      </c>
      <c r="P33" s="1736"/>
      <c r="W33" s="56" t="s">
        <v>129</v>
      </c>
      <c r="X33" s="24"/>
      <c r="Y33" s="8">
        <f>Y24-SUM(Y25:Y32)</f>
        <v>23378</v>
      </c>
      <c r="Z33" s="8"/>
      <c r="AA33" s="24"/>
      <c r="AB33" s="8">
        <f>AB24-SUM(AB25:AB32)</f>
        <v>7628</v>
      </c>
      <c r="AC33" s="8"/>
      <c r="AD33" s="24"/>
      <c r="AE33" s="8">
        <f>AE24-SUM(AE25:AE32)</f>
        <v>3716</v>
      </c>
      <c r="AF33" s="8"/>
      <c r="AG33" s="24"/>
      <c r="AH33" s="8">
        <f>AH24-SUM(AH25:AH32)</f>
        <v>4305</v>
      </c>
      <c r="AI33" s="8"/>
      <c r="AJ33" s="24"/>
      <c r="AK33" s="8">
        <f>AK24-SUM(AK25:AK32)</f>
        <v>57212</v>
      </c>
      <c r="AL33" s="35"/>
    </row>
    <row r="34" spans="1:38" ht="16" thickBot="1" x14ac:dyDescent="0.4">
      <c r="A34" s="1746" t="s">
        <v>132</v>
      </c>
      <c r="B34" s="1748">
        <f>C34-D34</f>
        <v>-42463</v>
      </c>
      <c r="C34" s="1730">
        <f t="shared" si="6"/>
        <v>84637</v>
      </c>
      <c r="D34" s="1731">
        <v>127100</v>
      </c>
      <c r="E34" s="1729">
        <f>F34-G34</f>
        <v>-53408</v>
      </c>
      <c r="F34" s="1730">
        <f t="shared" si="7"/>
        <v>71392</v>
      </c>
      <c r="G34" s="1731">
        <v>124800</v>
      </c>
      <c r="H34" s="1729"/>
      <c r="I34" s="1730">
        <f t="shared" si="8"/>
        <v>722</v>
      </c>
      <c r="J34" s="1731"/>
      <c r="K34" s="1729">
        <f>L34-M34</f>
        <v>-9322</v>
      </c>
      <c r="L34" s="1730">
        <f t="shared" si="9"/>
        <v>13778</v>
      </c>
      <c r="M34" s="1731">
        <v>23100</v>
      </c>
      <c r="N34" s="1729">
        <f>O34-P34</f>
        <v>-30271</v>
      </c>
      <c r="O34" s="1733">
        <f t="shared" si="10"/>
        <v>216029</v>
      </c>
      <c r="P34" s="1739">
        <v>246300</v>
      </c>
      <c r="W34" s="56" t="s">
        <v>132</v>
      </c>
      <c r="X34" s="58">
        <f>Z34-Y34</f>
        <v>-84637</v>
      </c>
      <c r="Y34" s="49">
        <f>[1]NbEmployed!B$129</f>
        <v>84637</v>
      </c>
      <c r="Z34" s="49"/>
      <c r="AA34" s="58">
        <f>AC34-AB34</f>
        <v>-71392</v>
      </c>
      <c r="AB34" s="49">
        <f>[1]NbEmployed!C$129</f>
        <v>71392</v>
      </c>
      <c r="AC34" s="49"/>
      <c r="AD34" s="58">
        <f>AF34-AE34</f>
        <v>-722</v>
      </c>
      <c r="AE34" s="49">
        <f>[1]NbEmployed!D$129</f>
        <v>722</v>
      </c>
      <c r="AF34" s="49"/>
      <c r="AG34" s="58">
        <f>AI34-AH34</f>
        <v>-13778</v>
      </c>
      <c r="AH34" s="49">
        <f>[1]NbEmployed!E$129</f>
        <v>13778</v>
      </c>
      <c r="AI34" s="49"/>
      <c r="AJ34" s="58">
        <f>AL34-AK34</f>
        <v>-216029</v>
      </c>
      <c r="AK34" s="49">
        <f>[1]NbEmployed!G$129</f>
        <v>216029</v>
      </c>
      <c r="AL34" s="59"/>
    </row>
    <row r="35" spans="1:38" ht="33" customHeight="1" x14ac:dyDescent="0.35">
      <c r="A35" s="301"/>
      <c r="B35" s="2197" t="s">
        <v>144</v>
      </c>
      <c r="C35" s="2198"/>
      <c r="D35" s="2198"/>
      <c r="E35" s="2198"/>
      <c r="F35" s="2198"/>
      <c r="G35" s="2198"/>
      <c r="H35" s="2198"/>
      <c r="I35" s="2198"/>
      <c r="J35" s="2198"/>
      <c r="K35" s="2198"/>
      <c r="L35" s="2198"/>
      <c r="M35" s="2198"/>
      <c r="N35" s="2198"/>
      <c r="O35" s="2198"/>
      <c r="P35" s="2200"/>
      <c r="W35" s="31"/>
      <c r="X35" s="2131" t="s">
        <v>43</v>
      </c>
      <c r="Y35" s="2223"/>
      <c r="Z35" s="2223"/>
      <c r="AA35" s="2223"/>
      <c r="AB35" s="2223"/>
      <c r="AC35" s="2223"/>
      <c r="AD35" s="2223"/>
      <c r="AE35" s="2223"/>
      <c r="AF35" s="2223"/>
      <c r="AG35" s="2223"/>
      <c r="AH35" s="2223"/>
      <c r="AI35" s="2223"/>
      <c r="AJ35" s="2223"/>
      <c r="AK35" s="2223"/>
      <c r="AL35" s="2224"/>
    </row>
    <row r="36" spans="1:38" ht="14.25" customHeight="1" x14ac:dyDescent="0.35">
      <c r="A36" s="301" t="s">
        <v>136</v>
      </c>
      <c r="B36" s="1747"/>
      <c r="C36" s="1725">
        <f>Y36/$Z$64</f>
        <v>25295.483103922881</v>
      </c>
      <c r="D36" s="1726"/>
      <c r="E36" s="1724"/>
      <c r="F36" s="1725">
        <f>AB36/$Z$64</f>
        <v>102408.56022065993</v>
      </c>
      <c r="G36" s="1726"/>
      <c r="H36" s="1724"/>
      <c r="I36" s="1725">
        <f t="shared" ref="I36:I43" si="14">AE36/$Z$64</f>
        <v>481.33496144329507</v>
      </c>
      <c r="J36" s="1726"/>
      <c r="K36" s="1724"/>
      <c r="L36" s="1725">
        <f>AH36/$Z$64</f>
        <v>6164.8583333610604</v>
      </c>
      <c r="M36" s="1726"/>
      <c r="N36" s="570"/>
      <c r="O36" s="1725">
        <f>AK36/$Z$64</f>
        <v>47234.375745154211</v>
      </c>
      <c r="P36" s="1735"/>
      <c r="W36" s="31" t="s">
        <v>136</v>
      </c>
      <c r="X36" s="24"/>
      <c r="Y36" s="55">
        <f>[1]Data5!$B$264</f>
        <v>22807.9</v>
      </c>
      <c r="Z36" s="53"/>
      <c r="AA36" s="52"/>
      <c r="AB36" s="55">
        <f>[1]Data5!$C$264</f>
        <v>92337.600000000006</v>
      </c>
      <c r="AC36" s="53"/>
      <c r="AD36" s="52"/>
      <c r="AE36" s="55">
        <f>[1]Data5!$D$264</f>
        <v>434</v>
      </c>
      <c r="AF36" s="53"/>
      <c r="AG36" s="52"/>
      <c r="AH36" s="55">
        <f>[1]Data5!$E$264</f>
        <v>5558.6</v>
      </c>
      <c r="AI36" s="53"/>
      <c r="AJ36" s="52"/>
      <c r="AK36" s="55">
        <f>[1]Data5!$G$264</f>
        <v>42589.3</v>
      </c>
      <c r="AL36" s="35"/>
    </row>
    <row r="37" spans="1:38" ht="14.25" customHeight="1" x14ac:dyDescent="0.35">
      <c r="A37" s="301" t="s">
        <v>120</v>
      </c>
      <c r="B37" s="295"/>
      <c r="C37" s="55">
        <f>Y37/$Z$64</f>
        <v>14287.330354380092</v>
      </c>
      <c r="D37" s="1727"/>
      <c r="E37" s="718"/>
      <c r="F37" s="55">
        <f>AB37/$Z$64</f>
        <v>9412.8711630450107</v>
      </c>
      <c r="G37" s="1727"/>
      <c r="H37" s="718"/>
      <c r="I37" s="55">
        <f t="shared" si="14"/>
        <v>307.4332979541046</v>
      </c>
      <c r="J37" s="1727"/>
      <c r="K37" s="718"/>
      <c r="L37" s="55">
        <f>AH37/$Z$64</f>
        <v>3248.0128296839493</v>
      </c>
      <c r="M37" s="1727"/>
      <c r="N37" s="1732"/>
      <c r="O37" s="55">
        <f>AK37/$Z$64</f>
        <v>23024.447157961047</v>
      </c>
      <c r="P37" s="1736"/>
      <c r="W37" s="31" t="s">
        <v>120</v>
      </c>
      <c r="X37" s="52"/>
      <c r="Y37" s="55">
        <f>[1]Data5!$B$41</f>
        <v>12882.3</v>
      </c>
      <c r="Z37" s="53"/>
      <c r="AA37" s="52"/>
      <c r="AB37" s="55">
        <f>[1]Data5!$C$41</f>
        <v>8487.2000000000007</v>
      </c>
      <c r="AC37" s="53"/>
      <c r="AD37" s="52"/>
      <c r="AE37" s="55">
        <f>[1]Data5!$D$41</f>
        <v>277.2</v>
      </c>
      <c r="AF37" s="53"/>
      <c r="AG37" s="52"/>
      <c r="AH37" s="55">
        <f>[1]Data5!$E$41</f>
        <v>2928.6</v>
      </c>
      <c r="AI37" s="53"/>
      <c r="AJ37" s="52"/>
      <c r="AK37" s="55">
        <f>[1]Data5!$G$41</f>
        <v>20760.2</v>
      </c>
      <c r="AL37" s="54"/>
    </row>
    <row r="38" spans="1:38" ht="14.25" customHeight="1" x14ac:dyDescent="0.35">
      <c r="A38" s="301" t="s">
        <v>130</v>
      </c>
      <c r="B38" s="295"/>
      <c r="C38" s="55"/>
      <c r="D38" s="1727"/>
      <c r="E38" s="718"/>
      <c r="F38" s="55">
        <f>AB38/$Z$64</f>
        <v>654.34937154733666</v>
      </c>
      <c r="G38" s="1727"/>
      <c r="H38" s="718"/>
      <c r="I38" s="55">
        <f t="shared" si="14"/>
        <v>2.1072267897287111</v>
      </c>
      <c r="J38" s="1727"/>
      <c r="K38" s="718"/>
      <c r="L38" s="55">
        <f>AH38/$Z$64</f>
        <v>454.38463986939627</v>
      </c>
      <c r="M38" s="1727"/>
      <c r="N38" s="718"/>
      <c r="O38" s="55">
        <f>AK38/$Z$64</f>
        <v>1027.4394200024622</v>
      </c>
      <c r="P38" s="1737"/>
      <c r="W38" s="31" t="s">
        <v>130</v>
      </c>
      <c r="X38" s="52"/>
      <c r="Y38" s="55"/>
      <c r="Z38" s="53"/>
      <c r="AA38" s="52"/>
      <c r="AB38" s="55">
        <f>[1]Data5!C$13</f>
        <v>590</v>
      </c>
      <c r="AC38" s="53"/>
      <c r="AD38" s="52"/>
      <c r="AE38" s="55">
        <f>[1]Data5!D$13</f>
        <v>1.9</v>
      </c>
      <c r="AF38" s="53"/>
      <c r="AG38" s="52"/>
      <c r="AH38" s="55">
        <f>[1]Data5!E$13</f>
        <v>409.7</v>
      </c>
      <c r="AI38" s="53"/>
      <c r="AJ38" s="52"/>
      <c r="AK38" s="55">
        <f>[1]Data5!G$13</f>
        <v>926.4</v>
      </c>
      <c r="AL38" s="54"/>
    </row>
    <row r="39" spans="1:38" ht="14.25" customHeight="1" x14ac:dyDescent="0.35">
      <c r="A39" s="301" t="s">
        <v>128</v>
      </c>
      <c r="B39" s="295"/>
      <c r="C39" s="55">
        <f t="shared" ref="C39:C47" si="15">Y39/$Z$64</f>
        <v>68.09669731018046</v>
      </c>
      <c r="D39" s="1727"/>
      <c r="E39" s="718"/>
      <c r="F39" s="55"/>
      <c r="G39" s="1727"/>
      <c r="H39" s="718"/>
      <c r="I39" s="55">
        <f t="shared" si="14"/>
        <v>0</v>
      </c>
      <c r="J39" s="1727"/>
      <c r="K39" s="718"/>
      <c r="L39" s="55">
        <f>AH39/$Z$64</f>
        <v>8.6507205052020772</v>
      </c>
      <c r="M39" s="1727"/>
      <c r="N39" s="718"/>
      <c r="O39" s="55">
        <f>AK39/$Z$64</f>
        <v>444.4030392864708</v>
      </c>
      <c r="P39" s="1736"/>
      <c r="W39" s="31" t="s">
        <v>128</v>
      </c>
      <c r="X39" s="52"/>
      <c r="Y39" s="55">
        <f>[1]Data5!B$19</f>
        <v>61.4</v>
      </c>
      <c r="Z39" s="53"/>
      <c r="AA39" s="52"/>
      <c r="AB39" s="55"/>
      <c r="AC39" s="53"/>
      <c r="AD39" s="52"/>
      <c r="AE39" s="55">
        <f>[1]Data5!D$19</f>
        <v>0</v>
      </c>
      <c r="AF39" s="53"/>
      <c r="AG39" s="52"/>
      <c r="AH39" s="55">
        <f>[1]Data5!E$19</f>
        <v>7.8</v>
      </c>
      <c r="AI39" s="53"/>
      <c r="AJ39" s="52"/>
      <c r="AK39" s="55">
        <f>[1]Data5!G$19</f>
        <v>400.7</v>
      </c>
      <c r="AL39" s="54"/>
    </row>
    <row r="40" spans="1:38" ht="14.25" customHeight="1" x14ac:dyDescent="0.35">
      <c r="A40" s="301" t="s">
        <v>125</v>
      </c>
      <c r="B40" s="295"/>
      <c r="C40" s="55">
        <f t="shared" si="15"/>
        <v>1391.5460279329548</v>
      </c>
      <c r="D40" s="1727"/>
      <c r="E40" s="718"/>
      <c r="F40" s="55">
        <f t="shared" ref="F40:F47" si="16">AB40/$Z$64</f>
        <v>619.85739619967194</v>
      </c>
      <c r="G40" s="1727"/>
      <c r="H40" s="718"/>
      <c r="I40" s="55">
        <f t="shared" si="14"/>
        <v>3.6599202137393405</v>
      </c>
      <c r="J40" s="1727"/>
      <c r="K40" s="718"/>
      <c r="L40" s="55"/>
      <c r="M40" s="1727"/>
      <c r="N40" s="718"/>
      <c r="O40" s="55">
        <f>AK40/$Z$64</f>
        <v>226.24961321297741</v>
      </c>
      <c r="P40" s="1737"/>
      <c r="W40" s="31" t="s">
        <v>125</v>
      </c>
      <c r="X40" s="52"/>
      <c r="Y40" s="55">
        <f>[1]Data5!B$28</f>
        <v>1254.7</v>
      </c>
      <c r="Z40" s="53"/>
      <c r="AA40" s="52"/>
      <c r="AB40" s="55">
        <f>[1]Data5!C$28</f>
        <v>558.9</v>
      </c>
      <c r="AC40" s="53"/>
      <c r="AD40" s="52"/>
      <c r="AE40" s="55">
        <f>[1]Data5!D$28</f>
        <v>3.3</v>
      </c>
      <c r="AF40" s="53"/>
      <c r="AG40" s="52"/>
      <c r="AH40" s="55"/>
      <c r="AI40" s="53"/>
      <c r="AJ40" s="52"/>
      <c r="AK40" s="55">
        <f>[1]Data5!G$28</f>
        <v>204</v>
      </c>
      <c r="AL40" s="54"/>
    </row>
    <row r="41" spans="1:38" ht="14.25" customHeight="1" x14ac:dyDescent="0.35">
      <c r="A41" s="301" t="s">
        <v>131</v>
      </c>
      <c r="B41" s="295"/>
      <c r="C41" s="55">
        <f t="shared" si="15"/>
        <v>1815.5422393610002</v>
      </c>
      <c r="D41" s="1727"/>
      <c r="E41" s="718"/>
      <c r="F41" s="55">
        <f t="shared" si="16"/>
        <v>1293.9481555665723</v>
      </c>
      <c r="G41" s="1727"/>
      <c r="H41" s="718"/>
      <c r="I41" s="55">
        <f t="shared" si="14"/>
        <v>17.190534337260537</v>
      </c>
      <c r="J41" s="1727"/>
      <c r="K41" s="718"/>
      <c r="L41" s="55">
        <f t="shared" ref="L41:L47" si="17">AH41/$Z$64</f>
        <v>241.88745412622731</v>
      </c>
      <c r="M41" s="1727"/>
      <c r="N41" s="1732"/>
      <c r="O41" s="55"/>
      <c r="P41" s="1737"/>
      <c r="W41" s="31" t="s">
        <v>131</v>
      </c>
      <c r="X41" s="52"/>
      <c r="Y41" s="55">
        <f>[1]Data5!B$31</f>
        <v>1637</v>
      </c>
      <c r="Z41" s="53"/>
      <c r="AA41" s="52"/>
      <c r="AB41" s="55">
        <f>[1]Data5!C$31</f>
        <v>1166.7</v>
      </c>
      <c r="AC41" s="53"/>
      <c r="AD41" s="52"/>
      <c r="AE41" s="55">
        <f>[1]Data5!D$31</f>
        <v>15.5</v>
      </c>
      <c r="AF41" s="53"/>
      <c r="AG41" s="52"/>
      <c r="AH41" s="55">
        <f>[1]Data5!E$31</f>
        <v>218.1</v>
      </c>
      <c r="AI41" s="53"/>
      <c r="AJ41" s="52"/>
      <c r="AK41" s="55"/>
      <c r="AL41" s="54"/>
    </row>
    <row r="42" spans="1:38" ht="14.25" customHeight="1" x14ac:dyDescent="0.35">
      <c r="A42" s="301" t="s">
        <v>124</v>
      </c>
      <c r="B42" s="295"/>
      <c r="C42" s="55">
        <f t="shared" si="15"/>
        <v>4099.1106393880618</v>
      </c>
      <c r="D42" s="1728"/>
      <c r="E42" s="718"/>
      <c r="F42" s="55">
        <f t="shared" si="16"/>
        <v>878.7135713168725</v>
      </c>
      <c r="G42" s="1728"/>
      <c r="H42" s="718"/>
      <c r="I42" s="55">
        <f t="shared" si="14"/>
        <v>20.628641204712647</v>
      </c>
      <c r="J42" s="1728"/>
      <c r="K42" s="718"/>
      <c r="L42" s="55">
        <f t="shared" si="17"/>
        <v>325.73289902280129</v>
      </c>
      <c r="M42" s="1728"/>
      <c r="N42" s="718"/>
      <c r="O42" s="55">
        <f t="shared" ref="O42:O47" si="18">AK42/$Z$64</f>
        <v>5836.7963942022434</v>
      </c>
      <c r="P42" s="1736"/>
      <c r="W42" s="31" t="s">
        <v>124</v>
      </c>
      <c r="X42" s="52"/>
      <c r="Y42" s="55">
        <f>[1]Data5!B$22</f>
        <v>3696</v>
      </c>
      <c r="Z42" s="53"/>
      <c r="AA42" s="52"/>
      <c r="AB42" s="55">
        <f>[1]Data5!C$22</f>
        <v>792.3</v>
      </c>
      <c r="AC42" s="53"/>
      <c r="AD42" s="52"/>
      <c r="AE42" s="55">
        <f>[1]Data5!D$22</f>
        <v>18.600000000000001</v>
      </c>
      <c r="AF42" s="53"/>
      <c r="AG42" s="52"/>
      <c r="AH42" s="55">
        <f>[1]Data5!E$22</f>
        <v>293.7</v>
      </c>
      <c r="AI42" s="53"/>
      <c r="AJ42" s="52"/>
      <c r="AK42" s="55">
        <f>[1]Data5!G$22</f>
        <v>5262.8</v>
      </c>
      <c r="AL42" s="54"/>
    </row>
    <row r="43" spans="1:38" x14ac:dyDescent="0.35">
      <c r="A43" s="301" t="s">
        <v>123</v>
      </c>
      <c r="B43" s="295"/>
      <c r="C43" s="65">
        <f t="shared" si="15"/>
        <v>3455.4083084625117</v>
      </c>
      <c r="D43" s="1728"/>
      <c r="E43" s="718"/>
      <c r="F43" s="65">
        <f t="shared" si="16"/>
        <v>276.04670945446117</v>
      </c>
      <c r="G43" s="1728"/>
      <c r="H43" s="718"/>
      <c r="I43" s="65">
        <f t="shared" si="14"/>
        <v>14.750587528100979</v>
      </c>
      <c r="J43" s="1728"/>
      <c r="K43" s="718"/>
      <c r="L43" s="65">
        <f t="shared" si="17"/>
        <v>404.58754362791257</v>
      </c>
      <c r="M43" s="1728"/>
      <c r="N43" s="718"/>
      <c r="O43" s="8">
        <f t="shared" si="18"/>
        <v>5412.3565560816232</v>
      </c>
      <c r="P43" s="1736"/>
      <c r="W43" s="31" t="s">
        <v>123</v>
      </c>
      <c r="X43" s="24"/>
      <c r="Y43" s="8">
        <f>[1]Data5!B$17</f>
        <v>3115.6</v>
      </c>
      <c r="Z43" s="8"/>
      <c r="AA43" s="24"/>
      <c r="AB43" s="8">
        <f>[1]Data5!C$17</f>
        <v>248.9</v>
      </c>
      <c r="AC43" s="8"/>
      <c r="AD43" s="24"/>
      <c r="AE43" s="8">
        <f>[1]Data5!D$17</f>
        <v>13.3</v>
      </c>
      <c r="AF43" s="8"/>
      <c r="AG43" s="24"/>
      <c r="AH43" s="8">
        <f>[1]Data5!E$17</f>
        <v>364.8</v>
      </c>
      <c r="AI43" s="8"/>
      <c r="AJ43" s="24"/>
      <c r="AK43" s="8">
        <f>[1]Data5!G$17</f>
        <v>4880.1000000000004</v>
      </c>
      <c r="AL43" s="35"/>
    </row>
    <row r="44" spans="1:38" x14ac:dyDescent="0.35">
      <c r="A44" s="301" t="s">
        <v>126</v>
      </c>
      <c r="B44" s="295"/>
      <c r="C44" s="65">
        <f t="shared" si="15"/>
        <v>1141.7842000135306</v>
      </c>
      <c r="D44" s="1728"/>
      <c r="E44" s="718"/>
      <c r="F44" s="65">
        <f t="shared" si="16"/>
        <v>262.18337531150911</v>
      </c>
      <c r="G44" s="1728"/>
      <c r="H44" s="718"/>
      <c r="I44" s="65"/>
      <c r="J44" s="1728"/>
      <c r="K44" s="718"/>
      <c r="L44" s="65">
        <f t="shared" si="17"/>
        <v>102.921392677276</v>
      </c>
      <c r="M44" s="1728"/>
      <c r="N44" s="718"/>
      <c r="O44" s="8">
        <f t="shared" si="18"/>
        <v>1033.6501936985046</v>
      </c>
      <c r="P44" s="1736"/>
      <c r="W44" s="31" t="s">
        <v>126</v>
      </c>
      <c r="X44" s="24"/>
      <c r="Y44" s="8">
        <f>[1]Data5!B$39</f>
        <v>1029.5</v>
      </c>
      <c r="Z44" s="8"/>
      <c r="AA44" s="24"/>
      <c r="AB44" s="8">
        <f>[1]Data5!C$39</f>
        <v>236.4</v>
      </c>
      <c r="AC44" s="8"/>
      <c r="AD44" s="24"/>
      <c r="AE44" s="8"/>
      <c r="AF44" s="8"/>
      <c r="AG44" s="24"/>
      <c r="AH44" s="8">
        <f>[1]Data5!E$39</f>
        <v>92.8</v>
      </c>
      <c r="AI44" s="8"/>
      <c r="AJ44" s="24"/>
      <c r="AK44" s="8">
        <f>[1]Data5!G$39</f>
        <v>932</v>
      </c>
      <c r="AL44" s="35"/>
    </row>
    <row r="45" spans="1:38" x14ac:dyDescent="0.35">
      <c r="A45" s="301" t="s">
        <v>127</v>
      </c>
      <c r="B45" s="295"/>
      <c r="C45" s="65">
        <f t="shared" si="15"/>
        <v>1525.0776623978688</v>
      </c>
      <c r="D45" s="1728"/>
      <c r="E45" s="718"/>
      <c r="F45" s="65">
        <f t="shared" si="16"/>
        <v>2222.1261031054978</v>
      </c>
      <c r="G45" s="1728"/>
      <c r="H45" s="718"/>
      <c r="I45" s="65">
        <f>AE45/$Z$64</f>
        <v>155.93478243992462</v>
      </c>
      <c r="J45" s="1728"/>
      <c r="K45" s="718"/>
      <c r="L45" s="65">
        <f t="shared" si="17"/>
        <v>1329.7710109919603</v>
      </c>
      <c r="M45" s="1728"/>
      <c r="N45" s="718"/>
      <c r="O45" s="8">
        <f t="shared" si="18"/>
        <v>7237.2149559866866</v>
      </c>
      <c r="P45" s="1736"/>
      <c r="W45" s="31" t="s">
        <v>127</v>
      </c>
      <c r="X45" s="24"/>
      <c r="Y45" s="8">
        <f>[1]Data5!B$40</f>
        <v>1375.1</v>
      </c>
      <c r="Z45" s="8"/>
      <c r="AA45" s="24"/>
      <c r="AB45" s="8">
        <f>[1]Data5!C$40</f>
        <v>2003.6</v>
      </c>
      <c r="AC45" s="8"/>
      <c r="AD45" s="24"/>
      <c r="AE45" s="8">
        <f>[1]Data5!D$40</f>
        <v>140.6</v>
      </c>
      <c r="AF45" s="8"/>
      <c r="AG45" s="24"/>
      <c r="AH45" s="8">
        <f>[1]Data5!E$40</f>
        <v>1199</v>
      </c>
      <c r="AI45" s="8"/>
      <c r="AJ45" s="24"/>
      <c r="AK45" s="8">
        <f>[1]Data5!G$40</f>
        <v>6525.5</v>
      </c>
      <c r="AL45" s="35"/>
    </row>
    <row r="46" spans="1:38" x14ac:dyDescent="0.35">
      <c r="A46" s="1738" t="s">
        <v>129</v>
      </c>
      <c r="B46" s="295"/>
      <c r="C46" s="65">
        <f t="shared" si="15"/>
        <v>790.76457951398277</v>
      </c>
      <c r="D46" s="1728"/>
      <c r="E46" s="718"/>
      <c r="F46" s="65">
        <f t="shared" si="16"/>
        <v>3205.6464805430874</v>
      </c>
      <c r="G46" s="1728"/>
      <c r="H46" s="718"/>
      <c r="I46" s="65">
        <f>AE46/$Z$64</f>
        <v>93.161605440637757</v>
      </c>
      <c r="J46" s="1728"/>
      <c r="K46" s="718"/>
      <c r="L46" s="65">
        <f t="shared" si="17"/>
        <v>380.07716886317365</v>
      </c>
      <c r="M46" s="1728"/>
      <c r="N46" s="718"/>
      <c r="O46" s="8">
        <f t="shared" si="18"/>
        <v>1806.3369854900807</v>
      </c>
      <c r="P46" s="1736"/>
      <c r="W46" s="56" t="s">
        <v>129</v>
      </c>
      <c r="X46" s="24"/>
      <c r="Y46" s="8">
        <f>Y37-SUM(Y38:Y45)</f>
        <v>712.99999999999818</v>
      </c>
      <c r="Z46" s="8"/>
      <c r="AA46" s="24"/>
      <c r="AB46" s="8">
        <f>AB37-SUM(AB38:AB45)</f>
        <v>2890.3999999999996</v>
      </c>
      <c r="AC46" s="8"/>
      <c r="AD46" s="24"/>
      <c r="AE46" s="8">
        <f>AE37-SUM(AE38:AE45)</f>
        <v>84</v>
      </c>
      <c r="AF46" s="8"/>
      <c r="AG46" s="24"/>
      <c r="AH46" s="8">
        <f>AH37-SUM(AH38:AH45)</f>
        <v>342.70000000000027</v>
      </c>
      <c r="AI46" s="8"/>
      <c r="AJ46" s="24"/>
      <c r="AK46" s="8">
        <f>AK37-SUM(AK38:AK45)</f>
        <v>1628.7000000000007</v>
      </c>
      <c r="AL46" s="35"/>
    </row>
    <row r="47" spans="1:38" ht="16" thickBot="1" x14ac:dyDescent="0.4">
      <c r="A47" s="1746" t="s">
        <v>132</v>
      </c>
      <c r="B47" s="1748">
        <f>C47-D47</f>
        <v>-46.628556915640729</v>
      </c>
      <c r="C47" s="1730">
        <f t="shared" si="15"/>
        <v>7815.3714430843593</v>
      </c>
      <c r="D47" s="1731">
        <f>TableA10!$D$14+TableA10!$E$14+TableA10!$G$14</f>
        <v>7862</v>
      </c>
      <c r="E47" s="1729">
        <f>F47-G47</f>
        <v>12599.806261568956</v>
      </c>
      <c r="F47" s="1730">
        <f t="shared" si="16"/>
        <v>88953.806261568956</v>
      </c>
      <c r="G47" s="1731">
        <f>TableA10!$D$23+TableA10!$E$23+TableA10!$G$23</f>
        <v>76354</v>
      </c>
      <c r="H47" s="1729"/>
      <c r="I47" s="1730">
        <f>AE47/$Z$64</f>
        <v>24.732188111026453</v>
      </c>
      <c r="J47" s="1731"/>
      <c r="K47" s="1729">
        <f>L47-M47</f>
        <v>-3224.4416192817907</v>
      </c>
      <c r="L47" s="1730">
        <f t="shared" si="17"/>
        <v>2409.5583807182093</v>
      </c>
      <c r="M47" s="1731">
        <f>TableA10!$D$25+TableA10!$E$25+TableA10!$G$25</f>
        <v>5634</v>
      </c>
      <c r="N47" s="1729">
        <f>O47-P47</f>
        <v>-9216.694526422958</v>
      </c>
      <c r="O47" s="1733">
        <f t="shared" si="18"/>
        <v>17013.305473577042</v>
      </c>
      <c r="P47" s="1739">
        <f>TableA10!$D$26+TableA10!$E$26+TableA10!$G$26</f>
        <v>26230</v>
      </c>
      <c r="W47" s="31" t="s">
        <v>132</v>
      </c>
      <c r="X47" s="58"/>
      <c r="Y47" s="49">
        <f>[1]Data5!B$129</f>
        <v>7046.8</v>
      </c>
      <c r="Z47" s="49"/>
      <c r="AA47" s="58"/>
      <c r="AB47" s="49">
        <f>[1]Data5!C$129</f>
        <v>80206</v>
      </c>
      <c r="AC47" s="49"/>
      <c r="AD47" s="58"/>
      <c r="AE47" s="49">
        <f>[1]Data5!D$129</f>
        <v>22.3</v>
      </c>
      <c r="AF47" s="49"/>
      <c r="AG47" s="58"/>
      <c r="AH47" s="49">
        <f>[1]Data5!E$129</f>
        <v>2172.6</v>
      </c>
      <c r="AI47" s="49"/>
      <c r="AJ47" s="58"/>
      <c r="AK47" s="49">
        <f>[1]Data5!G$129</f>
        <v>15340.2</v>
      </c>
      <c r="AL47" s="59"/>
    </row>
    <row r="48" spans="1:38" ht="33" customHeight="1" x14ac:dyDescent="0.35">
      <c r="A48" s="292"/>
      <c r="B48" s="2197" t="s">
        <v>145</v>
      </c>
      <c r="C48" s="2198"/>
      <c r="D48" s="2198"/>
      <c r="E48" s="2198"/>
      <c r="F48" s="2198"/>
      <c r="G48" s="2198"/>
      <c r="H48" s="2198"/>
      <c r="I48" s="2198"/>
      <c r="J48" s="2198"/>
      <c r="K48" s="2198"/>
      <c r="L48" s="2198"/>
      <c r="M48" s="2198"/>
      <c r="N48" s="2198"/>
      <c r="O48" s="2198"/>
      <c r="P48" s="2200"/>
      <c r="W48" s="13"/>
      <c r="X48" s="2131" t="s">
        <v>13</v>
      </c>
      <c r="Y48" s="2223"/>
      <c r="Z48" s="2223"/>
      <c r="AA48" s="2223"/>
      <c r="AB48" s="2223"/>
      <c r="AC48" s="2223"/>
      <c r="AD48" s="2223"/>
      <c r="AE48" s="2223"/>
      <c r="AF48" s="2223"/>
      <c r="AG48" s="2223"/>
      <c r="AH48" s="2223"/>
      <c r="AI48" s="2223"/>
      <c r="AJ48" s="2223"/>
      <c r="AK48" s="2223"/>
      <c r="AL48" s="2224"/>
    </row>
    <row r="49" spans="1:38" x14ac:dyDescent="0.35">
      <c r="A49" s="301" t="s">
        <v>136</v>
      </c>
      <c r="B49" s="1747"/>
      <c r="C49" s="1725">
        <f>Y49/$Z$64</f>
        <v>35305.253981826834</v>
      </c>
      <c r="D49" s="1726"/>
      <c r="E49" s="1724"/>
      <c r="F49" s="1725">
        <f>AB49/$Z$64</f>
        <v>13736.900535568324</v>
      </c>
      <c r="G49" s="1726"/>
      <c r="H49" s="1724"/>
      <c r="I49" s="1725">
        <f>AE49/$Z$64</f>
        <v>547.43533863689049</v>
      </c>
      <c r="J49" s="1726"/>
      <c r="K49" s="1724"/>
      <c r="L49" s="1725">
        <f>AH49/$Z$64</f>
        <v>5846.8889014583119</v>
      </c>
      <c r="M49" s="1726"/>
      <c r="N49" s="570"/>
      <c r="O49" s="1725">
        <f>AK49/$Z$64</f>
        <v>56091.160849057123</v>
      </c>
      <c r="P49" s="1735"/>
      <c r="W49" s="31" t="s">
        <v>136</v>
      </c>
      <c r="X49" s="24"/>
      <c r="Y49" s="55">
        <f>[1]Data6!$B$264</f>
        <v>31833.3</v>
      </c>
      <c r="Z49" s="53"/>
      <c r="AA49" s="52"/>
      <c r="AB49" s="55">
        <f>[1]Data6!$C$264</f>
        <v>12386</v>
      </c>
      <c r="AC49" s="53"/>
      <c r="AD49" s="52"/>
      <c r="AE49" s="55">
        <f>[1]Data6!$D$264</f>
        <v>493.6</v>
      </c>
      <c r="AF49" s="53"/>
      <c r="AG49" s="52"/>
      <c r="AH49" s="55">
        <f>[1]Data6!$E$264</f>
        <v>5271.9</v>
      </c>
      <c r="AI49" s="53"/>
      <c r="AJ49" s="52"/>
      <c r="AK49" s="55">
        <f>[1]Data6!$G$264</f>
        <v>50575.1</v>
      </c>
      <c r="AL49" s="35"/>
    </row>
    <row r="50" spans="1:38" x14ac:dyDescent="0.35">
      <c r="A50" s="301" t="s">
        <v>120</v>
      </c>
      <c r="B50" s="295"/>
      <c r="C50" s="55">
        <f t="shared" ref="C50:C60" si="19">Y50/$Z$64</f>
        <v>21129.717553975504</v>
      </c>
      <c r="D50" s="1727"/>
      <c r="E50" s="718"/>
      <c r="F50" s="55">
        <f t="shared" ref="F50:F60" si="20">AB50/$Z$64</f>
        <v>6486.4876854775484</v>
      </c>
      <c r="G50" s="1727"/>
      <c r="H50" s="718"/>
      <c r="I50" s="55">
        <f t="shared" ref="I50:I60" si="21">AE50/$Z$64</f>
        <v>292.4608970797164</v>
      </c>
      <c r="J50" s="1727"/>
      <c r="K50" s="718"/>
      <c r="L50" s="55">
        <f t="shared" ref="L50:L60" si="22">AH50/$Z$64</f>
        <v>3669.4581876296916</v>
      </c>
      <c r="M50" s="1727"/>
      <c r="N50" s="1732"/>
      <c r="O50" s="55">
        <f t="shared" ref="O50:O60" si="23">AK50/$Z$64</f>
        <v>29862.065370611286</v>
      </c>
      <c r="P50" s="1736"/>
      <c r="W50" s="31" t="s">
        <v>120</v>
      </c>
      <c r="X50" s="24"/>
      <c r="Y50" s="55">
        <f>[1]Data6!$B$41</f>
        <v>19051.8</v>
      </c>
      <c r="Z50" s="53"/>
      <c r="AA50" s="52"/>
      <c r="AB50" s="55">
        <f>[1]Data6!$C$41</f>
        <v>5848.6</v>
      </c>
      <c r="AC50" s="53"/>
      <c r="AD50" s="52"/>
      <c r="AE50" s="55">
        <f>[1]Data6!$D$41</f>
        <v>263.7</v>
      </c>
      <c r="AF50" s="53"/>
      <c r="AG50" s="52"/>
      <c r="AH50" s="55">
        <f>[1]Data6!$E$41</f>
        <v>3308.6</v>
      </c>
      <c r="AI50" s="53"/>
      <c r="AJ50" s="52"/>
      <c r="AK50" s="55">
        <f>[1]Data6!$G$41</f>
        <v>26925.4</v>
      </c>
      <c r="AL50" s="35"/>
    </row>
    <row r="51" spans="1:38" x14ac:dyDescent="0.35">
      <c r="A51" s="301" t="s">
        <v>130</v>
      </c>
      <c r="B51" s="295"/>
      <c r="C51" s="55"/>
      <c r="D51" s="1727"/>
      <c r="E51" s="718"/>
      <c r="F51" s="55">
        <f t="shared" si="20"/>
        <v>62.994990345574102</v>
      </c>
      <c r="G51" s="1727"/>
      <c r="H51" s="718"/>
      <c r="I51" s="55">
        <f t="shared" si="21"/>
        <v>13.974240816095664</v>
      </c>
      <c r="J51" s="1727"/>
      <c r="K51" s="718"/>
      <c r="L51" s="55">
        <f t="shared" si="22"/>
        <v>843.66706260348985</v>
      </c>
      <c r="M51" s="1727"/>
      <c r="N51" s="718"/>
      <c r="O51" s="55">
        <f t="shared" si="23"/>
        <v>1782.1593307447718</v>
      </c>
      <c r="P51" s="1737"/>
      <c r="W51" s="31" t="s">
        <v>130</v>
      </c>
      <c r="X51" s="24"/>
      <c r="Y51" s="55"/>
      <c r="Z51" s="53"/>
      <c r="AA51" s="52"/>
      <c r="AB51" s="55">
        <f>[1]Data6!C$13</f>
        <v>56.8</v>
      </c>
      <c r="AC51" s="53"/>
      <c r="AD51" s="52"/>
      <c r="AE51" s="55">
        <f>[1]Data6!D$13</f>
        <v>12.6</v>
      </c>
      <c r="AF51" s="53"/>
      <c r="AG51" s="52"/>
      <c r="AH51" s="55">
        <f>[1]Data6!E$13</f>
        <v>760.7</v>
      </c>
      <c r="AI51" s="53"/>
      <c r="AJ51" s="52"/>
      <c r="AK51" s="55">
        <f>[1]Data6!G$13</f>
        <v>1606.9</v>
      </c>
      <c r="AL51" s="35"/>
    </row>
    <row r="52" spans="1:38" x14ac:dyDescent="0.35">
      <c r="A52" s="301" t="s">
        <v>128</v>
      </c>
      <c r="B52" s="295"/>
      <c r="C52" s="55">
        <f t="shared" si="19"/>
        <v>295.89900394716852</v>
      </c>
      <c r="D52" s="1727"/>
      <c r="E52" s="718"/>
      <c r="F52" s="55"/>
      <c r="G52" s="1727"/>
      <c r="H52" s="718"/>
      <c r="I52" s="55">
        <f t="shared" si="21"/>
        <v>0</v>
      </c>
      <c r="J52" s="1727"/>
      <c r="K52" s="718"/>
      <c r="L52" s="55">
        <f t="shared" si="22"/>
        <v>13.641520796664816</v>
      </c>
      <c r="M52" s="1727"/>
      <c r="N52" s="718"/>
      <c r="O52" s="55">
        <f t="shared" si="23"/>
        <v>871.94826425511201</v>
      </c>
      <c r="P52" s="1736"/>
      <c r="W52" s="31" t="s">
        <v>128</v>
      </c>
      <c r="X52" s="24"/>
      <c r="Y52" s="55">
        <f>[1]Data6!B$19</f>
        <v>266.8</v>
      </c>
      <c r="Z52" s="53"/>
      <c r="AA52" s="52"/>
      <c r="AB52" s="55"/>
      <c r="AC52" s="53"/>
      <c r="AD52" s="52"/>
      <c r="AE52" s="55">
        <f>[1]Data6!D$19</f>
        <v>0</v>
      </c>
      <c r="AF52" s="53"/>
      <c r="AG52" s="52"/>
      <c r="AH52" s="55">
        <f>[1]Data6!E$19</f>
        <v>12.3</v>
      </c>
      <c r="AI52" s="53"/>
      <c r="AJ52" s="52"/>
      <c r="AK52" s="55">
        <f>[1]Data6!G$19</f>
        <v>786.2</v>
      </c>
      <c r="AL52" s="35"/>
    </row>
    <row r="53" spans="1:38" x14ac:dyDescent="0.35">
      <c r="A53" s="301" t="s">
        <v>125</v>
      </c>
      <c r="B53" s="295"/>
      <c r="C53" s="55">
        <f t="shared" si="19"/>
        <v>2071.9584676690411</v>
      </c>
      <c r="D53" s="1727"/>
      <c r="E53" s="718"/>
      <c r="F53" s="55">
        <f t="shared" si="20"/>
        <v>369.20831489509891</v>
      </c>
      <c r="G53" s="1727"/>
      <c r="H53" s="718"/>
      <c r="I53" s="55">
        <f t="shared" si="21"/>
        <v>5.3235203108935858</v>
      </c>
      <c r="J53" s="1727"/>
      <c r="K53" s="718"/>
      <c r="L53" s="55"/>
      <c r="M53" s="1727"/>
      <c r="N53" s="718"/>
      <c r="O53" s="55">
        <f t="shared" si="23"/>
        <v>69.53848406104747</v>
      </c>
      <c r="P53" s="1737"/>
      <c r="W53" s="31" t="s">
        <v>125</v>
      </c>
      <c r="X53" s="24"/>
      <c r="Y53" s="55">
        <f>[1]Data6!B$28</f>
        <v>1868.2</v>
      </c>
      <c r="Z53" s="53"/>
      <c r="AA53" s="52"/>
      <c r="AB53" s="55">
        <f>[1]Data6!C$28</f>
        <v>332.9</v>
      </c>
      <c r="AC53" s="53"/>
      <c r="AD53" s="52"/>
      <c r="AE53" s="55">
        <f>[1]Data6!D$28</f>
        <v>4.8</v>
      </c>
      <c r="AF53" s="53"/>
      <c r="AG53" s="52"/>
      <c r="AH53" s="55"/>
      <c r="AI53" s="53"/>
      <c r="AJ53" s="52"/>
      <c r="AK53" s="55">
        <f>[1]Data6!G$28</f>
        <v>62.7</v>
      </c>
      <c r="AL53" s="35"/>
    </row>
    <row r="54" spans="1:38" x14ac:dyDescent="0.35">
      <c r="A54" s="301" t="s">
        <v>131</v>
      </c>
      <c r="B54" s="295"/>
      <c r="C54" s="55">
        <f t="shared" si="19"/>
        <v>4586.9890945468296</v>
      </c>
      <c r="D54" s="1727"/>
      <c r="E54" s="718"/>
      <c r="F54" s="55">
        <f t="shared" si="20"/>
        <v>671.87262590402793</v>
      </c>
      <c r="G54" s="1727"/>
      <c r="H54" s="718"/>
      <c r="I54" s="55">
        <f t="shared" si="21"/>
        <v>23.068588013872208</v>
      </c>
      <c r="J54" s="1727"/>
      <c r="K54" s="718"/>
      <c r="L54" s="55">
        <f t="shared" si="22"/>
        <v>160.92558273138735</v>
      </c>
      <c r="M54" s="1727"/>
      <c r="N54" s="1732"/>
      <c r="O54" s="55"/>
      <c r="P54" s="1737"/>
      <c r="W54" s="31" t="s">
        <v>131</v>
      </c>
      <c r="X54" s="24"/>
      <c r="Y54" s="55">
        <f>[1]Data6!B$31</f>
        <v>4135.8999999999996</v>
      </c>
      <c r="Z54" s="53"/>
      <c r="AA54" s="52"/>
      <c r="AB54" s="55">
        <f>[1]Data6!C$31</f>
        <v>605.79999999999995</v>
      </c>
      <c r="AC54" s="53"/>
      <c r="AD54" s="52"/>
      <c r="AE54" s="55">
        <f>[1]Data6!D$31</f>
        <v>20.8</v>
      </c>
      <c r="AF54" s="53"/>
      <c r="AG54" s="52"/>
      <c r="AH54" s="55">
        <f>[1]Data6!E$31</f>
        <v>145.1</v>
      </c>
      <c r="AI54" s="53"/>
      <c r="AJ54" s="52"/>
      <c r="AK54" s="55"/>
      <c r="AL54" s="35"/>
    </row>
    <row r="55" spans="1:38" x14ac:dyDescent="0.35">
      <c r="A55" s="301" t="s">
        <v>124</v>
      </c>
      <c r="B55" s="295">
        <f>C55-D55</f>
        <v>-3621.8792248510799</v>
      </c>
      <c r="C55" s="55">
        <f t="shared" si="19"/>
        <v>5554.538911051739</v>
      </c>
      <c r="D55" s="1728">
        <f>Z55/$Z$64</f>
        <v>9176.4181359028189</v>
      </c>
      <c r="E55" s="718">
        <f>F55-G55</f>
        <v>-56.118776610669897</v>
      </c>
      <c r="F55" s="55">
        <f t="shared" si="20"/>
        <v>618.19379610251769</v>
      </c>
      <c r="G55" s="1728">
        <f>AC55/$Z$64</f>
        <v>674.31257271318759</v>
      </c>
      <c r="H55" s="718">
        <f>I55-J55</f>
        <v>-15.194214220675448</v>
      </c>
      <c r="I55" s="55">
        <f t="shared" si="21"/>
        <v>35.822855425388084</v>
      </c>
      <c r="J55" s="1728">
        <f>AF55/$Z$64</f>
        <v>51.017069646063533</v>
      </c>
      <c r="K55" s="718">
        <f>L55-M55</f>
        <v>196.859344829919</v>
      </c>
      <c r="L55" s="55">
        <f t="shared" si="22"/>
        <v>895.57138563470221</v>
      </c>
      <c r="M55" s="1728">
        <f>AI55/$Z$64</f>
        <v>698.71204080478321</v>
      </c>
      <c r="N55" s="718">
        <f>O55-P55</f>
        <v>-659.00745181936691</v>
      </c>
      <c r="O55" s="55">
        <f t="shared" si="23"/>
        <v>8766.9506986565884</v>
      </c>
      <c r="P55" s="1736">
        <f>AL55/$Z$64</f>
        <v>9425.9581504759553</v>
      </c>
      <c r="W55" s="31" t="s">
        <v>124</v>
      </c>
      <c r="X55" s="24">
        <f>Z55-Y55</f>
        <v>3265.7</v>
      </c>
      <c r="Y55" s="55">
        <f>[1]Data6!B$22</f>
        <v>5008.3</v>
      </c>
      <c r="Z55" s="55">
        <f>[1]PersoCost!$B$13</f>
        <v>8274</v>
      </c>
      <c r="AA55" s="24">
        <f>AC55-AB55</f>
        <v>50.600000000000023</v>
      </c>
      <c r="AB55" s="55">
        <f>[1]Data6!C$22</f>
        <v>557.4</v>
      </c>
      <c r="AC55" s="55">
        <f>[1]PersoCost!$C$13</f>
        <v>608</v>
      </c>
      <c r="AD55" s="24">
        <f>AF55-AE55</f>
        <v>13.700000000000003</v>
      </c>
      <c r="AE55" s="55">
        <f>[1]Data6!D$22</f>
        <v>32.299999999999997</v>
      </c>
      <c r="AF55" s="55">
        <f>[1]PersoCost!$D$13</f>
        <v>46</v>
      </c>
      <c r="AG55" s="24">
        <f>AI55-AH55</f>
        <v>-177.5</v>
      </c>
      <c r="AH55" s="55">
        <f>[1]Data6!E$22</f>
        <v>807.5</v>
      </c>
      <c r="AI55" s="55">
        <f>[1]PersoCost!$E$13</f>
        <v>630</v>
      </c>
      <c r="AJ55" s="24">
        <f>AL55-AK55</f>
        <v>594.19999999999982</v>
      </c>
      <c r="AK55" s="55">
        <f>[1]Data6!G$22</f>
        <v>7904.8</v>
      </c>
      <c r="AL55" s="35">
        <f>[1]PersoCost!$F$13</f>
        <v>8499</v>
      </c>
    </row>
    <row r="56" spans="1:38" x14ac:dyDescent="0.35">
      <c r="A56" s="301" t="s">
        <v>123</v>
      </c>
      <c r="B56" s="295"/>
      <c r="C56" s="65">
        <f t="shared" si="19"/>
        <v>3513.4124985166236</v>
      </c>
      <c r="D56" s="1728"/>
      <c r="E56" s="718"/>
      <c r="F56" s="65">
        <f t="shared" si="20"/>
        <v>484.77306831074725</v>
      </c>
      <c r="G56" s="1728"/>
      <c r="H56" s="718"/>
      <c r="I56" s="65">
        <f t="shared" si="21"/>
        <v>72.311150889637887</v>
      </c>
      <c r="J56" s="1728"/>
      <c r="K56" s="718"/>
      <c r="L56" s="65">
        <f t="shared" si="22"/>
        <v>910.43287983594689</v>
      </c>
      <c r="M56" s="1728"/>
      <c r="N56" s="718"/>
      <c r="O56" s="8">
        <f t="shared" si="23"/>
        <v>7741.9512254632855</v>
      </c>
      <c r="P56" s="1736"/>
      <c r="W56" s="31" t="s">
        <v>123</v>
      </c>
      <c r="X56" s="24"/>
      <c r="Y56" s="8">
        <f>[1]Data6!B$17</f>
        <v>3167.9</v>
      </c>
      <c r="Z56" s="8"/>
      <c r="AA56" s="24"/>
      <c r="AB56" s="8">
        <f>[1]Data6!C$17</f>
        <v>437.1</v>
      </c>
      <c r="AC56" s="8"/>
      <c r="AD56" s="24"/>
      <c r="AE56" s="8">
        <f>[1]Data6!D$17</f>
        <v>65.2</v>
      </c>
      <c r="AF56" s="8"/>
      <c r="AG56" s="24"/>
      <c r="AH56" s="8">
        <f>[1]Data6!E$17</f>
        <v>820.9</v>
      </c>
      <c r="AI56" s="8"/>
      <c r="AJ56" s="24"/>
      <c r="AK56" s="8">
        <f>[1]Data6!G$17</f>
        <v>6980.6</v>
      </c>
      <c r="AL56" s="35"/>
    </row>
    <row r="57" spans="1:38" x14ac:dyDescent="0.35">
      <c r="A57" s="301" t="s">
        <v>126</v>
      </c>
      <c r="B57" s="295"/>
      <c r="C57" s="65">
        <f t="shared" si="19"/>
        <v>1253.3563131960086</v>
      </c>
      <c r="D57" s="1728"/>
      <c r="E57" s="718"/>
      <c r="F57" s="65">
        <f t="shared" si="20"/>
        <v>214.04987916717963</v>
      </c>
      <c r="G57" s="1728"/>
      <c r="H57" s="718"/>
      <c r="I57" s="65"/>
      <c r="J57" s="1728"/>
      <c r="K57" s="718"/>
      <c r="L57" s="65">
        <f t="shared" si="22"/>
        <v>81.072778067983563</v>
      </c>
      <c r="M57" s="1728"/>
      <c r="N57" s="718"/>
      <c r="O57" s="8">
        <f t="shared" si="23"/>
        <v>1976.0241953998132</v>
      </c>
      <c r="P57" s="1736"/>
      <c r="W57" s="31" t="s">
        <v>126</v>
      </c>
      <c r="X57" s="24"/>
      <c r="Y57" s="8">
        <f>[1]Data6!B$39</f>
        <v>1130.0999999999999</v>
      </c>
      <c r="Z57" s="8"/>
      <c r="AA57" s="24"/>
      <c r="AB57" s="8">
        <f>[1]Data6!C$39</f>
        <v>193</v>
      </c>
      <c r="AC57" s="8"/>
      <c r="AD57" s="24"/>
      <c r="AE57" s="8"/>
      <c r="AF57" s="8"/>
      <c r="AG57" s="24"/>
      <c r="AH57" s="8">
        <f>[1]Data6!E$39</f>
        <v>73.099999999999994</v>
      </c>
      <c r="AI57" s="8"/>
      <c r="AJ57" s="24"/>
      <c r="AK57" s="8">
        <f>[1]Data6!G$39</f>
        <v>1781.7</v>
      </c>
      <c r="AL57" s="35"/>
    </row>
    <row r="58" spans="1:38" x14ac:dyDescent="0.35">
      <c r="A58" s="301" t="s">
        <v>127</v>
      </c>
      <c r="B58" s="295"/>
      <c r="C58" s="65">
        <f t="shared" si="19"/>
        <v>2461.684517095709</v>
      </c>
      <c r="D58" s="1728"/>
      <c r="E58" s="718"/>
      <c r="F58" s="65">
        <f t="shared" si="20"/>
        <v>3599.6978902223568</v>
      </c>
      <c r="G58" s="1728"/>
      <c r="H58" s="718"/>
      <c r="I58" s="65">
        <f t="shared" si="21"/>
        <v>48.577122836903975</v>
      </c>
      <c r="J58" s="1728"/>
      <c r="K58" s="718"/>
      <c r="L58" s="65">
        <f t="shared" si="22"/>
        <v>407.58202380279022</v>
      </c>
      <c r="M58" s="1728"/>
      <c r="N58" s="718"/>
      <c r="O58" s="8">
        <f t="shared" si="23"/>
        <v>5354.0196460080806</v>
      </c>
      <c r="P58" s="1736"/>
      <c r="W58" s="31" t="s">
        <v>127</v>
      </c>
      <c r="X58" s="24"/>
      <c r="Y58" s="8">
        <f>[1]Data6!B$40</f>
        <v>2219.6</v>
      </c>
      <c r="Z58" s="8"/>
      <c r="AA58" s="24"/>
      <c r="AB58" s="8">
        <f>[1]Data6!C$40</f>
        <v>3245.7</v>
      </c>
      <c r="AC58" s="8"/>
      <c r="AD58" s="24"/>
      <c r="AE58" s="8">
        <f>[1]Data6!D$40</f>
        <v>43.8</v>
      </c>
      <c r="AF58" s="8"/>
      <c r="AG58" s="24"/>
      <c r="AH58" s="8">
        <f>[1]Data6!E$40</f>
        <v>367.5</v>
      </c>
      <c r="AI58" s="8"/>
      <c r="AJ58" s="24"/>
      <c r="AK58" s="8">
        <f>[1]Data6!G$40</f>
        <v>4827.5</v>
      </c>
      <c r="AL58" s="35"/>
    </row>
    <row r="59" spans="1:38" x14ac:dyDescent="0.35">
      <c r="A59" s="1738" t="s">
        <v>129</v>
      </c>
      <c r="B59" s="295"/>
      <c r="C59" s="65">
        <f t="shared" si="19"/>
        <v>1391.8787479523855</v>
      </c>
      <c r="D59" s="1728"/>
      <c r="E59" s="718"/>
      <c r="F59" s="65">
        <f t="shared" si="20"/>
        <v>465.69712053004577</v>
      </c>
      <c r="G59" s="1728"/>
      <c r="H59" s="718"/>
      <c r="I59" s="65">
        <f t="shared" si="21"/>
        <v>93.383418786924977</v>
      </c>
      <c r="J59" s="1728"/>
      <c r="K59" s="718"/>
      <c r="L59" s="65">
        <f t="shared" si="22"/>
        <v>356.56495415672669</v>
      </c>
      <c r="M59" s="1728"/>
      <c r="N59" s="718"/>
      <c r="O59" s="8">
        <f t="shared" si="23"/>
        <v>3299.4735260225875</v>
      </c>
      <c r="P59" s="1736"/>
      <c r="W59" s="56" t="s">
        <v>129</v>
      </c>
      <c r="X59" s="24"/>
      <c r="Y59" s="8">
        <f>Y50-SUM(Y51:Y58)</f>
        <v>1255</v>
      </c>
      <c r="Z59" s="8"/>
      <c r="AA59" s="24"/>
      <c r="AB59" s="8">
        <f>AB50-SUM(AB51:AB58)</f>
        <v>419.90000000000055</v>
      </c>
      <c r="AC59" s="8"/>
      <c r="AD59" s="24"/>
      <c r="AE59" s="8">
        <f>AE50-SUM(AE51:AE58)</f>
        <v>84.199999999999989</v>
      </c>
      <c r="AF59" s="8"/>
      <c r="AG59" s="24"/>
      <c r="AH59" s="8">
        <f>AH50-SUM(AH51:AH58)</f>
        <v>321.5</v>
      </c>
      <c r="AI59" s="8"/>
      <c r="AJ59" s="24"/>
      <c r="AK59" s="8">
        <f>AK50-SUM(AK51:AK58)</f>
        <v>2975</v>
      </c>
      <c r="AL59" s="35"/>
    </row>
    <row r="60" spans="1:38" ht="16" thickBot="1" x14ac:dyDescent="0.4">
      <c r="A60" s="1740" t="s">
        <v>132</v>
      </c>
      <c r="B60" s="1749">
        <f>C60-D60</f>
        <v>-2124.033561468359</v>
      </c>
      <c r="C60" s="1742">
        <f t="shared" si="19"/>
        <v>8878.966438531641</v>
      </c>
      <c r="D60" s="1743">
        <f>TableA10!$C$14</f>
        <v>11003</v>
      </c>
      <c r="E60" s="1741">
        <f>F60-G60</f>
        <v>-4064.5469473492749</v>
      </c>
      <c r="F60" s="1742">
        <f t="shared" si="20"/>
        <v>5239.4530526507251</v>
      </c>
      <c r="G60" s="1743">
        <f>TableA10!$C$23</f>
        <v>9304</v>
      </c>
      <c r="H60" s="1741"/>
      <c r="I60" s="1742">
        <f t="shared" si="21"/>
        <v>45.693549335169955</v>
      </c>
      <c r="J60" s="1743"/>
      <c r="K60" s="1741">
        <f>L60-M60</f>
        <v>-572.84076130776702</v>
      </c>
      <c r="L60" s="1742">
        <f t="shared" si="22"/>
        <v>1119.159238692233</v>
      </c>
      <c r="M60" s="1743">
        <f>TableA10!$C$25</f>
        <v>1692</v>
      </c>
      <c r="N60" s="1741">
        <f>O60-P60</f>
        <v>-2689.6768212816587</v>
      </c>
      <c r="O60" s="1744">
        <f t="shared" si="23"/>
        <v>15617.323178718341</v>
      </c>
      <c r="P60" s="1745">
        <f>TableA10!$C$26</f>
        <v>18307</v>
      </c>
      <c r="W60" s="57" t="s">
        <v>132</v>
      </c>
      <c r="X60" s="25"/>
      <c r="Y60" s="19">
        <f>[1]Data6!B$129</f>
        <v>8005.8</v>
      </c>
      <c r="Z60" s="19"/>
      <c r="AA60" s="25"/>
      <c r="AB60" s="19">
        <f>[1]Data6!C$129</f>
        <v>4724.2</v>
      </c>
      <c r="AC60" s="19"/>
      <c r="AD60" s="25"/>
      <c r="AE60" s="19">
        <f>[1]Data6!D$129</f>
        <v>41.2</v>
      </c>
      <c r="AF60" s="19"/>
      <c r="AG60" s="25"/>
      <c r="AH60" s="19">
        <f>[1]Data6!E$129</f>
        <v>1009.1</v>
      </c>
      <c r="AI60" s="19"/>
      <c r="AJ60" s="25"/>
      <c r="AK60" s="19">
        <f>[1]Data6!G$129</f>
        <v>14081.5</v>
      </c>
      <c r="AL60" s="36"/>
    </row>
    <row r="61" spans="1:38" x14ac:dyDescent="0.35">
      <c r="O61" s="7"/>
      <c r="P61" s="7"/>
      <c r="AK61" s="7"/>
      <c r="AL61" s="7"/>
    </row>
    <row r="62" spans="1:38" s="2" customFormat="1" x14ac:dyDescent="0.35">
      <c r="B62" s="1"/>
      <c r="C62" s="1"/>
      <c r="D62" s="1"/>
      <c r="E62" s="1"/>
      <c r="F62" s="1"/>
      <c r="G62" s="1"/>
      <c r="H62" s="1"/>
      <c r="I62" s="1"/>
      <c r="J62" s="1"/>
      <c r="K62" s="1"/>
      <c r="L62" s="1"/>
      <c r="M62" s="1"/>
      <c r="N62" s="1"/>
      <c r="O62" s="1"/>
      <c r="P62" s="1"/>
      <c r="X62" s="1"/>
      <c r="Y62" s="1"/>
      <c r="Z62" s="1"/>
      <c r="AA62" s="1"/>
      <c r="AB62" s="1"/>
      <c r="AC62" s="1"/>
      <c r="AD62" s="1"/>
      <c r="AE62" s="1"/>
      <c r="AF62" s="1"/>
      <c r="AG62" s="1"/>
      <c r="AH62" s="1"/>
      <c r="AI62" s="1"/>
      <c r="AJ62" s="1"/>
      <c r="AK62" s="1"/>
      <c r="AL62" s="1"/>
    </row>
    <row r="63" spans="1:38" s="2" customFormat="1" x14ac:dyDescent="0.35">
      <c r="W63" s="1"/>
      <c r="X63" s="1"/>
      <c r="Y63" s="1"/>
      <c r="Z63" s="1"/>
      <c r="AA63" s="1"/>
      <c r="AB63" s="1"/>
      <c r="AC63" s="1"/>
      <c r="AD63" s="1"/>
      <c r="AE63" s="1"/>
      <c r="AF63" s="1"/>
      <c r="AG63" s="1"/>
      <c r="AH63" s="1"/>
      <c r="AI63" s="1"/>
      <c r="AJ63" s="1"/>
      <c r="AK63" s="1"/>
      <c r="AL63" s="1"/>
    </row>
    <row r="64" spans="1:38" s="2" customFormat="1" x14ac:dyDescent="0.35">
      <c r="W64" s="1"/>
      <c r="X64" s="27" t="s">
        <v>122</v>
      </c>
      <c r="Y64" s="1"/>
      <c r="Z64" s="1">
        <v>0.90165899999999999</v>
      </c>
      <c r="AA64" s="1"/>
      <c r="AB64" s="1"/>
      <c r="AC64" s="1"/>
      <c r="AD64" s="1"/>
      <c r="AE64" s="1"/>
      <c r="AF64" s="1"/>
      <c r="AG64" s="1"/>
      <c r="AH64" s="1"/>
      <c r="AI64" s="1"/>
      <c r="AJ64" s="1"/>
      <c r="AK64" s="1"/>
      <c r="AL64" s="1"/>
    </row>
    <row r="65" spans="23:38" s="2" customFormat="1" x14ac:dyDescent="0.35">
      <c r="W65" s="1"/>
      <c r="X65" s="1"/>
      <c r="Y65" s="1"/>
      <c r="Z65" s="1"/>
      <c r="AA65" s="1"/>
      <c r="AB65" s="1"/>
      <c r="AC65" s="1"/>
      <c r="AD65" s="1"/>
      <c r="AE65" s="1"/>
      <c r="AF65" s="1"/>
      <c r="AG65" s="1"/>
      <c r="AH65" s="1"/>
      <c r="AI65" s="1"/>
      <c r="AJ65" s="1"/>
      <c r="AK65" s="1"/>
      <c r="AL65" s="1"/>
    </row>
    <row r="66" spans="23:38" s="2" customFormat="1" x14ac:dyDescent="0.35">
      <c r="W66" s="27" t="s">
        <v>137</v>
      </c>
      <c r="X66" s="1"/>
      <c r="Y66" s="1">
        <f>(Y60+Y50)/Y49</f>
        <v>0.84997785337995113</v>
      </c>
      <c r="Z66" s="1"/>
      <c r="AA66" s="1"/>
      <c r="AB66" s="1">
        <f>(AB60+AB50)/AB49</f>
        <v>0.85360891328919741</v>
      </c>
      <c r="AC66" s="1"/>
      <c r="AD66" s="1"/>
      <c r="AE66" s="1">
        <f>(AE60+AE50)/AE49</f>
        <v>0.61770664505672601</v>
      </c>
      <c r="AF66" s="1"/>
      <c r="AG66" s="1"/>
      <c r="AH66" s="1">
        <f>(AH60+AH50)/AH49</f>
        <v>0.81900263662057327</v>
      </c>
      <c r="AI66" s="1"/>
      <c r="AJ66" s="1"/>
      <c r="AK66" s="1">
        <f>(AK60+AK50)/AK49</f>
        <v>0.81081203991687611</v>
      </c>
      <c r="AL66" s="1"/>
    </row>
    <row r="68" spans="23:38" s="2" customFormat="1" x14ac:dyDescent="0.35">
      <c r="W68" s="1"/>
      <c r="X68" s="1"/>
      <c r="Y68" s="1"/>
      <c r="Z68" s="1"/>
      <c r="AA68" s="1"/>
      <c r="AB68" s="1"/>
      <c r="AC68" s="1"/>
      <c r="AD68" s="1"/>
      <c r="AE68" s="1"/>
      <c r="AF68" s="1"/>
      <c r="AG68" s="1"/>
      <c r="AH68" s="1"/>
      <c r="AI68" s="1"/>
      <c r="AJ68" s="1"/>
      <c r="AK68" s="1"/>
      <c r="AL68" s="1"/>
    </row>
  </sheetData>
  <mergeCells count="52">
    <mergeCell ref="W3:AL3"/>
    <mergeCell ref="X7:X8"/>
    <mergeCell ref="Y7:Y8"/>
    <mergeCell ref="Z7:Z8"/>
    <mergeCell ref="AC7:AC8"/>
    <mergeCell ref="AG6:AI6"/>
    <mergeCell ref="AG7:AG8"/>
    <mergeCell ref="AH7:AH8"/>
    <mergeCell ref="AI7:AI8"/>
    <mergeCell ref="AJ6:AL6"/>
    <mergeCell ref="AK7:AK8"/>
    <mergeCell ref="AL7:AL8"/>
    <mergeCell ref="X6:Z6"/>
    <mergeCell ref="AA6:AC6"/>
    <mergeCell ref="AD6:AF6"/>
    <mergeCell ref="AF7:AF8"/>
    <mergeCell ref="X35:AL35"/>
    <mergeCell ref="X48:AL48"/>
    <mergeCell ref="X9:AL9"/>
    <mergeCell ref="X22:AL22"/>
    <mergeCell ref="AJ7:AJ8"/>
    <mergeCell ref="W7:W8"/>
    <mergeCell ref="AA7:AA8"/>
    <mergeCell ref="AB7:AB8"/>
    <mergeCell ref="AD7:AD8"/>
    <mergeCell ref="AE7:AE8"/>
    <mergeCell ref="A3:P3"/>
    <mergeCell ref="B6:D6"/>
    <mergeCell ref="E6:G6"/>
    <mergeCell ref="H6:J6"/>
    <mergeCell ref="K6:M6"/>
    <mergeCell ref="N6:P6"/>
    <mergeCell ref="A7:A8"/>
    <mergeCell ref="B7:B8"/>
    <mergeCell ref="C7:C8"/>
    <mergeCell ref="D7:D8"/>
    <mergeCell ref="E7:E8"/>
    <mergeCell ref="B9:P9"/>
    <mergeCell ref="B22:P22"/>
    <mergeCell ref="B35:P35"/>
    <mergeCell ref="B48:P48"/>
    <mergeCell ref="L7:L8"/>
    <mergeCell ref="F7:F8"/>
    <mergeCell ref="G7:G8"/>
    <mergeCell ref="H7:H8"/>
    <mergeCell ref="I7:I8"/>
    <mergeCell ref="J7:J8"/>
    <mergeCell ref="K7:K8"/>
    <mergeCell ref="M7:M8"/>
    <mergeCell ref="N7:N8"/>
    <mergeCell ref="O7:O8"/>
    <mergeCell ref="P7:P8"/>
  </mergeCells>
  <phoneticPr fontId="62" type="noConversion"/>
  <pageMargins left="0.75" right="0.75" top="1" bottom="1" header="0.5" footer="0.5"/>
  <pageSetup scale="20" fitToHeight="0" orientation="portrait" horizontalDpi="4294967292" verticalDpi="4294967292"/>
  <ignoredErrors>
    <ignoredError sqref="E16:E19 K12:K21 H16:H17 H19 E29:E32 H29:H30 H32 K29:K32 N26:N32 E55 H55 N55 K55" formula="1"/>
    <ignoredError sqref="N14:N15 N20" emptyCellReference="1"/>
    <ignoredError sqref="N16:N19 N12:N13" formula="1" emptyCellReference="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T100"/>
  <sheetViews>
    <sheetView zoomScale="80" zoomScaleNormal="80" zoomScalePageLayoutView="125" workbookViewId="0">
      <pane xSplit="1" ySplit="8" topLeftCell="B36" activePane="bottomRight" state="frozen"/>
      <selection activeCell="AR8" sqref="AR8"/>
      <selection pane="topRight" activeCell="AR8" sqref="AR8"/>
      <selection pane="bottomLeft" activeCell="AR8" sqref="AR8"/>
      <selection pane="bottomRight" activeCell="O20" sqref="O20"/>
    </sheetView>
  </sheetViews>
  <sheetFormatPr baseColWidth="10" defaultColWidth="10.81640625" defaultRowHeight="15.5" x14ac:dyDescent="0.35"/>
  <cols>
    <col min="1" max="1" width="19" style="1" customWidth="1"/>
    <col min="2" max="6" width="10.81640625" style="1" customWidth="1"/>
    <col min="7" max="18" width="11.36328125" style="1" customWidth="1"/>
    <col min="19" max="19" width="10.81640625" style="1"/>
    <col min="20" max="20" width="11.6328125" style="1" bestFit="1" customWidth="1"/>
    <col min="21" max="16384" width="10.81640625" style="1"/>
  </cols>
  <sheetData>
    <row r="1" spans="1:20" ht="16" thickBot="1" x14ac:dyDescent="0.4"/>
    <row r="2" spans="1:20" ht="32.25" customHeight="1" thickTop="1" x14ac:dyDescent="0.35">
      <c r="A2" s="2048" t="s">
        <v>164</v>
      </c>
      <c r="B2" s="2049"/>
      <c r="C2" s="2049"/>
      <c r="D2" s="2049"/>
      <c r="E2" s="2049"/>
      <c r="F2" s="2049"/>
      <c r="G2" s="2049"/>
      <c r="H2" s="2049"/>
      <c r="I2" s="2049"/>
      <c r="J2" s="2049"/>
      <c r="K2" s="2049"/>
      <c r="L2" s="2049"/>
      <c r="M2" s="2049"/>
      <c r="N2" s="2049"/>
      <c r="O2" s="2050"/>
      <c r="P2" s="111"/>
      <c r="Q2" s="111"/>
      <c r="R2" s="111"/>
    </row>
    <row r="3" spans="1:20" ht="12" customHeight="1" x14ac:dyDescent="0.35">
      <c r="A3" s="11"/>
      <c r="B3" s="629"/>
      <c r="C3" s="629"/>
      <c r="D3" s="629"/>
      <c r="E3" s="629"/>
      <c r="F3" s="629"/>
      <c r="G3" s="629"/>
      <c r="H3" s="629"/>
      <c r="I3" s="629"/>
      <c r="J3" s="629"/>
      <c r="K3" s="629"/>
      <c r="L3" s="629"/>
      <c r="M3" s="629"/>
      <c r="N3" s="629"/>
      <c r="O3" s="12"/>
      <c r="P3" s="111"/>
      <c r="Q3" s="111"/>
      <c r="R3" s="111"/>
    </row>
    <row r="4" spans="1:20" x14ac:dyDescent="0.35">
      <c r="A4" s="13"/>
      <c r="B4" s="10" t="s">
        <v>20</v>
      </c>
      <c r="C4" s="10" t="s">
        <v>21</v>
      </c>
      <c r="D4" s="10" t="s">
        <v>22</v>
      </c>
      <c r="E4" s="10" t="s">
        <v>23</v>
      </c>
      <c r="F4" s="10" t="s">
        <v>24</v>
      </c>
      <c r="G4" s="10" t="s">
        <v>25</v>
      </c>
      <c r="H4" s="10" t="s">
        <v>26</v>
      </c>
      <c r="I4" s="10" t="s">
        <v>33</v>
      </c>
      <c r="J4" s="10" t="s">
        <v>34</v>
      </c>
      <c r="K4" s="10" t="s">
        <v>37</v>
      </c>
      <c r="L4" s="10" t="s">
        <v>105</v>
      </c>
      <c r="M4" s="10" t="s">
        <v>138</v>
      </c>
      <c r="N4" s="10" t="s">
        <v>139</v>
      </c>
      <c r="O4" s="14" t="s">
        <v>140</v>
      </c>
      <c r="P4" s="10"/>
      <c r="Q4" s="10"/>
      <c r="R4" s="10"/>
    </row>
    <row r="5" spans="1:20" ht="21" customHeight="1" x14ac:dyDescent="0.35">
      <c r="A5" s="13"/>
      <c r="B5" s="2189" t="s">
        <v>52</v>
      </c>
      <c r="C5" s="2190"/>
      <c r="D5" s="2190"/>
      <c r="E5" s="2190"/>
      <c r="F5" s="2190"/>
      <c r="G5" s="2190"/>
      <c r="H5" s="2190"/>
      <c r="I5" s="2190"/>
      <c r="J5" s="2190"/>
      <c r="K5" s="2190"/>
      <c r="L5" s="2190"/>
      <c r="M5" s="2190"/>
      <c r="N5" s="2190"/>
      <c r="O5" s="2227" t="s">
        <v>232</v>
      </c>
      <c r="P5" s="93"/>
      <c r="Q5" s="93"/>
      <c r="R5" s="93"/>
    </row>
    <row r="6" spans="1:20" ht="21" customHeight="1" x14ac:dyDescent="0.35">
      <c r="A6" s="13"/>
      <c r="B6" s="2230" t="s">
        <v>173</v>
      </c>
      <c r="C6" s="2231"/>
      <c r="D6" s="2231"/>
      <c r="E6" s="2231"/>
      <c r="F6" s="2231"/>
      <c r="G6" s="2231"/>
      <c r="H6" s="2231"/>
      <c r="I6" s="2231"/>
      <c r="J6" s="2231"/>
      <c r="K6" s="2231"/>
      <c r="L6" s="2230" t="s">
        <v>175</v>
      </c>
      <c r="M6" s="2231"/>
      <c r="N6" s="2232"/>
      <c r="O6" s="2228"/>
      <c r="P6" s="93"/>
      <c r="Q6" s="93"/>
      <c r="R6" s="93"/>
    </row>
    <row r="7" spans="1:20" ht="85" customHeight="1" x14ac:dyDescent="0.35">
      <c r="A7" s="13"/>
      <c r="B7" s="2221" t="s">
        <v>171</v>
      </c>
      <c r="C7" s="666" t="s">
        <v>169</v>
      </c>
      <c r="D7" s="666" t="s">
        <v>170</v>
      </c>
      <c r="E7" s="2233" t="s">
        <v>233</v>
      </c>
      <c r="F7" s="105" t="s">
        <v>165</v>
      </c>
      <c r="G7" s="2178" t="s">
        <v>172</v>
      </c>
      <c r="H7" s="713" t="s">
        <v>169</v>
      </c>
      <c r="I7" s="714" t="s">
        <v>170</v>
      </c>
      <c r="J7" s="2175" t="s">
        <v>234</v>
      </c>
      <c r="K7" s="105" t="s">
        <v>165</v>
      </c>
      <c r="L7" s="2182" t="s">
        <v>174</v>
      </c>
      <c r="M7" s="1750" t="s">
        <v>13</v>
      </c>
      <c r="N7" s="1751" t="s">
        <v>43</v>
      </c>
      <c r="O7" s="2228"/>
      <c r="P7" s="105"/>
      <c r="Q7" s="105"/>
      <c r="R7" s="105"/>
      <c r="T7" s="27"/>
    </row>
    <row r="8" spans="1:20" ht="33" customHeight="1" x14ac:dyDescent="0.35">
      <c r="A8" s="13"/>
      <c r="B8" s="2174"/>
      <c r="C8" s="627"/>
      <c r="D8" s="627"/>
      <c r="E8" s="2234"/>
      <c r="F8" s="630"/>
      <c r="G8" s="2178"/>
      <c r="H8" s="624"/>
      <c r="I8" s="715"/>
      <c r="J8" s="2137"/>
      <c r="K8" s="630"/>
      <c r="L8" s="2135"/>
      <c r="M8" s="293"/>
      <c r="N8" s="1752"/>
      <c r="O8" s="2229"/>
      <c r="P8" s="109"/>
      <c r="Q8" s="109"/>
      <c r="R8" s="109"/>
    </row>
    <row r="9" spans="1:20" ht="40" customHeight="1" x14ac:dyDescent="0.35">
      <c r="A9" s="39" t="s">
        <v>98</v>
      </c>
      <c r="B9" s="268"/>
      <c r="C9" s="163"/>
      <c r="D9" s="163"/>
      <c r="E9" s="163"/>
      <c r="F9" s="163"/>
      <c r="G9" s="626"/>
      <c r="H9" s="716"/>
      <c r="I9" s="717"/>
      <c r="J9" s="628"/>
      <c r="K9" s="628"/>
      <c r="L9" s="625"/>
      <c r="M9" s="627"/>
      <c r="N9" s="627"/>
      <c r="O9" s="722"/>
      <c r="P9" s="110"/>
      <c r="Q9" s="110"/>
      <c r="R9" s="110"/>
    </row>
    <row r="10" spans="1:20" x14ac:dyDescent="0.35">
      <c r="A10" s="95" t="s">
        <v>54</v>
      </c>
      <c r="B10" s="723">
        <f>TableA2!C10</f>
        <v>496.98457655004552</v>
      </c>
      <c r="C10" s="112">
        <f>TableA2b!C10</f>
        <v>468.67008658723302</v>
      </c>
      <c r="D10" s="112">
        <f>B10-C10</f>
        <v>28.314489962812502</v>
      </c>
      <c r="E10" s="112"/>
      <c r="F10" s="112"/>
      <c r="G10" s="663">
        <f>TableA2!D10+TableA2!G10</f>
        <v>277.073676460645</v>
      </c>
      <c r="H10" s="718">
        <f>(VLOOKUP(TableA9!A10,[1]OECDTable14a!$A$15:$XO$51,146,0))/VLOOKUP($A10,[1]FX!$B$2:$D$54,3,0)/1000</f>
        <v>203.394210759603</v>
      </c>
      <c r="I10" s="719"/>
      <c r="J10" s="8"/>
      <c r="K10" s="55"/>
      <c r="L10" s="724"/>
      <c r="M10" s="55"/>
      <c r="N10" s="55"/>
      <c r="O10" s="725"/>
      <c r="P10" s="101"/>
      <c r="Q10" s="101"/>
      <c r="R10" s="55"/>
    </row>
    <row r="11" spans="1:20" x14ac:dyDescent="0.35">
      <c r="A11" s="95" t="s">
        <v>55</v>
      </c>
      <c r="B11" s="723">
        <f>TableA2!C11</f>
        <v>124.3274896607254</v>
      </c>
      <c r="C11" s="112">
        <f>TableA2b!C11</f>
        <v>114.85727974766515</v>
      </c>
      <c r="D11" s="112">
        <f t="shared" ref="D11:D44" si="0">B11-C11</f>
        <v>9.4702099130602591</v>
      </c>
      <c r="E11" s="112">
        <f>+VLOOKUP($A11,[1]Data11!$A$12:$I$43,9,0)/$B$100/1000</f>
        <v>122.41080053545743</v>
      </c>
      <c r="F11" s="112">
        <f>B11-E11</f>
        <v>1.916689125267979</v>
      </c>
      <c r="G11" s="663">
        <f>TableA2!D11+TableA2!G11</f>
        <v>92.509474202553292</v>
      </c>
      <c r="H11" s="718">
        <f>(VLOOKUP(TableA9!A11,[1]OECDTable14a!$A$15:$XO$51,146,0))/VLOOKUP($A11,[1]FX!$B$2:$D$54,3,0)/1000</f>
        <v>88.571289145896628</v>
      </c>
      <c r="I11" s="719">
        <f>(VLOOKUP(TableA9!A11,[1]OECDTable14a!$A$15:$XO$51,246,0))/VLOOKUP($A11,[1]FX!$B$2:$D$54,3,0)/1000</f>
        <v>3.9381850566566743</v>
      </c>
      <c r="J11" s="8">
        <f>+VLOOKUP($A11,[1]Data9!$A$12:$I$43,9,0)/$G$92/1000</f>
        <v>73.15049259198878</v>
      </c>
      <c r="K11" s="55">
        <f t="shared" ref="K11:K44" si="1">G11-J11</f>
        <v>19.358981610564513</v>
      </c>
      <c r="L11" s="724">
        <f t="shared" ref="L11:L44" si="2">M11+N11</f>
        <v>52.65571574176046</v>
      </c>
      <c r="M11" s="55">
        <f>+VLOOKUP($A11,[1]Data12!$A$12:$I$43,9,0)/$B$100/1000</f>
        <v>33.63954665788286</v>
      </c>
      <c r="N11" s="55">
        <f>+VLOOKUP($A11,[1]Data10!$A$10:$I$43,9,0)/$G$92/1000</f>
        <v>19.016169083877603</v>
      </c>
      <c r="O11" s="725">
        <f t="shared" ref="O11:O44" si="3">(E11+J11)/(C11+H11)</f>
        <v>0.96132659336441639</v>
      </c>
      <c r="P11" s="101"/>
      <c r="Q11" s="101"/>
      <c r="R11" s="55"/>
    </row>
    <row r="12" spans="1:20" x14ac:dyDescent="0.35">
      <c r="A12" s="95" t="s">
        <v>2</v>
      </c>
      <c r="B12" s="723">
        <f>TableA2!C12</f>
        <v>166.52659153848629</v>
      </c>
      <c r="C12" s="112">
        <f>TableA2b!C12</f>
        <v>154.93041160793604</v>
      </c>
      <c r="D12" s="112">
        <f t="shared" si="0"/>
        <v>11.59617993055025</v>
      </c>
      <c r="E12" s="112">
        <f>+VLOOKUP($A12,[1]Data11!$A$12:$I$43,9,0)/$B$100/1000</f>
        <v>124.09602743387467</v>
      </c>
      <c r="F12" s="112">
        <f t="shared" ref="F12:F44" si="4">B12-E12</f>
        <v>42.430564104611619</v>
      </c>
      <c r="G12" s="663">
        <f>TableA2!D12+TableA2!G12</f>
        <v>116.85759250448341</v>
      </c>
      <c r="H12" s="718">
        <f>(VLOOKUP(TableA9!A12,[1]OECDTable14a!$A$15:$XO$51,146,0))/VLOOKUP($A12,[1]FX!$B$2:$D$54,3,0)/1000</f>
        <v>106.08201104852277</v>
      </c>
      <c r="I12" s="719">
        <f>(VLOOKUP(TableA9!A12,[1]OECDTable14a!$A$15:$XO$51,246,0))/VLOOKUP($A12,[1]FX!$B$2:$D$54,3,0)/1000</f>
        <v>10.775581455960625</v>
      </c>
      <c r="J12" s="8">
        <f>+VLOOKUP($A12,[1]Data9!$A$12:$I$43,9,0)/$G$92/1000</f>
        <v>99.510236131397789</v>
      </c>
      <c r="K12" s="55">
        <f t="shared" si="1"/>
        <v>17.347356373085617</v>
      </c>
      <c r="L12" s="724">
        <f t="shared" si="2"/>
        <v>60.600737085749714</v>
      </c>
      <c r="M12" s="55">
        <f>+VLOOKUP($A12,[1]Data12!$A$12:$I$43,9,0)/$B$100/1000</f>
        <v>35.305253981826837</v>
      </c>
      <c r="N12" s="55">
        <f>+VLOOKUP($A12,[1]Data10!$A$10:$I$43,9,0)/$G$92/1000</f>
        <v>25.29548310392288</v>
      </c>
      <c r="O12" s="725">
        <f t="shared" si="3"/>
        <v>0.85668820391579659</v>
      </c>
      <c r="P12" s="101"/>
      <c r="Q12" s="101"/>
      <c r="R12" s="55"/>
    </row>
    <row r="13" spans="1:20" x14ac:dyDescent="0.35">
      <c r="A13" s="95" t="s">
        <v>56</v>
      </c>
      <c r="B13" s="723">
        <f>TableA2!C13</f>
        <v>613.39428253347273</v>
      </c>
      <c r="C13" s="112">
        <f>TableA2b!C13</f>
        <v>547.53896668271921</v>
      </c>
      <c r="D13" s="112">
        <f t="shared" si="0"/>
        <v>65.855315850753527</v>
      </c>
      <c r="E13" s="112"/>
      <c r="F13" s="112"/>
      <c r="G13" s="663">
        <f>TableA2!D13+TableA2!G13</f>
        <v>350.35939388537861</v>
      </c>
      <c r="H13" s="718">
        <f>(VLOOKUP(TableA9!A13,[1]OECDTable14a!$A$15:$XO$51,146,0))/VLOOKUP($A13,[1]FX!$B$2:$D$54,3,0)/1000</f>
        <v>313.8625812877512</v>
      </c>
      <c r="I13" s="719">
        <f>(VLOOKUP(TableA9!A13,[1]OECDTable14a!$A$15:$XO$51,246,0))/VLOOKUP($A13,[1]FX!$B$2:$D$54,3,0)/1000</f>
        <v>36.49681259762739</v>
      </c>
      <c r="J13" s="8"/>
      <c r="K13" s="55"/>
      <c r="L13" s="724"/>
      <c r="M13" s="55"/>
      <c r="N13" s="55"/>
      <c r="O13" s="725"/>
      <c r="P13" s="101"/>
      <c r="Q13" s="101"/>
      <c r="R13" s="55"/>
    </row>
    <row r="14" spans="1:20" x14ac:dyDescent="0.35">
      <c r="A14" s="95" t="s">
        <v>57</v>
      </c>
      <c r="B14" s="723">
        <f>TableA2!C14</f>
        <v>67.029473521292758</v>
      </c>
      <c r="C14" s="112">
        <f>TableA2b!C14</f>
        <v>62.198900940934621</v>
      </c>
      <c r="D14" s="112">
        <f t="shared" si="0"/>
        <v>4.8305725803581367</v>
      </c>
      <c r="E14" s="112"/>
      <c r="F14" s="112"/>
      <c r="G14" s="663">
        <f>TableA2!D14+TableA2!G14</f>
        <v>87.146207980907846</v>
      </c>
      <c r="H14" s="718">
        <f>(VLOOKUP(TableA9!A14,[1]OECDTable14a!$A$15:$XO$51,146,0))/VLOOKUP($A14,[1]FX!$B$2:$D$54,3,0)/1000</f>
        <v>81.181158452384139</v>
      </c>
      <c r="I14" s="719">
        <f>(VLOOKUP(TableA9!A14,[1]OECDTable14a!$A$15:$XO$51,246,0))/VLOOKUP($A14,[1]FX!$B$2:$D$54,3,0)/1000</f>
        <v>5.9650495285237009</v>
      </c>
      <c r="J14" s="8"/>
      <c r="K14" s="55"/>
      <c r="L14" s="724"/>
      <c r="M14" s="55"/>
      <c r="N14" s="55"/>
      <c r="O14" s="725"/>
      <c r="P14" s="101"/>
      <c r="Q14" s="101"/>
      <c r="R14" s="55"/>
    </row>
    <row r="15" spans="1:20" x14ac:dyDescent="0.35">
      <c r="A15" s="95" t="s">
        <v>58</v>
      </c>
      <c r="B15" s="723">
        <f>TableA2!C15</f>
        <v>54.009329742364955</v>
      </c>
      <c r="C15" s="112">
        <f>TableA2b!C15</f>
        <v>51.58871893897048</v>
      </c>
      <c r="D15" s="112">
        <f t="shared" si="0"/>
        <v>2.4206108033944744</v>
      </c>
      <c r="E15" s="112">
        <f>+VLOOKUP($A15,[1]Data11!$A$12:$I$43,9,0)/$B$100/1000</f>
        <v>48.70122740415168</v>
      </c>
      <c r="F15" s="112">
        <f t="shared" si="4"/>
        <v>5.3081023382132742</v>
      </c>
      <c r="G15" s="663">
        <f>TableA2!D15+TableA2!G15</f>
        <v>58.144214645053104</v>
      </c>
      <c r="H15" s="718">
        <f>(VLOOKUP(TableA9!A15,[1]OECDTable14a!$A$15:$XO$51,146,0))/VLOOKUP($A15,[1]FX!$B$2:$D$54,3,0)/1000</f>
        <v>53.875705066314346</v>
      </c>
      <c r="I15" s="719">
        <f>(VLOOKUP(TableA9!A15,[1]OECDTable14a!$A$15:$XO$51,246,0))/VLOOKUP($A15,[1]FX!$B$2:$D$54,3,0)/1000</f>
        <v>4.2685095787387572</v>
      </c>
      <c r="J15" s="8">
        <f>+VLOOKUP($A15,[1]Data9!$A$12:$I$43,9,0)/$G$92/1000</f>
        <v>51.816928572775296</v>
      </c>
      <c r="K15" s="55">
        <f t="shared" si="1"/>
        <v>6.3272860722778077</v>
      </c>
      <c r="L15" s="724">
        <f t="shared" si="2"/>
        <v>41.999137146082944</v>
      </c>
      <c r="M15" s="55">
        <f>+VLOOKUP($A15,[1]Data12!$A$12:$I$43,9,0)/$B$100/1000</f>
        <v>20.631968404906953</v>
      </c>
      <c r="N15" s="55">
        <f>+VLOOKUP($A15,[1]Data10!$A$10:$I$43,9,0)/$G$92/1000</f>
        <v>21.367168741175988</v>
      </c>
      <c r="O15" s="725">
        <f t="shared" si="3"/>
        <v>0.95310012760217611</v>
      </c>
      <c r="P15" s="101"/>
      <c r="Q15" s="101"/>
      <c r="R15" s="55"/>
    </row>
    <row r="16" spans="1:20" x14ac:dyDescent="0.35">
      <c r="A16" s="95" t="s">
        <v>59</v>
      </c>
      <c r="B16" s="723">
        <f>TableA2!C16</f>
        <v>98.579989289388223</v>
      </c>
      <c r="C16" s="112">
        <f>TableA2b!C16</f>
        <v>90.782021808565418</v>
      </c>
      <c r="D16" s="112">
        <f t="shared" si="0"/>
        <v>7.7979674808228054</v>
      </c>
      <c r="E16" s="112">
        <f>+VLOOKUP($A16,[1]Data11!$A$12:$I$43,9,0)/$B$100/1000</f>
        <v>87.038750400464536</v>
      </c>
      <c r="F16" s="112">
        <f t="shared" si="4"/>
        <v>11.541238888923687</v>
      </c>
      <c r="G16" s="663">
        <f>TableA2!D16+TableA2!G16</f>
        <v>72.736439430568822</v>
      </c>
      <c r="H16" s="718">
        <f>(VLOOKUP(TableA9!A16,[1]OECDTable14a!$A$15:$XO$51,146,0))/VLOOKUP($A16,[1]FX!$B$2:$D$54,3,0)/1000</f>
        <v>65.656377235892222</v>
      </c>
      <c r="I16" s="719">
        <f>(VLOOKUP(TableA9!A16,[1]OECDTable14a!$A$15:$XO$51,246,0))/VLOOKUP($A16,[1]FX!$B$2:$D$54,3,0)/1000</f>
        <v>7.0800621946765911</v>
      </c>
      <c r="J16" s="8">
        <f>+VLOOKUP($A16,[1]Data9!$A$12:$I$43,9,0)/$G$92/1000</f>
        <v>60.705368115959551</v>
      </c>
      <c r="K16" s="55">
        <f t="shared" si="1"/>
        <v>12.031071314609271</v>
      </c>
      <c r="L16" s="724">
        <f t="shared" si="2"/>
        <v>31.646884476380013</v>
      </c>
      <c r="M16" s="55">
        <f>+VLOOKUP($A16,[1]Data12!$A$12:$I$43,9,0)/$B$100/1000</f>
        <v>20.096658906143848</v>
      </c>
      <c r="N16" s="55">
        <f>+VLOOKUP($A16,[1]Data10!$A$10:$I$43,9,0)/$G$92/1000</f>
        <v>11.550225570236165</v>
      </c>
      <c r="O16" s="725">
        <f t="shared" si="3"/>
        <v>0.94442361606140734</v>
      </c>
      <c r="P16" s="101"/>
      <c r="Q16" s="101"/>
      <c r="R16" s="55"/>
    </row>
    <row r="17" spans="1:18" x14ac:dyDescent="0.35">
      <c r="A17" s="95" t="s">
        <v>60</v>
      </c>
      <c r="B17" s="723">
        <f>TableA2!C17</f>
        <v>7.9577756114007627</v>
      </c>
      <c r="C17" s="112">
        <f>TableA2b!C17</f>
        <v>7.653004073602105</v>
      </c>
      <c r="D17" s="112">
        <f t="shared" si="0"/>
        <v>0.30477153779865773</v>
      </c>
      <c r="E17" s="112">
        <f>+VLOOKUP($A17,[1]Data11!$A$12:$I$43,9,0)/$B$100/1000</f>
        <v>4.7311677696335313</v>
      </c>
      <c r="F17" s="112">
        <f t="shared" si="4"/>
        <v>3.2266078417672315</v>
      </c>
      <c r="G17" s="663">
        <f>TableA2!D17+TableA2!G17</f>
        <v>6.3420871970445578</v>
      </c>
      <c r="H17" s="718">
        <f>(VLOOKUP(TableA9!A17,[1]OECDTable14a!$A$15:$XO$51,146,0))/VLOOKUP($A17,[1]FX!$B$2:$D$54,3,0)/1000</f>
        <v>5.9021204246838321</v>
      </c>
      <c r="I17" s="719">
        <f>(VLOOKUP(TableA9!A17,[1]OECDTable14a!$A$15:$XO$51,246,0))/VLOOKUP($A17,[1]FX!$B$2:$D$54,3,0)/1000</f>
        <v>0.43996677236072618</v>
      </c>
      <c r="J17" s="8">
        <f>+VLOOKUP($A17,[1]Data9!$A$12:$I$43,9,0)/$G$92/1000</f>
        <v>2.8590631269692866</v>
      </c>
      <c r="K17" s="55">
        <f t="shared" si="1"/>
        <v>3.4830240700752713</v>
      </c>
      <c r="L17" s="724">
        <f t="shared" si="2"/>
        <v>3.1100449282932905</v>
      </c>
      <c r="M17" s="55">
        <f>+VLOOKUP($A17,[1]Data12!$A$12:$I$43,9,0)/$B$100/1000</f>
        <v>1.9142491784588187</v>
      </c>
      <c r="N17" s="55">
        <f>+VLOOKUP($A17,[1]Data10!$A$10:$I$43,9,0)/$G$92/1000</f>
        <v>1.195795749834472</v>
      </c>
      <c r="O17" s="725">
        <f t="shared" si="3"/>
        <v>0.55995287225599522</v>
      </c>
      <c r="P17" s="101"/>
      <c r="Q17" s="101"/>
      <c r="R17" s="55"/>
    </row>
    <row r="18" spans="1:18" x14ac:dyDescent="0.35">
      <c r="A18" s="95" t="s">
        <v>61</v>
      </c>
      <c r="B18" s="723">
        <f>TableA2!C18</f>
        <v>75.447591606139355</v>
      </c>
      <c r="C18" s="112">
        <f>TableA2b!C18</f>
        <v>72.22020741766012</v>
      </c>
      <c r="D18" s="112">
        <f t="shared" si="0"/>
        <v>3.2273841884792347</v>
      </c>
      <c r="E18" s="112">
        <f>+VLOOKUP($A18,[1]Data11!$A$12:$I$43,9,0)/$B$100/1000</f>
        <v>66.092382331366224</v>
      </c>
      <c r="F18" s="112">
        <f t="shared" si="4"/>
        <v>9.3552092747731308</v>
      </c>
      <c r="G18" s="663">
        <f>TableA2!D18+TableA2!G18</f>
        <v>52.323550255695338</v>
      </c>
      <c r="H18" s="718">
        <f>(VLOOKUP(TableA9!A18,[1]OECDTable14a!$A$15:$XO$51,146,0))/VLOOKUP($A18,[1]FX!$B$2:$D$54,3,0)/1000</f>
        <v>49.727225037403272</v>
      </c>
      <c r="I18" s="719">
        <f>(VLOOKUP(TableA9!A18,[1]OECDTable14a!$A$15:$XO$51,246,0))/VLOOKUP($A18,[1]FX!$B$2:$D$54,3,0)/1000</f>
        <v>2.5963252182920598</v>
      </c>
      <c r="J18" s="8">
        <f>+VLOOKUP($A18,[1]Data9!$A$12:$I$43,9,0)/$G$92/1000</f>
        <v>33.969295663812915</v>
      </c>
      <c r="K18" s="55">
        <f t="shared" si="1"/>
        <v>18.354254591882423</v>
      </c>
      <c r="L18" s="724">
        <f t="shared" si="2"/>
        <v>21.966915552260232</v>
      </c>
      <c r="M18" s="55">
        <f>+VLOOKUP($A18,[1]Data12!$A$12:$I$43,9,0)/$B$100/1000</f>
        <v>14.313182525833236</v>
      </c>
      <c r="N18" s="55">
        <f>+VLOOKUP($A18,[1]Data10!$A$10:$I$43,9,0)/$G$92/1000</f>
        <v>7.6537330264269974</v>
      </c>
      <c r="O18" s="725">
        <f t="shared" si="3"/>
        <v>0.82053124022968693</v>
      </c>
      <c r="P18" s="101"/>
      <c r="Q18" s="101"/>
      <c r="R18" s="55"/>
    </row>
    <row r="19" spans="1:18" x14ac:dyDescent="0.35">
      <c r="A19" s="95" t="s">
        <v>48</v>
      </c>
      <c r="B19" s="723">
        <f>TableA2!C19</f>
        <v>871.38042208861668</v>
      </c>
      <c r="C19" s="112">
        <f>TableA2b!C19</f>
        <v>812.93925974231945</v>
      </c>
      <c r="D19" s="112">
        <f t="shared" si="0"/>
        <v>58.441162346297233</v>
      </c>
      <c r="E19" s="112">
        <f>+VLOOKUP($A19,[1]Data11!$A$12:$I$43,9,0)/$B$100/1000</f>
        <v>746.8356662552028</v>
      </c>
      <c r="F19" s="112">
        <f t="shared" si="4"/>
        <v>124.54475583341389</v>
      </c>
      <c r="G19" s="663">
        <f>TableA2!D19+TableA2!G19</f>
        <v>437.08541699245501</v>
      </c>
      <c r="H19" s="718">
        <f>(VLOOKUP(TableA9!A19,[1]OECDTable14a!$A$15:$XO$51,146,0))/VLOOKUP($A19,[1]FX!$B$2:$D$54,3,0)/1000</f>
        <v>395.9490228567563</v>
      </c>
      <c r="I19" s="719">
        <f>(VLOOKUP(TableA9!A19,[1]OECDTable14a!$A$15:$XO$51,246,0))/VLOOKUP($A19,[1]FX!$B$2:$D$54,3,0)/1000</f>
        <v>41.136394135698751</v>
      </c>
      <c r="J19" s="8">
        <f>+VLOOKUP($A19,[1]Data9!$A$12:$I$43,9,0)/$G$92/1000</f>
        <v>262.36504044211836</v>
      </c>
      <c r="K19" s="55">
        <f t="shared" si="1"/>
        <v>174.72037655033665</v>
      </c>
      <c r="L19" s="724">
        <f t="shared" si="2"/>
        <v>166.26795717671538</v>
      </c>
      <c r="M19" s="55">
        <f>+VLOOKUP($A19,[1]Data12!$A$12:$I$43,9,0)/$B$100/1000</f>
        <v>131.45313250352962</v>
      </c>
      <c r="N19" s="55">
        <f>+VLOOKUP($A19,[1]Data10!$A$10:$I$43,9,0)/$G$92/1000</f>
        <v>34.814824673185761</v>
      </c>
      <c r="O19" s="725">
        <f t="shared" si="3"/>
        <v>0.83481717973770742</v>
      </c>
      <c r="P19" s="101"/>
      <c r="Q19" s="101"/>
      <c r="R19" s="55"/>
    </row>
    <row r="20" spans="1:18" s="1974" customFormat="1" x14ac:dyDescent="0.35">
      <c r="A20" s="1962" t="s">
        <v>62</v>
      </c>
      <c r="B20" s="2005">
        <f>TableA2!C20</f>
        <v>1223.0067020902579</v>
      </c>
      <c r="C20" s="2006">
        <f>TableA2b!C20</f>
        <v>1145.721386910129</v>
      </c>
      <c r="D20" s="2006">
        <f t="shared" si="0"/>
        <v>77.285315180128919</v>
      </c>
      <c r="E20" s="2006">
        <f>+VLOOKUP($A20,[1]Data11!$A$12:$I$43,9,0)/$B$100/1000</f>
        <v>1113.3729048343109</v>
      </c>
      <c r="F20" s="2006">
        <f>B20-E20</f>
        <v>109.633797255947</v>
      </c>
      <c r="G20" s="2007">
        <f>TableA2!D20+TableA2!G20</f>
        <v>849.96656163804721</v>
      </c>
      <c r="H20" s="2008">
        <f>(VLOOKUP(TableA9!A20,[1]OECDTable14a!$A$15:$XO$51,146,0))/VLOOKUP($A20,[1]FX!$B$2:$D$54,3,0)/1000</f>
        <v>809.32037499764328</v>
      </c>
      <c r="I20" s="2009">
        <f>(VLOOKUP(TableA9!A20,[1]OECDTable14a!$A$15:$XO$51,246,0))/VLOOKUP($A20,[1]FX!$B$2:$D$54,3,0)/1000</f>
        <v>40.646186640403968</v>
      </c>
      <c r="J20" s="1967">
        <f>+VLOOKUP($A20,[1]Data9!$A$12:$I$43,9,0)/$G$92/1000</f>
        <v>623.45875768999133</v>
      </c>
      <c r="K20" s="2010">
        <f t="shared" si="1"/>
        <v>226.50780394805588</v>
      </c>
      <c r="L20" s="2011">
        <f t="shared" si="2"/>
        <v>348.2426283107028</v>
      </c>
      <c r="M20" s="2010">
        <f>+VLOOKUP($A20,[1]Data12!$A$12:$I$43,9,0)/$B$100/1000</f>
        <v>213.03608126797383</v>
      </c>
      <c r="N20" s="2010">
        <f>+VLOOKUP($A20,[1]Data10!$A$10:$I$43,9,0)/$G$92/1000</f>
        <v>135.206547042729</v>
      </c>
      <c r="O20" s="2012">
        <f t="shared" si="3"/>
        <v>0.88838596513123291</v>
      </c>
      <c r="P20" s="2013"/>
      <c r="Q20" s="2013"/>
      <c r="R20" s="2010"/>
    </row>
    <row r="21" spans="1:18" x14ac:dyDescent="0.35">
      <c r="A21" s="95" t="s">
        <v>63</v>
      </c>
      <c r="B21" s="723">
        <f>TableA2!C21</f>
        <v>27.693378982519995</v>
      </c>
      <c r="C21" s="112">
        <f>TableA2b!C21</f>
        <v>24.420737995184432</v>
      </c>
      <c r="D21" s="112">
        <f t="shared" si="0"/>
        <v>3.2726409873355635</v>
      </c>
      <c r="E21" s="112">
        <f>+VLOOKUP($A21,[1]Data11!$A$12:$I$43,9,0)/$B$100/1000</f>
        <v>29.515038390344909</v>
      </c>
      <c r="F21" s="112">
        <f t="shared" si="4"/>
        <v>-1.8216594078249138</v>
      </c>
      <c r="G21" s="663">
        <f>TableA2!D21+TableA2!G21</f>
        <v>37.681387309393024</v>
      </c>
      <c r="H21" s="718">
        <f>(VLOOKUP(TableA9!A21,[1]OECDTable14a!$A$15:$XO$51,146,0))/VLOOKUP($A21,[1]FX!$B$2:$D$54,3,0)/1000</f>
        <v>33.038640106736587</v>
      </c>
      <c r="I21" s="719">
        <f>(VLOOKUP(TableA9!A21,[1]OECDTable14a!$A$15:$XO$51,246,0))/VLOOKUP($A21,[1]FX!$B$2:$D$54,3,0)/1000</f>
        <v>4.6427472026564365</v>
      </c>
      <c r="J21" s="8">
        <f>+VLOOKUP($A21,[1]Data9!$A$12:$I$43,9,0)/$G$92/1000</f>
        <v>22.726108207204721</v>
      </c>
      <c r="K21" s="55">
        <f t="shared" si="1"/>
        <v>14.955279102188303</v>
      </c>
      <c r="L21" s="724">
        <f t="shared" si="2"/>
        <v>7.1623529516147464</v>
      </c>
      <c r="M21" s="55">
        <f>+VLOOKUP($A21,[1]Data12!$A$12:$I$43,9,0)/$B$100/1000</f>
        <v>4.4707589010923199</v>
      </c>
      <c r="N21" s="55">
        <f>+VLOOKUP($A21,[1]Data10!$A$10:$I$43,9,0)/$G$92/1000</f>
        <v>2.6915940505224261</v>
      </c>
      <c r="O21" s="725">
        <f t="shared" si="3"/>
        <v>0.90918398916334719</v>
      </c>
      <c r="P21" s="101"/>
      <c r="Q21" s="101"/>
      <c r="R21" s="55"/>
    </row>
    <row r="22" spans="1:18" x14ac:dyDescent="0.35">
      <c r="A22" s="95" t="s">
        <v>64</v>
      </c>
      <c r="B22" s="723">
        <f>TableA2!C22</f>
        <v>34.2062595652135</v>
      </c>
      <c r="C22" s="112">
        <f>TableA2b!C22</f>
        <v>32.21090993708215</v>
      </c>
      <c r="D22" s="112">
        <f t="shared" si="0"/>
        <v>1.9953496281313505</v>
      </c>
      <c r="E22" s="112">
        <f>+VLOOKUP($A22,[1]Data11!$A$12:$I$43,9,0)/$B$100/1000</f>
        <v>30.443438151230119</v>
      </c>
      <c r="F22" s="112">
        <f t="shared" si="4"/>
        <v>3.7628214139833815</v>
      </c>
      <c r="G22" s="663">
        <f>TableA2!D22+TableA2!G22</f>
        <v>32.394139600655137</v>
      </c>
      <c r="H22" s="718">
        <f>(VLOOKUP(TableA9!A22,[1]OECDTable14a!$A$15:$XO$51,146,0))/VLOOKUP($A22,[1]FX!$B$2:$D$54,3,0)/1000</f>
        <v>31.167171739772495</v>
      </c>
      <c r="I22" s="719">
        <f>(VLOOKUP(TableA9!A22,[1]OECDTable14a!$A$15:$XO$51,246,0))/VLOOKUP($A22,[1]FX!$B$2:$D$54,3,0)/1000</f>
        <v>1.22696786088264</v>
      </c>
      <c r="J22" s="8">
        <f>+VLOOKUP($A22,[1]Data9!$A$12:$I$43,9,0)/$G$92/1000</f>
        <v>31.251171451735082</v>
      </c>
      <c r="K22" s="55">
        <f t="shared" si="1"/>
        <v>1.1429681489200547</v>
      </c>
      <c r="L22" s="724">
        <f t="shared" si="2"/>
        <v>32.364452636750698</v>
      </c>
      <c r="M22" s="55">
        <f>+VLOOKUP($A22,[1]Data12!$A$12:$I$43,9,0)/$B$100/1000</f>
        <v>14.087032902682722</v>
      </c>
      <c r="N22" s="55">
        <f>+VLOOKUP($A22,[1]Data10!$A$10:$I$43,9,0)/$G$92/1000</f>
        <v>18.27741973406798</v>
      </c>
      <c r="O22" s="725">
        <f t="shared" si="3"/>
        <v>0.97343762970812286</v>
      </c>
      <c r="P22" s="101"/>
      <c r="Q22" s="101"/>
      <c r="R22" s="55"/>
    </row>
    <row r="23" spans="1:18" x14ac:dyDescent="0.35">
      <c r="A23" s="95" t="s">
        <v>65</v>
      </c>
      <c r="B23" s="723">
        <f>TableA2!C23</f>
        <v>5.1275502981429524</v>
      </c>
      <c r="C23" s="112">
        <f>TableA2b!C23</f>
        <v>4.6522290068914876</v>
      </c>
      <c r="D23" s="112">
        <f t="shared" si="0"/>
        <v>0.47532129125146483</v>
      </c>
      <c r="E23" s="112"/>
      <c r="F23" s="112"/>
      <c r="G23" s="663">
        <f>TableA2!D23+TableA2!G23</f>
        <v>3.6692894561749219</v>
      </c>
      <c r="H23" s="718"/>
      <c r="I23" s="719"/>
      <c r="J23" s="8"/>
      <c r="K23" s="55"/>
      <c r="L23" s="724"/>
      <c r="M23" s="55"/>
      <c r="N23" s="55"/>
      <c r="O23" s="725"/>
      <c r="P23" s="101"/>
      <c r="Q23" s="101"/>
      <c r="R23" s="55"/>
    </row>
    <row r="24" spans="1:18" x14ac:dyDescent="0.35">
      <c r="A24" s="95" t="s">
        <v>19</v>
      </c>
      <c r="B24" s="723">
        <f>TableA2!C24</f>
        <v>61.361034049457722</v>
      </c>
      <c r="C24" s="112">
        <f>TableA2b!C24</f>
        <v>54.273519257280192</v>
      </c>
      <c r="D24" s="112">
        <f t="shared" si="0"/>
        <v>7.0875147921775294</v>
      </c>
      <c r="E24" s="112">
        <f>+VLOOKUP($A24,[1]Data11!$A$12:$I$43,9,0)/$B$100/1000</f>
        <v>57.992655760104427</v>
      </c>
      <c r="F24" s="112">
        <f t="shared" si="4"/>
        <v>3.368378289353295</v>
      </c>
      <c r="G24" s="663">
        <f>TableA2!D24+TableA2!G24</f>
        <v>154.99893274508435</v>
      </c>
      <c r="H24" s="718">
        <f>(VLOOKUP(TableA9!A24,[1]OECDTable14a!$A$15:$XO$51,146,0))/VLOOKUP($A24,[1]FX!$B$2:$D$54,3,0)/1000</f>
        <v>143.96465725956267</v>
      </c>
      <c r="I24" s="719">
        <f>(VLOOKUP(TableA9!A24,[1]OECDTable14a!$A$15:$XO$51,246,0))/VLOOKUP($A24,[1]FX!$B$2:$D$54,3,0)/1000</f>
        <v>11.034275485521688</v>
      </c>
      <c r="J24" s="8">
        <f>+VLOOKUP($A24,[1]Data9!$A$12:$I$43,9,0)/$G$92/1000</f>
        <v>138.14269030753314</v>
      </c>
      <c r="K24" s="55">
        <f t="shared" si="1"/>
        <v>16.856242437551202</v>
      </c>
      <c r="L24" s="724">
        <f t="shared" si="2"/>
        <v>116.14546075622825</v>
      </c>
      <c r="M24" s="55">
        <f>+VLOOKUP($A24,[1]Data12!$A$12:$I$43,9,0)/$B$100/1000</f>
        <v>13.736900535568324</v>
      </c>
      <c r="N24" s="55">
        <f>+VLOOKUP($A24,[1]Data10!$A$10:$I$43,9,0)/$G$92/1000</f>
        <v>102.40856022065992</v>
      </c>
      <c r="O24" s="725">
        <f t="shared" si="3"/>
        <v>0.9893924041970461</v>
      </c>
      <c r="P24" s="101"/>
      <c r="Q24" s="101"/>
      <c r="R24" s="55"/>
    </row>
    <row r="25" spans="1:18" x14ac:dyDescent="0.35">
      <c r="A25" s="95" t="s">
        <v>95</v>
      </c>
      <c r="B25" s="723">
        <f>TableA2!C25</f>
        <v>91.954332974943853</v>
      </c>
      <c r="C25" s="112">
        <f>TableA2b!C25</f>
        <v>88.265835810285637</v>
      </c>
      <c r="D25" s="112">
        <f t="shared" si="0"/>
        <v>3.6884971646582159</v>
      </c>
      <c r="E25" s="112"/>
      <c r="F25" s="112"/>
      <c r="G25" s="663">
        <f>TableA2!D25+TableA2!G25</f>
        <v>76.65661864042012</v>
      </c>
      <c r="H25" s="718">
        <f>(VLOOKUP(TableA9!A25,[1]OECDTable14a!$A$15:$XO$51,146,0))/VLOOKUP($A25,[1]FX!$B$2:$D$54,3,0)/1000</f>
        <v>68.600090922352464</v>
      </c>
      <c r="I25" s="719">
        <f>(VLOOKUP(TableA9!A25,[1]OECDTable14a!$A$15:$XO$51,246,0))/VLOOKUP($A25,[1]FX!$B$2:$D$54,3,0)/1000</f>
        <v>8.05652771806764</v>
      </c>
      <c r="J25" s="8"/>
      <c r="K25" s="55"/>
      <c r="L25" s="724"/>
      <c r="M25" s="55"/>
      <c r="N25" s="55"/>
      <c r="O25" s="725"/>
      <c r="P25" s="101"/>
      <c r="Q25" s="101"/>
      <c r="R25" s="55"/>
    </row>
    <row r="26" spans="1:18" x14ac:dyDescent="0.35">
      <c r="A26" s="95" t="s">
        <v>66</v>
      </c>
      <c r="B26" s="723">
        <f>TableA2!C26</f>
        <v>491.69619556839115</v>
      </c>
      <c r="C26" s="112">
        <f>TableA2b!C26</f>
        <v>455.78683293795103</v>
      </c>
      <c r="D26" s="112">
        <f t="shared" si="0"/>
        <v>35.909362630440114</v>
      </c>
      <c r="E26" s="112">
        <f>+VLOOKUP($A26,[1]Data11!$A$12:$I$43,9,0)/$B$100/1000</f>
        <v>409.34466355906164</v>
      </c>
      <c r="F26" s="112">
        <f t="shared" si="4"/>
        <v>82.351532009329503</v>
      </c>
      <c r="G26" s="663">
        <f>TableA2!D26+TableA2!G26</f>
        <v>381.0549220936075</v>
      </c>
      <c r="H26" s="718">
        <f>(VLOOKUP(TableA9!A26,[1]OECDTable14a!$A$15:$XO$51,146,0))/VLOOKUP($A26,[1]FX!$B$2:$D$54,3,0)/1000</f>
        <v>339.58946785869165</v>
      </c>
      <c r="I26" s="719">
        <f>(VLOOKUP(TableA9!A26,[1]OECDTable14a!$A$15:$XO$51,246,0))/VLOOKUP($A26,[1]FX!$B$2:$D$54,3,0)/1000</f>
        <v>41.46545423491586</v>
      </c>
      <c r="J26" s="8">
        <f>+VLOOKUP($A26,[1]Data9!$A$12:$I$43,9,0)/$G$92/1000</f>
        <v>332.97965195267835</v>
      </c>
      <c r="K26" s="55">
        <f t="shared" si="1"/>
        <v>48.075270140929149</v>
      </c>
      <c r="L26" s="724">
        <f t="shared" si="2"/>
        <v>113.01744894688569</v>
      </c>
      <c r="M26" s="55">
        <f>+VLOOKUP($A26,[1]Data12!$A$12:$I$43,9,0)/$B$100/1000</f>
        <v>67.683348139374203</v>
      </c>
      <c r="N26" s="55">
        <f>+VLOOKUP($A26,[1]Data10!$A$10:$I$43,9,0)/$G$92/1000</f>
        <v>45.33410080751149</v>
      </c>
      <c r="O26" s="725">
        <f t="shared" si="3"/>
        <v>0.93329951466775385</v>
      </c>
      <c r="P26" s="101"/>
      <c r="Q26" s="101"/>
      <c r="R26" s="55"/>
    </row>
    <row r="27" spans="1:18" x14ac:dyDescent="0.35">
      <c r="A27" s="95" t="s">
        <v>67</v>
      </c>
      <c r="B27" s="723">
        <f>TableA2!C27</f>
        <v>1514.0182782989034</v>
      </c>
      <c r="C27" s="112">
        <f>TableA2b!C27</f>
        <v>1332.0768877366427</v>
      </c>
      <c r="D27" s="112">
        <f t="shared" si="0"/>
        <v>181.94139056226072</v>
      </c>
      <c r="E27" s="112"/>
      <c r="F27" s="112"/>
      <c r="G27" s="663">
        <f>TableA2!D27+TableA2!G27</f>
        <v>1219.7388008313999</v>
      </c>
      <c r="H27" s="718">
        <f>(VLOOKUP(TableA9!A27,[1]OECDTable14a!$A$15:$XO$51,146,0))/VLOOKUP($A27,[1]FX!$B$2:$D$54,3,0)/1000</f>
        <v>1111.3509687342696</v>
      </c>
      <c r="I27" s="719">
        <f>(VLOOKUP(TableA9!A27,[1]OECDTable14a!$A$15:$XO$51,246,0))/VLOOKUP($A27,[1]FX!$B$2:$D$54,3,0)/1000</f>
        <v>108.38783209713027</v>
      </c>
      <c r="J27" s="8"/>
      <c r="K27" s="55"/>
      <c r="L27" s="724"/>
      <c r="M27" s="55"/>
      <c r="N27" s="55"/>
      <c r="O27" s="725"/>
      <c r="P27" s="101"/>
      <c r="Q27" s="101"/>
      <c r="R27" s="55"/>
    </row>
    <row r="28" spans="1:18" x14ac:dyDescent="0.35">
      <c r="A28" s="95" t="s">
        <v>68</v>
      </c>
      <c r="B28" s="723">
        <f>TableA2!C28</f>
        <v>414.68018379403401</v>
      </c>
      <c r="C28" s="112">
        <f>TableA2b!C28</f>
        <v>385.60359631616285</v>
      </c>
      <c r="D28" s="112">
        <f t="shared" si="0"/>
        <v>29.076587477871158</v>
      </c>
      <c r="E28" s="112"/>
      <c r="F28" s="112"/>
      <c r="G28" s="663">
        <f>TableA2!D28+TableA2!G28</f>
        <v>428.78246398048014</v>
      </c>
      <c r="H28" s="718">
        <f>(VLOOKUP(TableA9!A28,[1]OECDTable14a!$A$15:$XO$51,146,0))/VLOOKUP($A28,[1]FX!$B$2:$D$54,3,0)/1000</f>
        <v>391.36892961413417</v>
      </c>
      <c r="I28" s="719">
        <f>(VLOOKUP(TableA9!A28,[1]OECDTable14a!$A$15:$XO$51,246,0))/VLOOKUP($A28,[1]FX!$B$2:$D$54,3,0)/1000</f>
        <v>37.413534366345978</v>
      </c>
      <c r="J28" s="8"/>
      <c r="K28" s="55"/>
      <c r="L28" s="724"/>
      <c r="M28" s="55"/>
      <c r="N28" s="55"/>
      <c r="O28" s="725"/>
      <c r="P28" s="101"/>
      <c r="Q28" s="101"/>
      <c r="R28" s="55"/>
    </row>
    <row r="29" spans="1:18" x14ac:dyDescent="0.35">
      <c r="A29" s="13" t="s">
        <v>69</v>
      </c>
      <c r="B29" s="723">
        <f>TableA2!C29</f>
        <v>9.2021529203390635</v>
      </c>
      <c r="C29" s="112">
        <f>TableA2b!C29</f>
        <v>8.7351116109305185</v>
      </c>
      <c r="D29" s="112">
        <f t="shared" si="0"/>
        <v>0.46704130940854505</v>
      </c>
      <c r="E29" s="112">
        <f>+VLOOKUP($A29,[1]Data11!$A$12:$I$43,9,0)/$B$100/1000</f>
        <v>6.2455983914096125</v>
      </c>
      <c r="F29" s="112">
        <f t="shared" si="4"/>
        <v>2.956554528929451</v>
      </c>
      <c r="G29" s="663">
        <f>TableA2!D29+TableA2!G29</f>
        <v>7.6634270827441426</v>
      </c>
      <c r="H29" s="718">
        <f>(VLOOKUP(TableA9!A29,[1]OECDTable14a!$A$15:$XO$51,146,0))/VLOOKUP($A29,[1]FX!$B$2:$D$54,3,0)/1000</f>
        <v>7.0545572106528081</v>
      </c>
      <c r="I29" s="719">
        <f>(VLOOKUP(TableA9!A29,[1]OECDTable14a!$A$15:$XO$51,246,0))/VLOOKUP($A29,[1]FX!$B$2:$D$54,3,0)/1000</f>
        <v>0.60886987209133392</v>
      </c>
      <c r="J29" s="8">
        <f>+VLOOKUP($A29,[1]Data9!$A$12:$I$43,9,0)/$G$92/1000</f>
        <v>5.4876621871461388</v>
      </c>
      <c r="K29" s="55">
        <f t="shared" si="1"/>
        <v>2.1757648955980038</v>
      </c>
      <c r="L29" s="724">
        <f t="shared" si="2"/>
        <v>3.9316415629412007</v>
      </c>
      <c r="M29" s="55">
        <f>+VLOOKUP($A29,[1]Data12!$A$12:$I$43,9,0)/$B$100/1000</f>
        <v>1.9834549425004355</v>
      </c>
      <c r="N29" s="55">
        <f>+VLOOKUP($A29,[1]Data10!$A$10:$I$43,9,0)/$G$92/1000</f>
        <v>1.9481866204407652</v>
      </c>
      <c r="O29" s="725">
        <f t="shared" si="3"/>
        <v>0.74309731959148118</v>
      </c>
      <c r="P29" s="101"/>
      <c r="Q29" s="101"/>
      <c r="R29" s="55"/>
    </row>
    <row r="30" spans="1:18" x14ac:dyDescent="0.35">
      <c r="A30" s="13" t="s">
        <v>70</v>
      </c>
      <c r="B30" s="723">
        <f>TableA2!C30</f>
        <v>21.552271978652684</v>
      </c>
      <c r="C30" s="112">
        <f>TableA2b!C30</f>
        <v>16.264463616511343</v>
      </c>
      <c r="D30" s="112">
        <f t="shared" si="0"/>
        <v>5.287808362141341</v>
      </c>
      <c r="E30" s="112">
        <f>+VLOOKUP($A30,[1]Data11!$A$12:$I$43,9,0)/$B$100/1000</f>
        <v>14.39701705411913</v>
      </c>
      <c r="F30" s="112">
        <f t="shared" si="4"/>
        <v>7.1552549245335531</v>
      </c>
      <c r="G30" s="663">
        <f>TableA2!D30+TableA2!G30</f>
        <v>17.678856419111881</v>
      </c>
      <c r="H30" s="718">
        <f>(VLOOKUP(TableA9!A30,[1]OECDTable14a!$A$15:$XO$51,146,0))/VLOOKUP($A30,[1]FX!$B$2:$D$54,3,0)/1000</f>
        <v>9.5486209309727972</v>
      </c>
      <c r="I30" s="719">
        <f>(VLOOKUP(TableA9!A30,[1]OECDTable14a!$A$15:$XO$51,246,0))/VLOOKUP($A30,[1]FX!$B$2:$D$54,3,0)/1000</f>
        <v>8.1302354881390855</v>
      </c>
      <c r="J30" s="8">
        <f>+VLOOKUP($A30,[1]Data9!$A$12:$I$43,9,0)/$G$92/1000</f>
        <v>10.846894446791969</v>
      </c>
      <c r="K30" s="55">
        <f t="shared" si="1"/>
        <v>6.8319619723199114</v>
      </c>
      <c r="L30" s="724">
        <f t="shared" si="2"/>
        <v>12.011747234819373</v>
      </c>
      <c r="M30" s="55">
        <f>+VLOOKUP($A30,[1]Data12!$A$12:$I$43,9,0)/$B$100/1000</f>
        <v>5.8468889014583123</v>
      </c>
      <c r="N30" s="55">
        <f>+VLOOKUP($A30,[1]Data10!$A$10:$I$43,9,0)/$G$92/1000</f>
        <v>6.1648583333610603</v>
      </c>
      <c r="O30" s="725">
        <f t="shared" si="3"/>
        <v>0.97795021181889275</v>
      </c>
      <c r="P30" s="101"/>
      <c r="Q30" s="101"/>
      <c r="R30" s="55"/>
    </row>
    <row r="31" spans="1:18" x14ac:dyDescent="0.35">
      <c r="A31" s="13" t="s">
        <v>71</v>
      </c>
      <c r="B31" s="723">
        <f>TableA2!C31</f>
        <v>140.22820286912128</v>
      </c>
      <c r="C31" s="112">
        <f>TableA2b!C31</f>
        <v>129.55605808508906</v>
      </c>
      <c r="D31" s="112">
        <f t="shared" si="0"/>
        <v>10.672144784032213</v>
      </c>
      <c r="E31" s="112"/>
      <c r="F31" s="112"/>
      <c r="G31" s="663">
        <f>TableA2!D31+TableA2!G31</f>
        <v>440.29072705551971</v>
      </c>
      <c r="H31" s="718">
        <f>(VLOOKUP(TableA9!A31,[1]OECDTable14a!$A$15:$XO$51,146,0))/VLOOKUP($A31,[1]FX!$B$2:$D$54,3,0)/1000</f>
        <v>410.07903261599517</v>
      </c>
      <c r="I31" s="719">
        <f>(VLOOKUP(TableA9!A31,[1]OECDTable14a!$A$15:$XO$51,246,0))/VLOOKUP($A31,[1]FX!$B$2:$D$54,3,0)/1000</f>
        <v>30.211694439524521</v>
      </c>
      <c r="J31" s="8"/>
      <c r="K31" s="55"/>
      <c r="L31" s="724"/>
      <c r="M31" s="55"/>
      <c r="N31" s="55"/>
      <c r="O31" s="725"/>
      <c r="P31" s="101"/>
      <c r="Q31" s="101"/>
      <c r="R31" s="55"/>
    </row>
    <row r="32" spans="1:18" x14ac:dyDescent="0.35">
      <c r="A32" s="13" t="s">
        <v>72</v>
      </c>
      <c r="B32" s="723">
        <f>TableA2!C32</f>
        <v>282.03899700441076</v>
      </c>
      <c r="C32" s="112">
        <f>TableA2b!C32</f>
        <v>260.66839015636731</v>
      </c>
      <c r="D32" s="112">
        <f t="shared" si="0"/>
        <v>21.370606848043451</v>
      </c>
      <c r="E32" s="112">
        <f>+VLOOKUP($A32,[1]Data11!$A$12:$I$43,9,0)/$B$100/1000</f>
        <v>203.57418935539931</v>
      </c>
      <c r="F32" s="112">
        <f t="shared" si="4"/>
        <v>78.464807649011448</v>
      </c>
      <c r="G32" s="663">
        <f>TableA2!D32+TableA2!G32</f>
        <v>219.09945999540849</v>
      </c>
      <c r="H32" s="718">
        <f>(VLOOKUP(TableA9!A32,[1]OECDTable14a!$A$15:$XO$51,146,0))/VLOOKUP($A32,[1]FX!$B$2:$D$54,3,0)/1000</f>
        <v>190.03969349831812</v>
      </c>
      <c r="I32" s="719">
        <f>(VLOOKUP(TableA9!A32,[1]OECDTable14a!$A$15:$XO$51,246,0))/VLOOKUP($A32,[1]FX!$B$2:$D$54,3,0)/1000</f>
        <v>29.059766497090365</v>
      </c>
      <c r="J32" s="8">
        <f>+VLOOKUP($A32,[1]Data9!$A$12:$I$43,9,0)/$G$92/1000</f>
        <v>164.3889763203162</v>
      </c>
      <c r="K32" s="55">
        <f t="shared" si="1"/>
        <v>54.710483675092291</v>
      </c>
      <c r="L32" s="724">
        <f t="shared" si="2"/>
        <v>103.32553659421134</v>
      </c>
      <c r="M32" s="55">
        <f>+VLOOKUP($A32,[1]Data12!$A$12:$I$43,9,0)/$B$100/1000</f>
        <v>56.091160849057125</v>
      </c>
      <c r="N32" s="55">
        <f>+VLOOKUP($A32,[1]Data10!$A$10:$I$43,9,0)/$G$92/1000</f>
        <v>47.23437574515421</v>
      </c>
      <c r="O32" s="725">
        <f t="shared" si="3"/>
        <v>0.81641128486533698</v>
      </c>
      <c r="P32" s="101"/>
      <c r="Q32" s="101"/>
      <c r="R32" s="55"/>
    </row>
    <row r="33" spans="1:18" x14ac:dyDescent="0.35">
      <c r="A33" s="13" t="s">
        <v>73</v>
      </c>
      <c r="B33" s="723">
        <f>TableA2!C33</f>
        <v>57.141860911103748</v>
      </c>
      <c r="C33" s="112">
        <f>TableA2b!C33</f>
        <v>54.636935790372917</v>
      </c>
      <c r="D33" s="112">
        <f t="shared" si="0"/>
        <v>2.5049251207308316</v>
      </c>
      <c r="E33" s="112"/>
      <c r="F33" s="112"/>
      <c r="G33" s="663">
        <f>TableA2!D33+TableA2!G33</f>
        <v>60.582646140971775</v>
      </c>
      <c r="H33" s="718">
        <f>(VLOOKUP(TableA9!A33,[1]OECDTable14a!$A$15:$XO$51,146,0))/VLOOKUP($A33,[1]FX!$B$2:$D$54,3,0)/1000</f>
        <v>56.275737024704057</v>
      </c>
      <c r="I33" s="719">
        <f>(VLOOKUP(TableA9!A33,[1]OECDTable14a!$A$15:$XO$51,246,0))/VLOOKUP($A33,[1]FX!$B$2:$D$54,3,0)/1000</f>
        <v>4.3069091162677173</v>
      </c>
      <c r="J33" s="8"/>
      <c r="K33" s="55"/>
      <c r="L33" s="724"/>
      <c r="M33" s="55"/>
      <c r="N33" s="55"/>
      <c r="O33" s="725"/>
      <c r="P33" s="101"/>
      <c r="Q33" s="101"/>
      <c r="R33" s="55"/>
    </row>
    <row r="34" spans="1:18" x14ac:dyDescent="0.35">
      <c r="A34" s="13" t="s">
        <v>74</v>
      </c>
      <c r="B34" s="723">
        <f>TableA2!C34</f>
        <v>120.45063054869772</v>
      </c>
      <c r="C34" s="112">
        <f>TableA2b!C34</f>
        <v>114.60526549115365</v>
      </c>
      <c r="D34" s="112">
        <f t="shared" si="0"/>
        <v>5.8453650575440719</v>
      </c>
      <c r="E34" s="112">
        <f>+VLOOKUP($A34,[1]Data11!$A$12:$I$43,9,0)/$B$100/1000</f>
        <v>105.29035921562364</v>
      </c>
      <c r="F34" s="112">
        <f t="shared" si="4"/>
        <v>15.160271333074078</v>
      </c>
      <c r="G34" s="663">
        <f>TableA2!D34+TableA2!G34</f>
        <v>123.6011109392948</v>
      </c>
      <c r="H34" s="718">
        <f>(VLOOKUP(TableA9!A34,[1]OECDTable14a!$A$15:$XO$51,146,0))/VLOOKUP($A34,[1]FX!$B$2:$D$54,3,0)/1000</f>
        <v>112.65788518516544</v>
      </c>
      <c r="I34" s="719">
        <f>(VLOOKUP(TableA9!A34,[1]OECDTable14a!$A$15:$XO$51,246,0))/VLOOKUP($A34,[1]FX!$B$2:$D$54,3,0)/1000</f>
        <v>10.943225754129349</v>
      </c>
      <c r="J34" s="8">
        <f>+VLOOKUP($A34,[1]Data9!$A$12:$I$43,9,0)/$G$92/1000</f>
        <v>107.67740354169371</v>
      </c>
      <c r="K34" s="55">
        <f t="shared" si="1"/>
        <v>15.923707397601092</v>
      </c>
      <c r="L34" s="724">
        <f t="shared" si="2"/>
        <v>53.224445161640929</v>
      </c>
      <c r="M34" s="55">
        <f>+VLOOKUP($A34,[1]Data12!$A$12:$I$43,9,0)/$B$100/1000</f>
        <v>29.017511054622645</v>
      </c>
      <c r="N34" s="55">
        <f>+VLOOKUP($A34,[1]Data10!$A$10:$I$43,9,0)/$G$92/1000</f>
        <v>24.206934107018284</v>
      </c>
      <c r="O34" s="725">
        <f t="shared" si="3"/>
        <v>0.93709764263823836</v>
      </c>
      <c r="P34" s="101"/>
      <c r="Q34" s="101"/>
      <c r="R34" s="55"/>
    </row>
    <row r="35" spans="1:18" x14ac:dyDescent="0.35">
      <c r="A35" s="13" t="s">
        <v>75</v>
      </c>
      <c r="B35" s="723">
        <f>TableA2!C35</f>
        <v>110.83432816023345</v>
      </c>
      <c r="C35" s="112">
        <f>TableA2b!C35</f>
        <v>104.39766547287439</v>
      </c>
      <c r="D35" s="112">
        <f t="shared" si="0"/>
        <v>6.4366626873590604</v>
      </c>
      <c r="E35" s="112">
        <f>+VLOOKUP($A35,[1]Data11!$A$12:$I$43,9,0)/$B$100/1000</f>
        <v>86.06868006641092</v>
      </c>
      <c r="F35" s="112">
        <f t="shared" si="4"/>
        <v>24.765648093822534</v>
      </c>
      <c r="G35" s="663">
        <f>TableA2!D35+TableA2!G35</f>
        <v>124.06499535747446</v>
      </c>
      <c r="H35" s="718">
        <f>(VLOOKUP(TableA9!A35,[1]OECDTable14a!$A$15:$XO$51,146,0))/VLOOKUP($A35,[1]FX!$B$2:$D$54,3,0)/1000</f>
        <v>114.72768271654066</v>
      </c>
      <c r="I35" s="719">
        <f>(VLOOKUP(TableA9!A35,[1]OECDTable14a!$A$15:$XO$51,246,0))/VLOOKUP($A35,[1]FX!$B$2:$D$54,3,0)/1000</f>
        <v>9.3373126409338116</v>
      </c>
      <c r="J35" s="8">
        <f>+VLOOKUP($A35,[1]Data9!$A$12:$I$43,9,0)/$G$92/1000</f>
        <v>89.464864211414735</v>
      </c>
      <c r="K35" s="55">
        <f t="shared" si="1"/>
        <v>34.600131146059724</v>
      </c>
      <c r="L35" s="724">
        <f t="shared" si="2"/>
        <v>62.268662543156566</v>
      </c>
      <c r="M35" s="55">
        <f>+VLOOKUP($A35,[1]Data12!$A$12:$I$43,9,0)/$B$100/1000</f>
        <v>30.435452870763783</v>
      </c>
      <c r="N35" s="55">
        <f>+VLOOKUP($A35,[1]Data10!$A$10:$I$43,9,0)/$G$92/1000</f>
        <v>31.83320967239278</v>
      </c>
      <c r="O35" s="725">
        <f t="shared" si="3"/>
        <v>0.80106453100118746</v>
      </c>
      <c r="P35" s="101"/>
      <c r="Q35" s="101"/>
      <c r="R35" s="55"/>
    </row>
    <row r="36" spans="1:18" x14ac:dyDescent="0.35">
      <c r="A36" s="13" t="s">
        <v>76</v>
      </c>
      <c r="B36" s="723">
        <f>TableA2!C36</f>
        <v>57.993657247362911</v>
      </c>
      <c r="C36" s="112">
        <f>TableA2b!C36</f>
        <v>53.761702594883424</v>
      </c>
      <c r="D36" s="112">
        <f t="shared" si="0"/>
        <v>4.2319546524794873</v>
      </c>
      <c r="E36" s="112">
        <f>+VLOOKUP($A36,[1]Data11!$A$12:$I$43,9,0)/$B$100/1000</f>
        <v>47.456743624807167</v>
      </c>
      <c r="F36" s="112">
        <f t="shared" si="4"/>
        <v>10.536913622555744</v>
      </c>
      <c r="G36" s="663">
        <f>TableA2!D36+TableA2!G36</f>
        <v>43.76024528119833</v>
      </c>
      <c r="H36" s="718">
        <f>(VLOOKUP(TableA9!A36,[1]OECDTable14a!$A$15:$XO$51,146,0))/VLOOKUP($A36,[1]FX!$B$2:$D$54,3,0)/1000</f>
        <v>39.497275577574229</v>
      </c>
      <c r="I36" s="719">
        <f>(VLOOKUP(TableA9!A36,[1]OECDTable14a!$A$15:$XO$51,246,0))/VLOOKUP($A36,[1]FX!$B$2:$D$54,3,0)/1000</f>
        <v>4.2629697036240977</v>
      </c>
      <c r="J36" s="8">
        <f>+VLOOKUP($A36,[1]Data9!$A$12:$I$43,9,0)/$G$92/1000</f>
        <v>33.490598995850981</v>
      </c>
      <c r="K36" s="55">
        <f t="shared" si="1"/>
        <v>10.269646285347349</v>
      </c>
      <c r="L36" s="724">
        <f t="shared" si="2"/>
        <v>19.409444146844869</v>
      </c>
      <c r="M36" s="55">
        <f>+VLOOKUP($A36,[1]Data12!$A$12:$I$43,9,0)/$B$100/1000</f>
        <v>10.732660573454044</v>
      </c>
      <c r="N36" s="55">
        <f>+VLOOKUP($A36,[1]Data10!$A$10:$I$43,9,0)/$G$92/1000</f>
        <v>8.6767835733908267</v>
      </c>
      <c r="O36" s="725">
        <f t="shared" si="3"/>
        <v>0.8679844472557654</v>
      </c>
      <c r="P36" s="101"/>
      <c r="Q36" s="101"/>
      <c r="R36" s="55"/>
    </row>
    <row r="37" spans="1:18" x14ac:dyDescent="0.35">
      <c r="A37" s="13" t="s">
        <v>96</v>
      </c>
      <c r="B37" s="723">
        <f>TableA2!C37</f>
        <v>21.242901141118761</v>
      </c>
      <c r="C37" s="112">
        <f>TableA2b!C37</f>
        <v>20.182797487742043</v>
      </c>
      <c r="D37" s="112">
        <f t="shared" si="0"/>
        <v>1.0601036533767179</v>
      </c>
      <c r="E37" s="112">
        <f>+VLOOKUP($A37,[1]Data11!$A$12:$I$43,9,0)/$B$100/1000</f>
        <v>19.283010539461149</v>
      </c>
      <c r="F37" s="112">
        <f t="shared" si="4"/>
        <v>1.9598906016576123</v>
      </c>
      <c r="G37" s="663">
        <f>TableA2!D37+TableA2!G37</f>
        <v>22.114000969324319</v>
      </c>
      <c r="H37" s="718">
        <f>(VLOOKUP(TableA9!A37,[1]OECDTable14a!$A$15:$XO$51,146,0))/VLOOKUP($A37,[1]FX!$B$2:$D$54,3,0)/1000</f>
        <v>20.498494441912072</v>
      </c>
      <c r="I37" s="719">
        <f>(VLOOKUP(TableA9!A37,[1]OECDTable14a!$A$15:$XO$51,246,0))/VLOOKUP($A37,[1]FX!$B$2:$D$54,3,0)/1000</f>
        <v>1.6155065274122478</v>
      </c>
      <c r="J37" s="8">
        <f>+VLOOKUP($A37,[1]Data9!$A$12:$I$43,9,0)/$G$92/1000</f>
        <v>18.33509120410266</v>
      </c>
      <c r="K37" s="55">
        <f t="shared" si="1"/>
        <v>3.778909765221659</v>
      </c>
      <c r="L37" s="724">
        <f t="shared" si="2"/>
        <v>17.239776900136306</v>
      </c>
      <c r="M37" s="55">
        <f>+VLOOKUP($A37,[1]Data12!$A$12:$I$43,9,0)/$B$100/1000</f>
        <v>8.7149354689522323</v>
      </c>
      <c r="N37" s="55">
        <f>+VLOOKUP($A37,[1]Data10!$A$10:$I$43,9,0)/$G$92/1000</f>
        <v>8.5248414311840737</v>
      </c>
      <c r="O37" s="725">
        <f t="shared" si="3"/>
        <v>0.9247027308919501</v>
      </c>
      <c r="P37" s="101"/>
      <c r="Q37" s="101"/>
      <c r="R37" s="55"/>
    </row>
    <row r="38" spans="1:18" x14ac:dyDescent="0.35">
      <c r="A38" s="13" t="s">
        <v>78</v>
      </c>
      <c r="B38" s="723">
        <f>TableA2!C38</f>
        <v>14.942894708531718</v>
      </c>
      <c r="C38" s="112">
        <f>TableA2b!C38</f>
        <v>14.141094249599904</v>
      </c>
      <c r="D38" s="112">
        <f t="shared" si="0"/>
        <v>0.80180045893181351</v>
      </c>
      <c r="E38" s="112">
        <f>+VLOOKUP($A38,[1]Data11!$A$12:$I$43,9,0)/$B$100/1000</f>
        <v>12.620181243685252</v>
      </c>
      <c r="F38" s="112">
        <f t="shared" si="4"/>
        <v>2.3227134648464656</v>
      </c>
      <c r="G38" s="663">
        <f>TableA2!D38+TableA2!G38</f>
        <v>8.5328335878641486</v>
      </c>
      <c r="H38" s="718">
        <f>(VLOOKUP(TableA9!A38,[1]OECDTable14a!$A$15:$XO$51,146,0))/VLOOKUP($A38,[1]FX!$B$2:$D$54,3,0)/1000</f>
        <v>7.8726721521107201</v>
      </c>
      <c r="I38" s="719">
        <f>(VLOOKUP(TableA9!A38,[1]OECDTable14a!$A$15:$XO$51,246,0))/VLOOKUP($A38,[1]FX!$B$2:$D$54,3,0)/1000</f>
        <v>0.66016143575342789</v>
      </c>
      <c r="J38" s="8">
        <f>+VLOOKUP($A38,[1]Data9!$A$12:$I$43,9,0)/$G$92/1000</f>
        <v>8.8216276885163918</v>
      </c>
      <c r="K38" s="55">
        <f t="shared" si="1"/>
        <v>-0.2887941006522432</v>
      </c>
      <c r="L38" s="724">
        <f t="shared" si="2"/>
        <v>5.6422660895083396</v>
      </c>
      <c r="M38" s="55">
        <f>+VLOOKUP($A38,[1]Data12!$A$12:$I$43,9,0)/$B$100/1000</f>
        <v>3.3685683833910609</v>
      </c>
      <c r="N38" s="55">
        <f>+VLOOKUP($A38,[1]Data10!$A$10:$I$43,9,0)/$G$92/1000</f>
        <v>2.2736977061172792</v>
      </c>
      <c r="O38" s="725">
        <f t="shared" si="3"/>
        <v>0.97401819120491184</v>
      </c>
      <c r="P38" s="101"/>
      <c r="Q38" s="101"/>
      <c r="R38" s="55"/>
    </row>
    <row r="39" spans="1:18" x14ac:dyDescent="0.35">
      <c r="A39" s="13" t="s">
        <v>79</v>
      </c>
      <c r="B39" s="723">
        <f>TableA2!C39</f>
        <v>393.17191976124013</v>
      </c>
      <c r="C39" s="112">
        <f>TableA2b!C39</f>
        <v>371.05269286947726</v>
      </c>
      <c r="D39" s="112">
        <f t="shared" si="0"/>
        <v>22.119226891762878</v>
      </c>
      <c r="E39" s="112">
        <f>+VLOOKUP($A39,[1]Data11!$A$12:$I$43,9,0)/$B$100/1000</f>
        <v>310.87284660830755</v>
      </c>
      <c r="F39" s="112">
        <f t="shared" si="4"/>
        <v>82.299073152932579</v>
      </c>
      <c r="G39" s="663">
        <f>TableA2!D39+TableA2!G39</f>
        <v>285.80316949090513</v>
      </c>
      <c r="H39" s="718">
        <f>(VLOOKUP(TableA9!A39,[1]OECDTable14a!$A$15:$XO$51,146,0))/VLOOKUP($A39,[1]FX!$B$2:$D$54,3,0)/1000</f>
        <v>270.13982004283218</v>
      </c>
      <c r="I39" s="719">
        <f>(VLOOKUP(TableA9!A39,[1]OECDTable14a!$A$15:$XO$51,246,0))/VLOOKUP($A39,[1]FX!$B$2:$D$54,3,0)/1000</f>
        <v>15.663349448072941</v>
      </c>
      <c r="J39" s="8">
        <f>+VLOOKUP($A39,[1]Data9!$A$12:$I$43,9,0)/$G$92/1000</f>
        <v>197.66153279676683</v>
      </c>
      <c r="K39" s="55">
        <f t="shared" si="1"/>
        <v>88.141636694138299</v>
      </c>
      <c r="L39" s="724">
        <f t="shared" si="2"/>
        <v>111.50002384493473</v>
      </c>
      <c r="M39" s="55">
        <f>+VLOOKUP($A39,[1]Data12!$A$12:$I$43,9,0)/$B$100/1000</f>
        <v>66.877167532293257</v>
      </c>
      <c r="N39" s="55">
        <f>+VLOOKUP($A39,[1]Data10!$A$10:$I$43,9,0)/$G$92/1000</f>
        <v>44.622856312641474</v>
      </c>
      <c r="O39" s="725">
        <f t="shared" si="3"/>
        <v>0.79310717009982057</v>
      </c>
      <c r="P39" s="101"/>
      <c r="Q39" s="101"/>
      <c r="R39" s="55"/>
    </row>
    <row r="40" spans="1:18" x14ac:dyDescent="0.35">
      <c r="A40" s="13" t="s">
        <v>80</v>
      </c>
      <c r="B40" s="723">
        <f>TableA2!C40</f>
        <v>164.05430760342725</v>
      </c>
      <c r="C40" s="112">
        <f>TableA2b!C40</f>
        <v>156.5661996473911</v>
      </c>
      <c r="D40" s="112">
        <f t="shared" si="0"/>
        <v>7.4881079560361457</v>
      </c>
      <c r="E40" s="112">
        <f>+VLOOKUP($A40,[1]Data11!$A$12:$I$43,9,0)/$B$100/1000</f>
        <v>163.65918981732875</v>
      </c>
      <c r="F40" s="112">
        <f t="shared" si="4"/>
        <v>0.39511778609849557</v>
      </c>
      <c r="G40" s="663">
        <f>TableA2!D40+TableA2!G40</f>
        <v>123.77103492525822</v>
      </c>
      <c r="H40" s="718">
        <f>(VLOOKUP(TableA9!A40,[1]OECDTable14a!$A$15:$XO$51,146,0))/VLOOKUP($A40,[1]FX!$B$2:$D$54,3,0)/1000</f>
        <v>112.87171862516436</v>
      </c>
      <c r="I40" s="719">
        <f>(VLOOKUP(TableA9!A40,[1]OECDTable14a!$A$15:$XO$51,246,0))/VLOOKUP($A40,[1]FX!$B$2:$D$54,3,0)/1000</f>
        <v>10.89931630009386</v>
      </c>
      <c r="J40" s="8">
        <f>+VLOOKUP($A40,[1]Data9!$A$12:$I$43,9,0)/$G$92/1000</f>
        <v>87.159827140574592</v>
      </c>
      <c r="K40" s="55">
        <f t="shared" si="1"/>
        <v>36.611207784683629</v>
      </c>
      <c r="L40" s="724">
        <f t="shared" si="2"/>
        <v>68.35123005999742</v>
      </c>
      <c r="M40" s="55">
        <f>+VLOOKUP($A40,[1]Data12!$A$12:$I$43,9,0)/$B$100/1000</f>
        <v>45.255054202105526</v>
      </c>
      <c r="N40" s="55">
        <f>+VLOOKUP($A40,[1]Data10!$A$10:$I$43,9,0)/$G$92/1000</f>
        <v>23.096175857891893</v>
      </c>
      <c r="O40" s="725">
        <f t="shared" si="3"/>
        <v>0.93089724922897521</v>
      </c>
      <c r="P40" s="101"/>
      <c r="Q40" s="101"/>
      <c r="R40" s="55"/>
    </row>
    <row r="41" spans="1:18" x14ac:dyDescent="0.35">
      <c r="A41" s="13" t="s">
        <v>1</v>
      </c>
      <c r="B41" s="723">
        <f>TableA2!C41</f>
        <v>321.15382930461016</v>
      </c>
      <c r="C41" s="112">
        <f>TableA2b!C41</f>
        <v>285.58877294959063</v>
      </c>
      <c r="D41" s="112">
        <f t="shared" si="0"/>
        <v>35.565056355019522</v>
      </c>
      <c r="E41" s="112"/>
      <c r="F41" s="112"/>
      <c r="G41" s="663">
        <f>TableA2!D41+TableA2!G41</f>
        <v>162.36674206992865</v>
      </c>
      <c r="H41" s="718">
        <f>(VLOOKUP(TableA9!A41,[1]OECDTable14a!$A$15:$XO$51,146,0))/VLOOKUP($A41,[1]FX!$B$2:$D$54,3,0)/1000</f>
        <v>133.37341188157288</v>
      </c>
      <c r="I41" s="719">
        <f>(VLOOKUP(TableA9!A41,[1]OECDTable14a!$A$15:$XO$51,246,0))/VLOOKUP($A41,[1]FX!$B$2:$D$54,3,0)/1000</f>
        <v>28.993330188355749</v>
      </c>
      <c r="J41" s="8"/>
      <c r="K41" s="55"/>
      <c r="L41" s="724"/>
      <c r="M41" s="55"/>
      <c r="N41" s="55"/>
      <c r="O41" s="725"/>
      <c r="P41" s="101"/>
      <c r="Q41" s="101"/>
      <c r="R41" s="55"/>
    </row>
    <row r="42" spans="1:18" x14ac:dyDescent="0.35">
      <c r="A42" s="13" t="s">
        <v>81</v>
      </c>
      <c r="B42" s="723">
        <f>TableA2!C42</f>
        <v>180.37437743772173</v>
      </c>
      <c r="C42" s="112">
        <f>TableA2b!C42</f>
        <v>169.57876977612943</v>
      </c>
      <c r="D42" s="112">
        <f t="shared" si="0"/>
        <v>10.7956076615923</v>
      </c>
      <c r="E42" s="112"/>
      <c r="F42" s="112"/>
      <c r="G42" s="663">
        <f>TableA2!D42+TableA2!G42</f>
        <v>281.38281160099098</v>
      </c>
      <c r="H42" s="718">
        <f>(VLOOKUP(TableA9!A42,[1]OECDTable14a!$A$15:$XO$51,146,0))/VLOOKUP($A42,[1]FX!$B$2:$D$54,3,0)/1000</f>
        <v>266.96332990074666</v>
      </c>
      <c r="I42" s="719">
        <f>(VLOOKUP(TableA9!A42,[1]OECDTable14a!$A$15:$XO$51,246,0))/VLOOKUP($A42,[1]FX!$B$2:$D$54,3,0)/1000</f>
        <v>14.419481700244374</v>
      </c>
      <c r="J42" s="8"/>
      <c r="K42" s="55"/>
      <c r="L42" s="724"/>
      <c r="M42" s="55"/>
      <c r="N42" s="55"/>
      <c r="O42" s="725"/>
      <c r="P42" s="101"/>
      <c r="Q42" s="101"/>
      <c r="R42" s="55"/>
    </row>
    <row r="43" spans="1:18" x14ac:dyDescent="0.35">
      <c r="A43" s="13" t="s">
        <v>82</v>
      </c>
      <c r="B43" s="723">
        <f>TableA2!C43</f>
        <v>1012.5690365062753</v>
      </c>
      <c r="C43" s="112">
        <f>TableA2b!C43</f>
        <v>914.7102185487629</v>
      </c>
      <c r="D43" s="112">
        <f t="shared" si="0"/>
        <v>97.858817957512429</v>
      </c>
      <c r="E43" s="112">
        <f>+VLOOKUP($A43,[1]Data11!$A$12:$I$43,9,0)/$B$100/1000</f>
        <v>687.21965445624505</v>
      </c>
      <c r="F43" s="112">
        <f t="shared" si="4"/>
        <v>325.34938205003027</v>
      </c>
      <c r="G43" s="663">
        <f>TableA2!D43+TableA2!G43</f>
        <v>606.97278261998781</v>
      </c>
      <c r="H43" s="718">
        <f>(VLOOKUP(TableA9!A43,[1]OECDTable14a!$A$15:$XO$51,146,0))/VLOOKUP($A43,[1]FX!$B$2:$D$54,3,0)/1000</f>
        <v>525.31758702610216</v>
      </c>
      <c r="I43" s="719">
        <f>(VLOOKUP(TableA9!A43,[1]OECDTable14a!$A$15:$XO$51,246,0))/VLOOKUP($A43,[1]FX!$B$2:$D$54,3,0)/1000</f>
        <v>81.655195593885836</v>
      </c>
      <c r="J43" s="8">
        <f>+VLOOKUP($A43,[1]Data9!$A$12:$I$43,9,0)/$G$92/1000</f>
        <v>722.56114010309068</v>
      </c>
      <c r="K43" s="55">
        <f t="shared" si="1"/>
        <v>-115.58835748310287</v>
      </c>
      <c r="L43" s="724">
        <f t="shared" si="2"/>
        <v>429.05135767551087</v>
      </c>
      <c r="M43" s="55">
        <f>+VLOOKUP($A43,[1]Data12!$A$12:$I$43,9,0)/$B$100/1000</f>
        <v>190.48008470713972</v>
      </c>
      <c r="N43" s="55">
        <f>+VLOOKUP($A43,[1]Data10!$A$10:$I$43,9,0)/$G$92/1000</f>
        <v>238.57127296837115</v>
      </c>
      <c r="O43" s="725">
        <f t="shared" si="3"/>
        <v>0.97899553682336404</v>
      </c>
      <c r="P43" s="101"/>
      <c r="Q43" s="101"/>
      <c r="R43" s="55"/>
    </row>
    <row r="44" spans="1:18" ht="16" thickBot="1" x14ac:dyDescent="0.4">
      <c r="A44" s="726" t="s">
        <v>0</v>
      </c>
      <c r="B44" s="727">
        <f>TableA2!C44</f>
        <v>6036.1069000000007</v>
      </c>
      <c r="C44" s="728">
        <f>TableA2b!C44</f>
        <v>5360.1337000000003</v>
      </c>
      <c r="D44" s="728">
        <f t="shared" si="0"/>
        <v>675.97320000000036</v>
      </c>
      <c r="E44" s="728">
        <f>B44</f>
        <v>6036.1069000000007</v>
      </c>
      <c r="F44" s="728">
        <f t="shared" si="4"/>
        <v>0</v>
      </c>
      <c r="G44" s="729">
        <f>TableA2!D44+TableA2!G44</f>
        <v>3713.6565000000001</v>
      </c>
      <c r="H44" s="730">
        <f>(VLOOKUP(TableA9!A44,[1]OECDTable14a!$A$15:$XO$51,146,0))/VLOOKUP($A44,[1]FX!$B$2:$D$54,3,0)/1000</f>
        <v>3061.2428999999997</v>
      </c>
      <c r="I44" s="731">
        <f>(VLOOKUP(TableA9!A44,[1]OECDTable14a!$A$15:$XO$51,246,0))/VLOOKUP($A44,[1]FX!$B$2:$D$54,3,0)/1000</f>
        <v>652.41359999999997</v>
      </c>
      <c r="J44" s="19">
        <f>G44</f>
        <v>3713.6565000000001</v>
      </c>
      <c r="K44" s="732">
        <f t="shared" si="1"/>
        <v>0</v>
      </c>
      <c r="L44" s="733">
        <f t="shared" si="2"/>
        <v>834.53200000000004</v>
      </c>
      <c r="M44" s="732">
        <v>539.10500000000002</v>
      </c>
      <c r="N44" s="732">
        <v>295.42700000000002</v>
      </c>
      <c r="O44" s="734">
        <f t="shared" si="3"/>
        <v>1.1577398640502552</v>
      </c>
      <c r="P44" s="101"/>
      <c r="Q44" s="101"/>
      <c r="R44" s="55"/>
    </row>
    <row r="45" spans="1:18" ht="31.5" hidden="1" thickTop="1" x14ac:dyDescent="0.35">
      <c r="A45" s="38" t="s">
        <v>99</v>
      </c>
      <c r="B45" s="271"/>
      <c r="C45" s="162"/>
      <c r="D45" s="162"/>
      <c r="E45" s="162"/>
      <c r="F45" s="162"/>
      <c r="G45" s="712"/>
      <c r="H45" s="6"/>
      <c r="I45" s="720"/>
      <c r="J45" s="3"/>
      <c r="K45" s="3"/>
      <c r="L45" s="20"/>
      <c r="M45" s="3"/>
      <c r="N45" s="3"/>
      <c r="O45" s="176"/>
      <c r="P45" s="3"/>
      <c r="Q45" s="3"/>
      <c r="R45" s="3"/>
    </row>
    <row r="46" spans="1:18" hidden="1" x14ac:dyDescent="0.35">
      <c r="A46" s="95" t="s">
        <v>92</v>
      </c>
      <c r="B46" s="278">
        <f>TableA2!C46</f>
        <v>683.84777930021517</v>
      </c>
      <c r="C46" s="162"/>
      <c r="D46" s="162"/>
      <c r="E46" s="162"/>
      <c r="F46" s="162"/>
      <c r="G46" s="663">
        <f>TableA2!D46+TableA2!G46</f>
        <v>421.2199</v>
      </c>
      <c r="H46" s="6"/>
      <c r="I46" s="720"/>
      <c r="J46" s="393"/>
      <c r="K46" s="3"/>
      <c r="L46" s="20"/>
      <c r="M46" s="3"/>
      <c r="N46" s="3"/>
      <c r="O46" s="176"/>
      <c r="P46" s="3"/>
      <c r="Q46" s="3"/>
      <c r="R46" s="3"/>
    </row>
    <row r="47" spans="1:18" hidden="1" x14ac:dyDescent="0.35">
      <c r="A47" s="31" t="s">
        <v>101</v>
      </c>
      <c r="B47" s="278">
        <f>TableA2!C47</f>
        <v>3000.3468631285727</v>
      </c>
      <c r="C47" s="162"/>
      <c r="D47" s="162"/>
      <c r="E47" s="162"/>
      <c r="F47" s="162"/>
      <c r="G47" s="663">
        <f>TableA2!D47+TableA2!G47</f>
        <v>3211.4979222099973</v>
      </c>
      <c r="H47" s="6"/>
      <c r="I47" s="720"/>
      <c r="J47" s="393"/>
      <c r="K47" s="3"/>
      <c r="L47" s="20"/>
      <c r="M47" s="3"/>
      <c r="N47" s="3"/>
      <c r="O47" s="176"/>
      <c r="P47" s="3"/>
      <c r="Q47" s="3"/>
      <c r="R47" s="3"/>
    </row>
    <row r="48" spans="1:18" hidden="1" x14ac:dyDescent="0.35">
      <c r="A48" s="31" t="s">
        <v>93</v>
      </c>
      <c r="B48" s="278">
        <f>TableA2!C48</f>
        <v>54.170478374899503</v>
      </c>
      <c r="C48" s="162"/>
      <c r="D48" s="162"/>
      <c r="E48" s="162"/>
      <c r="F48" s="162"/>
      <c r="G48" s="663">
        <f>TableA2!D48+TableA2!G48</f>
        <v>80.853621322501638</v>
      </c>
      <c r="H48" s="6"/>
      <c r="I48" s="720"/>
      <c r="J48" s="393"/>
      <c r="K48" s="3"/>
      <c r="L48" s="20"/>
      <c r="M48" s="3"/>
      <c r="N48" s="3"/>
      <c r="O48" s="176"/>
      <c r="P48" s="3"/>
      <c r="Q48" s="3"/>
      <c r="R48" s="3"/>
    </row>
    <row r="49" spans="1:18" hidden="1" x14ac:dyDescent="0.35">
      <c r="A49" s="31" t="s">
        <v>94</v>
      </c>
      <c r="B49" s="278">
        <f>TableA2!C49</f>
        <v>15.631819704056245</v>
      </c>
      <c r="C49" s="272"/>
      <c r="D49" s="272"/>
      <c r="E49" s="272"/>
      <c r="F49" s="272"/>
      <c r="G49" s="663">
        <f>TableA2!D49+TableA2!G49</f>
        <v>14.355682190986528</v>
      </c>
      <c r="H49" s="6"/>
      <c r="I49" s="720"/>
      <c r="J49" s="393"/>
      <c r="K49" s="3"/>
      <c r="L49" s="20"/>
      <c r="M49" s="3"/>
      <c r="N49" s="3"/>
      <c r="O49" s="176"/>
      <c r="P49" s="3"/>
      <c r="Q49" s="3"/>
      <c r="R49" s="3"/>
    </row>
    <row r="50" spans="1:18" ht="14.25" hidden="1" customHeight="1" x14ac:dyDescent="0.35">
      <c r="A50" s="31" t="s">
        <v>102</v>
      </c>
      <c r="B50" s="278">
        <f>TableA2!C50</f>
        <v>318.62573018831665</v>
      </c>
      <c r="C50" s="162"/>
      <c r="D50" s="162"/>
      <c r="E50" s="162"/>
      <c r="F50" s="162"/>
      <c r="G50" s="663">
        <f>TableA2!D50+TableA2!G50</f>
        <v>600.39006768056788</v>
      </c>
      <c r="H50" s="6"/>
      <c r="I50" s="720"/>
      <c r="J50" s="393"/>
      <c r="K50" s="3"/>
      <c r="L50" s="20"/>
      <c r="M50" s="3"/>
      <c r="N50" s="3"/>
      <c r="O50" s="176"/>
      <c r="P50" s="3"/>
      <c r="Q50" s="3"/>
      <c r="R50" s="3"/>
    </row>
    <row r="51" spans="1:18" ht="14.25" hidden="1" customHeight="1" x14ac:dyDescent="0.35">
      <c r="A51" s="31" t="s">
        <v>103</v>
      </c>
      <c r="B51" s="278">
        <f>TableA2!C51</f>
        <v>465.66449313355542</v>
      </c>
      <c r="C51" s="272"/>
      <c r="D51" s="272"/>
      <c r="E51" s="272"/>
      <c r="F51" s="272"/>
      <c r="G51" s="663">
        <f>TableA2!D51+TableA2!G51</f>
        <v>390.67700792531377</v>
      </c>
      <c r="H51" s="6"/>
      <c r="I51" s="720"/>
      <c r="J51" s="393"/>
      <c r="K51" s="3"/>
      <c r="L51" s="20"/>
      <c r="M51" s="3"/>
      <c r="N51" s="3"/>
      <c r="O51" s="176"/>
      <c r="P51" s="3"/>
      <c r="Q51" s="3"/>
      <c r="R51" s="3"/>
    </row>
    <row r="52" spans="1:18" ht="14.25" hidden="1" customHeight="1" x14ac:dyDescent="0.35">
      <c r="A52" s="13" t="s">
        <v>97</v>
      </c>
      <c r="B52" s="278">
        <f>TableA2!C52</f>
        <v>97.137143202548756</v>
      </c>
      <c r="C52" s="272"/>
      <c r="D52" s="272"/>
      <c r="E52" s="272"/>
      <c r="F52" s="272"/>
      <c r="G52" s="663">
        <f>TableA2!D52+TableA2!G52</f>
        <v>95.182230045806293</v>
      </c>
      <c r="H52" s="6"/>
      <c r="I52" s="720"/>
      <c r="J52" s="393"/>
      <c r="K52" s="3"/>
      <c r="L52" s="20"/>
      <c r="M52" s="3"/>
      <c r="N52" s="3"/>
      <c r="O52" s="176"/>
      <c r="P52" s="3"/>
      <c r="Q52" s="3"/>
      <c r="R52" s="3"/>
    </row>
    <row r="53" spans="1:18" ht="31" hidden="1" x14ac:dyDescent="0.35">
      <c r="A53" s="38" t="s">
        <v>100</v>
      </c>
      <c r="B53" s="271"/>
      <c r="C53" s="272"/>
      <c r="D53" s="272"/>
      <c r="E53" s="272"/>
      <c r="F53" s="272"/>
      <c r="G53" s="712"/>
      <c r="H53" s="6"/>
      <c r="I53" s="720"/>
      <c r="J53" s="3"/>
      <c r="K53" s="3"/>
      <c r="L53" s="20"/>
      <c r="M53" s="3"/>
      <c r="N53" s="3"/>
      <c r="O53" s="176"/>
      <c r="P53" s="3"/>
      <c r="Q53" s="3"/>
      <c r="R53" s="3"/>
    </row>
    <row r="54" spans="1:18" ht="14.25" hidden="1" customHeight="1" x14ac:dyDescent="0.35">
      <c r="A54" s="264" t="s">
        <v>272</v>
      </c>
      <c r="B54" s="61">
        <f>+TableA2!C54</f>
        <v>0.50910500000000003</v>
      </c>
      <c r="C54" s="272"/>
      <c r="D54" s="272"/>
      <c r="E54" s="272"/>
      <c r="F54" s="272"/>
      <c r="G54" s="663">
        <f>TableA2!D54+TableA2!G54</f>
        <v>1.3810950000000002</v>
      </c>
      <c r="H54" s="6"/>
      <c r="I54" s="720"/>
      <c r="J54" s="393"/>
      <c r="K54" s="3"/>
      <c r="L54" s="20"/>
      <c r="M54" s="3"/>
      <c r="N54" s="3"/>
      <c r="O54" s="176"/>
      <c r="P54" s="3"/>
      <c r="Q54" s="3"/>
      <c r="R54" s="3"/>
    </row>
    <row r="55" spans="1:18" ht="14.25" hidden="1" customHeight="1" x14ac:dyDescent="0.35">
      <c r="A55" s="264" t="s">
        <v>273</v>
      </c>
      <c r="B55" s="61">
        <f>+TableA2!C55</f>
        <v>4.8179904000000003E-2</v>
      </c>
      <c r="C55" s="272"/>
      <c r="D55" s="272"/>
      <c r="E55" s="272"/>
      <c r="F55" s="272"/>
      <c r="G55" s="663">
        <f>TableA2!D55+TableA2!G55</f>
        <v>0.13070209600000002</v>
      </c>
      <c r="H55" s="6"/>
      <c r="I55" s="720"/>
      <c r="J55" s="393"/>
      <c r="K55" s="3"/>
      <c r="L55" s="20"/>
      <c r="M55" s="3"/>
      <c r="N55" s="3"/>
      <c r="O55" s="176"/>
      <c r="P55" s="3"/>
      <c r="Q55" s="3"/>
      <c r="R55" s="3"/>
    </row>
    <row r="56" spans="1:18" ht="14.25" hidden="1" customHeight="1" x14ac:dyDescent="0.35">
      <c r="A56" s="289" t="str">
        <f>+TableA1!A56</f>
        <v>Antigua and Barbuda</v>
      </c>
      <c r="B56" s="61">
        <f>+TableA2!C56</f>
        <v>9.4220399999999996E-2</v>
      </c>
      <c r="C56" s="290"/>
      <c r="D56" s="290"/>
      <c r="E56" s="290"/>
      <c r="F56" s="290"/>
      <c r="G56" s="391">
        <f>TableA2!D56+TableA2!G56</f>
        <v>0.82339459999999998</v>
      </c>
      <c r="H56" s="6"/>
      <c r="I56" s="720"/>
      <c r="J56" s="393"/>
      <c r="K56" s="3"/>
      <c r="L56" s="300"/>
      <c r="M56" s="3"/>
      <c r="N56" s="3"/>
      <c r="O56" s="307"/>
      <c r="P56" s="3"/>
      <c r="Q56" s="3"/>
      <c r="R56" s="3"/>
    </row>
    <row r="57" spans="1:18" ht="14.25" hidden="1" customHeight="1" x14ac:dyDescent="0.35">
      <c r="A57" s="264" t="s">
        <v>274</v>
      </c>
      <c r="B57" s="61">
        <f>+TableA2!C57</f>
        <v>0.45270100000000002</v>
      </c>
      <c r="C57" s="272"/>
      <c r="D57" s="272"/>
      <c r="E57" s="272"/>
      <c r="F57" s="272"/>
      <c r="G57" s="663">
        <f>TableA2!D57+TableA2!G57</f>
        <v>1.2280789999999999</v>
      </c>
      <c r="H57" s="6"/>
      <c r="I57" s="720"/>
      <c r="J57" s="393"/>
      <c r="K57" s="3"/>
      <c r="L57" s="20"/>
      <c r="M57" s="3"/>
      <c r="N57" s="3"/>
      <c r="O57" s="176"/>
      <c r="P57" s="3"/>
      <c r="Q57" s="3"/>
      <c r="R57" s="3"/>
    </row>
    <row r="58" spans="1:18" ht="14.25" hidden="1" customHeight="1" x14ac:dyDescent="0.35">
      <c r="A58" s="264" t="s">
        <v>275</v>
      </c>
      <c r="B58" s="61">
        <f>+TableA2!C58</f>
        <v>0.49227100000000001</v>
      </c>
      <c r="C58" s="272"/>
      <c r="D58" s="272"/>
      <c r="E58" s="272"/>
      <c r="F58" s="272"/>
      <c r="G58" s="663">
        <f>TableA2!D58+TableA2!G58</f>
        <v>7.0645190000000007</v>
      </c>
      <c r="H58" s="6"/>
      <c r="I58" s="720"/>
      <c r="J58" s="393"/>
      <c r="K58" s="3"/>
      <c r="L58" s="20"/>
      <c r="M58" s="3"/>
      <c r="N58" s="3"/>
      <c r="O58" s="176"/>
      <c r="P58" s="3"/>
      <c r="Q58" s="3"/>
      <c r="R58" s="3"/>
    </row>
    <row r="59" spans="1:18" ht="14.25" hidden="1" customHeight="1" x14ac:dyDescent="0.35">
      <c r="A59" s="264" t="s">
        <v>276</v>
      </c>
      <c r="B59" s="61">
        <f>+TableA2!C59</f>
        <v>10.122538414747584</v>
      </c>
      <c r="C59" s="272"/>
      <c r="D59" s="272"/>
      <c r="E59" s="272"/>
      <c r="F59" s="272"/>
      <c r="G59" s="663">
        <f>TableA2!D59+TableA2!G59</f>
        <v>11.994661585252416</v>
      </c>
      <c r="H59" s="6"/>
      <c r="I59" s="720"/>
      <c r="J59" s="393"/>
      <c r="K59" s="3"/>
      <c r="L59" s="20"/>
      <c r="M59" s="3"/>
      <c r="N59" s="3"/>
      <c r="O59" s="176"/>
      <c r="P59" s="3"/>
      <c r="Q59" s="3"/>
      <c r="R59" s="3"/>
    </row>
    <row r="60" spans="1:18" ht="14.25" hidden="1" customHeight="1" x14ac:dyDescent="0.35">
      <c r="A60" s="289" t="str">
        <f>+TableA1!A60</f>
        <v>Barbados</v>
      </c>
      <c r="B60" s="61">
        <f>+TableA2!C60</f>
        <v>0.34493299999999999</v>
      </c>
      <c r="C60" s="290"/>
      <c r="D60" s="290"/>
      <c r="E60" s="290"/>
      <c r="F60" s="290"/>
      <c r="G60" s="391">
        <f>TableA2!D60+TableA2!G60</f>
        <v>2.737047</v>
      </c>
      <c r="H60" s="6"/>
      <c r="I60" s="720"/>
      <c r="J60" s="393"/>
      <c r="K60" s="3"/>
      <c r="L60" s="300"/>
      <c r="M60" s="3"/>
      <c r="N60" s="3"/>
      <c r="O60" s="307"/>
      <c r="P60" s="3"/>
      <c r="Q60" s="3"/>
      <c r="R60" s="3"/>
    </row>
    <row r="61" spans="1:18" ht="14.25" hidden="1" customHeight="1" x14ac:dyDescent="0.35">
      <c r="A61" s="264" t="s">
        <v>277</v>
      </c>
      <c r="B61" s="61">
        <f>+TableA2!C61</f>
        <v>0.13389599999999999</v>
      </c>
      <c r="C61" s="272"/>
      <c r="D61" s="272"/>
      <c r="E61" s="272"/>
      <c r="F61" s="272"/>
      <c r="G61" s="663">
        <f>TableA2!D61+TableA2!G61</f>
        <v>1.037644</v>
      </c>
      <c r="H61" s="6"/>
      <c r="I61" s="720"/>
      <c r="J61" s="393"/>
      <c r="K61" s="3"/>
      <c r="L61" s="20"/>
      <c r="M61" s="3"/>
      <c r="N61" s="3"/>
      <c r="O61" s="176"/>
      <c r="P61" s="3"/>
      <c r="Q61" s="3"/>
      <c r="R61" s="3"/>
    </row>
    <row r="62" spans="1:18" ht="14.25" hidden="1" customHeight="1" x14ac:dyDescent="0.35">
      <c r="A62" s="264" t="s">
        <v>213</v>
      </c>
      <c r="B62" s="61">
        <f>+TableA2!C62</f>
        <v>3.0988699999999998</v>
      </c>
      <c r="C62" s="272"/>
      <c r="D62" s="272"/>
      <c r="E62" s="272"/>
      <c r="F62" s="272"/>
      <c r="G62" s="663">
        <f>TableA2!D62+TableA2!G62</f>
        <v>1.7479000000000005</v>
      </c>
      <c r="H62" s="6"/>
      <c r="I62" s="720"/>
      <c r="J62" s="393"/>
      <c r="K62" s="3"/>
      <c r="L62" s="20"/>
      <c r="M62" s="3"/>
      <c r="N62" s="3"/>
      <c r="O62" s="176"/>
      <c r="P62" s="3"/>
      <c r="Q62" s="3"/>
      <c r="R62" s="3"/>
    </row>
    <row r="63" spans="1:18" ht="14.25" hidden="1" customHeight="1" x14ac:dyDescent="0.35">
      <c r="A63" s="264" t="s">
        <v>278</v>
      </c>
      <c r="B63" s="61">
        <f>+TableA2!C63</f>
        <v>7.2464799999999996E-2</v>
      </c>
      <c r="C63" s="272"/>
      <c r="D63" s="272"/>
      <c r="E63" s="272"/>
      <c r="F63" s="272"/>
      <c r="G63" s="663">
        <f>TableA2!D63+TableA2!G63</f>
        <v>0.19658120000000001</v>
      </c>
      <c r="H63" s="6"/>
      <c r="I63" s="720"/>
      <c r="J63" s="393"/>
      <c r="K63" s="3"/>
      <c r="L63" s="20"/>
      <c r="M63" s="3"/>
      <c r="N63" s="3"/>
      <c r="O63" s="176"/>
      <c r="P63" s="3"/>
      <c r="Q63" s="3"/>
      <c r="R63" s="3"/>
    </row>
    <row r="64" spans="1:18" ht="14.25" hidden="1" customHeight="1" x14ac:dyDescent="0.35">
      <c r="A64" s="264" t="s">
        <v>279</v>
      </c>
      <c r="B64" s="61">
        <f>+TableA2!C64</f>
        <v>0.16297200000000001</v>
      </c>
      <c r="C64" s="272"/>
      <c r="D64" s="272"/>
      <c r="E64" s="272"/>
      <c r="F64" s="272"/>
      <c r="G64" s="663">
        <f>TableA2!D64+TableA2!G64</f>
        <v>0.44210899999999997</v>
      </c>
      <c r="H64" s="6"/>
      <c r="I64" s="720"/>
      <c r="J64" s="393"/>
      <c r="K64" s="3"/>
      <c r="L64" s="20"/>
      <c r="M64" s="3"/>
      <c r="N64" s="3"/>
      <c r="O64" s="176"/>
      <c r="P64" s="3"/>
      <c r="Q64" s="3"/>
      <c r="R64" s="3"/>
    </row>
    <row r="65" spans="1:18" ht="14.25" hidden="1" customHeight="1" x14ac:dyDescent="0.35">
      <c r="A65" s="282" t="s">
        <v>291</v>
      </c>
      <c r="B65" s="61">
        <f>+TableA2!C65</f>
        <v>1.41639</v>
      </c>
      <c r="C65" s="272"/>
      <c r="D65" s="272"/>
      <c r="E65" s="272"/>
      <c r="F65" s="272"/>
      <c r="G65" s="663">
        <f>TableA2!D65+TableA2!G65</f>
        <v>0.90257000000000009</v>
      </c>
      <c r="H65" s="6"/>
      <c r="I65" s="720"/>
      <c r="J65" s="393"/>
      <c r="K65" s="3"/>
      <c r="L65" s="20"/>
      <c r="M65" s="3"/>
      <c r="N65" s="3"/>
      <c r="O65" s="176"/>
      <c r="P65" s="3"/>
      <c r="Q65" s="3"/>
      <c r="R65" s="3"/>
    </row>
    <row r="66" spans="1:18" ht="14.25" hidden="1" customHeight="1" x14ac:dyDescent="0.35">
      <c r="A66" s="264" t="s">
        <v>280</v>
      </c>
      <c r="B66" s="61">
        <f>+TableA2!C66</f>
        <v>1.3583099999999999</v>
      </c>
      <c r="C66" s="272"/>
      <c r="D66" s="272"/>
      <c r="E66" s="272"/>
      <c r="F66" s="272"/>
      <c r="G66" s="663">
        <f>TableA2!D66+TableA2!G66</f>
        <v>0.66642000000000001</v>
      </c>
      <c r="H66" s="6"/>
      <c r="I66" s="720"/>
      <c r="J66" s="393"/>
      <c r="K66" s="3"/>
      <c r="L66" s="20"/>
      <c r="M66" s="3"/>
      <c r="N66" s="3"/>
      <c r="O66" s="176"/>
      <c r="P66" s="3"/>
      <c r="Q66" s="3"/>
      <c r="R66" s="3"/>
    </row>
    <row r="67" spans="1:18" ht="14.25" hidden="1" customHeight="1" x14ac:dyDescent="0.35">
      <c r="A67" s="289" t="str">
        <f>+TableA1!A67</f>
        <v>Cyprus</v>
      </c>
      <c r="B67" s="61">
        <f>+TableA2!C67</f>
        <v>5.5453299999999999</v>
      </c>
      <c r="C67" s="290"/>
      <c r="D67" s="290"/>
      <c r="E67" s="290"/>
      <c r="F67" s="290"/>
      <c r="G67" s="391">
        <f>TableA2!D67+TableA2!G67</f>
        <v>4.4174199999999999</v>
      </c>
      <c r="H67" s="6"/>
      <c r="I67" s="720"/>
      <c r="J67" s="393"/>
      <c r="K67" s="3"/>
      <c r="L67" s="300"/>
      <c r="M67" s="3"/>
      <c r="N67" s="3"/>
      <c r="O67" s="307"/>
      <c r="P67" s="3"/>
      <c r="Q67" s="3"/>
      <c r="R67" s="3"/>
    </row>
    <row r="68" spans="1:18" ht="14.25" hidden="1" customHeight="1" x14ac:dyDescent="0.35">
      <c r="A68" s="264" t="s">
        <v>281</v>
      </c>
      <c r="B68" s="61">
        <f>+TableA2!C68</f>
        <v>1.2626299999999999</v>
      </c>
      <c r="C68" s="272"/>
      <c r="D68" s="272"/>
      <c r="E68" s="272"/>
      <c r="F68" s="272"/>
      <c r="G68" s="663">
        <f>TableA2!D68+TableA2!G68</f>
        <v>3.42523</v>
      </c>
      <c r="H68" s="6"/>
      <c r="I68" s="720"/>
      <c r="J68" s="393"/>
      <c r="K68" s="3"/>
      <c r="L68" s="20"/>
      <c r="M68" s="3"/>
      <c r="N68" s="3"/>
      <c r="O68" s="176"/>
      <c r="P68" s="3"/>
      <c r="Q68" s="3"/>
      <c r="R68" s="3"/>
    </row>
    <row r="69" spans="1:18" ht="14.25" hidden="1" customHeight="1" x14ac:dyDescent="0.35">
      <c r="A69" s="289" t="str">
        <f>+TableA1!A69</f>
        <v>Grenada</v>
      </c>
      <c r="B69" s="61">
        <f>+TableA2!C69</f>
        <v>7.3907048000000003E-2</v>
      </c>
      <c r="C69" s="290"/>
      <c r="D69" s="290"/>
      <c r="E69" s="290"/>
      <c r="F69" s="290"/>
      <c r="G69" s="391">
        <f>TableA2!D69+TableA2!G69</f>
        <v>0.43292695199999998</v>
      </c>
      <c r="H69" s="6"/>
      <c r="I69" s="720"/>
      <c r="J69" s="393"/>
      <c r="K69" s="3"/>
      <c r="L69" s="300"/>
      <c r="M69" s="3"/>
      <c r="N69" s="3"/>
      <c r="O69" s="307"/>
      <c r="P69" s="3"/>
      <c r="Q69" s="3"/>
      <c r="R69" s="3"/>
    </row>
    <row r="70" spans="1:18" ht="14.25" hidden="1" customHeight="1" x14ac:dyDescent="0.35">
      <c r="A70" s="264" t="s">
        <v>282</v>
      </c>
      <c r="B70" s="61">
        <f>+TableA2!C70</f>
        <v>0.84902900000000003</v>
      </c>
      <c r="C70" s="272"/>
      <c r="D70" s="272"/>
      <c r="E70" s="272"/>
      <c r="F70" s="272"/>
      <c r="G70" s="663">
        <f>TableA2!D70+TableA2!G70</f>
        <v>2.3032310000000003</v>
      </c>
      <c r="H70" s="6"/>
      <c r="I70" s="720"/>
      <c r="J70" s="393"/>
      <c r="K70" s="3"/>
      <c r="L70" s="20"/>
      <c r="M70" s="3"/>
      <c r="N70" s="3"/>
      <c r="O70" s="176"/>
      <c r="P70" s="3"/>
      <c r="Q70" s="3"/>
      <c r="R70" s="3"/>
    </row>
    <row r="71" spans="1:18" ht="14.25" hidden="1" customHeight="1" x14ac:dyDescent="0.35">
      <c r="A71" s="264" t="s">
        <v>283</v>
      </c>
      <c r="B71" s="61">
        <f>+TableA2!C71</f>
        <v>0.45451200000000003</v>
      </c>
      <c r="C71" s="272"/>
      <c r="D71" s="272"/>
      <c r="E71" s="272"/>
      <c r="F71" s="272"/>
      <c r="G71" s="391">
        <f>TableA2!D71+TableA2!G71</f>
        <v>1.232988</v>
      </c>
      <c r="H71" s="6"/>
      <c r="I71" s="720"/>
      <c r="J71" s="393"/>
      <c r="K71" s="3"/>
      <c r="L71" s="20"/>
      <c r="M71" s="3"/>
      <c r="N71" s="3"/>
      <c r="O71" s="176"/>
      <c r="P71" s="3"/>
      <c r="Q71" s="3"/>
      <c r="R71" s="3"/>
    </row>
    <row r="72" spans="1:18" ht="14.25" hidden="1" customHeight="1" x14ac:dyDescent="0.35">
      <c r="A72" s="264" t="s">
        <v>220</v>
      </c>
      <c r="B72" s="61">
        <f>+TableA2!C72</f>
        <v>117.069</v>
      </c>
      <c r="C72" s="272"/>
      <c r="D72" s="272"/>
      <c r="E72" s="272"/>
      <c r="F72" s="272"/>
      <c r="G72" s="391">
        <f>TableA2!D72+TableA2!G72</f>
        <v>102.02300000000001</v>
      </c>
      <c r="H72" s="6"/>
      <c r="I72" s="720"/>
      <c r="J72" s="393"/>
      <c r="K72" s="3"/>
      <c r="L72" s="20"/>
      <c r="M72" s="3"/>
      <c r="N72" s="3"/>
      <c r="O72" s="176"/>
      <c r="P72" s="3"/>
      <c r="Q72" s="3"/>
      <c r="R72" s="3"/>
    </row>
    <row r="73" spans="1:18" ht="14.25" hidden="1" customHeight="1" x14ac:dyDescent="0.35">
      <c r="A73" s="264" t="s">
        <v>284</v>
      </c>
      <c r="B73" s="61">
        <f>+TableA2!C73</f>
        <v>1.22997</v>
      </c>
      <c r="C73" s="272"/>
      <c r="D73" s="272"/>
      <c r="E73" s="272"/>
      <c r="F73" s="272"/>
      <c r="G73" s="391">
        <f>TableA2!D73+TableA2!G73</f>
        <v>3.3366600000000002</v>
      </c>
      <c r="H73" s="6"/>
      <c r="I73" s="720"/>
      <c r="J73" s="393"/>
      <c r="K73" s="3"/>
      <c r="L73" s="20"/>
      <c r="M73" s="3"/>
      <c r="N73" s="3"/>
      <c r="O73" s="176"/>
      <c r="P73" s="3"/>
      <c r="Q73" s="3"/>
      <c r="R73" s="3"/>
    </row>
    <row r="74" spans="1:18" ht="14.25" hidden="1" customHeight="1" x14ac:dyDescent="0.35">
      <c r="A74" s="264" t="s">
        <v>285</v>
      </c>
      <c r="B74" s="61">
        <f>+TableA2!C74</f>
        <v>15.218728393333157</v>
      </c>
      <c r="C74" s="272"/>
      <c r="D74" s="272"/>
      <c r="E74" s="272"/>
      <c r="F74" s="272"/>
      <c r="G74" s="391">
        <f>TableA2!D74+TableA2!G74</f>
        <v>18.03337160666684</v>
      </c>
      <c r="H74" s="6"/>
      <c r="I74" s="720"/>
      <c r="J74" s="393"/>
      <c r="K74" s="3"/>
      <c r="L74" s="20"/>
      <c r="M74" s="3"/>
      <c r="N74" s="3"/>
      <c r="O74" s="176"/>
      <c r="P74" s="3"/>
      <c r="Q74" s="3"/>
      <c r="R74" s="3"/>
    </row>
    <row r="75" spans="1:18" ht="14.25" hidden="1" customHeight="1" x14ac:dyDescent="0.35">
      <c r="A75" s="264" t="s">
        <v>286</v>
      </c>
      <c r="B75" s="61">
        <f>+TableA2!C75</f>
        <v>2.9184000000000001</v>
      </c>
      <c r="C75" s="272"/>
      <c r="D75" s="272"/>
      <c r="E75" s="272"/>
      <c r="F75" s="272"/>
      <c r="G75" s="391">
        <f>TableA2!D75+TableA2!G75</f>
        <v>1.8204899999999995</v>
      </c>
      <c r="H75" s="6"/>
      <c r="I75" s="720"/>
      <c r="J75" s="393"/>
      <c r="K75" s="3"/>
      <c r="L75" s="20"/>
      <c r="M75" s="3"/>
      <c r="N75" s="3"/>
      <c r="O75" s="176"/>
      <c r="P75" s="3"/>
      <c r="Q75" s="3"/>
      <c r="R75" s="3"/>
    </row>
    <row r="76" spans="1:18" ht="14.25" hidden="1" customHeight="1" x14ac:dyDescent="0.35">
      <c r="A76" s="264" t="s">
        <v>287</v>
      </c>
      <c r="B76" s="61">
        <f>+TableA2!C76</f>
        <v>10.102600000000001</v>
      </c>
      <c r="C76" s="162"/>
      <c r="D76" s="162"/>
      <c r="E76" s="162"/>
      <c r="F76" s="162"/>
      <c r="G76" s="391">
        <f>TableA2!D76+TableA2!G76</f>
        <v>15.1149</v>
      </c>
      <c r="H76" s="6"/>
      <c r="I76" s="720"/>
      <c r="J76" s="393"/>
      <c r="K76" s="3"/>
      <c r="L76" s="20"/>
      <c r="M76" s="3"/>
      <c r="N76" s="3"/>
      <c r="O76" s="176"/>
      <c r="P76" s="3"/>
      <c r="Q76" s="3"/>
      <c r="R76" s="3"/>
    </row>
    <row r="77" spans="1:18" ht="14.25" hidden="1" customHeight="1" x14ac:dyDescent="0.35">
      <c r="A77" s="289" t="s">
        <v>301</v>
      </c>
      <c r="B77" s="61">
        <f>+TableA2!C77</f>
        <v>2.7482700000000002</v>
      </c>
      <c r="C77" s="290"/>
      <c r="D77" s="290"/>
      <c r="E77" s="290"/>
      <c r="F77" s="290"/>
      <c r="G77" s="391">
        <f>TableA2!D77+TableA2!G77</f>
        <v>3.1253499999999996</v>
      </c>
      <c r="H77" s="6"/>
      <c r="I77" s="720"/>
      <c r="J77" s="393"/>
      <c r="K77" s="3"/>
      <c r="L77" s="300"/>
      <c r="M77" s="3"/>
      <c r="N77" s="3"/>
      <c r="O77" s="307"/>
      <c r="P77" s="3"/>
      <c r="Q77" s="3"/>
      <c r="R77" s="3"/>
    </row>
    <row r="78" spans="1:18" ht="14.25" hidden="1" customHeight="1" x14ac:dyDescent="0.35">
      <c r="A78" s="289" t="s">
        <v>302</v>
      </c>
      <c r="B78" s="61">
        <f>+TableA2!C78</f>
        <v>8.3486143999999998E-2</v>
      </c>
      <c r="C78" s="290"/>
      <c r="D78" s="290"/>
      <c r="E78" s="290"/>
      <c r="F78" s="290"/>
      <c r="G78" s="391">
        <f>TableA2!D78+TableA2!G78</f>
        <v>4.5459856000000007E-2</v>
      </c>
      <c r="H78" s="6"/>
      <c r="I78" s="720"/>
      <c r="J78" s="393"/>
      <c r="K78" s="3"/>
      <c r="L78" s="300"/>
      <c r="M78" s="3"/>
      <c r="N78" s="3"/>
      <c r="O78" s="307"/>
      <c r="P78" s="3"/>
      <c r="Q78" s="3"/>
      <c r="R78" s="3"/>
    </row>
    <row r="79" spans="1:18" ht="14.25" hidden="1" customHeight="1" x14ac:dyDescent="0.35">
      <c r="A79" s="289" t="str">
        <f>+TableA1!A79</f>
        <v>Monaco</v>
      </c>
      <c r="B79" s="61">
        <f>+TableA2!C79</f>
        <v>1.0394000000000001</v>
      </c>
      <c r="C79" s="290"/>
      <c r="D79" s="290"/>
      <c r="E79" s="290"/>
      <c r="F79" s="290"/>
      <c r="G79" s="391">
        <f>TableA2!D79+TableA2!G79</f>
        <v>2.8196699999999999</v>
      </c>
      <c r="H79" s="6"/>
      <c r="I79" s="720"/>
      <c r="J79" s="393"/>
      <c r="K79" s="3"/>
      <c r="L79" s="300"/>
      <c r="M79" s="3"/>
      <c r="N79" s="3"/>
      <c r="O79" s="307"/>
      <c r="P79" s="3"/>
      <c r="Q79" s="3"/>
      <c r="R79" s="3"/>
    </row>
    <row r="80" spans="1:18" ht="14.25" hidden="1" customHeight="1" x14ac:dyDescent="0.35">
      <c r="A80" s="264" t="s">
        <v>288</v>
      </c>
      <c r="B80" s="61">
        <f>+TableA2!C80</f>
        <v>0.14390500000000001</v>
      </c>
      <c r="C80" s="162"/>
      <c r="D80" s="162"/>
      <c r="E80" s="162"/>
      <c r="F80" s="162"/>
      <c r="G80" s="391">
        <f>TableA2!D80+TableA2!G80</f>
        <v>0.39038199999999995</v>
      </c>
      <c r="H80" s="6"/>
      <c r="I80" s="720"/>
      <c r="J80" s="393"/>
      <c r="K80" s="3"/>
      <c r="L80" s="20"/>
      <c r="M80" s="3"/>
      <c r="N80" s="3"/>
      <c r="O80" s="176"/>
      <c r="P80" s="3"/>
      <c r="Q80" s="3"/>
      <c r="R80" s="3"/>
    </row>
    <row r="81" spans="1:20" ht="14.25" hidden="1" customHeight="1" x14ac:dyDescent="0.35">
      <c r="A81" s="264" t="s">
        <v>289</v>
      </c>
      <c r="B81" s="61">
        <f>+TableA2!C81</f>
        <v>0.36308000000000001</v>
      </c>
      <c r="C81" s="28"/>
      <c r="D81" s="28"/>
      <c r="E81" s="28"/>
      <c r="F81" s="28"/>
      <c r="G81" s="391">
        <f>TableA2!D81+TableA2!G81</f>
        <v>7.4977900000000002</v>
      </c>
      <c r="H81" s="6"/>
      <c r="I81" s="720"/>
      <c r="J81" s="393"/>
      <c r="K81" s="3"/>
      <c r="L81" s="20"/>
      <c r="M81" s="3"/>
      <c r="N81" s="3"/>
      <c r="O81" s="176"/>
      <c r="P81" s="3"/>
      <c r="Q81" s="3"/>
      <c r="R81" s="3"/>
    </row>
    <row r="82" spans="1:20" ht="14.25" hidden="1" customHeight="1" x14ac:dyDescent="0.35">
      <c r="A82" s="289" t="str">
        <f>+TableA1!A82</f>
        <v>Seychelles</v>
      </c>
      <c r="B82" s="61">
        <f>+TableA2!C82</f>
        <v>6.9840823999999996E-2</v>
      </c>
      <c r="C82" s="28"/>
      <c r="D82" s="28"/>
      <c r="E82" s="28"/>
      <c r="F82" s="28"/>
      <c r="G82" s="391">
        <f>TableA2!D82+TableA2!G82</f>
        <v>0.89675817600000007</v>
      </c>
      <c r="H82" s="6"/>
      <c r="I82" s="720"/>
      <c r="J82" s="393"/>
      <c r="K82" s="3"/>
      <c r="L82" s="300"/>
      <c r="M82" s="3"/>
      <c r="N82" s="3"/>
      <c r="O82" s="307"/>
      <c r="P82" s="3"/>
      <c r="Q82" s="3"/>
      <c r="R82" s="3"/>
    </row>
    <row r="83" spans="1:20" hidden="1" x14ac:dyDescent="0.35">
      <c r="A83" s="264" t="s">
        <v>225</v>
      </c>
      <c r="B83" s="61">
        <f>+TableA2!C83</f>
        <v>103.461294</v>
      </c>
      <c r="C83" s="28"/>
      <c r="D83" s="28"/>
      <c r="E83" s="28"/>
      <c r="F83" s="28"/>
      <c r="G83" s="391">
        <f>TableA2!D83+TableA2!G83</f>
        <v>89.979724314332955</v>
      </c>
      <c r="H83" s="6"/>
      <c r="I83" s="720"/>
      <c r="J83" s="393"/>
      <c r="K83" s="3"/>
      <c r="L83" s="20"/>
      <c r="M83" s="3"/>
      <c r="N83" s="3"/>
      <c r="O83" s="176"/>
      <c r="P83" s="3"/>
      <c r="Q83" s="3"/>
      <c r="R83" s="3"/>
    </row>
    <row r="84" spans="1:20" hidden="1" x14ac:dyDescent="0.35">
      <c r="A84" s="289" t="str">
        <f>+TableA1!A84</f>
        <v>St. Kitts and Nevis</v>
      </c>
      <c r="B84" s="61">
        <f>+TableA2!C84</f>
        <v>7.3737880000000006E-2</v>
      </c>
      <c r="C84" s="28"/>
      <c r="D84" s="28"/>
      <c r="E84" s="28"/>
      <c r="F84" s="28"/>
      <c r="G84" s="391">
        <f>TableA2!D84+TableA2!G84</f>
        <v>0.51674211999999997</v>
      </c>
      <c r="H84" s="6"/>
      <c r="I84" s="720"/>
      <c r="J84" s="393"/>
      <c r="K84" s="3"/>
      <c r="L84" s="300"/>
      <c r="M84" s="3"/>
      <c r="N84" s="3"/>
      <c r="O84" s="307"/>
      <c r="P84" s="3"/>
      <c r="Q84" s="3"/>
      <c r="R84" s="3"/>
    </row>
    <row r="85" spans="1:20" hidden="1" x14ac:dyDescent="0.35">
      <c r="A85" s="289" t="str">
        <f>+TableA1!A85</f>
        <v>St. Lucia</v>
      </c>
      <c r="B85" s="61">
        <f>+TableA2!C85</f>
        <v>0.115233</v>
      </c>
      <c r="C85" s="28"/>
      <c r="D85" s="28"/>
      <c r="E85" s="28"/>
      <c r="F85" s="28"/>
      <c r="G85" s="391">
        <f>TableA2!D85+TableA2!G85</f>
        <v>0.99350700000000003</v>
      </c>
      <c r="H85" s="6"/>
      <c r="I85" s="720"/>
      <c r="J85" s="393"/>
      <c r="K85" s="3"/>
      <c r="L85" s="300"/>
      <c r="M85" s="3"/>
      <c r="N85" s="3"/>
      <c r="O85" s="307"/>
      <c r="P85" s="3"/>
      <c r="Q85" s="3"/>
      <c r="R85" s="3"/>
    </row>
    <row r="86" spans="1:20" hidden="1" x14ac:dyDescent="0.35">
      <c r="A86" s="289" t="str">
        <f>+TableA1!A86</f>
        <v>St. Vincent and the Grenadines</v>
      </c>
      <c r="B86" s="61">
        <f>+TableA2!C86</f>
        <v>7.3914943999999996E-2</v>
      </c>
      <c r="C86" s="28"/>
      <c r="D86" s="28"/>
      <c r="E86" s="28"/>
      <c r="F86" s="28"/>
      <c r="G86" s="391">
        <f>TableA2!D86+TableA2!G86</f>
        <v>0.43381905600000004</v>
      </c>
      <c r="H86" s="6"/>
      <c r="I86" s="720"/>
      <c r="J86" s="393"/>
      <c r="K86" s="3"/>
      <c r="L86" s="300"/>
      <c r="M86" s="3"/>
      <c r="N86" s="3"/>
      <c r="O86" s="307"/>
      <c r="P86" s="3"/>
      <c r="Q86" s="3"/>
      <c r="R86" s="3"/>
    </row>
    <row r="87" spans="1:20" hidden="1" x14ac:dyDescent="0.35">
      <c r="A87" s="289" t="str">
        <f>+TableA1!A87</f>
        <v>Turks and Caicos</v>
      </c>
      <c r="B87" s="61">
        <f>+TableA2!C87</f>
        <v>0.114443</v>
      </c>
      <c r="C87" s="28"/>
      <c r="D87" s="28"/>
      <c r="E87" s="28"/>
      <c r="F87" s="28"/>
      <c r="G87" s="391">
        <f>TableA2!D87+TableA2!G87</f>
        <v>0.31045899999999998</v>
      </c>
      <c r="H87" s="6"/>
      <c r="I87" s="720"/>
      <c r="J87" s="393"/>
      <c r="K87" s="3"/>
      <c r="L87" s="300"/>
      <c r="M87" s="3"/>
      <c r="N87" s="3"/>
      <c r="O87" s="307"/>
      <c r="P87" s="3"/>
      <c r="Q87" s="3"/>
      <c r="R87" s="3"/>
    </row>
    <row r="88" spans="1:20" hidden="1" x14ac:dyDescent="0.35">
      <c r="A88" s="289" t="str">
        <f>+TableA1!A88</f>
        <v>Panama</v>
      </c>
      <c r="B88" s="61">
        <f>+TableA2!C88</f>
        <v>10.2681</v>
      </c>
      <c r="C88" s="28"/>
      <c r="D88" s="28"/>
      <c r="E88" s="28"/>
      <c r="F88" s="28"/>
      <c r="G88" s="391">
        <f>TableA2!D88+TableA2!G88</f>
        <v>24.781100000000002</v>
      </c>
      <c r="H88" s="6"/>
      <c r="I88" s="720"/>
      <c r="J88" s="393"/>
      <c r="K88" s="3"/>
      <c r="L88" s="300"/>
      <c r="M88" s="3"/>
      <c r="N88" s="3"/>
      <c r="O88" s="307"/>
      <c r="P88" s="3"/>
      <c r="Q88" s="3"/>
      <c r="R88" s="3"/>
    </row>
    <row r="89" spans="1:20" ht="16" hidden="1" thickBot="1" x14ac:dyDescent="0.4">
      <c r="A89" s="277" t="s">
        <v>290</v>
      </c>
      <c r="B89" s="279">
        <f>+TableA2!C89</f>
        <v>23.088800000000003</v>
      </c>
      <c r="C89" s="66"/>
      <c r="D89" s="66"/>
      <c r="E89" s="66"/>
      <c r="F89" s="66"/>
      <c r="G89" s="279">
        <f>TableA2!D89+TableA2!G89</f>
        <v>58.588549999999998</v>
      </c>
      <c r="H89" s="18"/>
      <c r="I89" s="721"/>
      <c r="J89" s="17"/>
      <c r="K89" s="17"/>
      <c r="L89" s="22"/>
      <c r="M89" s="17"/>
      <c r="N89" s="17"/>
      <c r="O89" s="177"/>
    </row>
    <row r="90" spans="1:20" s="2" customFormat="1" ht="16" thickTop="1" x14ac:dyDescent="0.35">
      <c r="G90" s="1"/>
      <c r="H90" s="1"/>
      <c r="I90" s="1"/>
      <c r="J90" s="1"/>
      <c r="K90" s="1"/>
      <c r="L90" s="1"/>
      <c r="M90" s="1"/>
      <c r="N90" s="1"/>
      <c r="O90" s="1"/>
      <c r="P90" s="1"/>
      <c r="Q90" s="1"/>
      <c r="R90" s="1"/>
      <c r="T90" s="1"/>
    </row>
    <row r="91" spans="1:20" s="2" customFormat="1" x14ac:dyDescent="0.35">
      <c r="A91" s="1"/>
      <c r="B91" s="1"/>
      <c r="C91" s="1"/>
      <c r="D91" s="1"/>
      <c r="E91" s="1"/>
      <c r="F91" s="1"/>
      <c r="G91" s="1"/>
      <c r="H91" s="1"/>
      <c r="I91" s="1"/>
      <c r="J91" s="1"/>
      <c r="K91" s="1"/>
      <c r="L91" s="1"/>
      <c r="M91" s="1"/>
      <c r="N91" s="1"/>
      <c r="O91" s="1"/>
      <c r="P91" s="1"/>
      <c r="Q91" s="1"/>
      <c r="R91" s="1"/>
      <c r="T91" s="1"/>
    </row>
    <row r="92" spans="1:20" s="2" customFormat="1" x14ac:dyDescent="0.35">
      <c r="A92" s="27" t="s">
        <v>162</v>
      </c>
      <c r="B92" s="27"/>
      <c r="C92" s="27"/>
      <c r="D92" s="27"/>
      <c r="E92" s="27"/>
      <c r="F92" s="27"/>
      <c r="G92" s="1">
        <v>0.90165899999999999</v>
      </c>
      <c r="H92" s="1"/>
      <c r="I92" s="1"/>
      <c r="J92" s="1"/>
      <c r="K92" s="1"/>
      <c r="L92" s="1"/>
      <c r="M92" s="1"/>
      <c r="N92" s="1"/>
      <c r="O92" s="1"/>
      <c r="P92" s="1"/>
      <c r="Q92" s="1"/>
      <c r="R92" s="1"/>
      <c r="T92" s="1"/>
    </row>
    <row r="93" spans="1:20" s="2" customFormat="1" x14ac:dyDescent="0.35">
      <c r="A93" s="1"/>
      <c r="B93" s="1"/>
      <c r="C93" s="1"/>
      <c r="D93" s="1"/>
      <c r="E93" s="1"/>
      <c r="F93" s="1"/>
      <c r="G93" s="1"/>
      <c r="H93" s="1"/>
      <c r="I93" s="1"/>
      <c r="J93" s="1"/>
      <c r="K93" s="1"/>
      <c r="L93" s="1"/>
      <c r="M93" s="1"/>
      <c r="N93" s="1"/>
      <c r="O93" s="1"/>
      <c r="P93" s="1"/>
      <c r="Q93" s="1"/>
      <c r="R93" s="1"/>
    </row>
    <row r="94" spans="1:20" s="2" customFormat="1" x14ac:dyDescent="0.35">
      <c r="A94" s="1"/>
      <c r="B94" s="1"/>
      <c r="C94" s="1"/>
      <c r="D94" s="1"/>
      <c r="E94" s="1"/>
      <c r="F94" s="1"/>
      <c r="G94" s="1"/>
      <c r="H94" s="1"/>
      <c r="I94" s="1"/>
      <c r="J94" s="1"/>
      <c r="K94" s="1"/>
      <c r="L94" s="1"/>
      <c r="M94" s="1"/>
      <c r="N94" s="1"/>
      <c r="O94" s="1"/>
      <c r="P94" s="1"/>
      <c r="Q94" s="1"/>
      <c r="R94" s="1"/>
    </row>
    <row r="95" spans="1:20" x14ac:dyDescent="0.35">
      <c r="T95" s="2"/>
    </row>
    <row r="96" spans="1:20" s="2" customFormat="1" x14ac:dyDescent="0.35">
      <c r="A96" s="1"/>
      <c r="B96" s="1"/>
      <c r="C96" s="1"/>
      <c r="D96" s="1"/>
      <c r="E96" s="1"/>
      <c r="F96" s="1"/>
      <c r="G96" s="1"/>
      <c r="H96" s="1"/>
      <c r="I96" s="1"/>
      <c r="J96" s="1"/>
      <c r="K96" s="1"/>
      <c r="L96" s="1"/>
      <c r="M96" s="1"/>
      <c r="N96" s="1"/>
      <c r="O96" s="1"/>
      <c r="P96" s="1"/>
      <c r="Q96" s="1"/>
      <c r="R96" s="1"/>
    </row>
    <row r="97" spans="1:20" x14ac:dyDescent="0.35">
      <c r="T97" s="2"/>
    </row>
    <row r="98" spans="1:20" x14ac:dyDescent="0.35">
      <c r="T98" s="2"/>
    </row>
    <row r="100" spans="1:20" x14ac:dyDescent="0.35">
      <c r="A100" s="27" t="s">
        <v>162</v>
      </c>
      <c r="B100" s="1">
        <v>0.90165899999999999</v>
      </c>
      <c r="T100" s="2"/>
    </row>
  </sheetData>
  <mergeCells count="10">
    <mergeCell ref="O5:O8"/>
    <mergeCell ref="A2:O2"/>
    <mergeCell ref="L6:N6"/>
    <mergeCell ref="L7:L8"/>
    <mergeCell ref="B5:N5"/>
    <mergeCell ref="J7:J8"/>
    <mergeCell ref="G7:G8"/>
    <mergeCell ref="B7:B8"/>
    <mergeCell ref="E7:E8"/>
    <mergeCell ref="B6:K6"/>
  </mergeCells>
  <pageMargins left="0.75" right="0.75" top="1" bottom="1" header="0.5" footer="0.5"/>
  <pageSetup scale="51" fitToHeight="0"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2:I98"/>
  <sheetViews>
    <sheetView workbookViewId="0">
      <pane xSplit="1" ySplit="7" topLeftCell="B8" activePane="bottomRight" state="frozen"/>
      <selection pane="topRight" activeCell="B1" sqref="B1"/>
      <selection pane="bottomLeft" activeCell="A8" sqref="A8"/>
      <selection pane="bottomRight" activeCell="B15" sqref="B15"/>
    </sheetView>
  </sheetViews>
  <sheetFormatPr baseColWidth="10" defaultColWidth="8.81640625" defaultRowHeight="12.5" x14ac:dyDescent="0.25"/>
  <cols>
    <col min="1" max="1" width="50" style="161" customWidth="1"/>
    <col min="2" max="7" width="14.1796875" style="161" customWidth="1"/>
    <col min="8" max="16384" width="8.81640625" style="161"/>
  </cols>
  <sheetData>
    <row r="2" spans="1:9" ht="13" thickBot="1" x14ac:dyDescent="0.3"/>
    <row r="3" spans="1:9" ht="32.25" customHeight="1" thickTop="1" x14ac:dyDescent="0.25">
      <c r="A3" s="2235" t="s">
        <v>250</v>
      </c>
      <c r="B3" s="2236"/>
      <c r="C3" s="2236"/>
      <c r="D3" s="2236"/>
      <c r="E3" s="2236"/>
      <c r="F3" s="2236"/>
      <c r="G3" s="2237"/>
    </row>
    <row r="4" spans="1:9" ht="12" customHeight="1" x14ac:dyDescent="0.25">
      <c r="A4" s="168"/>
      <c r="B4" s="169"/>
      <c r="C4" s="169"/>
      <c r="D4" s="169"/>
      <c r="E4" s="169"/>
      <c r="F4" s="169"/>
      <c r="G4" s="170"/>
    </row>
    <row r="5" spans="1:9" ht="15" customHeight="1" x14ac:dyDescent="0.25">
      <c r="A5" s="179" t="s">
        <v>166</v>
      </c>
      <c r="B5" s="227" t="s">
        <v>20</v>
      </c>
      <c r="C5" s="227" t="s">
        <v>21</v>
      </c>
      <c r="D5" s="227" t="s">
        <v>22</v>
      </c>
      <c r="E5" s="227" t="s">
        <v>23</v>
      </c>
      <c r="F5" s="227" t="s">
        <v>24</v>
      </c>
      <c r="G5" s="228" t="s">
        <v>25</v>
      </c>
    </row>
    <row r="6" spans="1:9" ht="16" customHeight="1" x14ac:dyDescent="0.25">
      <c r="A6" s="216"/>
      <c r="B6" s="2241" t="s">
        <v>251</v>
      </c>
      <c r="C6" s="2242"/>
      <c r="D6" s="2242"/>
      <c r="E6" s="2242"/>
      <c r="F6" s="2242"/>
      <c r="G6" s="2243"/>
    </row>
    <row r="7" spans="1:9" ht="71.25" customHeight="1" x14ac:dyDescent="0.25">
      <c r="A7" s="217" t="s">
        <v>166</v>
      </c>
      <c r="B7" s="915" t="s">
        <v>582</v>
      </c>
      <c r="C7" s="183" t="s">
        <v>13</v>
      </c>
      <c r="D7" s="184" t="s">
        <v>197</v>
      </c>
      <c r="E7" s="184" t="s">
        <v>198</v>
      </c>
      <c r="F7" s="184" t="s">
        <v>199</v>
      </c>
      <c r="G7" s="211" t="s">
        <v>200</v>
      </c>
    </row>
    <row r="8" spans="1:9" ht="19.5" customHeight="1" x14ac:dyDescent="0.35">
      <c r="A8" s="206" t="s">
        <v>242</v>
      </c>
      <c r="B8" s="186">
        <v>1357462</v>
      </c>
      <c r="C8" s="187">
        <v>610542</v>
      </c>
      <c r="D8" s="188">
        <v>481431</v>
      </c>
      <c r="E8" s="188">
        <v>-53776</v>
      </c>
      <c r="F8" s="188">
        <v>176257</v>
      </c>
      <c r="G8" s="212">
        <v>143008</v>
      </c>
    </row>
    <row r="9" spans="1:9" ht="15.5" x14ac:dyDescent="0.35">
      <c r="A9" s="207" t="s">
        <v>166</v>
      </c>
      <c r="B9" s="192" t="s">
        <v>166</v>
      </c>
      <c r="C9" s="189" t="s">
        <v>166</v>
      </c>
      <c r="D9" s="193" t="s">
        <v>166</v>
      </c>
      <c r="E9" s="193" t="s">
        <v>166</v>
      </c>
      <c r="F9" s="193" t="s">
        <v>166</v>
      </c>
      <c r="G9" s="213" t="s">
        <v>166</v>
      </c>
    </row>
    <row r="10" spans="1:9" ht="15.5" x14ac:dyDescent="0.35">
      <c r="A10" s="207" t="s">
        <v>243</v>
      </c>
      <c r="B10" s="186">
        <v>131569</v>
      </c>
      <c r="C10" s="187">
        <v>63828</v>
      </c>
      <c r="D10" s="188">
        <v>32722</v>
      </c>
      <c r="E10" s="188">
        <v>480</v>
      </c>
      <c r="F10" s="188">
        <v>20965</v>
      </c>
      <c r="G10" s="212">
        <v>13574</v>
      </c>
    </row>
    <row r="11" spans="1:9" ht="15.5" x14ac:dyDescent="0.35">
      <c r="A11" s="207" t="s">
        <v>166</v>
      </c>
      <c r="B11" s="192" t="s">
        <v>166</v>
      </c>
      <c r="C11" s="189" t="s">
        <v>166</v>
      </c>
      <c r="D11" s="193" t="s">
        <v>166</v>
      </c>
      <c r="E11" s="193" t="s">
        <v>166</v>
      </c>
      <c r="F11" s="193" t="s">
        <v>166</v>
      </c>
      <c r="G11" s="213" t="s">
        <v>166</v>
      </c>
    </row>
    <row r="12" spans="1:9" ht="15.5" x14ac:dyDescent="0.35">
      <c r="A12" s="207" t="s">
        <v>244</v>
      </c>
      <c r="B12" s="186">
        <v>685991</v>
      </c>
      <c r="C12" s="187">
        <v>308697</v>
      </c>
      <c r="D12" s="188">
        <v>250726</v>
      </c>
      <c r="E12" s="188">
        <v>-23838</v>
      </c>
      <c r="F12" s="188">
        <v>92464</v>
      </c>
      <c r="G12" s="212">
        <v>57942</v>
      </c>
      <c r="I12" s="287"/>
    </row>
    <row r="13" spans="1:9" ht="15.5" x14ac:dyDescent="0.35">
      <c r="A13" s="208" t="s">
        <v>55</v>
      </c>
      <c r="B13" s="196">
        <v>4874</v>
      </c>
      <c r="C13" s="197">
        <v>3983</v>
      </c>
      <c r="D13" s="198">
        <v>-15</v>
      </c>
      <c r="E13" s="198">
        <v>3</v>
      </c>
      <c r="F13" s="198">
        <v>418</v>
      </c>
      <c r="G13" s="214">
        <v>486</v>
      </c>
      <c r="I13" s="287"/>
    </row>
    <row r="14" spans="1:9" ht="15.5" x14ac:dyDescent="0.35">
      <c r="A14" s="208" t="s">
        <v>2</v>
      </c>
      <c r="B14" s="196">
        <v>21705</v>
      </c>
      <c r="C14" s="197">
        <v>11003</v>
      </c>
      <c r="D14" s="198">
        <v>6614</v>
      </c>
      <c r="E14" s="198">
        <v>-735</v>
      </c>
      <c r="F14" s="198">
        <v>2840</v>
      </c>
      <c r="G14" s="214">
        <v>1983</v>
      </c>
      <c r="I14" s="287"/>
    </row>
    <row r="15" spans="1:9" ht="15.5" x14ac:dyDescent="0.35">
      <c r="A15" s="208" t="s">
        <v>58</v>
      </c>
      <c r="B15" s="196">
        <v>5173</v>
      </c>
      <c r="C15" s="197">
        <v>2218</v>
      </c>
      <c r="D15" s="198">
        <v>1348</v>
      </c>
      <c r="E15" s="198">
        <v>-13</v>
      </c>
      <c r="F15" s="198">
        <v>983</v>
      </c>
      <c r="G15" s="214">
        <v>638</v>
      </c>
      <c r="I15" s="287"/>
    </row>
    <row r="16" spans="1:9" ht="15.5" x14ac:dyDescent="0.35">
      <c r="A16" s="208" t="s">
        <v>59</v>
      </c>
      <c r="B16" s="196">
        <v>5939</v>
      </c>
      <c r="C16" s="197">
        <v>3857</v>
      </c>
      <c r="D16" s="198">
        <v>1008</v>
      </c>
      <c r="E16" s="198">
        <v>29</v>
      </c>
      <c r="F16" s="198">
        <v>310</v>
      </c>
      <c r="G16" s="214">
        <v>735</v>
      </c>
      <c r="I16" s="287"/>
    </row>
    <row r="17" spans="1:9" ht="15.5" x14ac:dyDescent="0.35">
      <c r="A17" s="208" t="s">
        <v>61</v>
      </c>
      <c r="B17" s="196">
        <v>1182</v>
      </c>
      <c r="C17" s="197">
        <v>2040</v>
      </c>
      <c r="D17" s="198">
        <v>-1759</v>
      </c>
      <c r="E17" s="198">
        <v>11</v>
      </c>
      <c r="F17" s="198">
        <v>617</v>
      </c>
      <c r="G17" s="214">
        <v>274</v>
      </c>
      <c r="I17" s="287"/>
    </row>
    <row r="18" spans="1:9" ht="15.5" x14ac:dyDescent="0.35">
      <c r="A18" s="208" t="s">
        <v>48</v>
      </c>
      <c r="B18" s="196">
        <v>49222</v>
      </c>
      <c r="C18" s="197">
        <v>33515</v>
      </c>
      <c r="D18" s="198">
        <v>4826</v>
      </c>
      <c r="E18" s="198">
        <v>589</v>
      </c>
      <c r="F18" s="198">
        <v>6780</v>
      </c>
      <c r="G18" s="214">
        <v>3513</v>
      </c>
      <c r="I18" s="287"/>
    </row>
    <row r="19" spans="1:9" ht="15.5" x14ac:dyDescent="0.35">
      <c r="A19" s="207" t="s">
        <v>166</v>
      </c>
      <c r="B19" s="192" t="s">
        <v>166</v>
      </c>
      <c r="C19" s="189" t="s">
        <v>166</v>
      </c>
      <c r="D19" s="1759" t="s">
        <v>166</v>
      </c>
      <c r="E19" s="1759" t="s">
        <v>166</v>
      </c>
      <c r="F19" s="1759" t="s">
        <v>166</v>
      </c>
      <c r="G19" s="1760" t="s">
        <v>166</v>
      </c>
      <c r="I19" s="287"/>
    </row>
    <row r="20" spans="1:9" ht="15.5" x14ac:dyDescent="0.35">
      <c r="A20" s="208" t="s">
        <v>62</v>
      </c>
      <c r="B20" s="196">
        <v>86775</v>
      </c>
      <c r="C20" s="197">
        <v>53184</v>
      </c>
      <c r="D20" s="1754">
        <v>13033</v>
      </c>
      <c r="E20" s="1754">
        <v>554</v>
      </c>
      <c r="F20" s="1754">
        <v>12990</v>
      </c>
      <c r="G20" s="1755">
        <v>7015</v>
      </c>
      <c r="I20" s="287"/>
    </row>
    <row r="21" spans="1:9" ht="15.5" x14ac:dyDescent="0.35">
      <c r="A21" s="208" t="s">
        <v>63</v>
      </c>
      <c r="B21" s="196">
        <v>2381</v>
      </c>
      <c r="C21" s="197">
        <v>889</v>
      </c>
      <c r="D21" s="1754">
        <v>129</v>
      </c>
      <c r="E21" s="1754">
        <f>B21-C21-D21-F21-G21</f>
        <v>899.06753295597173</v>
      </c>
      <c r="F21" s="1756">
        <f>F$12*B21/B$12</f>
        <v>320.93246704402827</v>
      </c>
      <c r="G21" s="1755">
        <v>143</v>
      </c>
      <c r="I21" s="287"/>
    </row>
    <row r="22" spans="1:9" ht="15.5" x14ac:dyDescent="0.35">
      <c r="A22" s="208" t="s">
        <v>64</v>
      </c>
      <c r="B22" s="196">
        <v>14572</v>
      </c>
      <c r="C22" s="197">
        <v>1618</v>
      </c>
      <c r="D22" s="1754">
        <f>B22-C22-E22-F22-G22</f>
        <v>12001</v>
      </c>
      <c r="E22" s="1754">
        <v>27</v>
      </c>
      <c r="F22" s="1754">
        <v>382</v>
      </c>
      <c r="G22" s="1755">
        <f>TableA10b!G22</f>
        <v>544</v>
      </c>
      <c r="I22" s="287"/>
    </row>
    <row r="23" spans="1:9" ht="15.5" x14ac:dyDescent="0.35">
      <c r="A23" s="208" t="s">
        <v>19</v>
      </c>
      <c r="B23" s="196">
        <v>86775</v>
      </c>
      <c r="C23" s="197">
        <v>9304</v>
      </c>
      <c r="D23" s="1754">
        <v>72039</v>
      </c>
      <c r="E23" s="1754">
        <v>-1619</v>
      </c>
      <c r="F23" s="1754">
        <v>1118</v>
      </c>
      <c r="G23" s="1755">
        <v>5934</v>
      </c>
      <c r="I23" s="287"/>
    </row>
    <row r="24" spans="1:9" ht="15.5" x14ac:dyDescent="0.35">
      <c r="A24" s="208" t="s">
        <v>66</v>
      </c>
      <c r="B24" s="196">
        <v>30124</v>
      </c>
      <c r="C24" s="197">
        <v>14533</v>
      </c>
      <c r="D24" s="1754">
        <v>4248</v>
      </c>
      <c r="E24" s="1754">
        <v>216</v>
      </c>
      <c r="F24" s="1754">
        <v>8642</v>
      </c>
      <c r="G24" s="1755">
        <v>2486</v>
      </c>
      <c r="I24" s="287"/>
    </row>
    <row r="25" spans="1:9" ht="15.5" x14ac:dyDescent="0.35">
      <c r="A25" s="208" t="s">
        <v>70</v>
      </c>
      <c r="B25" s="196">
        <v>8269</v>
      </c>
      <c r="C25" s="197">
        <v>1692</v>
      </c>
      <c r="D25" s="1754">
        <v>9433</v>
      </c>
      <c r="E25" s="1754">
        <v>-5077</v>
      </c>
      <c r="F25" s="1754">
        <v>944</v>
      </c>
      <c r="G25" s="1755">
        <v>1278</v>
      </c>
      <c r="I25" s="287"/>
    </row>
    <row r="26" spans="1:9" ht="15.5" x14ac:dyDescent="0.35">
      <c r="A26" s="208" t="s">
        <v>72</v>
      </c>
      <c r="B26" s="196">
        <v>48383</v>
      </c>
      <c r="C26" s="197">
        <v>18307</v>
      </c>
      <c r="D26" s="1754">
        <v>32814</v>
      </c>
      <c r="E26" s="1754">
        <v>-10504</v>
      </c>
      <c r="F26" s="1754">
        <v>3845</v>
      </c>
      <c r="G26" s="1755">
        <v>3920</v>
      </c>
      <c r="I26" s="287"/>
    </row>
    <row r="27" spans="1:9" ht="15.5" x14ac:dyDescent="0.35">
      <c r="A27" s="207" t="s">
        <v>166</v>
      </c>
      <c r="B27" s="192" t="s">
        <v>166</v>
      </c>
      <c r="C27" s="189" t="s">
        <v>166</v>
      </c>
      <c r="D27" s="193" t="s">
        <v>166</v>
      </c>
      <c r="E27" s="193" t="s">
        <v>166</v>
      </c>
      <c r="F27" s="193" t="s">
        <v>166</v>
      </c>
      <c r="G27" s="213" t="s">
        <v>166</v>
      </c>
      <c r="I27" s="287"/>
    </row>
    <row r="28" spans="1:9" ht="15.5" x14ac:dyDescent="0.35">
      <c r="A28" s="208" t="s">
        <v>74</v>
      </c>
      <c r="B28" s="196">
        <v>17489</v>
      </c>
      <c r="C28" s="1753">
        <v>4992</v>
      </c>
      <c r="D28" s="1754">
        <v>6507</v>
      </c>
      <c r="E28" s="1754">
        <v>417</v>
      </c>
      <c r="F28" s="1754">
        <v>2202</v>
      </c>
      <c r="G28" s="1755">
        <v>3372</v>
      </c>
      <c r="I28" s="287"/>
    </row>
    <row r="29" spans="1:9" ht="15.5" x14ac:dyDescent="0.35">
      <c r="A29" s="208" t="s">
        <v>75</v>
      </c>
      <c r="B29" s="196">
        <v>9504</v>
      </c>
      <c r="C29" s="1753">
        <v>4419</v>
      </c>
      <c r="D29" s="1754">
        <v>1563</v>
      </c>
      <c r="E29" s="1754">
        <v>-844</v>
      </c>
      <c r="F29" s="1754">
        <v>2941</v>
      </c>
      <c r="G29" s="1755">
        <v>1424</v>
      </c>
      <c r="I29" s="287"/>
    </row>
    <row r="30" spans="1:9" ht="15.5" x14ac:dyDescent="0.35">
      <c r="A30" s="208" t="s">
        <v>76</v>
      </c>
      <c r="B30" s="196">
        <v>3329</v>
      </c>
      <c r="C30" s="1753">
        <v>1281</v>
      </c>
      <c r="D30" s="1754">
        <v>506</v>
      </c>
      <c r="E30" s="1754">
        <f>B30-C30-D30-F30-G30</f>
        <v>790.28761747603107</v>
      </c>
      <c r="F30" s="1756">
        <f>F$12*B30/B$12</f>
        <v>448.71238252396898</v>
      </c>
      <c r="G30" s="1755">
        <v>303</v>
      </c>
      <c r="I30" s="287"/>
    </row>
    <row r="31" spans="1:9" ht="15.5" x14ac:dyDescent="0.35">
      <c r="A31" s="208" t="s">
        <v>103</v>
      </c>
      <c r="B31" s="196">
        <v>9586</v>
      </c>
      <c r="C31" s="1753">
        <v>4770</v>
      </c>
      <c r="D31" s="1754">
        <v>574</v>
      </c>
      <c r="E31" s="1754">
        <v>235</v>
      </c>
      <c r="F31" s="1754">
        <v>2851</v>
      </c>
      <c r="G31" s="1755">
        <v>1155</v>
      </c>
      <c r="I31" s="287"/>
    </row>
    <row r="32" spans="1:9" ht="15.5" x14ac:dyDescent="0.35">
      <c r="A32" s="208" t="s">
        <v>79</v>
      </c>
      <c r="B32" s="196">
        <v>15052</v>
      </c>
      <c r="C32" s="1753">
        <v>10393</v>
      </c>
      <c r="D32" s="1754">
        <v>2793</v>
      </c>
      <c r="E32" s="1754">
        <v>-997</v>
      </c>
      <c r="F32" s="1754">
        <v>915</v>
      </c>
      <c r="G32" s="1755">
        <v>1948</v>
      </c>
      <c r="I32" s="287"/>
    </row>
    <row r="33" spans="1:9" ht="15.5" x14ac:dyDescent="0.35">
      <c r="A33" s="208" t="s">
        <v>80</v>
      </c>
      <c r="B33" s="196">
        <v>10038</v>
      </c>
      <c r="C33" s="1753">
        <v>5832</v>
      </c>
      <c r="D33" s="1754">
        <v>2691</v>
      </c>
      <c r="E33" s="1754">
        <v>155</v>
      </c>
      <c r="F33" s="1754">
        <v>275</v>
      </c>
      <c r="G33" s="1755">
        <v>1084</v>
      </c>
      <c r="I33" s="287"/>
    </row>
    <row r="34" spans="1:9" ht="15.5" x14ac:dyDescent="0.35">
      <c r="A34" s="208" t="s">
        <v>1</v>
      </c>
      <c r="B34" s="196">
        <v>54005</v>
      </c>
      <c r="C34" s="1753">
        <v>12912</v>
      </c>
      <c r="D34" s="1754">
        <v>39189</v>
      </c>
      <c r="E34" s="1754">
        <v>-1637</v>
      </c>
      <c r="F34" s="1754">
        <v>1850</v>
      </c>
      <c r="G34" s="1755">
        <v>1693</v>
      </c>
      <c r="I34" s="287"/>
    </row>
    <row r="35" spans="1:9" ht="15.5" x14ac:dyDescent="0.35">
      <c r="A35" s="208" t="s">
        <v>81</v>
      </c>
      <c r="B35" s="196">
        <v>8981</v>
      </c>
      <c r="C35" s="1753">
        <v>1971</v>
      </c>
      <c r="D35" s="1754">
        <v>851</v>
      </c>
      <c r="E35" s="1754">
        <f>B35-C35-D35-F35-G35</f>
        <v>-1941.3551504320058</v>
      </c>
      <c r="F35" s="1756">
        <f>F12-F13-F14-F15-F16-F17-F18-F20-F21-F22-F23-F24-F25-F26-F28-F29-F30-F31-F32-F33-F34-F36-F37</f>
        <v>7753.3551504320058</v>
      </c>
      <c r="G35" s="1757">
        <f>G12-G13-G14-G15-G16-G17-G18-G20-G21-G22-G23-G24-G25-G26-G29-G28-G30-G31-G32-G33-G34-G36-G37</f>
        <v>347</v>
      </c>
      <c r="I35" s="287"/>
    </row>
    <row r="36" spans="1:9" ht="15.5" x14ac:dyDescent="0.35">
      <c r="A36" s="208" t="s">
        <v>82</v>
      </c>
      <c r="B36" s="196">
        <v>172944</v>
      </c>
      <c r="C36" s="1753">
        <v>101251</v>
      </c>
      <c r="D36" s="1754">
        <v>32949</v>
      </c>
      <c r="E36" s="1754">
        <v>-4222</v>
      </c>
      <c r="F36" s="1754">
        <v>28293</v>
      </c>
      <c r="G36" s="1755">
        <v>14673</v>
      </c>
      <c r="I36" s="287"/>
    </row>
    <row r="37" spans="1:9" ht="15.5" x14ac:dyDescent="0.35">
      <c r="A37" s="208" t="s">
        <v>202</v>
      </c>
      <c r="B37" s="196">
        <v>19685</v>
      </c>
      <c r="C37" s="1753">
        <v>4736</v>
      </c>
      <c r="D37" s="1754">
        <f>B37-C37-E37-F37-G37</f>
        <v>7383.9999999999964</v>
      </c>
      <c r="E37" s="1754">
        <f>E12-E13-E14-E15-E16-E17-E18-E20-E21-E22-E23-E24-E25-E26-E28-E29-E30-E31-E32-E33-E34-E35-E36</f>
        <v>-173.99999999999636</v>
      </c>
      <c r="F37" s="1754">
        <v>4745</v>
      </c>
      <c r="G37" s="1755">
        <v>2994</v>
      </c>
      <c r="I37" s="287"/>
    </row>
    <row r="38" spans="1:9" ht="15.5" x14ac:dyDescent="0.35">
      <c r="A38" s="207" t="s">
        <v>166</v>
      </c>
      <c r="B38" s="192" t="s">
        <v>166</v>
      </c>
      <c r="C38" s="1758" t="s">
        <v>166</v>
      </c>
      <c r="D38" s="1759" t="s">
        <v>166</v>
      </c>
      <c r="E38" s="1759" t="s">
        <v>166</v>
      </c>
      <c r="F38" s="1759" t="s">
        <v>166</v>
      </c>
      <c r="G38" s="1760" t="s">
        <v>166</v>
      </c>
    </row>
    <row r="39" spans="1:9" ht="15.5" x14ac:dyDescent="0.35">
      <c r="A39" s="207" t="s">
        <v>245</v>
      </c>
      <c r="B39" s="186">
        <v>150363</v>
      </c>
      <c r="C39" s="187">
        <v>68714</v>
      </c>
      <c r="D39" s="188">
        <v>58839</v>
      </c>
      <c r="E39" s="188">
        <v>-18992</v>
      </c>
      <c r="F39" s="188">
        <v>19509</v>
      </c>
      <c r="G39" s="212">
        <v>22293</v>
      </c>
    </row>
    <row r="40" spans="1:9" ht="15.5" x14ac:dyDescent="0.35">
      <c r="A40" s="207" t="s">
        <v>166</v>
      </c>
      <c r="B40" s="192" t="s">
        <v>166</v>
      </c>
      <c r="C40" s="189" t="s">
        <v>166</v>
      </c>
      <c r="D40" s="193" t="s">
        <v>166</v>
      </c>
      <c r="E40" s="193" t="s">
        <v>166</v>
      </c>
      <c r="F40" s="193" t="s">
        <v>166</v>
      </c>
      <c r="G40" s="213" t="s">
        <v>166</v>
      </c>
    </row>
    <row r="41" spans="1:9" ht="15.5" x14ac:dyDescent="0.35">
      <c r="A41" s="208" t="s">
        <v>203</v>
      </c>
      <c r="B41" s="196">
        <v>76034</v>
      </c>
      <c r="C41" s="197">
        <v>39775</v>
      </c>
      <c r="D41" s="198">
        <v>11637</v>
      </c>
      <c r="E41" s="198">
        <v>-1963</v>
      </c>
      <c r="F41" s="198">
        <v>14210</v>
      </c>
      <c r="G41" s="214">
        <v>12375</v>
      </c>
    </row>
    <row r="42" spans="1:9" ht="15.5" x14ac:dyDescent="0.35">
      <c r="A42" s="209" t="s">
        <v>204</v>
      </c>
      <c r="B42" s="196">
        <v>17744</v>
      </c>
      <c r="C42" s="197">
        <v>6066</v>
      </c>
      <c r="D42" s="198">
        <v>4442</v>
      </c>
      <c r="E42" s="198">
        <v>-223</v>
      </c>
      <c r="F42" s="198">
        <v>5380</v>
      </c>
      <c r="G42" s="214">
        <v>2079</v>
      </c>
    </row>
    <row r="43" spans="1:9" ht="15.5" x14ac:dyDescent="0.35">
      <c r="A43" s="209" t="s">
        <v>92</v>
      </c>
      <c r="B43" s="196">
        <v>36428</v>
      </c>
      <c r="C43" s="197">
        <v>23059</v>
      </c>
      <c r="D43" s="198">
        <v>1443</v>
      </c>
      <c r="E43" s="198">
        <v>-843</v>
      </c>
      <c r="F43" s="198">
        <v>6479</v>
      </c>
      <c r="G43" s="214">
        <v>6290</v>
      </c>
    </row>
    <row r="44" spans="1:9" ht="15.5" x14ac:dyDescent="0.35">
      <c r="A44" s="209" t="s">
        <v>57</v>
      </c>
      <c r="B44" s="196">
        <v>8950</v>
      </c>
      <c r="C44" s="197">
        <v>3893</v>
      </c>
      <c r="D44" s="198">
        <v>3857</v>
      </c>
      <c r="E44" s="198">
        <v>-685</v>
      </c>
      <c r="F44" s="198">
        <v>282</v>
      </c>
      <c r="G44" s="214">
        <v>1604</v>
      </c>
    </row>
    <row r="45" spans="1:9" ht="15.5" x14ac:dyDescent="0.35">
      <c r="A45" s="209" t="s">
        <v>93</v>
      </c>
      <c r="B45" s="196">
        <v>5011</v>
      </c>
      <c r="C45" s="197">
        <v>2609</v>
      </c>
      <c r="D45" s="198">
        <v>639</v>
      </c>
      <c r="E45" s="198">
        <v>-37</v>
      </c>
      <c r="F45" s="198">
        <v>1084</v>
      </c>
      <c r="G45" s="214">
        <v>716</v>
      </c>
    </row>
    <row r="46" spans="1:9" ht="15.5" x14ac:dyDescent="0.35">
      <c r="A46" s="209" t="s">
        <v>205</v>
      </c>
      <c r="B46" s="196">
        <v>953</v>
      </c>
      <c r="C46" s="197">
        <v>495</v>
      </c>
      <c r="D46" s="198">
        <v>135</v>
      </c>
      <c r="E46" s="198">
        <v>-10</v>
      </c>
      <c r="F46" s="198">
        <v>218</v>
      </c>
      <c r="G46" s="214">
        <v>115</v>
      </c>
    </row>
    <row r="47" spans="1:9" ht="15.5" x14ac:dyDescent="0.35">
      <c r="A47" s="209" t="s">
        <v>206</v>
      </c>
      <c r="B47" s="196">
        <v>3700</v>
      </c>
      <c r="C47" s="197">
        <v>1429</v>
      </c>
      <c r="D47" s="198">
        <v>1135</v>
      </c>
      <c r="E47" s="198">
        <v>165</v>
      </c>
      <c r="F47" s="198">
        <v>227</v>
      </c>
      <c r="G47" s="214">
        <v>744</v>
      </c>
    </row>
    <row r="48" spans="1:9" ht="15.5" x14ac:dyDescent="0.35">
      <c r="A48" s="209" t="s">
        <v>207</v>
      </c>
      <c r="B48" s="196">
        <v>1919</v>
      </c>
      <c r="C48" s="197">
        <v>1693</v>
      </c>
      <c r="D48" s="198">
        <v>-361</v>
      </c>
      <c r="E48" s="198">
        <v>-301</v>
      </c>
      <c r="F48" s="198">
        <v>444</v>
      </c>
      <c r="G48" s="214">
        <v>445</v>
      </c>
    </row>
    <row r="49" spans="1:7" ht="15.5" x14ac:dyDescent="0.35">
      <c r="A49" s="209" t="s">
        <v>202</v>
      </c>
      <c r="B49" s="196">
        <v>1328</v>
      </c>
      <c r="C49" s="197">
        <v>531</v>
      </c>
      <c r="D49" s="198">
        <v>347</v>
      </c>
      <c r="E49" s="198">
        <v>-29</v>
      </c>
      <c r="F49" s="198">
        <v>97</v>
      </c>
      <c r="G49" s="214">
        <v>381</v>
      </c>
    </row>
    <row r="50" spans="1:7" ht="15.5" x14ac:dyDescent="0.35">
      <c r="A50" s="207" t="s">
        <v>166</v>
      </c>
      <c r="B50" s="192" t="s">
        <v>166</v>
      </c>
      <c r="C50" s="189" t="s">
        <v>166</v>
      </c>
      <c r="D50" s="193" t="s">
        <v>166</v>
      </c>
      <c r="E50" s="193" t="s">
        <v>166</v>
      </c>
      <c r="F50" s="193" t="s">
        <v>166</v>
      </c>
      <c r="G50" s="213" t="s">
        <v>166</v>
      </c>
    </row>
    <row r="51" spans="1:7" ht="15.5" x14ac:dyDescent="0.35">
      <c r="A51" s="208" t="s">
        <v>208</v>
      </c>
      <c r="B51" s="196">
        <v>51078</v>
      </c>
      <c r="C51" s="197">
        <v>24905</v>
      </c>
      <c r="D51" s="198">
        <v>17223</v>
      </c>
      <c r="E51" s="198">
        <v>-2061</v>
      </c>
      <c r="F51" s="198">
        <v>4699</v>
      </c>
      <c r="G51" s="214">
        <v>6312</v>
      </c>
    </row>
    <row r="52" spans="1:7" ht="15.5" x14ac:dyDescent="0.35">
      <c r="A52" s="209" t="s">
        <v>94</v>
      </c>
      <c r="B52" s="196">
        <v>2849</v>
      </c>
      <c r="C52" s="197">
        <v>1475</v>
      </c>
      <c r="D52" s="198">
        <v>856</v>
      </c>
      <c r="E52" s="198">
        <v>-31</v>
      </c>
      <c r="F52" s="198">
        <v>100</v>
      </c>
      <c r="G52" s="214">
        <v>449</v>
      </c>
    </row>
    <row r="53" spans="1:7" ht="15.5" x14ac:dyDescent="0.35">
      <c r="A53" s="209" t="s">
        <v>209</v>
      </c>
      <c r="B53" s="196">
        <v>669</v>
      </c>
      <c r="C53" s="197">
        <v>429</v>
      </c>
      <c r="D53" s="198">
        <v>141</v>
      </c>
      <c r="E53" s="198">
        <v>-22</v>
      </c>
      <c r="F53" s="198">
        <v>15</v>
      </c>
      <c r="G53" s="214">
        <v>107</v>
      </c>
    </row>
    <row r="54" spans="1:7" ht="15.5" x14ac:dyDescent="0.35">
      <c r="A54" s="209" t="s">
        <v>71</v>
      </c>
      <c r="B54" s="196">
        <v>45071</v>
      </c>
      <c r="C54" s="197">
        <v>21727</v>
      </c>
      <c r="D54" s="198">
        <v>15753</v>
      </c>
      <c r="E54" s="198">
        <v>-1982</v>
      </c>
      <c r="F54" s="198">
        <v>4301</v>
      </c>
      <c r="G54" s="214">
        <v>5272</v>
      </c>
    </row>
    <row r="55" spans="1:7" ht="15.5" x14ac:dyDescent="0.35">
      <c r="A55" s="209" t="s">
        <v>210</v>
      </c>
      <c r="B55" s="196">
        <v>618</v>
      </c>
      <c r="C55" s="197">
        <v>451</v>
      </c>
      <c r="D55" s="198">
        <v>-41</v>
      </c>
      <c r="E55" s="198">
        <v>-6</v>
      </c>
      <c r="F55" s="198">
        <v>29</v>
      </c>
      <c r="G55" s="214">
        <v>185</v>
      </c>
    </row>
    <row r="56" spans="1:7" ht="15.5" x14ac:dyDescent="0.35">
      <c r="A56" s="209" t="s">
        <v>202</v>
      </c>
      <c r="B56" s="196">
        <v>1871</v>
      </c>
      <c r="C56" s="197">
        <v>823</v>
      </c>
      <c r="D56" s="198">
        <v>514</v>
      </c>
      <c r="E56" s="198">
        <v>-19</v>
      </c>
      <c r="F56" s="198">
        <v>255</v>
      </c>
      <c r="G56" s="214">
        <v>299</v>
      </c>
    </row>
    <row r="57" spans="1:7" ht="15.5" x14ac:dyDescent="0.35">
      <c r="A57" s="207" t="s">
        <v>166</v>
      </c>
      <c r="B57" s="192" t="s">
        <v>166</v>
      </c>
      <c r="C57" s="189" t="s">
        <v>166</v>
      </c>
      <c r="D57" s="193" t="s">
        <v>166</v>
      </c>
      <c r="E57" s="193" t="s">
        <v>166</v>
      </c>
      <c r="F57" s="193" t="s">
        <v>166</v>
      </c>
      <c r="G57" s="213" t="s">
        <v>166</v>
      </c>
    </row>
    <row r="58" spans="1:7" ht="15.5" x14ac:dyDescent="0.35">
      <c r="A58" s="208" t="s">
        <v>211</v>
      </c>
      <c r="B58" s="196">
        <v>23252</v>
      </c>
      <c r="C58" s="197">
        <v>4035</v>
      </c>
      <c r="D58" s="198">
        <v>29979</v>
      </c>
      <c r="E58" s="198">
        <v>-14969</v>
      </c>
      <c r="F58" s="198">
        <v>599</v>
      </c>
      <c r="G58" s="214">
        <v>3607</v>
      </c>
    </row>
    <row r="59" spans="1:7" ht="15.5" x14ac:dyDescent="0.35">
      <c r="A59" s="209" t="s">
        <v>212</v>
      </c>
      <c r="B59" s="196">
        <v>1074</v>
      </c>
      <c r="C59" s="197">
        <v>49</v>
      </c>
      <c r="D59" s="198">
        <v>1241</v>
      </c>
      <c r="E59" s="198">
        <v>-341</v>
      </c>
      <c r="F59" s="198">
        <v>7</v>
      </c>
      <c r="G59" s="214">
        <v>118</v>
      </c>
    </row>
    <row r="60" spans="1:7" ht="15.5" x14ac:dyDescent="0.35">
      <c r="A60" s="209" t="s">
        <v>213</v>
      </c>
      <c r="B60" s="196">
        <v>-1279</v>
      </c>
      <c r="C60" s="197">
        <v>1361</v>
      </c>
      <c r="D60" s="198">
        <v>1782</v>
      </c>
      <c r="E60" s="198">
        <v>-4995</v>
      </c>
      <c r="F60" s="198">
        <v>183</v>
      </c>
      <c r="G60" s="214">
        <v>389</v>
      </c>
    </row>
    <row r="61" spans="1:7" ht="15.5" x14ac:dyDescent="0.35">
      <c r="A61" s="209" t="s">
        <v>214</v>
      </c>
      <c r="B61" s="196">
        <v>1039</v>
      </c>
      <c r="C61" s="197">
        <v>260</v>
      </c>
      <c r="D61" s="198">
        <v>524</v>
      </c>
      <c r="E61" s="193" t="s">
        <v>201</v>
      </c>
      <c r="F61" s="193" t="s">
        <v>201</v>
      </c>
      <c r="G61" s="214">
        <v>131</v>
      </c>
    </row>
    <row r="62" spans="1:7" ht="15.5" x14ac:dyDescent="0.35">
      <c r="A62" s="209" t="s">
        <v>215</v>
      </c>
      <c r="B62" s="196">
        <v>5460</v>
      </c>
      <c r="C62" s="197">
        <v>1316</v>
      </c>
      <c r="D62" s="198">
        <v>11714</v>
      </c>
      <c r="E62" s="193">
        <v>-9303</v>
      </c>
      <c r="F62" s="193">
        <v>112</v>
      </c>
      <c r="G62" s="214">
        <v>1622</v>
      </c>
    </row>
    <row r="63" spans="1:7" ht="15.5" x14ac:dyDescent="0.35">
      <c r="A63" s="209" t="s">
        <v>202</v>
      </c>
      <c r="B63" s="196">
        <v>16958</v>
      </c>
      <c r="C63" s="197">
        <v>1049</v>
      </c>
      <c r="D63" s="198">
        <v>14719</v>
      </c>
      <c r="E63" s="193" t="s">
        <v>201</v>
      </c>
      <c r="F63" s="193" t="s">
        <v>201</v>
      </c>
      <c r="G63" s="214">
        <v>1347</v>
      </c>
    </row>
    <row r="64" spans="1:7" ht="15.5" x14ac:dyDescent="0.35">
      <c r="A64" s="207" t="s">
        <v>166</v>
      </c>
      <c r="B64" s="192" t="s">
        <v>166</v>
      </c>
      <c r="C64" s="189" t="s">
        <v>166</v>
      </c>
      <c r="D64" s="193" t="s">
        <v>166</v>
      </c>
      <c r="E64" s="193" t="s">
        <v>166</v>
      </c>
      <c r="F64" s="193" t="s">
        <v>166</v>
      </c>
      <c r="G64" s="213" t="s">
        <v>166</v>
      </c>
    </row>
    <row r="65" spans="1:7" ht="15.5" x14ac:dyDescent="0.35">
      <c r="A65" s="207" t="s">
        <v>246</v>
      </c>
      <c r="B65" s="186">
        <v>30487</v>
      </c>
      <c r="C65" s="187">
        <v>7973</v>
      </c>
      <c r="D65" s="188">
        <v>6749</v>
      </c>
      <c r="E65" s="188">
        <v>281</v>
      </c>
      <c r="F65" s="188">
        <v>5478</v>
      </c>
      <c r="G65" s="212">
        <v>10007</v>
      </c>
    </row>
    <row r="66" spans="1:7" ht="15.5" x14ac:dyDescent="0.35">
      <c r="A66" s="208" t="s">
        <v>216</v>
      </c>
      <c r="B66" s="196">
        <v>3500</v>
      </c>
      <c r="C66" s="197">
        <v>658</v>
      </c>
      <c r="D66" s="198">
        <v>230</v>
      </c>
      <c r="E66" s="198">
        <v>-55</v>
      </c>
      <c r="F66" s="198">
        <v>1967</v>
      </c>
      <c r="G66" s="214">
        <v>700</v>
      </c>
    </row>
    <row r="67" spans="1:7" ht="15.5" x14ac:dyDescent="0.35">
      <c r="A67" s="208" t="s">
        <v>217</v>
      </c>
      <c r="B67" s="196">
        <v>9904</v>
      </c>
      <c r="C67" s="197">
        <v>1596</v>
      </c>
      <c r="D67" s="198">
        <v>3401</v>
      </c>
      <c r="E67" s="198">
        <v>133</v>
      </c>
      <c r="F67" s="193" t="s">
        <v>201</v>
      </c>
      <c r="G67" s="213" t="s">
        <v>201</v>
      </c>
    </row>
    <row r="68" spans="1:7" ht="15.5" x14ac:dyDescent="0.35">
      <c r="A68" s="208" t="s">
        <v>97</v>
      </c>
      <c r="B68" s="196">
        <v>6254</v>
      </c>
      <c r="C68" s="197">
        <v>3326</v>
      </c>
      <c r="D68" s="198">
        <v>1039</v>
      </c>
      <c r="E68" s="198">
        <v>244</v>
      </c>
      <c r="F68" s="198">
        <v>1291</v>
      </c>
      <c r="G68" s="214">
        <v>354</v>
      </c>
    </row>
    <row r="69" spans="1:7" ht="15.5" x14ac:dyDescent="0.35">
      <c r="A69" s="208" t="s">
        <v>202</v>
      </c>
      <c r="B69" s="196">
        <v>10830</v>
      </c>
      <c r="C69" s="197">
        <v>2393</v>
      </c>
      <c r="D69" s="198">
        <v>2079</v>
      </c>
      <c r="E69" s="198">
        <v>-40</v>
      </c>
      <c r="F69" s="193" t="s">
        <v>201</v>
      </c>
      <c r="G69" s="213" t="s">
        <v>201</v>
      </c>
    </row>
    <row r="70" spans="1:7" ht="15.5" x14ac:dyDescent="0.35">
      <c r="A70" s="207" t="s">
        <v>166</v>
      </c>
      <c r="B70" s="192" t="s">
        <v>166</v>
      </c>
      <c r="C70" s="189" t="s">
        <v>166</v>
      </c>
      <c r="D70" s="193" t="s">
        <v>166</v>
      </c>
      <c r="E70" s="193" t="s">
        <v>166</v>
      </c>
      <c r="F70" s="193" t="s">
        <v>166</v>
      </c>
      <c r="G70" s="213" t="s">
        <v>166</v>
      </c>
    </row>
    <row r="71" spans="1:7" ht="15.5" x14ac:dyDescent="0.35">
      <c r="A71" s="207" t="s">
        <v>247</v>
      </c>
      <c r="B71" s="186">
        <v>24520</v>
      </c>
      <c r="C71" s="187">
        <v>10061</v>
      </c>
      <c r="D71" s="188">
        <v>10524</v>
      </c>
      <c r="E71" s="188">
        <v>6</v>
      </c>
      <c r="F71" s="188">
        <v>1220</v>
      </c>
      <c r="G71" s="212">
        <v>2709</v>
      </c>
    </row>
    <row r="72" spans="1:7" ht="15.5" x14ac:dyDescent="0.35">
      <c r="A72" s="208" t="s">
        <v>95</v>
      </c>
      <c r="B72" s="196">
        <v>9231</v>
      </c>
      <c r="C72" s="197">
        <v>5267</v>
      </c>
      <c r="D72" s="198">
        <v>2673</v>
      </c>
      <c r="E72" s="198">
        <v>2</v>
      </c>
      <c r="F72" s="198">
        <v>460</v>
      </c>
      <c r="G72" s="214">
        <v>831</v>
      </c>
    </row>
    <row r="73" spans="1:7" ht="15.5" x14ac:dyDescent="0.35">
      <c r="A73" s="208" t="s">
        <v>218</v>
      </c>
      <c r="B73" s="196">
        <v>2490</v>
      </c>
      <c r="C73" s="197">
        <v>1730</v>
      </c>
      <c r="D73" s="198">
        <v>414</v>
      </c>
      <c r="E73" s="193" t="s">
        <v>201</v>
      </c>
      <c r="F73" s="193" t="s">
        <v>201</v>
      </c>
      <c r="G73" s="214">
        <v>306</v>
      </c>
    </row>
    <row r="74" spans="1:7" ht="15.5" x14ac:dyDescent="0.35">
      <c r="A74" s="208" t="s">
        <v>219</v>
      </c>
      <c r="B74" s="196">
        <v>8158</v>
      </c>
      <c r="C74" s="197">
        <v>2086</v>
      </c>
      <c r="D74" s="198">
        <v>4813</v>
      </c>
      <c r="E74" s="193" t="s">
        <v>201</v>
      </c>
      <c r="F74" s="193" t="s">
        <v>201</v>
      </c>
      <c r="G74" s="214">
        <v>548</v>
      </c>
    </row>
    <row r="75" spans="1:7" ht="15.5" x14ac:dyDescent="0.35">
      <c r="A75" s="208" t="s">
        <v>202</v>
      </c>
      <c r="B75" s="196">
        <v>4641</v>
      </c>
      <c r="C75" s="197">
        <v>979</v>
      </c>
      <c r="D75" s="198">
        <v>2623</v>
      </c>
      <c r="E75" s="193" t="s">
        <v>201</v>
      </c>
      <c r="F75" s="193" t="s">
        <v>201</v>
      </c>
      <c r="G75" s="214">
        <v>1025</v>
      </c>
    </row>
    <row r="76" spans="1:7" ht="15.5" x14ac:dyDescent="0.35">
      <c r="A76" s="207" t="s">
        <v>166</v>
      </c>
      <c r="B76" s="192" t="s">
        <v>166</v>
      </c>
      <c r="C76" s="189" t="s">
        <v>166</v>
      </c>
      <c r="D76" s="193" t="s">
        <v>166</v>
      </c>
      <c r="E76" s="193" t="s">
        <v>166</v>
      </c>
      <c r="F76" s="193" t="s">
        <v>166</v>
      </c>
      <c r="G76" s="213" t="s">
        <v>166</v>
      </c>
    </row>
    <row r="77" spans="1:7" ht="15.5" x14ac:dyDescent="0.35">
      <c r="A77" s="207" t="s">
        <v>248</v>
      </c>
      <c r="B77" s="186">
        <v>334532</v>
      </c>
      <c r="C77" s="187">
        <v>151269</v>
      </c>
      <c r="D77" s="188">
        <v>121872</v>
      </c>
      <c r="E77" s="188">
        <v>-11713</v>
      </c>
      <c r="F77" s="188">
        <v>36621</v>
      </c>
      <c r="G77" s="212">
        <v>36482</v>
      </c>
    </row>
    <row r="78" spans="1:7" ht="15.5" x14ac:dyDescent="0.35">
      <c r="A78" s="208" t="s">
        <v>54</v>
      </c>
      <c r="B78" s="196">
        <v>41610</v>
      </c>
      <c r="C78" s="197">
        <v>26647</v>
      </c>
      <c r="D78" s="198">
        <v>1981</v>
      </c>
      <c r="E78" s="198">
        <v>1064</v>
      </c>
      <c r="F78" s="198">
        <v>6126</v>
      </c>
      <c r="G78" s="214">
        <v>5792</v>
      </c>
    </row>
    <row r="79" spans="1:7" ht="15.5" x14ac:dyDescent="0.35">
      <c r="A79" s="208" t="s">
        <v>101</v>
      </c>
      <c r="B79" s="196">
        <v>65689</v>
      </c>
      <c r="C79" s="197">
        <v>28642</v>
      </c>
      <c r="D79" s="198">
        <v>24644</v>
      </c>
      <c r="E79" s="198">
        <v>-337</v>
      </c>
      <c r="F79" s="198">
        <v>5051</v>
      </c>
      <c r="G79" s="214">
        <v>7689</v>
      </c>
    </row>
    <row r="80" spans="1:7" ht="15.5" x14ac:dyDescent="0.35">
      <c r="A80" s="208" t="s">
        <v>220</v>
      </c>
      <c r="B80" s="196">
        <v>19845</v>
      </c>
      <c r="C80" s="197">
        <v>10357</v>
      </c>
      <c r="D80" s="198">
        <v>8705</v>
      </c>
      <c r="E80" s="198">
        <v>-888</v>
      </c>
      <c r="F80" s="198">
        <v>886</v>
      </c>
      <c r="G80" s="214">
        <v>785</v>
      </c>
    </row>
    <row r="81" spans="1:7" ht="15.5" x14ac:dyDescent="0.35">
      <c r="A81" s="208" t="s">
        <v>102</v>
      </c>
      <c r="B81" s="196">
        <v>26321</v>
      </c>
      <c r="C81" s="197">
        <v>17670</v>
      </c>
      <c r="D81" s="198">
        <v>6492</v>
      </c>
      <c r="E81" s="198">
        <v>-972</v>
      </c>
      <c r="F81" s="198">
        <v>1112</v>
      </c>
      <c r="G81" s="214">
        <v>2020</v>
      </c>
    </row>
    <row r="82" spans="1:7" ht="15.5" x14ac:dyDescent="0.35">
      <c r="A82" s="208" t="s">
        <v>221</v>
      </c>
      <c r="B82" s="196">
        <v>13470</v>
      </c>
      <c r="C82" s="197">
        <v>3028</v>
      </c>
      <c r="D82" s="198">
        <v>4260</v>
      </c>
      <c r="E82" s="198">
        <v>16</v>
      </c>
      <c r="F82" s="193" t="s">
        <v>201</v>
      </c>
      <c r="G82" s="213" t="s">
        <v>201</v>
      </c>
    </row>
    <row r="83" spans="1:7" ht="15.5" x14ac:dyDescent="0.35">
      <c r="A83" s="208" t="s">
        <v>67</v>
      </c>
      <c r="B83" s="196">
        <v>47420</v>
      </c>
      <c r="C83" s="197">
        <v>25937</v>
      </c>
      <c r="D83" s="198">
        <v>22296</v>
      </c>
      <c r="E83" s="198">
        <v>-7704</v>
      </c>
      <c r="F83" s="198">
        <v>3513</v>
      </c>
      <c r="G83" s="214">
        <v>3377</v>
      </c>
    </row>
    <row r="84" spans="1:7" ht="15.5" x14ac:dyDescent="0.35">
      <c r="A84" s="632" t="s">
        <v>68</v>
      </c>
      <c r="B84" s="196">
        <v>15486</v>
      </c>
      <c r="C84" s="197">
        <v>7527</v>
      </c>
      <c r="D84" s="198">
        <v>5141</v>
      </c>
      <c r="E84" s="198">
        <v>-965</v>
      </c>
      <c r="F84" s="198">
        <v>2275</v>
      </c>
      <c r="G84" s="214">
        <v>1509</v>
      </c>
    </row>
    <row r="85" spans="1:7" ht="15.5" x14ac:dyDescent="0.35">
      <c r="A85" s="208" t="s">
        <v>223</v>
      </c>
      <c r="B85" s="196">
        <v>8916</v>
      </c>
      <c r="C85" s="197">
        <v>3518</v>
      </c>
      <c r="D85" s="198">
        <v>2918</v>
      </c>
      <c r="E85" s="198">
        <v>-56</v>
      </c>
      <c r="F85" s="198">
        <v>531</v>
      </c>
      <c r="G85" s="214">
        <v>2006</v>
      </c>
    </row>
    <row r="86" spans="1:7" ht="15.5" x14ac:dyDescent="0.35">
      <c r="A86" s="208" t="s">
        <v>73</v>
      </c>
      <c r="B86" s="196">
        <v>4777</v>
      </c>
      <c r="C86" s="197">
        <v>1812</v>
      </c>
      <c r="D86" s="198">
        <v>1232</v>
      </c>
      <c r="E86" s="198">
        <v>-86</v>
      </c>
      <c r="F86" s="198">
        <v>1379</v>
      </c>
      <c r="G86" s="214">
        <v>440</v>
      </c>
    </row>
    <row r="87" spans="1:7" ht="15.5" x14ac:dyDescent="0.35">
      <c r="A87" s="208" t="s">
        <v>224</v>
      </c>
      <c r="B87" s="196">
        <v>5502</v>
      </c>
      <c r="C87" s="197">
        <v>3182</v>
      </c>
      <c r="D87" s="198">
        <v>820</v>
      </c>
      <c r="E87" s="198">
        <v>40</v>
      </c>
      <c r="F87" s="198">
        <v>470</v>
      </c>
      <c r="G87" s="214">
        <v>990</v>
      </c>
    </row>
    <row r="88" spans="1:7" ht="15.5" x14ac:dyDescent="0.35">
      <c r="A88" s="208" t="s">
        <v>225</v>
      </c>
      <c r="B88" s="196">
        <v>47644</v>
      </c>
      <c r="C88" s="197">
        <v>13740</v>
      </c>
      <c r="D88" s="198">
        <v>29642</v>
      </c>
      <c r="E88" s="198">
        <v>-1815</v>
      </c>
      <c r="F88" s="198">
        <v>2127</v>
      </c>
      <c r="G88" s="214">
        <v>3949</v>
      </c>
    </row>
    <row r="89" spans="1:7" ht="15.5" x14ac:dyDescent="0.35">
      <c r="A89" s="208" t="s">
        <v>226</v>
      </c>
      <c r="B89" s="196">
        <v>7291</v>
      </c>
      <c r="C89" s="197">
        <v>3200</v>
      </c>
      <c r="D89" s="198">
        <v>2904</v>
      </c>
      <c r="E89" s="198">
        <v>-214</v>
      </c>
      <c r="F89" s="198">
        <v>274</v>
      </c>
      <c r="G89" s="214">
        <v>1127</v>
      </c>
    </row>
    <row r="90" spans="1:7" ht="15.5" x14ac:dyDescent="0.35">
      <c r="A90" s="208" t="s">
        <v>227</v>
      </c>
      <c r="B90" s="196">
        <v>14854</v>
      </c>
      <c r="C90" s="197">
        <v>3129</v>
      </c>
      <c r="D90" s="198">
        <v>5698</v>
      </c>
      <c r="E90" s="198">
        <v>-56</v>
      </c>
      <c r="F90" s="198">
        <v>3508</v>
      </c>
      <c r="G90" s="214">
        <v>2575</v>
      </c>
    </row>
    <row r="91" spans="1:7" ht="15.5" x14ac:dyDescent="0.35">
      <c r="A91" s="208" t="s">
        <v>202</v>
      </c>
      <c r="B91" s="196">
        <v>15707</v>
      </c>
      <c r="C91" s="197">
        <v>2882</v>
      </c>
      <c r="D91" s="198">
        <v>5138</v>
      </c>
      <c r="E91" s="198">
        <v>258</v>
      </c>
      <c r="F91" s="193" t="s">
        <v>201</v>
      </c>
      <c r="G91" s="213" t="s">
        <v>201</v>
      </c>
    </row>
    <row r="92" spans="1:7" ht="15.5" x14ac:dyDescent="0.35">
      <c r="A92" s="207" t="s">
        <v>166</v>
      </c>
      <c r="B92" s="192" t="s">
        <v>166</v>
      </c>
      <c r="C92" s="189" t="s">
        <v>166</v>
      </c>
      <c r="D92" s="193" t="s">
        <v>166</v>
      </c>
      <c r="E92" s="193" t="s">
        <v>166</v>
      </c>
      <c r="F92" s="193" t="s">
        <v>166</v>
      </c>
      <c r="G92" s="213" t="s">
        <v>166</v>
      </c>
    </row>
    <row r="93" spans="1:7" ht="15.5" x14ac:dyDescent="0.35">
      <c r="A93" s="207" t="s">
        <v>249</v>
      </c>
      <c r="B93" s="192" t="s">
        <v>166</v>
      </c>
      <c r="C93" s="189" t="s">
        <v>166</v>
      </c>
      <c r="D93" s="193" t="s">
        <v>166</v>
      </c>
      <c r="E93" s="193" t="s">
        <v>166</v>
      </c>
      <c r="F93" s="193" t="s">
        <v>166</v>
      </c>
      <c r="G93" s="213" t="s">
        <v>166</v>
      </c>
    </row>
    <row r="94" spans="1:7" ht="15.5" x14ac:dyDescent="0.35">
      <c r="A94" s="208" t="s">
        <v>228</v>
      </c>
      <c r="B94" s="196">
        <v>582834</v>
      </c>
      <c r="C94" s="197">
        <v>282508</v>
      </c>
      <c r="D94" s="198">
        <v>196968</v>
      </c>
      <c r="E94" s="198">
        <v>-22690</v>
      </c>
      <c r="F94" s="198">
        <v>76648</v>
      </c>
      <c r="G94" s="214">
        <v>49399</v>
      </c>
    </row>
    <row r="95" spans="1:7" ht="16" thickBot="1" x14ac:dyDescent="0.4">
      <c r="A95" s="210" t="s">
        <v>229</v>
      </c>
      <c r="B95" s="201">
        <v>30981</v>
      </c>
      <c r="C95" s="202">
        <v>8967</v>
      </c>
      <c r="D95" s="203">
        <v>9965</v>
      </c>
      <c r="E95" s="203">
        <v>-124</v>
      </c>
      <c r="F95" s="203">
        <v>3230</v>
      </c>
      <c r="G95" s="215">
        <v>8943</v>
      </c>
    </row>
    <row r="96" spans="1:7" ht="13" thickTop="1" x14ac:dyDescent="0.25"/>
    <row r="97" spans="1:7" ht="13" thickBot="1" x14ac:dyDescent="0.3"/>
    <row r="98" spans="1:7" ht="26.25" customHeight="1" thickBot="1" x14ac:dyDescent="0.3">
      <c r="A98" s="2238" t="s">
        <v>196</v>
      </c>
      <c r="B98" s="2239"/>
      <c r="C98" s="2239"/>
      <c r="D98" s="2239"/>
      <c r="E98" s="2239"/>
      <c r="F98" s="2239"/>
      <c r="G98" s="2240"/>
    </row>
  </sheetData>
  <mergeCells count="3">
    <mergeCell ref="A3:G3"/>
    <mergeCell ref="A98:G98"/>
    <mergeCell ref="B6:G6"/>
  </mergeCells>
  <phoneticPr fontId="62" type="noConversion"/>
  <pageMargins left="0.7" right="0.7" top="0.75" bottom="0.75" header="0.3" footer="0.3"/>
  <pageSetup scale="66" fitToHeight="0" orientation="portrait" horizontalDpi="300" verticalDpi="300"/>
  <customProperties>
    <customPr name="S" r:id="rId1"/>
  </customProperties>
  <legacyDrawing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2:I98"/>
  <sheetViews>
    <sheetView workbookViewId="0">
      <pane xSplit="1" ySplit="7" topLeftCell="B26" activePane="bottomRight" state="frozen"/>
      <selection pane="topRight" activeCell="B1" sqref="B1"/>
      <selection pane="bottomLeft" activeCell="A8" sqref="A8"/>
      <selection pane="bottomRight" activeCell="D26" sqref="D26"/>
    </sheetView>
  </sheetViews>
  <sheetFormatPr baseColWidth="10" defaultColWidth="8.81640625" defaultRowHeight="12.5" x14ac:dyDescent="0.25"/>
  <cols>
    <col min="1" max="1" width="46.36328125" style="161" customWidth="1"/>
    <col min="2" max="7" width="14.1796875" style="161" customWidth="1"/>
    <col min="8" max="16384" width="8.81640625" style="161"/>
  </cols>
  <sheetData>
    <row r="2" spans="1:9" ht="13" thickBot="1" x14ac:dyDescent="0.3"/>
    <row r="3" spans="1:9" ht="32.25" customHeight="1" thickTop="1" x14ac:dyDescent="0.25">
      <c r="A3" s="2235" t="s">
        <v>308</v>
      </c>
      <c r="B3" s="2236"/>
      <c r="C3" s="2236"/>
      <c r="D3" s="2236"/>
      <c r="E3" s="2236"/>
      <c r="F3" s="2236"/>
      <c r="G3" s="2237"/>
    </row>
    <row r="4" spans="1:9" ht="12" customHeight="1" x14ac:dyDescent="0.25">
      <c r="A4" s="168"/>
      <c r="B4" s="169"/>
      <c r="C4" s="169"/>
      <c r="D4" s="169"/>
      <c r="E4" s="169"/>
      <c r="F4" s="169"/>
      <c r="G4" s="170"/>
    </row>
    <row r="5" spans="1:9" ht="15" customHeight="1" x14ac:dyDescent="0.25">
      <c r="A5" s="179" t="s">
        <v>166</v>
      </c>
      <c r="B5" s="227" t="s">
        <v>20</v>
      </c>
      <c r="C5" s="227" t="s">
        <v>21</v>
      </c>
      <c r="D5" s="227" t="s">
        <v>22</v>
      </c>
      <c r="E5" s="227" t="s">
        <v>23</v>
      </c>
      <c r="F5" s="227" t="s">
        <v>24</v>
      </c>
      <c r="G5" s="228" t="s">
        <v>25</v>
      </c>
    </row>
    <row r="6" spans="1:9" ht="16" customHeight="1" x14ac:dyDescent="0.25">
      <c r="A6" s="216"/>
      <c r="B6" s="2241" t="s">
        <v>251</v>
      </c>
      <c r="C6" s="2242"/>
      <c r="D6" s="2242"/>
      <c r="E6" s="2242"/>
      <c r="F6" s="2242"/>
      <c r="G6" s="2243"/>
    </row>
    <row r="7" spans="1:9" ht="71.25" customHeight="1" x14ac:dyDescent="0.25">
      <c r="A7" s="217" t="s">
        <v>166</v>
      </c>
      <c r="B7" s="915" t="s">
        <v>582</v>
      </c>
      <c r="C7" s="183" t="s">
        <v>13</v>
      </c>
      <c r="D7" s="184" t="s">
        <v>197</v>
      </c>
      <c r="E7" s="184" t="s">
        <v>198</v>
      </c>
      <c r="F7" s="184" t="s">
        <v>199</v>
      </c>
      <c r="G7" s="211" t="s">
        <v>200</v>
      </c>
    </row>
    <row r="8" spans="1:9" ht="21" customHeight="1" x14ac:dyDescent="0.35">
      <c r="A8" s="206" t="s">
        <v>309</v>
      </c>
      <c r="B8" s="186">
        <v>1490153</v>
      </c>
      <c r="C8" s="187">
        <v>632546</v>
      </c>
      <c r="D8" s="188">
        <v>554226</v>
      </c>
      <c r="E8" s="188">
        <v>-46774</v>
      </c>
      <c r="F8" s="188">
        <v>208002</v>
      </c>
      <c r="G8" s="212">
        <v>142154</v>
      </c>
    </row>
    <row r="9" spans="1:9" ht="15.5" x14ac:dyDescent="0.35">
      <c r="A9" s="207" t="s">
        <v>166</v>
      </c>
      <c r="B9" s="192" t="s">
        <v>166</v>
      </c>
      <c r="C9" s="189" t="s">
        <v>166</v>
      </c>
      <c r="D9" s="193" t="s">
        <v>166</v>
      </c>
      <c r="E9" s="193" t="s">
        <v>166</v>
      </c>
      <c r="F9" s="193" t="s">
        <v>166</v>
      </c>
      <c r="G9" s="213" t="s">
        <v>166</v>
      </c>
    </row>
    <row r="10" spans="1:9" ht="15.5" x14ac:dyDescent="0.35">
      <c r="A10" s="207" t="s">
        <v>56</v>
      </c>
      <c r="B10" s="186">
        <v>154279</v>
      </c>
      <c r="C10" s="187">
        <v>68578</v>
      </c>
      <c r="D10" s="188">
        <v>46406</v>
      </c>
      <c r="E10" s="188">
        <v>-29</v>
      </c>
      <c r="F10" s="188">
        <v>25545</v>
      </c>
      <c r="G10" s="212">
        <v>13780</v>
      </c>
    </row>
    <row r="11" spans="1:9" ht="15.5" x14ac:dyDescent="0.35">
      <c r="A11" s="207" t="s">
        <v>166</v>
      </c>
      <c r="B11" s="192" t="s">
        <v>166</v>
      </c>
      <c r="C11" s="189" t="s">
        <v>166</v>
      </c>
      <c r="D11" s="193" t="s">
        <v>166</v>
      </c>
      <c r="E11" s="193" t="s">
        <v>166</v>
      </c>
      <c r="F11" s="193" t="s">
        <v>166</v>
      </c>
      <c r="G11" s="213" t="s">
        <v>166</v>
      </c>
    </row>
    <row r="12" spans="1:9" ht="15.5" x14ac:dyDescent="0.35">
      <c r="A12" s="207" t="s">
        <v>310</v>
      </c>
      <c r="B12" s="186">
        <v>706950</v>
      </c>
      <c r="C12" s="187">
        <v>318127</v>
      </c>
      <c r="D12" s="188">
        <v>237942</v>
      </c>
      <c r="E12" s="188">
        <v>-18479</v>
      </c>
      <c r="F12" s="188">
        <v>110228</v>
      </c>
      <c r="G12" s="212">
        <v>59131</v>
      </c>
      <c r="I12" s="287"/>
    </row>
    <row r="13" spans="1:9" ht="15.5" x14ac:dyDescent="0.35">
      <c r="A13" s="208" t="s">
        <v>55</v>
      </c>
      <c r="B13" s="196">
        <v>6169</v>
      </c>
      <c r="C13" s="197">
        <v>3991</v>
      </c>
      <c r="D13" s="198">
        <v>1183</v>
      </c>
      <c r="E13" s="198">
        <v>54</v>
      </c>
      <c r="F13" s="198">
        <v>435</v>
      </c>
      <c r="G13" s="214">
        <v>506</v>
      </c>
      <c r="I13" s="287"/>
    </row>
    <row r="14" spans="1:9" ht="15.5" x14ac:dyDescent="0.35">
      <c r="A14" s="208" t="s">
        <v>2</v>
      </c>
      <c r="B14" s="196">
        <v>26349</v>
      </c>
      <c r="C14" s="197">
        <v>11719</v>
      </c>
      <c r="D14" s="198">
        <v>6774</v>
      </c>
      <c r="E14" s="198">
        <v>-308</v>
      </c>
      <c r="F14" s="198">
        <v>5870</v>
      </c>
      <c r="G14" s="214">
        <v>2293</v>
      </c>
      <c r="I14" s="287"/>
    </row>
    <row r="15" spans="1:9" ht="15.5" x14ac:dyDescent="0.35">
      <c r="A15" s="208" t="s">
        <v>58</v>
      </c>
      <c r="B15" s="196">
        <v>5504</v>
      </c>
      <c r="C15" s="197">
        <v>2294</v>
      </c>
      <c r="D15" s="198">
        <v>1424</v>
      </c>
      <c r="E15" s="198">
        <v>24</v>
      </c>
      <c r="F15" s="198">
        <v>1099</v>
      </c>
      <c r="G15" s="214">
        <v>663</v>
      </c>
      <c r="I15" s="287"/>
    </row>
    <row r="16" spans="1:9" ht="15.5" x14ac:dyDescent="0.35">
      <c r="A16" s="208" t="s">
        <v>59</v>
      </c>
      <c r="B16" s="196">
        <v>8018</v>
      </c>
      <c r="C16" s="197">
        <v>4591</v>
      </c>
      <c r="D16" s="198">
        <v>2317</v>
      </c>
      <c r="E16" s="198">
        <v>62</v>
      </c>
      <c r="F16" s="198">
        <v>379</v>
      </c>
      <c r="G16" s="214">
        <v>670</v>
      </c>
      <c r="I16" s="287"/>
    </row>
    <row r="17" spans="1:9" ht="15.5" x14ac:dyDescent="0.35">
      <c r="A17" s="208" t="s">
        <v>61</v>
      </c>
      <c r="B17" s="196">
        <v>2380</v>
      </c>
      <c r="C17" s="197">
        <v>1493</v>
      </c>
      <c r="D17" s="198">
        <v>-213</v>
      </c>
      <c r="E17" s="198" t="s">
        <v>201</v>
      </c>
      <c r="F17" s="198" t="s">
        <v>201</v>
      </c>
      <c r="G17" s="214">
        <v>296</v>
      </c>
      <c r="I17" s="287"/>
    </row>
    <row r="18" spans="1:9" ht="15.5" x14ac:dyDescent="0.35">
      <c r="A18" s="208" t="s">
        <v>48</v>
      </c>
      <c r="B18" s="196">
        <v>54997</v>
      </c>
      <c r="C18" s="197">
        <v>35623</v>
      </c>
      <c r="D18" s="198">
        <v>7444</v>
      </c>
      <c r="E18" s="198">
        <v>540</v>
      </c>
      <c r="F18" s="198">
        <v>7609</v>
      </c>
      <c r="G18" s="214">
        <v>3781</v>
      </c>
      <c r="I18" s="287"/>
    </row>
    <row r="19" spans="1:9" ht="15.5" x14ac:dyDescent="0.35">
      <c r="A19" s="207" t="s">
        <v>166</v>
      </c>
      <c r="B19" s="192" t="s">
        <v>166</v>
      </c>
      <c r="C19" s="189" t="s">
        <v>166</v>
      </c>
      <c r="D19" s="193" t="s">
        <v>166</v>
      </c>
      <c r="E19" s="193" t="s">
        <v>166</v>
      </c>
      <c r="F19" s="193" t="s">
        <v>166</v>
      </c>
      <c r="G19" s="213" t="s">
        <v>166</v>
      </c>
      <c r="I19" s="287"/>
    </row>
    <row r="20" spans="1:9" ht="15.5" x14ac:dyDescent="0.35">
      <c r="A20" s="208" t="s">
        <v>62</v>
      </c>
      <c r="B20" s="196">
        <v>94232</v>
      </c>
      <c r="C20" s="197">
        <v>54948</v>
      </c>
      <c r="D20" s="198">
        <v>14627</v>
      </c>
      <c r="E20" s="916">
        <v>1051</v>
      </c>
      <c r="F20" s="916">
        <v>16198</v>
      </c>
      <c r="G20" s="917">
        <v>7408</v>
      </c>
      <c r="I20" s="287"/>
    </row>
    <row r="21" spans="1:9" ht="15.5" x14ac:dyDescent="0.35">
      <c r="A21" s="208" t="s">
        <v>63</v>
      </c>
      <c r="B21" s="196">
        <v>2837</v>
      </c>
      <c r="C21" s="197">
        <v>1037</v>
      </c>
      <c r="D21" s="198">
        <v>149</v>
      </c>
      <c r="E21" s="916" t="s">
        <v>201</v>
      </c>
      <c r="F21" s="918" t="s">
        <v>201</v>
      </c>
      <c r="G21" s="917">
        <v>120</v>
      </c>
      <c r="I21" s="287"/>
    </row>
    <row r="22" spans="1:9" ht="15.5" x14ac:dyDescent="0.35">
      <c r="A22" s="208" t="s">
        <v>64</v>
      </c>
      <c r="B22" s="196">
        <v>3470</v>
      </c>
      <c r="C22" s="197">
        <v>1698</v>
      </c>
      <c r="D22" s="312">
        <v>632</v>
      </c>
      <c r="E22" s="916">
        <v>138</v>
      </c>
      <c r="F22" s="916">
        <v>458</v>
      </c>
      <c r="G22" s="917">
        <v>544</v>
      </c>
      <c r="I22" s="287"/>
    </row>
    <row r="23" spans="1:9" ht="15.5" x14ac:dyDescent="0.35">
      <c r="A23" s="208" t="s">
        <v>19</v>
      </c>
      <c r="B23" s="196">
        <v>79477</v>
      </c>
      <c r="C23" s="197">
        <v>9337</v>
      </c>
      <c r="D23" s="198">
        <v>61572</v>
      </c>
      <c r="E23" s="916">
        <v>-603</v>
      </c>
      <c r="F23" s="916">
        <v>1594</v>
      </c>
      <c r="G23" s="917">
        <v>7576</v>
      </c>
      <c r="I23" s="287"/>
    </row>
    <row r="24" spans="1:9" ht="15.5" x14ac:dyDescent="0.35">
      <c r="A24" s="208" t="s">
        <v>66</v>
      </c>
      <c r="B24" s="196">
        <v>32901</v>
      </c>
      <c r="C24" s="197">
        <v>16040</v>
      </c>
      <c r="D24" s="198">
        <v>3494</v>
      </c>
      <c r="E24" s="916" t="s">
        <v>201</v>
      </c>
      <c r="F24" s="916" t="s">
        <v>201</v>
      </c>
      <c r="G24" s="917">
        <v>2414</v>
      </c>
      <c r="I24" s="287"/>
    </row>
    <row r="25" spans="1:9" ht="15.5" x14ac:dyDescent="0.35">
      <c r="A25" s="208" t="s">
        <v>70</v>
      </c>
      <c r="B25" s="196">
        <v>4153</v>
      </c>
      <c r="C25" s="197">
        <v>1811</v>
      </c>
      <c r="D25" s="198">
        <v>7118</v>
      </c>
      <c r="E25" s="916">
        <v>-6416</v>
      </c>
      <c r="F25" s="916">
        <v>1137</v>
      </c>
      <c r="G25" s="917">
        <v>503</v>
      </c>
      <c r="I25" s="287"/>
    </row>
    <row r="26" spans="1:9" ht="15.5" x14ac:dyDescent="0.35">
      <c r="A26" s="208" t="s">
        <v>72</v>
      </c>
      <c r="B26" s="196">
        <v>32640</v>
      </c>
      <c r="C26" s="197">
        <v>18885</v>
      </c>
      <c r="D26" s="198">
        <v>15031</v>
      </c>
      <c r="E26" s="916">
        <v>-9292</v>
      </c>
      <c r="F26" s="916">
        <v>4538</v>
      </c>
      <c r="G26" s="917">
        <v>3478</v>
      </c>
      <c r="I26" s="287"/>
    </row>
    <row r="27" spans="1:9" ht="15.5" x14ac:dyDescent="0.35">
      <c r="A27" s="207" t="s">
        <v>166</v>
      </c>
      <c r="B27" s="192" t="s">
        <v>166</v>
      </c>
      <c r="C27" s="189" t="s">
        <v>166</v>
      </c>
      <c r="D27" s="193" t="s">
        <v>166</v>
      </c>
      <c r="E27" s="919" t="s">
        <v>166</v>
      </c>
      <c r="F27" s="919" t="s">
        <v>166</v>
      </c>
      <c r="G27" s="920" t="s">
        <v>166</v>
      </c>
      <c r="I27" s="287"/>
    </row>
    <row r="28" spans="1:9" ht="15.5" x14ac:dyDescent="0.35">
      <c r="A28" s="208" t="s">
        <v>74</v>
      </c>
      <c r="B28" s="196">
        <v>26165</v>
      </c>
      <c r="C28" s="197">
        <v>5749</v>
      </c>
      <c r="D28" s="198">
        <v>13365</v>
      </c>
      <c r="E28" s="916">
        <v>416</v>
      </c>
      <c r="F28" s="916">
        <v>2711</v>
      </c>
      <c r="G28" s="917">
        <v>3924</v>
      </c>
      <c r="I28" s="287"/>
    </row>
    <row r="29" spans="1:9" ht="15.5" x14ac:dyDescent="0.35">
      <c r="A29" s="208" t="s">
        <v>75</v>
      </c>
      <c r="B29" s="196">
        <v>11484</v>
      </c>
      <c r="C29" s="197">
        <v>4604</v>
      </c>
      <c r="D29" s="198">
        <v>2281</v>
      </c>
      <c r="E29" s="916">
        <v>-34</v>
      </c>
      <c r="F29" s="916">
        <v>3388</v>
      </c>
      <c r="G29" s="917">
        <v>1245</v>
      </c>
      <c r="I29" s="287"/>
    </row>
    <row r="30" spans="1:9" ht="15.5" x14ac:dyDescent="0.35">
      <c r="A30" s="208" t="s">
        <v>76</v>
      </c>
      <c r="B30" s="196">
        <v>3670</v>
      </c>
      <c r="C30" s="197">
        <v>1315</v>
      </c>
      <c r="D30" s="198">
        <v>581</v>
      </c>
      <c r="E30" s="916">
        <v>-35</v>
      </c>
      <c r="F30" s="918" t="s">
        <v>201</v>
      </c>
      <c r="G30" s="917" t="s">
        <v>201</v>
      </c>
      <c r="I30" s="287"/>
    </row>
    <row r="31" spans="1:9" ht="15.5" x14ac:dyDescent="0.35">
      <c r="A31" s="208" t="s">
        <v>103</v>
      </c>
      <c r="B31" s="196">
        <v>13573</v>
      </c>
      <c r="C31" s="197">
        <v>5615</v>
      </c>
      <c r="D31" s="198">
        <v>3211</v>
      </c>
      <c r="E31" s="916">
        <v>238</v>
      </c>
      <c r="F31" s="916">
        <v>3337</v>
      </c>
      <c r="G31" s="917">
        <v>1172</v>
      </c>
      <c r="I31" s="287"/>
    </row>
    <row r="32" spans="1:9" ht="15.5" x14ac:dyDescent="0.35">
      <c r="A32" s="208" t="s">
        <v>79</v>
      </c>
      <c r="B32" s="196">
        <v>16354</v>
      </c>
      <c r="C32" s="197">
        <v>10952</v>
      </c>
      <c r="D32" s="198">
        <v>2622</v>
      </c>
      <c r="E32" s="916">
        <v>-46</v>
      </c>
      <c r="F32" s="916">
        <v>970</v>
      </c>
      <c r="G32" s="917">
        <v>1856</v>
      </c>
      <c r="I32" s="287"/>
    </row>
    <row r="33" spans="1:9" ht="15.5" x14ac:dyDescent="0.35">
      <c r="A33" s="208" t="s">
        <v>80</v>
      </c>
      <c r="B33" s="196">
        <v>10981</v>
      </c>
      <c r="C33" s="197">
        <v>6223</v>
      </c>
      <c r="D33" s="198">
        <v>3195</v>
      </c>
      <c r="E33" s="916">
        <v>309</v>
      </c>
      <c r="F33" s="916">
        <v>296</v>
      </c>
      <c r="G33" s="917">
        <v>958</v>
      </c>
      <c r="I33" s="287"/>
    </row>
    <row r="34" spans="1:9" ht="15.5" x14ac:dyDescent="0.35">
      <c r="A34" s="208" t="s">
        <v>1</v>
      </c>
      <c r="B34" s="196">
        <v>53058</v>
      </c>
      <c r="C34" s="197">
        <v>13077</v>
      </c>
      <c r="D34" s="198">
        <v>38185</v>
      </c>
      <c r="E34" s="916">
        <v>-1578</v>
      </c>
      <c r="F34" s="916">
        <v>1796</v>
      </c>
      <c r="G34" s="917">
        <v>1579</v>
      </c>
      <c r="I34" s="287"/>
    </row>
    <row r="35" spans="1:9" ht="15.5" x14ac:dyDescent="0.35">
      <c r="A35" s="208" t="s">
        <v>81</v>
      </c>
      <c r="B35" s="196">
        <v>9451</v>
      </c>
      <c r="C35" s="197">
        <v>2135</v>
      </c>
      <c r="D35" s="198">
        <v>1027</v>
      </c>
      <c r="E35" s="916" t="s">
        <v>201</v>
      </c>
      <c r="F35" s="918" t="s">
        <v>201</v>
      </c>
      <c r="G35" s="921" t="s">
        <v>201</v>
      </c>
      <c r="I35" s="287"/>
    </row>
    <row r="36" spans="1:9" ht="15.5" x14ac:dyDescent="0.35">
      <c r="A36" s="208" t="s">
        <v>82</v>
      </c>
      <c r="B36" s="196">
        <v>178637</v>
      </c>
      <c r="C36" s="197">
        <v>100273</v>
      </c>
      <c r="D36" s="198">
        <v>35546</v>
      </c>
      <c r="E36" s="916">
        <v>-2947</v>
      </c>
      <c r="F36" s="916">
        <v>31023</v>
      </c>
      <c r="G36" s="917">
        <v>14743</v>
      </c>
      <c r="I36" s="287"/>
    </row>
    <row r="37" spans="1:9" ht="15.5" x14ac:dyDescent="0.35">
      <c r="A37" s="208" t="s">
        <v>202</v>
      </c>
      <c r="B37" s="196">
        <v>30450</v>
      </c>
      <c r="C37" s="197">
        <v>4717</v>
      </c>
      <c r="D37" s="312">
        <v>16378</v>
      </c>
      <c r="E37" s="916" t="s">
        <v>201</v>
      </c>
      <c r="F37" s="916">
        <v>6767</v>
      </c>
      <c r="G37" s="917" t="s">
        <v>201</v>
      </c>
      <c r="I37" s="287"/>
    </row>
    <row r="38" spans="1:9" ht="15.5" x14ac:dyDescent="0.35">
      <c r="A38" s="207" t="s">
        <v>166</v>
      </c>
      <c r="B38" s="192" t="s">
        <v>166</v>
      </c>
      <c r="C38" s="189" t="s">
        <v>166</v>
      </c>
      <c r="D38" s="193" t="s">
        <v>166</v>
      </c>
      <c r="E38" s="919" t="s">
        <v>166</v>
      </c>
      <c r="F38" s="919" t="s">
        <v>166</v>
      </c>
      <c r="G38" s="920" t="s">
        <v>166</v>
      </c>
    </row>
    <row r="39" spans="1:9" ht="15.5" x14ac:dyDescent="0.35">
      <c r="A39" s="207" t="s">
        <v>311</v>
      </c>
      <c r="B39" s="186">
        <v>177080</v>
      </c>
      <c r="C39" s="187">
        <v>72532</v>
      </c>
      <c r="D39" s="188">
        <v>78512</v>
      </c>
      <c r="E39" s="188">
        <v>-17701</v>
      </c>
      <c r="F39" s="188">
        <v>21944</v>
      </c>
      <c r="G39" s="212">
        <v>21793</v>
      </c>
    </row>
    <row r="40" spans="1:9" ht="15.5" x14ac:dyDescent="0.35">
      <c r="A40" s="207" t="s">
        <v>166</v>
      </c>
      <c r="B40" s="192" t="s">
        <v>166</v>
      </c>
      <c r="C40" s="189" t="s">
        <v>166</v>
      </c>
      <c r="D40" s="193" t="s">
        <v>166</v>
      </c>
      <c r="E40" s="919" t="s">
        <v>166</v>
      </c>
      <c r="F40" s="919" t="s">
        <v>166</v>
      </c>
      <c r="G40" s="920" t="s">
        <v>166</v>
      </c>
    </row>
    <row r="41" spans="1:9" ht="15.5" x14ac:dyDescent="0.35">
      <c r="A41" s="208" t="s">
        <v>203</v>
      </c>
      <c r="B41" s="196">
        <v>91097</v>
      </c>
      <c r="C41" s="197">
        <v>43650</v>
      </c>
      <c r="D41" s="198">
        <v>22271</v>
      </c>
      <c r="E41" s="916">
        <v>-2495</v>
      </c>
      <c r="F41" s="916">
        <v>16155</v>
      </c>
      <c r="G41" s="917">
        <v>11515</v>
      </c>
    </row>
    <row r="42" spans="1:9" ht="15.5" x14ac:dyDescent="0.35">
      <c r="A42" s="209" t="s">
        <v>204</v>
      </c>
      <c r="B42" s="196">
        <v>17773</v>
      </c>
      <c r="C42" s="197">
        <v>5600</v>
      </c>
      <c r="D42" s="198">
        <v>5181</v>
      </c>
      <c r="E42" s="916">
        <v>-35</v>
      </c>
      <c r="F42" s="916">
        <v>5190</v>
      </c>
      <c r="G42" s="917">
        <v>1837</v>
      </c>
    </row>
    <row r="43" spans="1:9" ht="15.5" x14ac:dyDescent="0.35">
      <c r="A43" s="209" t="s">
        <v>92</v>
      </c>
      <c r="B43" s="196">
        <v>46370</v>
      </c>
      <c r="C43" s="197">
        <v>26326</v>
      </c>
      <c r="D43" s="198">
        <v>7500</v>
      </c>
      <c r="E43" s="916">
        <v>-1413</v>
      </c>
      <c r="F43" s="916">
        <v>8027</v>
      </c>
      <c r="G43" s="917">
        <v>5930</v>
      </c>
    </row>
    <row r="44" spans="1:9" ht="15.5" x14ac:dyDescent="0.35">
      <c r="A44" s="209" t="s">
        <v>57</v>
      </c>
      <c r="B44" s="196">
        <v>9739</v>
      </c>
      <c r="C44" s="197">
        <v>3936</v>
      </c>
      <c r="D44" s="198">
        <v>4829</v>
      </c>
      <c r="E44" s="916">
        <v>-886</v>
      </c>
      <c r="F44" s="916">
        <v>219</v>
      </c>
      <c r="G44" s="917">
        <v>1640</v>
      </c>
    </row>
    <row r="45" spans="1:9" ht="15.5" x14ac:dyDescent="0.35">
      <c r="A45" s="209" t="s">
        <v>93</v>
      </c>
      <c r="B45" s="196">
        <v>6683</v>
      </c>
      <c r="C45" s="197">
        <v>2946</v>
      </c>
      <c r="D45" s="198">
        <v>1747</v>
      </c>
      <c r="E45" s="916">
        <v>-50</v>
      </c>
      <c r="F45" s="916">
        <v>1275</v>
      </c>
      <c r="G45" s="917">
        <v>765</v>
      </c>
    </row>
    <row r="46" spans="1:9" ht="15.5" x14ac:dyDescent="0.35">
      <c r="A46" s="209" t="s">
        <v>205</v>
      </c>
      <c r="B46" s="196">
        <v>1192</v>
      </c>
      <c r="C46" s="197">
        <v>535</v>
      </c>
      <c r="D46" s="198">
        <v>294</v>
      </c>
      <c r="E46" s="916">
        <v>10</v>
      </c>
      <c r="F46" s="916">
        <v>249</v>
      </c>
      <c r="G46" s="917">
        <v>104</v>
      </c>
    </row>
    <row r="47" spans="1:9" ht="15.5" x14ac:dyDescent="0.35">
      <c r="A47" s="209" t="s">
        <v>206</v>
      </c>
      <c r="B47" s="196">
        <v>5061</v>
      </c>
      <c r="C47" s="197">
        <v>1334</v>
      </c>
      <c r="D47" s="198">
        <v>2382</v>
      </c>
      <c r="E47" s="916">
        <v>133</v>
      </c>
      <c r="F47" s="916">
        <v>551</v>
      </c>
      <c r="G47" s="917">
        <v>661</v>
      </c>
    </row>
    <row r="48" spans="1:9" ht="15.5" x14ac:dyDescent="0.35">
      <c r="A48" s="209" t="s">
        <v>207</v>
      </c>
      <c r="B48" s="196">
        <v>2883</v>
      </c>
      <c r="C48" s="197">
        <v>2446</v>
      </c>
      <c r="D48" s="198">
        <v>-294</v>
      </c>
      <c r="E48" s="916">
        <v>-178</v>
      </c>
      <c r="F48" s="916">
        <v>529</v>
      </c>
      <c r="G48" s="917">
        <v>380</v>
      </c>
    </row>
    <row r="49" spans="1:7" ht="15.5" x14ac:dyDescent="0.35">
      <c r="A49" s="209" t="s">
        <v>202</v>
      </c>
      <c r="B49" s="196">
        <v>1395</v>
      </c>
      <c r="C49" s="197">
        <v>525</v>
      </c>
      <c r="D49" s="198">
        <v>633</v>
      </c>
      <c r="E49" s="916">
        <v>-76</v>
      </c>
      <c r="F49" s="916">
        <v>116</v>
      </c>
      <c r="G49" s="917">
        <v>198</v>
      </c>
    </row>
    <row r="50" spans="1:7" ht="15.5" x14ac:dyDescent="0.35">
      <c r="A50" s="207" t="s">
        <v>166</v>
      </c>
      <c r="B50" s="192" t="s">
        <v>166</v>
      </c>
      <c r="C50" s="189" t="s">
        <v>166</v>
      </c>
      <c r="D50" s="193" t="s">
        <v>166</v>
      </c>
      <c r="E50" s="919" t="s">
        <v>166</v>
      </c>
      <c r="F50" s="919" t="s">
        <v>166</v>
      </c>
      <c r="G50" s="920" t="s">
        <v>166</v>
      </c>
    </row>
    <row r="51" spans="1:7" ht="15.5" x14ac:dyDescent="0.35">
      <c r="A51" s="208" t="s">
        <v>208</v>
      </c>
      <c r="B51" s="196">
        <v>55010</v>
      </c>
      <c r="C51" s="197">
        <v>24852</v>
      </c>
      <c r="D51" s="198">
        <v>19906</v>
      </c>
      <c r="E51" s="916">
        <v>-2453</v>
      </c>
      <c r="F51" s="916">
        <v>5113</v>
      </c>
      <c r="G51" s="917">
        <v>7593</v>
      </c>
    </row>
    <row r="52" spans="1:7" ht="15.5" x14ac:dyDescent="0.35">
      <c r="A52" s="209" t="s">
        <v>94</v>
      </c>
      <c r="B52" s="196">
        <v>2620</v>
      </c>
      <c r="C52" s="197">
        <v>1431</v>
      </c>
      <c r="D52" s="198">
        <v>693</v>
      </c>
      <c r="E52" s="916">
        <v>-14</v>
      </c>
      <c r="F52" s="916">
        <v>107</v>
      </c>
      <c r="G52" s="917">
        <v>404</v>
      </c>
    </row>
    <row r="53" spans="1:7" ht="15.5" x14ac:dyDescent="0.35">
      <c r="A53" s="209" t="s">
        <v>209</v>
      </c>
      <c r="B53" s="196">
        <v>565</v>
      </c>
      <c r="C53" s="197">
        <v>418</v>
      </c>
      <c r="D53" s="198">
        <v>79</v>
      </c>
      <c r="E53" s="916">
        <v>-15</v>
      </c>
      <c r="F53" s="916">
        <v>14</v>
      </c>
      <c r="G53" s="917">
        <v>68</v>
      </c>
    </row>
    <row r="54" spans="1:7" ht="15.5" x14ac:dyDescent="0.35">
      <c r="A54" s="209" t="s">
        <v>71</v>
      </c>
      <c r="B54" s="196">
        <v>49282</v>
      </c>
      <c r="C54" s="197">
        <v>21751</v>
      </c>
      <c r="D54" s="198">
        <v>18465</v>
      </c>
      <c r="E54" s="916">
        <v>-2392</v>
      </c>
      <c r="F54" s="916">
        <v>4715</v>
      </c>
      <c r="G54" s="917">
        <v>6744</v>
      </c>
    </row>
    <row r="55" spans="1:7" ht="15.5" x14ac:dyDescent="0.35">
      <c r="A55" s="209" t="s">
        <v>210</v>
      </c>
      <c r="B55" s="196">
        <v>691</v>
      </c>
      <c r="C55" s="197">
        <v>454</v>
      </c>
      <c r="D55" s="198">
        <v>37</v>
      </c>
      <c r="E55" s="916">
        <v>-22</v>
      </c>
      <c r="F55" s="916">
        <v>49</v>
      </c>
      <c r="G55" s="917">
        <v>173</v>
      </c>
    </row>
    <row r="56" spans="1:7" ht="15.5" x14ac:dyDescent="0.35">
      <c r="A56" s="209" t="s">
        <v>202</v>
      </c>
      <c r="B56" s="196">
        <v>1852</v>
      </c>
      <c r="C56" s="197">
        <v>799</v>
      </c>
      <c r="D56" s="198">
        <v>630</v>
      </c>
      <c r="E56" s="916">
        <v>-10</v>
      </c>
      <c r="F56" s="916">
        <v>228</v>
      </c>
      <c r="G56" s="917">
        <v>205</v>
      </c>
    </row>
    <row r="57" spans="1:7" ht="15.5" x14ac:dyDescent="0.35">
      <c r="A57" s="207" t="s">
        <v>166</v>
      </c>
      <c r="B57" s="192" t="s">
        <v>166</v>
      </c>
      <c r="C57" s="189" t="s">
        <v>166</v>
      </c>
      <c r="D57" s="193" t="s">
        <v>166</v>
      </c>
      <c r="E57" s="919" t="s">
        <v>166</v>
      </c>
      <c r="F57" s="919" t="s">
        <v>166</v>
      </c>
      <c r="G57" s="920" t="s">
        <v>166</v>
      </c>
    </row>
    <row r="58" spans="1:7" ht="15.5" x14ac:dyDescent="0.35">
      <c r="A58" s="208" t="s">
        <v>211</v>
      </c>
      <c r="B58" s="196">
        <v>30973</v>
      </c>
      <c r="C58" s="197">
        <v>4031</v>
      </c>
      <c r="D58" s="198">
        <v>36335</v>
      </c>
      <c r="E58" s="916">
        <v>-12753</v>
      </c>
      <c r="F58" s="916">
        <v>676</v>
      </c>
      <c r="G58" s="917">
        <v>2684</v>
      </c>
    </row>
    <row r="59" spans="1:7" ht="15.5" x14ac:dyDescent="0.35">
      <c r="A59" s="209" t="s">
        <v>212</v>
      </c>
      <c r="B59" s="196">
        <v>1785</v>
      </c>
      <c r="C59" s="197">
        <v>51</v>
      </c>
      <c r="D59" s="198">
        <v>1790</v>
      </c>
      <c r="E59" s="916" t="s">
        <v>201</v>
      </c>
      <c r="F59" s="916">
        <v>6</v>
      </c>
      <c r="G59" s="917" t="s">
        <v>201</v>
      </c>
    </row>
    <row r="60" spans="1:7" ht="15.5" x14ac:dyDescent="0.35">
      <c r="A60" s="209" t="s">
        <v>213</v>
      </c>
      <c r="B60" s="196">
        <v>4830</v>
      </c>
      <c r="C60" s="197">
        <v>1248</v>
      </c>
      <c r="D60" s="198">
        <v>7594</v>
      </c>
      <c r="E60" s="916" t="s">
        <v>201</v>
      </c>
      <c r="F60" s="916">
        <v>149</v>
      </c>
      <c r="G60" s="917" t="s">
        <v>201</v>
      </c>
    </row>
    <row r="61" spans="1:7" ht="15.5" x14ac:dyDescent="0.35">
      <c r="A61" s="209" t="s">
        <v>214</v>
      </c>
      <c r="B61" s="196">
        <v>860</v>
      </c>
      <c r="C61" s="197">
        <v>225</v>
      </c>
      <c r="D61" s="198">
        <v>416</v>
      </c>
      <c r="E61" s="919">
        <v>34</v>
      </c>
      <c r="F61" s="919">
        <v>114</v>
      </c>
      <c r="G61" s="917">
        <v>70</v>
      </c>
    </row>
    <row r="62" spans="1:7" ht="15.5" x14ac:dyDescent="0.35">
      <c r="A62" s="209" t="s">
        <v>215</v>
      </c>
      <c r="B62" s="196">
        <v>7901</v>
      </c>
      <c r="C62" s="197">
        <v>1491</v>
      </c>
      <c r="D62" s="198">
        <v>13080</v>
      </c>
      <c r="E62" s="193">
        <v>-7550</v>
      </c>
      <c r="F62" s="193">
        <v>106</v>
      </c>
      <c r="G62" s="214">
        <v>774</v>
      </c>
    </row>
    <row r="63" spans="1:7" ht="15.5" x14ac:dyDescent="0.35">
      <c r="A63" s="209" t="s">
        <v>202</v>
      </c>
      <c r="B63" s="196">
        <v>15597</v>
      </c>
      <c r="C63" s="197">
        <v>1015</v>
      </c>
      <c r="D63" s="198">
        <v>13454</v>
      </c>
      <c r="E63" s="193">
        <v>-282</v>
      </c>
      <c r="F63" s="193">
        <v>301</v>
      </c>
      <c r="G63" s="214">
        <v>1109</v>
      </c>
    </row>
    <row r="64" spans="1:7" ht="15.5" x14ac:dyDescent="0.35">
      <c r="A64" s="207" t="s">
        <v>166</v>
      </c>
      <c r="B64" s="192" t="s">
        <v>166</v>
      </c>
      <c r="C64" s="189" t="s">
        <v>166</v>
      </c>
      <c r="D64" s="193" t="s">
        <v>166</v>
      </c>
      <c r="E64" s="193" t="s">
        <v>166</v>
      </c>
      <c r="F64" s="193" t="s">
        <v>166</v>
      </c>
      <c r="G64" s="213" t="s">
        <v>166</v>
      </c>
    </row>
    <row r="65" spans="1:7" ht="15.5" x14ac:dyDescent="0.35">
      <c r="A65" s="207" t="s">
        <v>312</v>
      </c>
      <c r="B65" s="186">
        <v>52596</v>
      </c>
      <c r="C65" s="187">
        <v>8395</v>
      </c>
      <c r="D65" s="188">
        <v>28014</v>
      </c>
      <c r="E65" s="188">
        <v>-327</v>
      </c>
      <c r="F65" s="188">
        <v>6685</v>
      </c>
      <c r="G65" s="212">
        <v>9828</v>
      </c>
    </row>
    <row r="66" spans="1:7" ht="15.5" x14ac:dyDescent="0.35">
      <c r="A66" s="208" t="s">
        <v>216</v>
      </c>
      <c r="B66" s="196">
        <v>6443</v>
      </c>
      <c r="C66" s="197">
        <v>744</v>
      </c>
      <c r="D66" s="198">
        <v>3788</v>
      </c>
      <c r="E66" s="198">
        <v>-289</v>
      </c>
      <c r="F66" s="198">
        <v>1438</v>
      </c>
      <c r="G66" s="214">
        <v>762</v>
      </c>
    </row>
    <row r="67" spans="1:7" ht="15.5" x14ac:dyDescent="0.35">
      <c r="A67" s="208" t="s">
        <v>217</v>
      </c>
      <c r="B67" s="196" t="s">
        <v>201</v>
      </c>
      <c r="C67" s="197">
        <v>1484</v>
      </c>
      <c r="D67" s="198" t="s">
        <v>201</v>
      </c>
      <c r="E67" s="198" t="s">
        <v>201</v>
      </c>
      <c r="F67" s="193" t="s">
        <v>201</v>
      </c>
      <c r="G67" s="213" t="s">
        <v>201</v>
      </c>
    </row>
    <row r="68" spans="1:7" ht="15.5" x14ac:dyDescent="0.35">
      <c r="A68" s="208" t="s">
        <v>97</v>
      </c>
      <c r="B68" s="196">
        <v>6621</v>
      </c>
      <c r="C68" s="197">
        <v>3498</v>
      </c>
      <c r="D68" s="198">
        <v>1548</v>
      </c>
      <c r="E68" s="198">
        <v>-62</v>
      </c>
      <c r="F68" s="198">
        <v>1304</v>
      </c>
      <c r="G68" s="214">
        <v>333</v>
      </c>
    </row>
    <row r="69" spans="1:7" ht="15.5" x14ac:dyDescent="0.35">
      <c r="A69" s="208" t="s">
        <v>202</v>
      </c>
      <c r="B69" s="196" t="s">
        <v>201</v>
      </c>
      <c r="C69" s="197">
        <v>2668</v>
      </c>
      <c r="D69" s="198" t="s">
        <v>201</v>
      </c>
      <c r="E69" s="198" t="s">
        <v>201</v>
      </c>
      <c r="F69" s="193" t="s">
        <v>201</v>
      </c>
      <c r="G69" s="213" t="s">
        <v>201</v>
      </c>
    </row>
    <row r="70" spans="1:7" ht="15.5" x14ac:dyDescent="0.35">
      <c r="A70" s="207" t="s">
        <v>166</v>
      </c>
      <c r="B70" s="192" t="s">
        <v>166</v>
      </c>
      <c r="C70" s="189" t="s">
        <v>166</v>
      </c>
      <c r="D70" s="193" t="s">
        <v>166</v>
      </c>
      <c r="E70" s="193" t="s">
        <v>166</v>
      </c>
      <c r="F70" s="193" t="s">
        <v>166</v>
      </c>
      <c r="G70" s="213" t="s">
        <v>166</v>
      </c>
    </row>
    <row r="71" spans="1:7" ht="15.5" x14ac:dyDescent="0.35">
      <c r="A71" s="207" t="s">
        <v>313</v>
      </c>
      <c r="B71" s="186">
        <v>33694</v>
      </c>
      <c r="C71" s="187">
        <v>10134</v>
      </c>
      <c r="D71" s="188">
        <v>18727</v>
      </c>
      <c r="E71" s="188">
        <v>30</v>
      </c>
      <c r="F71" s="188">
        <v>1770</v>
      </c>
      <c r="G71" s="212">
        <v>3032</v>
      </c>
    </row>
    <row r="72" spans="1:7" ht="15.5" x14ac:dyDescent="0.35">
      <c r="A72" s="208" t="s">
        <v>95</v>
      </c>
      <c r="B72" s="196">
        <v>10414</v>
      </c>
      <c r="C72" s="197">
        <v>5242</v>
      </c>
      <c r="D72" s="198">
        <v>3566</v>
      </c>
      <c r="E72" s="198">
        <v>111</v>
      </c>
      <c r="F72" s="198" t="s">
        <v>201</v>
      </c>
      <c r="G72" s="214" t="s">
        <v>201</v>
      </c>
    </row>
    <row r="73" spans="1:7" ht="15.5" x14ac:dyDescent="0.35">
      <c r="A73" s="208" t="s">
        <v>218</v>
      </c>
      <c r="B73" s="196">
        <v>4899</v>
      </c>
      <c r="C73" s="197">
        <v>1823</v>
      </c>
      <c r="D73" s="198">
        <v>2629</v>
      </c>
      <c r="E73" s="193">
        <v>5</v>
      </c>
      <c r="F73" s="193">
        <v>35</v>
      </c>
      <c r="G73" s="214">
        <v>407</v>
      </c>
    </row>
    <row r="74" spans="1:7" ht="15.5" x14ac:dyDescent="0.35">
      <c r="A74" s="208" t="s">
        <v>219</v>
      </c>
      <c r="B74" s="196">
        <v>11019</v>
      </c>
      <c r="C74" s="197">
        <v>2002</v>
      </c>
      <c r="D74" s="198">
        <v>7334</v>
      </c>
      <c r="E74" s="193">
        <v>-3</v>
      </c>
      <c r="F74" s="193" t="s">
        <v>201</v>
      </c>
      <c r="G74" s="214" t="s">
        <v>201</v>
      </c>
    </row>
    <row r="75" spans="1:7" ht="15.5" x14ac:dyDescent="0.35">
      <c r="A75" s="208" t="s">
        <v>202</v>
      </c>
      <c r="B75" s="196">
        <v>7361</v>
      </c>
      <c r="C75" s="197">
        <v>1068</v>
      </c>
      <c r="D75" s="198">
        <v>5198</v>
      </c>
      <c r="E75" s="193">
        <v>-82</v>
      </c>
      <c r="F75" s="193">
        <v>30</v>
      </c>
      <c r="G75" s="214">
        <v>1147</v>
      </c>
    </row>
    <row r="76" spans="1:7" ht="15.5" x14ac:dyDescent="0.35">
      <c r="A76" s="207" t="s">
        <v>166</v>
      </c>
      <c r="B76" s="192" t="s">
        <v>166</v>
      </c>
      <c r="C76" s="189" t="s">
        <v>166</v>
      </c>
      <c r="D76" s="193" t="s">
        <v>166</v>
      </c>
      <c r="E76" s="193" t="s">
        <v>166</v>
      </c>
      <c r="F76" s="193" t="s">
        <v>166</v>
      </c>
      <c r="G76" s="213" t="s">
        <v>166</v>
      </c>
    </row>
    <row r="77" spans="1:7" ht="15.5" x14ac:dyDescent="0.35">
      <c r="A77" s="207" t="s">
        <v>314</v>
      </c>
      <c r="B77" s="186">
        <v>365554</v>
      </c>
      <c r="C77" s="187">
        <v>154779</v>
      </c>
      <c r="D77" s="188">
        <v>144625</v>
      </c>
      <c r="E77" s="188">
        <v>-10269</v>
      </c>
      <c r="F77" s="188">
        <v>41829</v>
      </c>
      <c r="G77" s="212">
        <v>34590</v>
      </c>
    </row>
    <row r="78" spans="1:7" ht="15.5" x14ac:dyDescent="0.35">
      <c r="A78" s="208" t="s">
        <v>54</v>
      </c>
      <c r="B78" s="196">
        <v>58424</v>
      </c>
      <c r="C78" s="197">
        <v>29666</v>
      </c>
      <c r="D78" s="198">
        <v>14042</v>
      </c>
      <c r="E78" s="198">
        <v>292</v>
      </c>
      <c r="F78" s="198">
        <v>7789</v>
      </c>
      <c r="G78" s="214">
        <v>6635</v>
      </c>
    </row>
    <row r="79" spans="1:7" ht="15.5" x14ac:dyDescent="0.35">
      <c r="A79" s="208" t="s">
        <v>101</v>
      </c>
      <c r="B79" s="196">
        <v>67647</v>
      </c>
      <c r="C79" s="197">
        <v>27734</v>
      </c>
      <c r="D79" s="198">
        <v>27927</v>
      </c>
      <c r="E79" s="198">
        <v>-399</v>
      </c>
      <c r="F79" s="198">
        <v>5351</v>
      </c>
      <c r="G79" s="214">
        <v>7034</v>
      </c>
    </row>
    <row r="80" spans="1:7" ht="15.5" x14ac:dyDescent="0.35">
      <c r="A80" s="208" t="s">
        <v>220</v>
      </c>
      <c r="B80" s="196">
        <v>19041</v>
      </c>
      <c r="C80" s="197">
        <v>10286</v>
      </c>
      <c r="D80" s="198">
        <v>7859</v>
      </c>
      <c r="E80" s="198">
        <v>-704</v>
      </c>
      <c r="F80" s="198">
        <v>829</v>
      </c>
      <c r="G80" s="214">
        <v>771</v>
      </c>
    </row>
    <row r="81" spans="1:7" ht="15.5" x14ac:dyDescent="0.35">
      <c r="A81" s="208" t="s">
        <v>102</v>
      </c>
      <c r="B81" s="196">
        <v>25925</v>
      </c>
      <c r="C81" s="197">
        <v>17012</v>
      </c>
      <c r="D81" s="198">
        <v>6931</v>
      </c>
      <c r="E81" s="198">
        <v>-865</v>
      </c>
      <c r="F81" s="198">
        <v>950</v>
      </c>
      <c r="G81" s="214">
        <v>1898</v>
      </c>
    </row>
    <row r="82" spans="1:7" ht="15.5" x14ac:dyDescent="0.35">
      <c r="A82" s="208" t="s">
        <v>221</v>
      </c>
      <c r="B82" s="196">
        <v>16072</v>
      </c>
      <c r="C82" s="197">
        <v>3084</v>
      </c>
      <c r="D82" s="198">
        <v>6987</v>
      </c>
      <c r="E82" s="198">
        <v>95</v>
      </c>
      <c r="F82" s="193" t="s">
        <v>201</v>
      </c>
      <c r="G82" s="213" t="s">
        <v>201</v>
      </c>
    </row>
    <row r="83" spans="1:7" ht="15.5" x14ac:dyDescent="0.35">
      <c r="A83" s="208" t="s">
        <v>67</v>
      </c>
      <c r="B83" s="196">
        <v>49471</v>
      </c>
      <c r="C83" s="197">
        <v>27205</v>
      </c>
      <c r="D83" s="198">
        <v>21044</v>
      </c>
      <c r="E83" s="198">
        <v>-5961</v>
      </c>
      <c r="F83" s="198">
        <v>4110</v>
      </c>
      <c r="G83" s="214">
        <v>3073</v>
      </c>
    </row>
    <row r="84" spans="1:7" ht="15.5" x14ac:dyDescent="0.35">
      <c r="A84" s="208" t="s">
        <v>222</v>
      </c>
      <c r="B84" s="196">
        <v>15201</v>
      </c>
      <c r="C84" s="197">
        <v>8075</v>
      </c>
      <c r="D84" s="198">
        <v>5093</v>
      </c>
      <c r="E84" s="198">
        <v>-964</v>
      </c>
      <c r="F84" s="198">
        <v>1825</v>
      </c>
      <c r="G84" s="214">
        <v>1172</v>
      </c>
    </row>
    <row r="85" spans="1:7" ht="15.5" x14ac:dyDescent="0.35">
      <c r="A85" s="208" t="s">
        <v>223</v>
      </c>
      <c r="B85" s="196">
        <v>12425</v>
      </c>
      <c r="C85" s="197">
        <v>3698</v>
      </c>
      <c r="D85" s="198">
        <v>5830</v>
      </c>
      <c r="E85" s="198">
        <v>-66</v>
      </c>
      <c r="F85" s="198">
        <v>878</v>
      </c>
      <c r="G85" s="214">
        <v>2085</v>
      </c>
    </row>
    <row r="86" spans="1:7" ht="15.5" x14ac:dyDescent="0.35">
      <c r="A86" s="208" t="s">
        <v>73</v>
      </c>
      <c r="B86" s="196">
        <v>5339</v>
      </c>
      <c r="C86" s="197">
        <v>1859</v>
      </c>
      <c r="D86" s="198">
        <v>1572</v>
      </c>
      <c r="E86" s="198">
        <v>-38</v>
      </c>
      <c r="F86" s="198">
        <v>1634</v>
      </c>
      <c r="G86" s="214">
        <v>312</v>
      </c>
    </row>
    <row r="87" spans="1:7" ht="15.5" x14ac:dyDescent="0.35">
      <c r="A87" s="208" t="s">
        <v>224</v>
      </c>
      <c r="B87" s="196">
        <v>6752</v>
      </c>
      <c r="C87" s="197">
        <v>3006</v>
      </c>
      <c r="D87" s="198">
        <v>2110</v>
      </c>
      <c r="E87" s="198">
        <v>84</v>
      </c>
      <c r="F87" s="198">
        <v>550</v>
      </c>
      <c r="G87" s="214">
        <v>1002</v>
      </c>
    </row>
    <row r="88" spans="1:7" ht="15.5" x14ac:dyDescent="0.35">
      <c r="A88" s="208" t="s">
        <v>225</v>
      </c>
      <c r="B88" s="196">
        <v>47177</v>
      </c>
      <c r="C88" s="197">
        <v>13983</v>
      </c>
      <c r="D88" s="198">
        <v>28900</v>
      </c>
      <c r="E88" s="198">
        <v>-1554</v>
      </c>
      <c r="F88" s="198">
        <v>2239</v>
      </c>
      <c r="G88" s="214">
        <v>3609</v>
      </c>
    </row>
    <row r="89" spans="1:7" ht="15.5" x14ac:dyDescent="0.35">
      <c r="A89" s="208" t="s">
        <v>226</v>
      </c>
      <c r="B89" s="196">
        <v>7500</v>
      </c>
      <c r="C89" s="197">
        <v>3168</v>
      </c>
      <c r="D89" s="198">
        <v>3249</v>
      </c>
      <c r="E89" s="198">
        <v>-312</v>
      </c>
      <c r="F89" s="198">
        <v>409</v>
      </c>
      <c r="G89" s="214">
        <v>986</v>
      </c>
    </row>
    <row r="90" spans="1:7" ht="15.5" x14ac:dyDescent="0.35">
      <c r="A90" s="208" t="s">
        <v>227</v>
      </c>
      <c r="B90" s="196">
        <v>15217</v>
      </c>
      <c r="C90" s="197">
        <v>3178</v>
      </c>
      <c r="D90" s="198">
        <v>6452</v>
      </c>
      <c r="E90" s="198">
        <v>-38</v>
      </c>
      <c r="F90" s="198">
        <v>3088</v>
      </c>
      <c r="G90" s="214">
        <v>2537</v>
      </c>
    </row>
    <row r="91" spans="1:7" ht="15.5" x14ac:dyDescent="0.35">
      <c r="A91" s="208" t="s">
        <v>202</v>
      </c>
      <c r="B91" s="196">
        <v>19363</v>
      </c>
      <c r="C91" s="197">
        <v>2825</v>
      </c>
      <c r="D91" s="198">
        <v>6628</v>
      </c>
      <c r="E91" s="198">
        <v>163</v>
      </c>
      <c r="F91" s="193" t="s">
        <v>201</v>
      </c>
      <c r="G91" s="213" t="s">
        <v>201</v>
      </c>
    </row>
    <row r="92" spans="1:7" ht="15.5" x14ac:dyDescent="0.35">
      <c r="A92" s="207" t="s">
        <v>166</v>
      </c>
      <c r="B92" s="192" t="s">
        <v>166</v>
      </c>
      <c r="C92" s="189" t="s">
        <v>166</v>
      </c>
      <c r="D92" s="193" t="s">
        <v>166</v>
      </c>
      <c r="E92" s="193" t="s">
        <v>166</v>
      </c>
      <c r="F92" s="193" t="s">
        <v>166</v>
      </c>
      <c r="G92" s="213" t="s">
        <v>166</v>
      </c>
    </row>
    <row r="93" spans="1:7" ht="15.5" x14ac:dyDescent="0.35">
      <c r="A93" s="207" t="s">
        <v>315</v>
      </c>
      <c r="B93" s="192" t="s">
        <v>166</v>
      </c>
      <c r="C93" s="189" t="s">
        <v>166</v>
      </c>
      <c r="D93" s="193" t="s">
        <v>166</v>
      </c>
      <c r="E93" s="193" t="s">
        <v>166</v>
      </c>
      <c r="F93" s="193" t="s">
        <v>166</v>
      </c>
      <c r="G93" s="213" t="s">
        <v>166</v>
      </c>
    </row>
    <row r="94" spans="1:7" ht="15.5" x14ac:dyDescent="0.35">
      <c r="A94" s="208" t="s">
        <v>228</v>
      </c>
      <c r="B94" s="196">
        <v>581395</v>
      </c>
      <c r="C94" s="197">
        <v>290113</v>
      </c>
      <c r="D94" s="198">
        <v>166899</v>
      </c>
      <c r="E94" s="198">
        <v>-17260</v>
      </c>
      <c r="F94" s="198">
        <v>91585</v>
      </c>
      <c r="G94" s="214">
        <v>50059</v>
      </c>
    </row>
    <row r="95" spans="1:7" ht="16" thickBot="1" x14ac:dyDescent="0.4">
      <c r="A95" s="210" t="s">
        <v>229</v>
      </c>
      <c r="B95" s="201">
        <v>54313</v>
      </c>
      <c r="C95" s="202">
        <v>9887</v>
      </c>
      <c r="D95" s="203">
        <v>30281</v>
      </c>
      <c r="E95" s="203">
        <v>11</v>
      </c>
      <c r="F95" s="203">
        <v>5676</v>
      </c>
      <c r="G95" s="215">
        <v>8458</v>
      </c>
    </row>
    <row r="96" spans="1:7" ht="13" thickTop="1" x14ac:dyDescent="0.25"/>
    <row r="97" spans="1:7" ht="13" thickBot="1" x14ac:dyDescent="0.3"/>
    <row r="98" spans="1:7" ht="26.25" customHeight="1" thickBot="1" x14ac:dyDescent="0.3">
      <c r="A98" s="2238" t="s">
        <v>196</v>
      </c>
      <c r="B98" s="2239"/>
      <c r="C98" s="2239"/>
      <c r="D98" s="2239"/>
      <c r="E98" s="2239"/>
      <c r="F98" s="2239"/>
      <c r="G98" s="2240"/>
    </row>
  </sheetData>
  <mergeCells count="3">
    <mergeCell ref="A3:G3"/>
    <mergeCell ref="B6:G6"/>
    <mergeCell ref="A98:G98"/>
  </mergeCells>
  <pageMargins left="0.7" right="0.7" top="0.75" bottom="0.75" header="0.3" footer="0.3"/>
  <pageSetup scale="70" fitToHeight="0" orientation="portrait" horizontalDpi="300" verticalDpi="300"/>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2:L101"/>
  <sheetViews>
    <sheetView workbookViewId="0">
      <pane xSplit="1" ySplit="8" topLeftCell="B9" activePane="bottomRight" state="frozen"/>
      <selection pane="topRight" activeCell="B1" sqref="B1"/>
      <selection pane="bottomLeft" activeCell="A8" sqref="A8"/>
      <selection pane="bottomRight" activeCell="G14" sqref="G14"/>
    </sheetView>
  </sheetViews>
  <sheetFormatPr baseColWidth="10" defaultColWidth="7.6328125" defaultRowHeight="15.5" x14ac:dyDescent="0.35"/>
  <cols>
    <col min="1" max="1" width="29.36328125" style="218" customWidth="1"/>
    <col min="2" max="11" width="12.1796875" style="218" customWidth="1"/>
    <col min="12" max="12" width="11" style="218" customWidth="1"/>
    <col min="13" max="248" width="7.6328125" style="218"/>
    <col min="249" max="249" width="38.81640625" style="218" customWidth="1"/>
    <col min="250" max="259" width="12.1796875" style="218" customWidth="1"/>
    <col min="260" max="504" width="7.6328125" style="218"/>
    <col min="505" max="505" width="38.81640625" style="218" customWidth="1"/>
    <col min="506" max="515" width="12.1796875" style="218" customWidth="1"/>
    <col min="516" max="760" width="7.6328125" style="218"/>
    <col min="761" max="761" width="38.81640625" style="218" customWidth="1"/>
    <col min="762" max="771" width="12.1796875" style="218" customWidth="1"/>
    <col min="772" max="1016" width="7.6328125" style="218"/>
    <col min="1017" max="1017" width="38.81640625" style="218" customWidth="1"/>
    <col min="1018" max="1027" width="12.1796875" style="218" customWidth="1"/>
    <col min="1028" max="1272" width="7.6328125" style="218"/>
    <col min="1273" max="1273" width="38.81640625" style="218" customWidth="1"/>
    <col min="1274" max="1283" width="12.1796875" style="218" customWidth="1"/>
    <col min="1284" max="1528" width="7.6328125" style="218"/>
    <col min="1529" max="1529" width="38.81640625" style="218" customWidth="1"/>
    <col min="1530" max="1539" width="12.1796875" style="218" customWidth="1"/>
    <col min="1540" max="1784" width="7.6328125" style="218"/>
    <col min="1785" max="1785" width="38.81640625" style="218" customWidth="1"/>
    <col min="1786" max="1795" width="12.1796875" style="218" customWidth="1"/>
    <col min="1796" max="2040" width="7.6328125" style="218"/>
    <col min="2041" max="2041" width="38.81640625" style="218" customWidth="1"/>
    <col min="2042" max="2051" width="12.1796875" style="218" customWidth="1"/>
    <col min="2052" max="2296" width="7.6328125" style="218"/>
    <col min="2297" max="2297" width="38.81640625" style="218" customWidth="1"/>
    <col min="2298" max="2307" width="12.1796875" style="218" customWidth="1"/>
    <col min="2308" max="2552" width="7.6328125" style="218"/>
    <col min="2553" max="2553" width="38.81640625" style="218" customWidth="1"/>
    <col min="2554" max="2563" width="12.1796875" style="218" customWidth="1"/>
    <col min="2564" max="2808" width="7.6328125" style="218"/>
    <col min="2809" max="2809" width="38.81640625" style="218" customWidth="1"/>
    <col min="2810" max="2819" width="12.1796875" style="218" customWidth="1"/>
    <col min="2820" max="3064" width="7.6328125" style="218"/>
    <col min="3065" max="3065" width="38.81640625" style="218" customWidth="1"/>
    <col min="3066" max="3075" width="12.1796875" style="218" customWidth="1"/>
    <col min="3076" max="3320" width="7.6328125" style="218"/>
    <col min="3321" max="3321" width="38.81640625" style="218" customWidth="1"/>
    <col min="3322" max="3331" width="12.1796875" style="218" customWidth="1"/>
    <col min="3332" max="3576" width="7.6328125" style="218"/>
    <col min="3577" max="3577" width="38.81640625" style="218" customWidth="1"/>
    <col min="3578" max="3587" width="12.1796875" style="218" customWidth="1"/>
    <col min="3588" max="3832" width="7.6328125" style="218"/>
    <col min="3833" max="3833" width="38.81640625" style="218" customWidth="1"/>
    <col min="3834" max="3843" width="12.1796875" style="218" customWidth="1"/>
    <col min="3844" max="4088" width="7.6328125" style="218"/>
    <col min="4089" max="4089" width="38.81640625" style="218" customWidth="1"/>
    <col min="4090" max="4099" width="12.1796875" style="218" customWidth="1"/>
    <col min="4100" max="4344" width="7.6328125" style="218"/>
    <col min="4345" max="4345" width="38.81640625" style="218" customWidth="1"/>
    <col min="4346" max="4355" width="12.1796875" style="218" customWidth="1"/>
    <col min="4356" max="4600" width="7.6328125" style="218"/>
    <col min="4601" max="4601" width="38.81640625" style="218" customWidth="1"/>
    <col min="4602" max="4611" width="12.1796875" style="218" customWidth="1"/>
    <col min="4612" max="4856" width="7.6328125" style="218"/>
    <col min="4857" max="4857" width="38.81640625" style="218" customWidth="1"/>
    <col min="4858" max="4867" width="12.1796875" style="218" customWidth="1"/>
    <col min="4868" max="5112" width="7.6328125" style="218"/>
    <col min="5113" max="5113" width="38.81640625" style="218" customWidth="1"/>
    <col min="5114" max="5123" width="12.1796875" style="218" customWidth="1"/>
    <col min="5124" max="5368" width="7.6328125" style="218"/>
    <col min="5369" max="5369" width="38.81640625" style="218" customWidth="1"/>
    <col min="5370" max="5379" width="12.1796875" style="218" customWidth="1"/>
    <col min="5380" max="5624" width="7.6328125" style="218"/>
    <col min="5625" max="5625" width="38.81640625" style="218" customWidth="1"/>
    <col min="5626" max="5635" width="12.1796875" style="218" customWidth="1"/>
    <col min="5636" max="5880" width="7.6328125" style="218"/>
    <col min="5881" max="5881" width="38.81640625" style="218" customWidth="1"/>
    <col min="5882" max="5891" width="12.1796875" style="218" customWidth="1"/>
    <col min="5892" max="6136" width="7.6328125" style="218"/>
    <col min="6137" max="6137" width="38.81640625" style="218" customWidth="1"/>
    <col min="6138" max="6147" width="12.1796875" style="218" customWidth="1"/>
    <col min="6148" max="6392" width="7.6328125" style="218"/>
    <col min="6393" max="6393" width="38.81640625" style="218" customWidth="1"/>
    <col min="6394" max="6403" width="12.1796875" style="218" customWidth="1"/>
    <col min="6404" max="6648" width="7.6328125" style="218"/>
    <col min="6649" max="6649" width="38.81640625" style="218" customWidth="1"/>
    <col min="6650" max="6659" width="12.1796875" style="218" customWidth="1"/>
    <col min="6660" max="6904" width="7.6328125" style="218"/>
    <col min="6905" max="6905" width="38.81640625" style="218" customWidth="1"/>
    <col min="6906" max="6915" width="12.1796875" style="218" customWidth="1"/>
    <col min="6916" max="7160" width="7.6328125" style="218"/>
    <col min="7161" max="7161" width="38.81640625" style="218" customWidth="1"/>
    <col min="7162" max="7171" width="12.1796875" style="218" customWidth="1"/>
    <col min="7172" max="7416" width="7.6328125" style="218"/>
    <col min="7417" max="7417" width="38.81640625" style="218" customWidth="1"/>
    <col min="7418" max="7427" width="12.1796875" style="218" customWidth="1"/>
    <col min="7428" max="7672" width="7.6328125" style="218"/>
    <col min="7673" max="7673" width="38.81640625" style="218" customWidth="1"/>
    <col min="7674" max="7683" width="12.1796875" style="218" customWidth="1"/>
    <col min="7684" max="7928" width="7.6328125" style="218"/>
    <col min="7929" max="7929" width="38.81640625" style="218" customWidth="1"/>
    <col min="7930" max="7939" width="12.1796875" style="218" customWidth="1"/>
    <col min="7940" max="8184" width="7.6328125" style="218"/>
    <col min="8185" max="8185" width="38.81640625" style="218" customWidth="1"/>
    <col min="8186" max="8195" width="12.1796875" style="218" customWidth="1"/>
    <col min="8196" max="8440" width="7.6328125" style="218"/>
    <col min="8441" max="8441" width="38.81640625" style="218" customWidth="1"/>
    <col min="8442" max="8451" width="12.1796875" style="218" customWidth="1"/>
    <col min="8452" max="8696" width="7.6328125" style="218"/>
    <col min="8697" max="8697" width="38.81640625" style="218" customWidth="1"/>
    <col min="8698" max="8707" width="12.1796875" style="218" customWidth="1"/>
    <col min="8708" max="8952" width="7.6328125" style="218"/>
    <col min="8953" max="8953" width="38.81640625" style="218" customWidth="1"/>
    <col min="8954" max="8963" width="12.1796875" style="218" customWidth="1"/>
    <col min="8964" max="9208" width="7.6328125" style="218"/>
    <col min="9209" max="9209" width="38.81640625" style="218" customWidth="1"/>
    <col min="9210" max="9219" width="12.1796875" style="218" customWidth="1"/>
    <col min="9220" max="9464" width="7.6328125" style="218"/>
    <col min="9465" max="9465" width="38.81640625" style="218" customWidth="1"/>
    <col min="9466" max="9475" width="12.1796875" style="218" customWidth="1"/>
    <col min="9476" max="9720" width="7.6328125" style="218"/>
    <col min="9721" max="9721" width="38.81640625" style="218" customWidth="1"/>
    <col min="9722" max="9731" width="12.1796875" style="218" customWidth="1"/>
    <col min="9732" max="9976" width="7.6328125" style="218"/>
    <col min="9977" max="9977" width="38.81640625" style="218" customWidth="1"/>
    <col min="9978" max="9987" width="12.1796875" style="218" customWidth="1"/>
    <col min="9988" max="10232" width="7.6328125" style="218"/>
    <col min="10233" max="10233" width="38.81640625" style="218" customWidth="1"/>
    <col min="10234" max="10243" width="12.1796875" style="218" customWidth="1"/>
    <col min="10244" max="10488" width="7.6328125" style="218"/>
    <col min="10489" max="10489" width="38.81640625" style="218" customWidth="1"/>
    <col min="10490" max="10499" width="12.1796875" style="218" customWidth="1"/>
    <col min="10500" max="10744" width="7.6328125" style="218"/>
    <col min="10745" max="10745" width="38.81640625" style="218" customWidth="1"/>
    <col min="10746" max="10755" width="12.1796875" style="218" customWidth="1"/>
    <col min="10756" max="11000" width="7.6328125" style="218"/>
    <col min="11001" max="11001" width="38.81640625" style="218" customWidth="1"/>
    <col min="11002" max="11011" width="12.1796875" style="218" customWidth="1"/>
    <col min="11012" max="11256" width="7.6328125" style="218"/>
    <col min="11257" max="11257" width="38.81640625" style="218" customWidth="1"/>
    <col min="11258" max="11267" width="12.1796875" style="218" customWidth="1"/>
    <col min="11268" max="11512" width="7.6328125" style="218"/>
    <col min="11513" max="11513" width="38.81640625" style="218" customWidth="1"/>
    <col min="11514" max="11523" width="12.1796875" style="218" customWidth="1"/>
    <col min="11524" max="11768" width="7.6328125" style="218"/>
    <col min="11769" max="11769" width="38.81640625" style="218" customWidth="1"/>
    <col min="11770" max="11779" width="12.1796875" style="218" customWidth="1"/>
    <col min="11780" max="12024" width="7.6328125" style="218"/>
    <col min="12025" max="12025" width="38.81640625" style="218" customWidth="1"/>
    <col min="12026" max="12035" width="12.1796875" style="218" customWidth="1"/>
    <col min="12036" max="12280" width="7.6328125" style="218"/>
    <col min="12281" max="12281" width="38.81640625" style="218" customWidth="1"/>
    <col min="12282" max="12291" width="12.1796875" style="218" customWidth="1"/>
    <col min="12292" max="12536" width="7.6328125" style="218"/>
    <col min="12537" max="12537" width="38.81640625" style="218" customWidth="1"/>
    <col min="12538" max="12547" width="12.1796875" style="218" customWidth="1"/>
    <col min="12548" max="12792" width="7.6328125" style="218"/>
    <col min="12793" max="12793" width="38.81640625" style="218" customWidth="1"/>
    <col min="12794" max="12803" width="12.1796875" style="218" customWidth="1"/>
    <col min="12804" max="13048" width="7.6328125" style="218"/>
    <col min="13049" max="13049" width="38.81640625" style="218" customWidth="1"/>
    <col min="13050" max="13059" width="12.1796875" style="218" customWidth="1"/>
    <col min="13060" max="13304" width="7.6328125" style="218"/>
    <col min="13305" max="13305" width="38.81640625" style="218" customWidth="1"/>
    <col min="13306" max="13315" width="12.1796875" style="218" customWidth="1"/>
    <col min="13316" max="13560" width="7.6328125" style="218"/>
    <col min="13561" max="13561" width="38.81640625" style="218" customWidth="1"/>
    <col min="13562" max="13571" width="12.1796875" style="218" customWidth="1"/>
    <col min="13572" max="13816" width="7.6328125" style="218"/>
    <col min="13817" max="13817" width="38.81640625" style="218" customWidth="1"/>
    <col min="13818" max="13827" width="12.1796875" style="218" customWidth="1"/>
    <col min="13828" max="14072" width="7.6328125" style="218"/>
    <col min="14073" max="14073" width="38.81640625" style="218" customWidth="1"/>
    <col min="14074" max="14083" width="12.1796875" style="218" customWidth="1"/>
    <col min="14084" max="14328" width="7.6328125" style="218"/>
    <col min="14329" max="14329" width="38.81640625" style="218" customWidth="1"/>
    <col min="14330" max="14339" width="12.1796875" style="218" customWidth="1"/>
    <col min="14340" max="14584" width="7.6328125" style="218"/>
    <col min="14585" max="14585" width="38.81640625" style="218" customWidth="1"/>
    <col min="14586" max="14595" width="12.1796875" style="218" customWidth="1"/>
    <col min="14596" max="14840" width="7.6328125" style="218"/>
    <col min="14841" max="14841" width="38.81640625" style="218" customWidth="1"/>
    <col min="14842" max="14851" width="12.1796875" style="218" customWidth="1"/>
    <col min="14852" max="15096" width="7.6328125" style="218"/>
    <col min="15097" max="15097" width="38.81640625" style="218" customWidth="1"/>
    <col min="15098" max="15107" width="12.1796875" style="218" customWidth="1"/>
    <col min="15108" max="15352" width="7.6328125" style="218"/>
    <col min="15353" max="15353" width="38.81640625" style="218" customWidth="1"/>
    <col min="15354" max="15363" width="12.1796875" style="218" customWidth="1"/>
    <col min="15364" max="15608" width="7.6328125" style="218"/>
    <col min="15609" max="15609" width="38.81640625" style="218" customWidth="1"/>
    <col min="15610" max="15619" width="12.1796875" style="218" customWidth="1"/>
    <col min="15620" max="15864" width="7.6328125" style="218"/>
    <col min="15865" max="15865" width="38.81640625" style="218" customWidth="1"/>
    <col min="15866" max="15875" width="12.1796875" style="218" customWidth="1"/>
    <col min="15876" max="16120" width="7.6328125" style="218"/>
    <col min="16121" max="16121" width="38.81640625" style="218" customWidth="1"/>
    <col min="16122" max="16131" width="12.1796875" style="218" customWidth="1"/>
    <col min="16132" max="16384" width="7.6328125" style="218"/>
  </cols>
  <sheetData>
    <row r="2" spans="1:12" ht="16" thickBot="1" x14ac:dyDescent="0.4"/>
    <row r="3" spans="1:12" ht="33" customHeight="1" thickTop="1" x14ac:dyDescent="0.35">
      <c r="A3" s="2235" t="s">
        <v>317</v>
      </c>
      <c r="B3" s="2249"/>
      <c r="C3" s="2249"/>
      <c r="D3" s="2249"/>
      <c r="E3" s="2249"/>
      <c r="F3" s="2249"/>
      <c r="G3" s="2249"/>
      <c r="H3" s="2249"/>
      <c r="I3" s="2249"/>
      <c r="J3" s="2249"/>
      <c r="K3" s="2249"/>
      <c r="L3" s="2250"/>
    </row>
    <row r="4" spans="1:12" x14ac:dyDescent="0.35">
      <c r="A4" s="219"/>
      <c r="B4" s="220"/>
      <c r="C4" s="220"/>
      <c r="D4" s="220"/>
      <c r="E4" s="220"/>
      <c r="F4" s="220"/>
      <c r="G4" s="220"/>
      <c r="H4" s="220"/>
      <c r="I4" s="220"/>
      <c r="J4" s="220"/>
      <c r="K4" s="220"/>
      <c r="L4" s="221"/>
    </row>
    <row r="5" spans="1:12" x14ac:dyDescent="0.35">
      <c r="A5" s="222" t="s">
        <v>166</v>
      </c>
      <c r="B5" s="10" t="s">
        <v>20</v>
      </c>
      <c r="C5" s="10" t="s">
        <v>21</v>
      </c>
      <c r="D5" s="10" t="s">
        <v>22</v>
      </c>
      <c r="E5" s="10" t="s">
        <v>23</v>
      </c>
      <c r="F5" s="10" t="s">
        <v>24</v>
      </c>
      <c r="G5" s="10" t="s">
        <v>25</v>
      </c>
      <c r="H5" s="10" t="s">
        <v>26</v>
      </c>
      <c r="I5" s="10" t="s">
        <v>33</v>
      </c>
      <c r="J5" s="10" t="s">
        <v>34</v>
      </c>
      <c r="K5" s="10" t="s">
        <v>37</v>
      </c>
      <c r="L5" s="178" t="s">
        <v>105</v>
      </c>
    </row>
    <row r="6" spans="1:12" x14ac:dyDescent="0.35">
      <c r="A6" s="219"/>
      <c r="B6" s="2246" t="s">
        <v>251</v>
      </c>
      <c r="C6" s="2247"/>
      <c r="D6" s="2247"/>
      <c r="E6" s="2247"/>
      <c r="F6" s="2247"/>
      <c r="G6" s="2247"/>
      <c r="H6" s="2247"/>
      <c r="I6" s="2247"/>
      <c r="J6" s="2247"/>
      <c r="K6" s="2248"/>
      <c r="L6" s="2257" t="s">
        <v>167</v>
      </c>
    </row>
    <row r="7" spans="1:12" ht="23.25" customHeight="1" x14ac:dyDescent="0.35">
      <c r="A7" s="223" t="s">
        <v>166</v>
      </c>
      <c r="B7" s="2251" t="s">
        <v>154</v>
      </c>
      <c r="C7" s="2252"/>
      <c r="D7" s="2252"/>
      <c r="E7" s="2252"/>
      <c r="F7" s="2253"/>
      <c r="G7" s="2254" t="s">
        <v>235</v>
      </c>
      <c r="H7" s="2255"/>
      <c r="I7" s="2255"/>
      <c r="J7" s="2256"/>
      <c r="K7" s="2244" t="s">
        <v>236</v>
      </c>
      <c r="L7" s="2258"/>
    </row>
    <row r="8" spans="1:12" ht="107.25" customHeight="1" x14ac:dyDescent="0.35">
      <c r="A8" s="224" t="s">
        <v>166</v>
      </c>
      <c r="B8" s="182" t="s">
        <v>136</v>
      </c>
      <c r="C8" s="183" t="s">
        <v>237</v>
      </c>
      <c r="D8" s="184" t="s">
        <v>238</v>
      </c>
      <c r="E8" s="922" t="s">
        <v>583</v>
      </c>
      <c r="F8" s="184" t="s">
        <v>202</v>
      </c>
      <c r="G8" s="1761" t="s">
        <v>136</v>
      </c>
      <c r="H8" s="1762" t="s">
        <v>239</v>
      </c>
      <c r="I8" s="1763" t="s">
        <v>240</v>
      </c>
      <c r="J8" s="1764" t="s">
        <v>202</v>
      </c>
      <c r="K8" s="2245"/>
      <c r="L8" s="2259"/>
    </row>
    <row r="9" spans="1:12" x14ac:dyDescent="0.35">
      <c r="A9" s="206" t="s">
        <v>242</v>
      </c>
      <c r="B9" s="186">
        <v>6852611</v>
      </c>
      <c r="C9" s="187">
        <v>5960223</v>
      </c>
      <c r="D9" s="188">
        <v>722683</v>
      </c>
      <c r="E9" s="188">
        <v>-38383</v>
      </c>
      <c r="F9" s="188">
        <v>208087</v>
      </c>
      <c r="G9" s="186">
        <v>5786761</v>
      </c>
      <c r="H9" s="226">
        <v>5188063</v>
      </c>
      <c r="I9" s="188">
        <v>91179</v>
      </c>
      <c r="J9" s="190">
        <v>507519</v>
      </c>
      <c r="K9" s="191">
        <v>1065850</v>
      </c>
      <c r="L9" s="180">
        <f>I9/TableA10!D8</f>
        <v>0.18939162621434846</v>
      </c>
    </row>
    <row r="10" spans="1:12" x14ac:dyDescent="0.35">
      <c r="A10" s="207" t="s">
        <v>166</v>
      </c>
      <c r="B10" s="192" t="s">
        <v>166</v>
      </c>
      <c r="C10" s="189" t="s">
        <v>166</v>
      </c>
      <c r="D10" s="193" t="s">
        <v>166</v>
      </c>
      <c r="E10" s="193" t="s">
        <v>166</v>
      </c>
      <c r="F10" s="193" t="s">
        <v>166</v>
      </c>
      <c r="G10" s="192" t="s">
        <v>166</v>
      </c>
      <c r="H10" s="193" t="s">
        <v>166</v>
      </c>
      <c r="I10" s="193" t="s">
        <v>166</v>
      </c>
      <c r="J10" s="194" t="s">
        <v>166</v>
      </c>
      <c r="K10" s="195" t="s">
        <v>166</v>
      </c>
      <c r="L10" s="180"/>
    </row>
    <row r="11" spans="1:12" x14ac:dyDescent="0.35">
      <c r="A11" s="207" t="s">
        <v>243</v>
      </c>
      <c r="B11" s="186">
        <v>595719</v>
      </c>
      <c r="C11" s="187">
        <v>565936</v>
      </c>
      <c r="D11" s="188">
        <v>22025</v>
      </c>
      <c r="E11" s="188">
        <v>-1715</v>
      </c>
      <c r="F11" s="188">
        <v>9472</v>
      </c>
      <c r="G11" s="186">
        <v>550530</v>
      </c>
      <c r="H11" s="188">
        <v>512319</v>
      </c>
      <c r="I11" s="188">
        <v>5636</v>
      </c>
      <c r="J11" s="190">
        <v>32575</v>
      </c>
      <c r="K11" s="191">
        <v>45188</v>
      </c>
      <c r="L11" s="180">
        <f>I11/TableA10!D10</f>
        <v>0.17223886070533587</v>
      </c>
    </row>
    <row r="12" spans="1:12" x14ac:dyDescent="0.35">
      <c r="A12" s="207" t="s">
        <v>166</v>
      </c>
      <c r="B12" s="192" t="s">
        <v>166</v>
      </c>
      <c r="C12" s="189" t="s">
        <v>166</v>
      </c>
      <c r="D12" s="193" t="s">
        <v>166</v>
      </c>
      <c r="E12" s="193" t="s">
        <v>166</v>
      </c>
      <c r="F12" s="193" t="s">
        <v>166</v>
      </c>
      <c r="G12" s="192" t="s">
        <v>166</v>
      </c>
      <c r="H12" s="193" t="s">
        <v>166</v>
      </c>
      <c r="I12" s="193" t="s">
        <v>166</v>
      </c>
      <c r="J12" s="194" t="s">
        <v>166</v>
      </c>
      <c r="K12" s="195" t="s">
        <v>166</v>
      </c>
      <c r="L12" s="180"/>
    </row>
    <row r="13" spans="1:12" x14ac:dyDescent="0.35">
      <c r="A13" s="207" t="s">
        <v>244</v>
      </c>
      <c r="B13" s="186">
        <v>3439110</v>
      </c>
      <c r="C13" s="187">
        <v>2825800</v>
      </c>
      <c r="D13" s="188">
        <v>491126</v>
      </c>
      <c r="E13" s="188">
        <v>-29486</v>
      </c>
      <c r="F13" s="188">
        <v>151670</v>
      </c>
      <c r="G13" s="186">
        <v>2769452</v>
      </c>
      <c r="H13" s="188">
        <v>2428722</v>
      </c>
      <c r="I13" s="188">
        <v>41690</v>
      </c>
      <c r="J13" s="190">
        <v>299040</v>
      </c>
      <c r="K13" s="191">
        <v>669658</v>
      </c>
      <c r="L13" s="180">
        <f>I13/TableA10!D12</f>
        <v>0.16627713121096335</v>
      </c>
    </row>
    <row r="14" spans="1:12" x14ac:dyDescent="0.35">
      <c r="A14" s="208" t="s">
        <v>55</v>
      </c>
      <c r="B14" s="196">
        <v>24204</v>
      </c>
      <c r="C14" s="197">
        <v>20170</v>
      </c>
      <c r="D14" s="198">
        <v>3120</v>
      </c>
      <c r="E14" s="198">
        <v>-6</v>
      </c>
      <c r="F14" s="198">
        <v>920</v>
      </c>
      <c r="G14" s="196">
        <v>21392</v>
      </c>
      <c r="H14" s="198">
        <v>19373</v>
      </c>
      <c r="I14" s="198">
        <v>262</v>
      </c>
      <c r="J14" s="199">
        <v>1756</v>
      </c>
      <c r="K14" s="200">
        <v>2811</v>
      </c>
      <c r="L14" s="180">
        <f>I14/TableA10!D13</f>
        <v>-17.466666666666665</v>
      </c>
    </row>
    <row r="15" spans="1:12" x14ac:dyDescent="0.35">
      <c r="A15" s="208" t="s">
        <v>2</v>
      </c>
      <c r="B15" s="196">
        <v>121924</v>
      </c>
      <c r="C15" s="197">
        <v>116774</v>
      </c>
      <c r="D15" s="198">
        <v>2778</v>
      </c>
      <c r="E15" s="198">
        <v>224</v>
      </c>
      <c r="F15" s="198">
        <v>2149</v>
      </c>
      <c r="G15" s="196">
        <v>114192</v>
      </c>
      <c r="H15" s="198">
        <v>104975</v>
      </c>
      <c r="I15" s="198">
        <v>1883</v>
      </c>
      <c r="J15" s="199">
        <v>7334</v>
      </c>
      <c r="K15" s="200">
        <v>7733</v>
      </c>
      <c r="L15" s="180">
        <f>I15/TableA10!D14</f>
        <v>0.28469912307227097</v>
      </c>
    </row>
    <row r="16" spans="1:12" x14ac:dyDescent="0.35">
      <c r="A16" s="208" t="s">
        <v>58</v>
      </c>
      <c r="B16" s="196">
        <v>17353</v>
      </c>
      <c r="C16" s="197">
        <v>17212</v>
      </c>
      <c r="D16" s="198">
        <v>64</v>
      </c>
      <c r="E16" s="198">
        <v>-19</v>
      </c>
      <c r="F16" s="198">
        <v>96</v>
      </c>
      <c r="G16" s="196">
        <v>16146</v>
      </c>
      <c r="H16" s="198">
        <v>14710</v>
      </c>
      <c r="I16" s="198">
        <v>187</v>
      </c>
      <c r="J16" s="199">
        <v>1249</v>
      </c>
      <c r="K16" s="200">
        <v>1207</v>
      </c>
      <c r="L16" s="180">
        <f>I16/TableA10!D15</f>
        <v>0.13872403560830859</v>
      </c>
    </row>
    <row r="17" spans="1:12" x14ac:dyDescent="0.35">
      <c r="A17" s="208" t="s">
        <v>59</v>
      </c>
      <c r="B17" s="196">
        <v>19992</v>
      </c>
      <c r="C17" s="197">
        <v>18636</v>
      </c>
      <c r="D17" s="198">
        <v>1026</v>
      </c>
      <c r="E17" s="198">
        <v>133</v>
      </c>
      <c r="F17" s="198">
        <v>197</v>
      </c>
      <c r="G17" s="196">
        <v>18162</v>
      </c>
      <c r="H17" s="198">
        <v>16250</v>
      </c>
      <c r="I17" s="198">
        <v>337</v>
      </c>
      <c r="J17" s="199">
        <v>1575</v>
      </c>
      <c r="K17" s="200">
        <v>1830</v>
      </c>
      <c r="L17" s="180">
        <f>I17/TableA10!D16</f>
        <v>0.3343253968253968</v>
      </c>
    </row>
    <row r="18" spans="1:12" x14ac:dyDescent="0.35">
      <c r="A18" s="208" t="s">
        <v>61</v>
      </c>
      <c r="B18" s="196">
        <v>17412</v>
      </c>
      <c r="C18" s="197">
        <v>16576</v>
      </c>
      <c r="D18" s="198" t="s">
        <v>201</v>
      </c>
      <c r="E18" s="198" t="s">
        <v>201</v>
      </c>
      <c r="F18" s="198">
        <v>122</v>
      </c>
      <c r="G18" s="196">
        <v>18519</v>
      </c>
      <c r="H18" s="198">
        <v>17362</v>
      </c>
      <c r="I18" s="198">
        <v>61</v>
      </c>
      <c r="J18" s="199">
        <v>1096</v>
      </c>
      <c r="K18" s="200">
        <v>-1107</v>
      </c>
      <c r="L18" s="180">
        <f>I18/TableA10!D17</f>
        <v>-3.4678794769755543E-2</v>
      </c>
    </row>
    <row r="19" spans="1:12" x14ac:dyDescent="0.35">
      <c r="A19" s="208" t="s">
        <v>48</v>
      </c>
      <c r="B19" s="196">
        <v>194216</v>
      </c>
      <c r="C19" s="197">
        <v>189219</v>
      </c>
      <c r="D19" s="198">
        <v>4630</v>
      </c>
      <c r="E19" s="198">
        <v>-3543</v>
      </c>
      <c r="F19" s="198">
        <v>3911</v>
      </c>
      <c r="G19" s="196">
        <v>191812</v>
      </c>
      <c r="H19" s="198">
        <v>175870</v>
      </c>
      <c r="I19" s="198">
        <v>3497</v>
      </c>
      <c r="J19" s="199">
        <v>12445</v>
      </c>
      <c r="K19" s="200">
        <v>2404</v>
      </c>
      <c r="L19" s="180">
        <f>I19/TableA10!D18</f>
        <v>0.7246166597596353</v>
      </c>
    </row>
    <row r="20" spans="1:12" x14ac:dyDescent="0.35">
      <c r="A20" s="207" t="s">
        <v>166</v>
      </c>
      <c r="B20" s="192" t="s">
        <v>166</v>
      </c>
      <c r="C20" s="189" t="s">
        <v>166</v>
      </c>
      <c r="D20" s="193" t="s">
        <v>166</v>
      </c>
      <c r="E20" s="193" t="s">
        <v>166</v>
      </c>
      <c r="F20" s="193" t="s">
        <v>166</v>
      </c>
      <c r="G20" s="192" t="s">
        <v>166</v>
      </c>
      <c r="H20" s="193" t="s">
        <v>166</v>
      </c>
      <c r="I20" s="193" t="s">
        <v>166</v>
      </c>
      <c r="J20" s="194" t="s">
        <v>166</v>
      </c>
      <c r="K20" s="195" t="s">
        <v>166</v>
      </c>
      <c r="L20" s="180"/>
    </row>
    <row r="21" spans="1:12" x14ac:dyDescent="0.35">
      <c r="A21" s="208" t="s">
        <v>62</v>
      </c>
      <c r="B21" s="196">
        <v>372382</v>
      </c>
      <c r="C21" s="197">
        <v>357214</v>
      </c>
      <c r="D21" s="198">
        <v>10120</v>
      </c>
      <c r="E21" s="198">
        <v>-2554</v>
      </c>
      <c r="F21" s="198">
        <v>7602</v>
      </c>
      <c r="G21" s="196">
        <v>356716</v>
      </c>
      <c r="H21" s="198">
        <v>323590</v>
      </c>
      <c r="I21" s="198">
        <v>4875</v>
      </c>
      <c r="J21" s="199">
        <v>28252</v>
      </c>
      <c r="K21" s="200">
        <v>15665</v>
      </c>
      <c r="L21" s="180">
        <f>I21/TableA10!D20</f>
        <v>0.37405048722473722</v>
      </c>
    </row>
    <row r="22" spans="1:12" x14ac:dyDescent="0.35">
      <c r="A22" s="208" t="s">
        <v>63</v>
      </c>
      <c r="B22" s="196">
        <v>5476</v>
      </c>
      <c r="C22" s="197">
        <v>5427</v>
      </c>
      <c r="D22" s="198" t="s">
        <v>201</v>
      </c>
      <c r="E22" s="193" t="s">
        <v>201</v>
      </c>
      <c r="F22" s="193">
        <v>40</v>
      </c>
      <c r="G22" s="196">
        <v>5419</v>
      </c>
      <c r="H22" s="198">
        <v>5094</v>
      </c>
      <c r="I22" s="198">
        <v>81</v>
      </c>
      <c r="J22" s="199">
        <v>244</v>
      </c>
      <c r="K22" s="200">
        <v>56</v>
      </c>
      <c r="L22" s="180">
        <f>I22/TableA10!D21</f>
        <v>0.62790697674418605</v>
      </c>
    </row>
    <row r="23" spans="1:12" x14ac:dyDescent="0.35">
      <c r="A23" s="208" t="s">
        <v>64</v>
      </c>
      <c r="B23" s="196">
        <v>63882</v>
      </c>
      <c r="C23" s="197">
        <v>30707</v>
      </c>
      <c r="D23" s="193" t="s">
        <v>201</v>
      </c>
      <c r="E23" s="198" t="s">
        <v>201</v>
      </c>
      <c r="F23" s="198" t="s">
        <v>201</v>
      </c>
      <c r="G23" s="192" t="s">
        <v>201</v>
      </c>
      <c r="H23" s="198">
        <v>21965</v>
      </c>
      <c r="I23" s="198" t="s">
        <v>201</v>
      </c>
      <c r="J23" s="199">
        <v>4625</v>
      </c>
      <c r="K23" s="195" t="s">
        <v>201</v>
      </c>
      <c r="L23" s="180"/>
    </row>
    <row r="24" spans="1:12" x14ac:dyDescent="0.35">
      <c r="A24" s="208" t="s">
        <v>19</v>
      </c>
      <c r="B24" s="196">
        <v>448528</v>
      </c>
      <c r="C24" s="197">
        <v>368414</v>
      </c>
      <c r="D24" s="198">
        <v>66686</v>
      </c>
      <c r="E24" s="198">
        <v>-3117</v>
      </c>
      <c r="F24" s="198">
        <v>16545</v>
      </c>
      <c r="G24" s="196">
        <v>316903</v>
      </c>
      <c r="H24" s="198">
        <v>262031</v>
      </c>
      <c r="I24" s="198">
        <v>3976</v>
      </c>
      <c r="J24" s="199">
        <v>50895</v>
      </c>
      <c r="K24" s="200">
        <v>131625</v>
      </c>
      <c r="L24" s="180">
        <f>I24/TableA10!D23</f>
        <v>5.5192326378767059E-2</v>
      </c>
    </row>
    <row r="25" spans="1:12" x14ac:dyDescent="0.35">
      <c r="A25" s="208" t="s">
        <v>66</v>
      </c>
      <c r="B25" s="196">
        <v>111896</v>
      </c>
      <c r="C25" s="197">
        <v>109564</v>
      </c>
      <c r="D25" s="198">
        <v>1911</v>
      </c>
      <c r="E25" s="198">
        <v>-493</v>
      </c>
      <c r="F25" s="198">
        <v>914</v>
      </c>
      <c r="G25" s="196">
        <v>107707</v>
      </c>
      <c r="H25" s="198">
        <v>100722</v>
      </c>
      <c r="I25" s="198">
        <v>1473</v>
      </c>
      <c r="J25" s="199">
        <v>5513</v>
      </c>
      <c r="K25" s="200">
        <v>4189</v>
      </c>
      <c r="L25" s="180">
        <f>I25/TableA10!D24</f>
        <v>0.34675141242937851</v>
      </c>
    </row>
    <row r="26" spans="1:12" x14ac:dyDescent="0.35">
      <c r="A26" s="208" t="s">
        <v>70</v>
      </c>
      <c r="B26" s="196">
        <v>162079</v>
      </c>
      <c r="C26" s="197">
        <v>69288</v>
      </c>
      <c r="D26" s="198">
        <v>73532</v>
      </c>
      <c r="E26" s="198">
        <v>-528</v>
      </c>
      <c r="F26" s="198">
        <v>19786</v>
      </c>
      <c r="G26" s="196">
        <v>80476</v>
      </c>
      <c r="H26" s="198">
        <v>52395</v>
      </c>
      <c r="I26" s="198">
        <v>834</v>
      </c>
      <c r="J26" s="199">
        <v>27247</v>
      </c>
      <c r="K26" s="200">
        <v>81603</v>
      </c>
      <c r="L26" s="180">
        <f>I26/TableA10!D25</f>
        <v>8.8413018127849047E-2</v>
      </c>
    </row>
    <row r="27" spans="1:12" x14ac:dyDescent="0.35">
      <c r="A27" s="208" t="s">
        <v>72</v>
      </c>
      <c r="B27" s="196">
        <v>460110</v>
      </c>
      <c r="C27" s="197">
        <v>253147</v>
      </c>
      <c r="D27" s="198">
        <v>176295</v>
      </c>
      <c r="E27" s="198">
        <v>-18799</v>
      </c>
      <c r="F27" s="198">
        <v>49467</v>
      </c>
      <c r="G27" s="196">
        <v>273601</v>
      </c>
      <c r="H27" s="198">
        <v>220064</v>
      </c>
      <c r="I27" s="198">
        <v>3794</v>
      </c>
      <c r="J27" s="199">
        <v>49742</v>
      </c>
      <c r="K27" s="200">
        <v>186510</v>
      </c>
      <c r="L27" s="180">
        <f>I27/TableA10!D26</f>
        <v>0.11562138111781557</v>
      </c>
    </row>
    <row r="28" spans="1:12" x14ac:dyDescent="0.35">
      <c r="A28" s="207" t="s">
        <v>166</v>
      </c>
      <c r="B28" s="192" t="s">
        <v>166</v>
      </c>
      <c r="C28" s="189" t="s">
        <v>166</v>
      </c>
      <c r="D28" s="193" t="s">
        <v>166</v>
      </c>
      <c r="E28" s="193" t="s">
        <v>166</v>
      </c>
      <c r="F28" s="193" t="s">
        <v>166</v>
      </c>
      <c r="G28" s="192" t="s">
        <v>166</v>
      </c>
      <c r="H28" s="193" t="s">
        <v>166</v>
      </c>
      <c r="I28" s="193" t="s">
        <v>166</v>
      </c>
      <c r="J28" s="194" t="s">
        <v>166</v>
      </c>
      <c r="K28" s="195" t="s">
        <v>166</v>
      </c>
      <c r="L28" s="180"/>
    </row>
    <row r="29" spans="1:12" x14ac:dyDescent="0.35">
      <c r="A29" s="208" t="s">
        <v>74</v>
      </c>
      <c r="B29" s="196">
        <v>40356</v>
      </c>
      <c r="C29" s="197">
        <v>37465</v>
      </c>
      <c r="D29" s="198">
        <v>1882</v>
      </c>
      <c r="E29" s="198">
        <v>320</v>
      </c>
      <c r="F29" s="198">
        <v>689</v>
      </c>
      <c r="G29" s="196">
        <v>34845</v>
      </c>
      <c r="H29" s="198">
        <v>30193</v>
      </c>
      <c r="I29" s="198">
        <v>2821</v>
      </c>
      <c r="J29" s="199">
        <v>1830</v>
      </c>
      <c r="K29" s="200">
        <v>5511</v>
      </c>
      <c r="L29" s="180">
        <f>I29/TableA10!D28</f>
        <v>0.43353311818042106</v>
      </c>
    </row>
    <row r="30" spans="1:12" x14ac:dyDescent="0.35">
      <c r="A30" s="208" t="s">
        <v>75</v>
      </c>
      <c r="B30" s="196">
        <v>41157</v>
      </c>
      <c r="C30" s="197">
        <v>39896</v>
      </c>
      <c r="D30" s="198">
        <v>642</v>
      </c>
      <c r="E30" s="198">
        <v>201</v>
      </c>
      <c r="F30" s="198">
        <v>418</v>
      </c>
      <c r="G30" s="196">
        <v>39026</v>
      </c>
      <c r="H30" s="198">
        <v>35586</v>
      </c>
      <c r="I30" s="198">
        <v>271</v>
      </c>
      <c r="J30" s="199">
        <v>3169</v>
      </c>
      <c r="K30" s="200">
        <v>2131</v>
      </c>
      <c r="L30" s="180">
        <f>I30/TableA10!D29</f>
        <v>0.17338451695457455</v>
      </c>
    </row>
    <row r="31" spans="1:12" x14ac:dyDescent="0.35">
      <c r="A31" s="208" t="s">
        <v>76</v>
      </c>
      <c r="B31" s="196">
        <v>9698</v>
      </c>
      <c r="C31" s="197">
        <v>9546</v>
      </c>
      <c r="D31" s="198" t="s">
        <v>201</v>
      </c>
      <c r="E31" s="193" t="s">
        <v>201</v>
      </c>
      <c r="F31" s="193">
        <v>81</v>
      </c>
      <c r="G31" s="196">
        <v>9219</v>
      </c>
      <c r="H31" s="198">
        <v>8620</v>
      </c>
      <c r="I31" s="198">
        <v>98</v>
      </c>
      <c r="J31" s="199">
        <v>501</v>
      </c>
      <c r="K31" s="200">
        <v>478</v>
      </c>
      <c r="L31" s="180">
        <f>I31/TableA10!D30</f>
        <v>0.19367588932806323</v>
      </c>
    </row>
    <row r="32" spans="1:12" x14ac:dyDescent="0.35">
      <c r="A32" s="208" t="s">
        <v>103</v>
      </c>
      <c r="B32" s="196">
        <v>40180</v>
      </c>
      <c r="C32" s="197">
        <v>41195</v>
      </c>
      <c r="D32" s="198">
        <v>-1580</v>
      </c>
      <c r="E32" s="198">
        <v>228</v>
      </c>
      <c r="F32" s="198">
        <v>337</v>
      </c>
      <c r="G32" s="196">
        <v>41575</v>
      </c>
      <c r="H32" s="198">
        <v>37247</v>
      </c>
      <c r="I32" s="198">
        <v>603</v>
      </c>
      <c r="J32" s="199">
        <v>3725</v>
      </c>
      <c r="K32" s="200">
        <v>-1395</v>
      </c>
      <c r="L32" s="180">
        <f>I32/TableA10!D31</f>
        <v>1.0505226480836236</v>
      </c>
    </row>
    <row r="33" spans="1:12" x14ac:dyDescent="0.35">
      <c r="A33" s="208" t="s">
        <v>79</v>
      </c>
      <c r="B33" s="196">
        <v>89968</v>
      </c>
      <c r="C33" s="197">
        <v>81971</v>
      </c>
      <c r="D33" s="198">
        <v>3310</v>
      </c>
      <c r="E33" s="198">
        <v>1082</v>
      </c>
      <c r="F33" s="198">
        <v>3605</v>
      </c>
      <c r="G33" s="196">
        <v>83520</v>
      </c>
      <c r="H33" s="198">
        <v>75322</v>
      </c>
      <c r="I33" s="198">
        <v>737</v>
      </c>
      <c r="J33" s="199">
        <v>7461</v>
      </c>
      <c r="K33" s="200">
        <v>6447</v>
      </c>
      <c r="L33" s="180">
        <f>I33/TableA10!D32</f>
        <v>0.26387397064088791</v>
      </c>
    </row>
    <row r="34" spans="1:12" x14ac:dyDescent="0.35">
      <c r="A34" s="208" t="s">
        <v>80</v>
      </c>
      <c r="B34" s="196">
        <v>37167</v>
      </c>
      <c r="C34" s="197">
        <v>34195</v>
      </c>
      <c r="D34" s="198">
        <v>1206</v>
      </c>
      <c r="E34" s="198">
        <v>186</v>
      </c>
      <c r="F34" s="198">
        <v>1579</v>
      </c>
      <c r="G34" s="196">
        <v>33729</v>
      </c>
      <c r="H34" s="198">
        <v>29920</v>
      </c>
      <c r="I34" s="198">
        <v>646</v>
      </c>
      <c r="J34" s="199">
        <v>3163</v>
      </c>
      <c r="K34" s="200">
        <v>3437</v>
      </c>
      <c r="L34" s="180">
        <f>I34/TableA10!D33</f>
        <v>0.24005945745076179</v>
      </c>
    </row>
    <row r="35" spans="1:12" ht="16" customHeight="1" x14ac:dyDescent="0.35">
      <c r="A35" s="208" t="s">
        <v>1</v>
      </c>
      <c r="B35" s="196">
        <v>352934</v>
      </c>
      <c r="C35" s="197">
        <v>309072</v>
      </c>
      <c r="D35" s="198">
        <v>33963</v>
      </c>
      <c r="E35" s="198">
        <v>-126</v>
      </c>
      <c r="F35" s="198">
        <v>10025</v>
      </c>
      <c r="G35" s="196">
        <v>283036</v>
      </c>
      <c r="H35" s="198">
        <v>258057</v>
      </c>
      <c r="I35" s="198">
        <v>3125</v>
      </c>
      <c r="J35" s="199">
        <v>21853</v>
      </c>
      <c r="K35" s="200">
        <v>69898</v>
      </c>
      <c r="L35" s="180">
        <f>I35/TableA10!D34</f>
        <v>7.974176427058613E-2</v>
      </c>
    </row>
    <row r="36" spans="1:12" x14ac:dyDescent="0.35">
      <c r="A36" s="208" t="s">
        <v>81</v>
      </c>
      <c r="B36" s="196">
        <v>25775</v>
      </c>
      <c r="C36" s="197">
        <v>25715</v>
      </c>
      <c r="D36" s="198">
        <v>24</v>
      </c>
      <c r="E36" s="193">
        <v>-105</v>
      </c>
      <c r="F36" s="193">
        <v>141</v>
      </c>
      <c r="G36" s="192">
        <v>25246</v>
      </c>
      <c r="H36" s="193">
        <v>23723</v>
      </c>
      <c r="I36" s="198">
        <v>240</v>
      </c>
      <c r="J36" s="199">
        <v>1283</v>
      </c>
      <c r="K36" s="200">
        <v>530</v>
      </c>
      <c r="L36" s="180">
        <f>I36/TableA10!D35</f>
        <v>0.28202115158636898</v>
      </c>
    </row>
    <row r="37" spans="1:12" x14ac:dyDescent="0.35">
      <c r="A37" s="208" t="s">
        <v>82</v>
      </c>
      <c r="B37" s="196">
        <v>724201</v>
      </c>
      <c r="C37" s="197">
        <v>623300</v>
      </c>
      <c r="D37" s="198" t="s">
        <v>201</v>
      </c>
      <c r="E37" s="198" t="s">
        <v>201</v>
      </c>
      <c r="F37" s="198" t="s">
        <v>201</v>
      </c>
      <c r="G37" s="196">
        <v>622273</v>
      </c>
      <c r="H37" s="198">
        <v>554192</v>
      </c>
      <c r="I37" s="198">
        <v>7141</v>
      </c>
      <c r="J37" s="199">
        <v>60939</v>
      </c>
      <c r="K37" s="200">
        <v>101928</v>
      </c>
      <c r="L37" s="180">
        <f>I37/TableA10!D36</f>
        <v>0.21672888403289933</v>
      </c>
    </row>
    <row r="38" spans="1:12" x14ac:dyDescent="0.35">
      <c r="A38" s="208" t="s">
        <v>202</v>
      </c>
      <c r="B38" s="196">
        <v>58222</v>
      </c>
      <c r="C38" s="197">
        <v>51098</v>
      </c>
      <c r="D38" s="193" t="s">
        <v>201</v>
      </c>
      <c r="E38" s="193">
        <v>-610</v>
      </c>
      <c r="F38" s="198" t="s">
        <v>201</v>
      </c>
      <c r="G38" s="196" t="s">
        <v>201</v>
      </c>
      <c r="H38" s="198">
        <v>41461</v>
      </c>
      <c r="I38" s="198" t="s">
        <v>201</v>
      </c>
      <c r="J38" s="199">
        <v>3141</v>
      </c>
      <c r="K38" s="195" t="s">
        <v>201</v>
      </c>
      <c r="L38" s="180"/>
    </row>
    <row r="39" spans="1:12" x14ac:dyDescent="0.35">
      <c r="A39" s="207" t="s">
        <v>166</v>
      </c>
      <c r="B39" s="192" t="s">
        <v>166</v>
      </c>
      <c r="C39" s="189" t="s">
        <v>166</v>
      </c>
      <c r="D39" s="193" t="s">
        <v>166</v>
      </c>
      <c r="E39" s="193" t="s">
        <v>166</v>
      </c>
      <c r="F39" s="193" t="s">
        <v>166</v>
      </c>
      <c r="G39" s="192" t="s">
        <v>166</v>
      </c>
      <c r="H39" s="193" t="s">
        <v>166</v>
      </c>
      <c r="I39" s="193" t="s">
        <v>166</v>
      </c>
      <c r="J39" s="194" t="s">
        <v>166</v>
      </c>
      <c r="K39" s="195" t="s">
        <v>166</v>
      </c>
      <c r="L39" s="180"/>
    </row>
    <row r="40" spans="1:12" x14ac:dyDescent="0.35">
      <c r="A40" s="207" t="s">
        <v>252</v>
      </c>
      <c r="B40" s="186">
        <v>929336</v>
      </c>
      <c r="C40" s="187">
        <v>764667</v>
      </c>
      <c r="D40" s="188">
        <v>142786</v>
      </c>
      <c r="E40" s="188">
        <v>246</v>
      </c>
      <c r="F40" s="188">
        <v>21637</v>
      </c>
      <c r="G40" s="186">
        <v>741937</v>
      </c>
      <c r="H40" s="188">
        <v>656581</v>
      </c>
      <c r="I40" s="188">
        <v>12998</v>
      </c>
      <c r="J40" s="190">
        <v>72358</v>
      </c>
      <c r="K40" s="191">
        <v>187399</v>
      </c>
      <c r="L40" s="180">
        <f>I40/TableA10!D39</f>
        <v>0.22090790122197862</v>
      </c>
    </row>
    <row r="41" spans="1:12" x14ac:dyDescent="0.35">
      <c r="A41" s="207" t="s">
        <v>166</v>
      </c>
      <c r="B41" s="192" t="s">
        <v>166</v>
      </c>
      <c r="C41" s="189" t="s">
        <v>166</v>
      </c>
      <c r="D41" s="193" t="s">
        <v>166</v>
      </c>
      <c r="E41" s="193" t="s">
        <v>166</v>
      </c>
      <c r="F41" s="193" t="s">
        <v>166</v>
      </c>
      <c r="G41" s="192" t="s">
        <v>166</v>
      </c>
      <c r="H41" s="193" t="s">
        <v>166</v>
      </c>
      <c r="I41" s="193" t="s">
        <v>166</v>
      </c>
      <c r="J41" s="194" t="s">
        <v>166</v>
      </c>
      <c r="K41" s="195" t="s">
        <v>166</v>
      </c>
      <c r="L41" s="180"/>
    </row>
    <row r="42" spans="1:12" x14ac:dyDescent="0.35">
      <c r="A42" s="208" t="s">
        <v>203</v>
      </c>
      <c r="B42" s="196">
        <v>328095</v>
      </c>
      <c r="C42" s="197">
        <v>319554</v>
      </c>
      <c r="D42" s="198">
        <v>8013</v>
      </c>
      <c r="E42" s="198">
        <v>-3947</v>
      </c>
      <c r="F42" s="198">
        <v>4475</v>
      </c>
      <c r="G42" s="196">
        <v>319636</v>
      </c>
      <c r="H42" s="198">
        <v>292396</v>
      </c>
      <c r="I42" s="198">
        <v>6263</v>
      </c>
      <c r="J42" s="199">
        <v>20977</v>
      </c>
      <c r="K42" s="200">
        <v>8459</v>
      </c>
      <c r="L42" s="180">
        <f>I42/TableA10!D41</f>
        <v>0.53819712984446166</v>
      </c>
    </row>
    <row r="43" spans="1:12" x14ac:dyDescent="0.35">
      <c r="A43" s="209" t="s">
        <v>204</v>
      </c>
      <c r="B43" s="196">
        <v>48301</v>
      </c>
      <c r="C43" s="197">
        <v>46838</v>
      </c>
      <c r="D43" s="198">
        <v>1045</v>
      </c>
      <c r="E43" s="198">
        <v>-556</v>
      </c>
      <c r="F43" s="198">
        <v>973</v>
      </c>
      <c r="G43" s="196">
        <v>46011</v>
      </c>
      <c r="H43" s="198">
        <v>39893</v>
      </c>
      <c r="I43" s="198">
        <v>2546</v>
      </c>
      <c r="J43" s="199">
        <v>3572</v>
      </c>
      <c r="K43" s="200">
        <v>2290</v>
      </c>
      <c r="L43" s="180">
        <f>I43/TableA10!D42</f>
        <v>0.57316524088248533</v>
      </c>
    </row>
    <row r="44" spans="1:12" x14ac:dyDescent="0.35">
      <c r="A44" s="209" t="s">
        <v>92</v>
      </c>
      <c r="B44" s="196">
        <v>173607</v>
      </c>
      <c r="C44" s="197">
        <v>171369</v>
      </c>
      <c r="D44" s="198">
        <v>2181</v>
      </c>
      <c r="E44" s="198">
        <v>-2514</v>
      </c>
      <c r="F44" s="198">
        <v>2570</v>
      </c>
      <c r="G44" s="196">
        <v>174022</v>
      </c>
      <c r="H44" s="198">
        <v>162111</v>
      </c>
      <c r="I44" s="198">
        <v>1382</v>
      </c>
      <c r="J44" s="199">
        <v>10529</v>
      </c>
      <c r="K44" s="200">
        <v>-415</v>
      </c>
      <c r="L44" s="180">
        <f>I44/TableA10!D43</f>
        <v>0.95772695772695771</v>
      </c>
    </row>
    <row r="45" spans="1:12" x14ac:dyDescent="0.35">
      <c r="A45" s="209" t="s">
        <v>57</v>
      </c>
      <c r="B45" s="196">
        <v>39032</v>
      </c>
      <c r="C45" s="197">
        <v>37077</v>
      </c>
      <c r="D45" s="198">
        <v>1708</v>
      </c>
      <c r="E45" s="198">
        <v>-163</v>
      </c>
      <c r="F45" s="198">
        <v>410</v>
      </c>
      <c r="G45" s="196">
        <v>34750</v>
      </c>
      <c r="H45" s="198">
        <v>30986</v>
      </c>
      <c r="I45" s="198">
        <v>842</v>
      </c>
      <c r="J45" s="199">
        <v>2923</v>
      </c>
      <c r="K45" s="200">
        <v>4281</v>
      </c>
      <c r="L45" s="180">
        <f>I45/TableA10!D44</f>
        <v>0.21830438164376459</v>
      </c>
    </row>
    <row r="46" spans="1:12" x14ac:dyDescent="0.35">
      <c r="A46" s="209" t="s">
        <v>93</v>
      </c>
      <c r="B46" s="196">
        <v>20884</v>
      </c>
      <c r="C46" s="197">
        <v>21156</v>
      </c>
      <c r="D46" s="198" t="s">
        <v>201</v>
      </c>
      <c r="E46" s="198" t="s">
        <v>201</v>
      </c>
      <c r="F46" s="198">
        <v>74</v>
      </c>
      <c r="G46" s="196">
        <v>21137</v>
      </c>
      <c r="H46" s="198">
        <v>19221</v>
      </c>
      <c r="I46" s="198">
        <v>402</v>
      </c>
      <c r="J46" s="199">
        <v>1513</v>
      </c>
      <c r="K46" s="200">
        <v>-253</v>
      </c>
      <c r="L46" s="180">
        <f>I46/TableA10!D45</f>
        <v>0.62910798122065725</v>
      </c>
    </row>
    <row r="47" spans="1:12" x14ac:dyDescent="0.35">
      <c r="A47" s="209" t="s">
        <v>205</v>
      </c>
      <c r="B47" s="196">
        <v>5524</v>
      </c>
      <c r="C47" s="197">
        <v>5516</v>
      </c>
      <c r="D47" s="198">
        <v>-6</v>
      </c>
      <c r="E47" s="198">
        <v>3</v>
      </c>
      <c r="F47" s="198">
        <v>11</v>
      </c>
      <c r="G47" s="196">
        <v>5420</v>
      </c>
      <c r="H47" s="198">
        <v>5149</v>
      </c>
      <c r="I47" s="198">
        <v>28</v>
      </c>
      <c r="J47" s="199">
        <v>244</v>
      </c>
      <c r="K47" s="200">
        <v>104</v>
      </c>
      <c r="L47" s="180">
        <f>I47/TableA10!D46</f>
        <v>0.2074074074074074</v>
      </c>
    </row>
    <row r="48" spans="1:12" x14ac:dyDescent="0.35">
      <c r="A48" s="209" t="s">
        <v>206</v>
      </c>
      <c r="B48" s="196">
        <v>14220</v>
      </c>
      <c r="C48" s="197">
        <v>13562</v>
      </c>
      <c r="D48" s="198">
        <v>445</v>
      </c>
      <c r="E48" s="198">
        <v>108</v>
      </c>
      <c r="F48" s="198">
        <v>105</v>
      </c>
      <c r="G48" s="196">
        <v>13442</v>
      </c>
      <c r="H48" s="198">
        <v>11999</v>
      </c>
      <c r="I48" s="198">
        <v>631</v>
      </c>
      <c r="J48" s="199">
        <v>812</v>
      </c>
      <c r="K48" s="200">
        <v>779</v>
      </c>
      <c r="L48" s="180">
        <f>I48/TableA10!D47</f>
        <v>0.55594713656387662</v>
      </c>
    </row>
    <row r="49" spans="1:12" x14ac:dyDescent="0.35">
      <c r="A49" s="209" t="s">
        <v>207</v>
      </c>
      <c r="B49" s="196">
        <v>18613</v>
      </c>
      <c r="C49" s="197">
        <v>16104</v>
      </c>
      <c r="D49" s="198" t="s">
        <v>201</v>
      </c>
      <c r="E49" s="198" t="s">
        <v>201</v>
      </c>
      <c r="F49" s="198">
        <v>294</v>
      </c>
      <c r="G49" s="196">
        <v>17044</v>
      </c>
      <c r="H49" s="198">
        <v>15732</v>
      </c>
      <c r="I49" s="198">
        <v>268</v>
      </c>
      <c r="J49" s="199">
        <v>1045</v>
      </c>
      <c r="K49" s="200">
        <v>1569</v>
      </c>
      <c r="L49" s="180">
        <f>I49/TableA10!D48</f>
        <v>-0.74238227146814406</v>
      </c>
    </row>
    <row r="50" spans="1:12" x14ac:dyDescent="0.35">
      <c r="A50" s="209" t="s">
        <v>202</v>
      </c>
      <c r="B50" s="196">
        <v>7914</v>
      </c>
      <c r="C50" s="197">
        <v>7930</v>
      </c>
      <c r="D50" s="198">
        <v>17</v>
      </c>
      <c r="E50" s="198">
        <v>-71</v>
      </c>
      <c r="F50" s="198">
        <v>38</v>
      </c>
      <c r="G50" s="196">
        <v>7809</v>
      </c>
      <c r="H50" s="198">
        <v>7306</v>
      </c>
      <c r="I50" s="198">
        <v>164</v>
      </c>
      <c r="J50" s="199">
        <v>340</v>
      </c>
      <c r="K50" s="200">
        <v>105</v>
      </c>
      <c r="L50" s="180">
        <f>I50/TableA10!D49</f>
        <v>0.47262247838616717</v>
      </c>
    </row>
    <row r="51" spans="1:12" x14ac:dyDescent="0.35">
      <c r="A51" s="207" t="s">
        <v>166</v>
      </c>
      <c r="B51" s="192" t="s">
        <v>166</v>
      </c>
      <c r="C51" s="189" t="s">
        <v>166</v>
      </c>
      <c r="D51" s="193" t="s">
        <v>166</v>
      </c>
      <c r="E51" s="193" t="s">
        <v>166</v>
      </c>
      <c r="F51" s="193" t="s">
        <v>166</v>
      </c>
      <c r="G51" s="192" t="s">
        <v>166</v>
      </c>
      <c r="H51" s="193" t="s">
        <v>166</v>
      </c>
      <c r="I51" s="193" t="s">
        <v>166</v>
      </c>
      <c r="J51" s="194" t="s">
        <v>166</v>
      </c>
      <c r="K51" s="195" t="s">
        <v>166</v>
      </c>
      <c r="L51" s="180"/>
    </row>
    <row r="52" spans="1:12" x14ac:dyDescent="0.35">
      <c r="A52" s="208" t="s">
        <v>208</v>
      </c>
      <c r="B52" s="196">
        <v>285054</v>
      </c>
      <c r="C52" s="197">
        <v>274807</v>
      </c>
      <c r="D52" s="198">
        <v>6435</v>
      </c>
      <c r="E52" s="198">
        <v>625</v>
      </c>
      <c r="F52" s="198">
        <v>3186</v>
      </c>
      <c r="G52" s="196">
        <v>266330</v>
      </c>
      <c r="H52" s="198">
        <v>245383</v>
      </c>
      <c r="I52" s="198">
        <v>5281</v>
      </c>
      <c r="J52" s="199">
        <v>15667</v>
      </c>
      <c r="K52" s="200">
        <v>18724</v>
      </c>
      <c r="L52" s="180">
        <f>I52/TableA10!D51</f>
        <v>0.30662486210300183</v>
      </c>
    </row>
    <row r="53" spans="1:12" x14ac:dyDescent="0.35">
      <c r="A53" s="209" t="s">
        <v>94</v>
      </c>
      <c r="B53" s="196">
        <v>13068</v>
      </c>
      <c r="C53" s="197">
        <v>12981</v>
      </c>
      <c r="D53" s="198" t="s">
        <v>201</v>
      </c>
      <c r="E53" s="198" t="s">
        <v>201</v>
      </c>
      <c r="F53" s="198">
        <v>35</v>
      </c>
      <c r="G53" s="196">
        <v>12333</v>
      </c>
      <c r="H53" s="198">
        <v>11645</v>
      </c>
      <c r="I53" s="198">
        <v>173</v>
      </c>
      <c r="J53" s="199">
        <v>515</v>
      </c>
      <c r="K53" s="200">
        <v>735</v>
      </c>
      <c r="L53" s="180">
        <f>I53/TableA10!D52</f>
        <v>0.20210280373831777</v>
      </c>
    </row>
    <row r="54" spans="1:12" x14ac:dyDescent="0.35">
      <c r="A54" s="209" t="s">
        <v>209</v>
      </c>
      <c r="B54" s="196">
        <v>3743</v>
      </c>
      <c r="C54" s="197">
        <v>3738</v>
      </c>
      <c r="D54" s="198">
        <v>2</v>
      </c>
      <c r="E54" s="198">
        <v>-5</v>
      </c>
      <c r="F54" s="198">
        <v>8</v>
      </c>
      <c r="G54" s="196">
        <v>3644</v>
      </c>
      <c r="H54" s="198">
        <v>3523</v>
      </c>
      <c r="I54" s="198">
        <v>38</v>
      </c>
      <c r="J54" s="199">
        <v>82</v>
      </c>
      <c r="K54" s="200">
        <v>100</v>
      </c>
      <c r="L54" s="180">
        <f>I54/TableA10!D53</f>
        <v>0.26950354609929078</v>
      </c>
    </row>
    <row r="55" spans="1:12" x14ac:dyDescent="0.35">
      <c r="A55" s="209" t="s">
        <v>71</v>
      </c>
      <c r="B55" s="196">
        <v>250411</v>
      </c>
      <c r="C55" s="197">
        <v>240432</v>
      </c>
      <c r="D55" s="198">
        <v>6313</v>
      </c>
      <c r="E55" s="198">
        <v>622</v>
      </c>
      <c r="F55" s="198">
        <v>3044</v>
      </c>
      <c r="G55" s="196">
        <v>232913</v>
      </c>
      <c r="H55" s="198">
        <v>213720</v>
      </c>
      <c r="I55" s="198">
        <v>4910</v>
      </c>
      <c r="J55" s="199">
        <v>14283</v>
      </c>
      <c r="K55" s="200">
        <v>17498</v>
      </c>
      <c r="L55" s="180">
        <f>I55/TableA10!D54</f>
        <v>0.31168666285786834</v>
      </c>
    </row>
    <row r="56" spans="1:12" x14ac:dyDescent="0.35">
      <c r="A56" s="209" t="s">
        <v>210</v>
      </c>
      <c r="B56" s="196">
        <v>8367</v>
      </c>
      <c r="C56" s="197">
        <v>8056</v>
      </c>
      <c r="D56" s="198" t="s">
        <v>201</v>
      </c>
      <c r="E56" s="198" t="s">
        <v>201</v>
      </c>
      <c r="F56" s="198">
        <v>25</v>
      </c>
      <c r="G56" s="196">
        <v>8175</v>
      </c>
      <c r="H56" s="198">
        <v>7795</v>
      </c>
      <c r="I56" s="198">
        <v>54</v>
      </c>
      <c r="J56" s="199">
        <v>326</v>
      </c>
      <c r="K56" s="200">
        <v>192</v>
      </c>
      <c r="L56" s="180">
        <f>I56/TableA10!D55</f>
        <v>-1.3170731707317074</v>
      </c>
    </row>
    <row r="57" spans="1:12" x14ac:dyDescent="0.35">
      <c r="A57" s="209" t="s">
        <v>202</v>
      </c>
      <c r="B57" s="196">
        <v>9464</v>
      </c>
      <c r="C57" s="197">
        <v>9601</v>
      </c>
      <c r="D57" s="198" t="s">
        <v>201</v>
      </c>
      <c r="E57" s="198" t="s">
        <v>201</v>
      </c>
      <c r="F57" s="198">
        <v>74</v>
      </c>
      <c r="G57" s="196">
        <v>9266</v>
      </c>
      <c r="H57" s="198">
        <v>8700</v>
      </c>
      <c r="I57" s="198">
        <v>105</v>
      </c>
      <c r="J57" s="199">
        <v>460</v>
      </c>
      <c r="K57" s="200">
        <v>199</v>
      </c>
      <c r="L57" s="180">
        <f>I57/TableA10!D56</f>
        <v>0.20428015564202334</v>
      </c>
    </row>
    <row r="58" spans="1:12" x14ac:dyDescent="0.35">
      <c r="A58" s="207" t="s">
        <v>166</v>
      </c>
      <c r="B58" s="192" t="s">
        <v>166</v>
      </c>
      <c r="C58" s="189" t="s">
        <v>166</v>
      </c>
      <c r="D58" s="193" t="s">
        <v>166</v>
      </c>
      <c r="E58" s="193" t="s">
        <v>166</v>
      </c>
      <c r="F58" s="193" t="s">
        <v>166</v>
      </c>
      <c r="G58" s="192" t="s">
        <v>166</v>
      </c>
      <c r="H58" s="193" t="s">
        <v>166</v>
      </c>
      <c r="I58" s="193" t="s">
        <v>166</v>
      </c>
      <c r="J58" s="194" t="s">
        <v>166</v>
      </c>
      <c r="K58" s="195" t="s">
        <v>166</v>
      </c>
      <c r="L58" s="180"/>
    </row>
    <row r="59" spans="1:12" x14ac:dyDescent="0.35">
      <c r="A59" s="208" t="s">
        <v>211</v>
      </c>
      <c r="B59" s="196">
        <v>316188</v>
      </c>
      <c r="C59" s="197">
        <v>170306</v>
      </c>
      <c r="D59" s="198">
        <v>128339</v>
      </c>
      <c r="E59" s="198">
        <v>3567</v>
      </c>
      <c r="F59" s="198">
        <v>13976</v>
      </c>
      <c r="G59" s="196">
        <v>155971</v>
      </c>
      <c r="H59" s="198">
        <v>118802</v>
      </c>
      <c r="I59" s="198">
        <v>1454</v>
      </c>
      <c r="J59" s="199">
        <v>35715</v>
      </c>
      <c r="K59" s="200">
        <v>160216</v>
      </c>
      <c r="L59" s="180">
        <f>I59/TableA10!D58</f>
        <v>4.8500617098635714E-2</v>
      </c>
    </row>
    <row r="60" spans="1:12" x14ac:dyDescent="0.35">
      <c r="A60" s="209" t="s">
        <v>212</v>
      </c>
      <c r="B60" s="196">
        <v>14131</v>
      </c>
      <c r="C60" s="197">
        <v>13096</v>
      </c>
      <c r="D60" s="198" t="s">
        <v>201</v>
      </c>
      <c r="E60" s="198" t="s">
        <v>201</v>
      </c>
      <c r="F60" s="198">
        <v>101</v>
      </c>
      <c r="G60" s="196">
        <v>12009</v>
      </c>
      <c r="H60" s="198">
        <v>11683</v>
      </c>
      <c r="I60" s="198">
        <v>52</v>
      </c>
      <c r="J60" s="199">
        <v>274</v>
      </c>
      <c r="K60" s="200">
        <v>2122</v>
      </c>
      <c r="L60" s="180">
        <f>I60/TableA10!D59</f>
        <v>4.1901692183722805E-2</v>
      </c>
    </row>
    <row r="61" spans="1:12" x14ac:dyDescent="0.35">
      <c r="A61" s="209" t="s">
        <v>213</v>
      </c>
      <c r="B61" s="196">
        <v>137323</v>
      </c>
      <c r="C61" s="197">
        <v>58148</v>
      </c>
      <c r="D61" s="198">
        <v>70797</v>
      </c>
      <c r="E61" s="198">
        <v>-1592</v>
      </c>
      <c r="F61" s="198">
        <v>9971</v>
      </c>
      <c r="G61" s="196">
        <v>67026</v>
      </c>
      <c r="H61" s="198">
        <v>45346</v>
      </c>
      <c r="I61" s="198">
        <v>652</v>
      </c>
      <c r="J61" s="199">
        <v>21027</v>
      </c>
      <c r="K61" s="200">
        <v>70298</v>
      </c>
      <c r="L61" s="180">
        <f>I61/TableA10!D60</f>
        <v>0.36588103254769921</v>
      </c>
    </row>
    <row r="62" spans="1:12" x14ac:dyDescent="0.35">
      <c r="A62" s="209" t="s">
        <v>214</v>
      </c>
      <c r="B62" s="196">
        <v>3654</v>
      </c>
      <c r="C62" s="197">
        <v>3621</v>
      </c>
      <c r="D62" s="198" t="s">
        <v>241</v>
      </c>
      <c r="E62" s="193">
        <v>9</v>
      </c>
      <c r="F62" s="193">
        <v>23</v>
      </c>
      <c r="G62" s="196">
        <v>3215</v>
      </c>
      <c r="H62" s="198">
        <v>2962</v>
      </c>
      <c r="I62" s="198">
        <v>94</v>
      </c>
      <c r="J62" s="199">
        <v>159</v>
      </c>
      <c r="K62" s="200">
        <v>439</v>
      </c>
      <c r="L62" s="180">
        <f>I62/TableA10!D61</f>
        <v>0.17938931297709923</v>
      </c>
    </row>
    <row r="63" spans="1:12" x14ac:dyDescent="0.35">
      <c r="A63" s="209" t="s">
        <v>215</v>
      </c>
      <c r="B63" s="196">
        <v>122221</v>
      </c>
      <c r="C63" s="197">
        <v>66698</v>
      </c>
      <c r="D63" s="198">
        <v>49498</v>
      </c>
      <c r="E63" s="193">
        <v>2352</v>
      </c>
      <c r="F63" s="193">
        <v>3673</v>
      </c>
      <c r="G63" s="196">
        <v>59239</v>
      </c>
      <c r="H63" s="198">
        <v>45784</v>
      </c>
      <c r="I63" s="198">
        <v>569</v>
      </c>
      <c r="J63" s="199">
        <v>12887</v>
      </c>
      <c r="K63" s="200">
        <v>62982</v>
      </c>
      <c r="L63" s="180">
        <f>I63/TableA10!D62</f>
        <v>4.8574355472084683E-2</v>
      </c>
    </row>
    <row r="64" spans="1:12" x14ac:dyDescent="0.35">
      <c r="A64" s="209" t="s">
        <v>202</v>
      </c>
      <c r="B64" s="196">
        <v>38859</v>
      </c>
      <c r="C64" s="197">
        <v>28744</v>
      </c>
      <c r="D64" s="198" t="s">
        <v>201</v>
      </c>
      <c r="E64" s="193" t="s">
        <v>201</v>
      </c>
      <c r="F64" s="193">
        <v>207</v>
      </c>
      <c r="G64" s="196">
        <v>14483</v>
      </c>
      <c r="H64" s="198">
        <v>13027</v>
      </c>
      <c r="I64" s="198">
        <v>87</v>
      </c>
      <c r="J64" s="199">
        <v>1368</v>
      </c>
      <c r="K64" s="200">
        <v>24376</v>
      </c>
      <c r="L64" s="180">
        <f>I64/TableA10!D63</f>
        <v>5.91072763095319E-3</v>
      </c>
    </row>
    <row r="65" spans="1:12" x14ac:dyDescent="0.35">
      <c r="A65" s="207" t="s">
        <v>166</v>
      </c>
      <c r="B65" s="192" t="s">
        <v>166</v>
      </c>
      <c r="C65" s="189" t="s">
        <v>166</v>
      </c>
      <c r="D65" s="193" t="s">
        <v>166</v>
      </c>
      <c r="E65" s="193" t="s">
        <v>166</v>
      </c>
      <c r="F65" s="193" t="s">
        <v>166</v>
      </c>
      <c r="G65" s="192" t="s">
        <v>166</v>
      </c>
      <c r="H65" s="193" t="s">
        <v>166</v>
      </c>
      <c r="I65" s="193" t="s">
        <v>166</v>
      </c>
      <c r="J65" s="194" t="s">
        <v>166</v>
      </c>
      <c r="K65" s="195" t="s">
        <v>166</v>
      </c>
      <c r="L65" s="180"/>
    </row>
    <row r="66" spans="1:12" x14ac:dyDescent="0.35">
      <c r="A66" s="207" t="s">
        <v>246</v>
      </c>
      <c r="B66" s="186">
        <v>93247</v>
      </c>
      <c r="C66" s="187">
        <v>86372</v>
      </c>
      <c r="D66" s="188" t="s">
        <v>201</v>
      </c>
      <c r="E66" s="188" t="s">
        <v>201</v>
      </c>
      <c r="F66" s="188">
        <v>1323</v>
      </c>
      <c r="G66" s="186">
        <v>85639</v>
      </c>
      <c r="H66" s="188">
        <v>77559</v>
      </c>
      <c r="I66" s="188">
        <v>3632</v>
      </c>
      <c r="J66" s="190">
        <v>4448</v>
      </c>
      <c r="K66" s="191">
        <v>7609</v>
      </c>
      <c r="L66" s="180">
        <f>I66/TableA10!D65</f>
        <v>0.5381538005630464</v>
      </c>
    </row>
    <row r="67" spans="1:12" x14ac:dyDescent="0.35">
      <c r="A67" s="208" t="s">
        <v>216</v>
      </c>
      <c r="B67" s="196">
        <v>11755</v>
      </c>
      <c r="C67" s="197">
        <v>11341</v>
      </c>
      <c r="D67" s="198" t="s">
        <v>201</v>
      </c>
      <c r="E67" s="198" t="s">
        <v>201</v>
      </c>
      <c r="F67" s="198">
        <v>348</v>
      </c>
      <c r="G67" s="196">
        <v>12039</v>
      </c>
      <c r="H67" s="198">
        <v>11284</v>
      </c>
      <c r="I67" s="198">
        <v>475</v>
      </c>
      <c r="J67" s="199">
        <v>281</v>
      </c>
      <c r="K67" s="200">
        <v>-285</v>
      </c>
      <c r="L67" s="180">
        <f>I67/TableA10!D66</f>
        <v>2.0652173913043477</v>
      </c>
    </row>
    <row r="68" spans="1:12" x14ac:dyDescent="0.35">
      <c r="A68" s="208" t="s">
        <v>217</v>
      </c>
      <c r="B68" s="196">
        <v>17677</v>
      </c>
      <c r="C68" s="197">
        <v>14025</v>
      </c>
      <c r="D68" s="198" t="s">
        <v>201</v>
      </c>
      <c r="E68" s="198" t="s">
        <v>201</v>
      </c>
      <c r="F68" s="193" t="s">
        <v>201</v>
      </c>
      <c r="G68" s="192">
        <v>12905</v>
      </c>
      <c r="H68" s="193">
        <v>10206</v>
      </c>
      <c r="I68" s="198" t="s">
        <v>201</v>
      </c>
      <c r="J68" s="199" t="s">
        <v>201</v>
      </c>
      <c r="K68" s="200">
        <v>4772</v>
      </c>
      <c r="L68" s="180"/>
    </row>
    <row r="69" spans="1:12" x14ac:dyDescent="0.35">
      <c r="A69" s="208" t="s">
        <v>97</v>
      </c>
      <c r="B69" s="196">
        <v>32654</v>
      </c>
      <c r="C69" s="197">
        <v>32233</v>
      </c>
      <c r="D69" s="198">
        <v>106</v>
      </c>
      <c r="E69" s="198">
        <v>107</v>
      </c>
      <c r="F69" s="198">
        <v>208</v>
      </c>
      <c r="G69" s="196">
        <v>31723</v>
      </c>
      <c r="H69" s="198">
        <v>30238</v>
      </c>
      <c r="I69" s="198">
        <v>318</v>
      </c>
      <c r="J69" s="199">
        <v>1167</v>
      </c>
      <c r="K69" s="200">
        <v>931</v>
      </c>
      <c r="L69" s="180">
        <f>I69/TableA10!D68</f>
        <v>0.30606352261790182</v>
      </c>
    </row>
    <row r="70" spans="1:12" x14ac:dyDescent="0.35">
      <c r="A70" s="208" t="s">
        <v>202</v>
      </c>
      <c r="B70" s="196">
        <v>31162</v>
      </c>
      <c r="C70" s="197">
        <v>28773</v>
      </c>
      <c r="D70" s="198" t="s">
        <v>201</v>
      </c>
      <c r="E70" s="198">
        <v>-1137</v>
      </c>
      <c r="F70" s="193" t="s">
        <v>201</v>
      </c>
      <c r="G70" s="192">
        <v>28971</v>
      </c>
      <c r="H70" s="193">
        <v>25830</v>
      </c>
      <c r="I70" s="198" t="s">
        <v>201</v>
      </c>
      <c r="J70" s="199" t="s">
        <v>201</v>
      </c>
      <c r="K70" s="200">
        <v>2191</v>
      </c>
      <c r="L70" s="180"/>
    </row>
    <row r="71" spans="1:12" x14ac:dyDescent="0.35">
      <c r="A71" s="207" t="s">
        <v>166</v>
      </c>
      <c r="B71" s="192" t="s">
        <v>166</v>
      </c>
      <c r="C71" s="189" t="s">
        <v>166</v>
      </c>
      <c r="D71" s="193" t="s">
        <v>166</v>
      </c>
      <c r="E71" s="193" t="s">
        <v>166</v>
      </c>
      <c r="F71" s="193" t="s">
        <v>166</v>
      </c>
      <c r="G71" s="192" t="s">
        <v>166</v>
      </c>
      <c r="H71" s="193" t="s">
        <v>166</v>
      </c>
      <c r="I71" s="193" t="s">
        <v>166</v>
      </c>
      <c r="J71" s="194" t="s">
        <v>166</v>
      </c>
      <c r="K71" s="195" t="s">
        <v>166</v>
      </c>
      <c r="L71" s="180"/>
    </row>
    <row r="72" spans="1:12" x14ac:dyDescent="0.35">
      <c r="A72" s="207" t="s">
        <v>247</v>
      </c>
      <c r="B72" s="186">
        <v>70317</v>
      </c>
      <c r="C72" s="187">
        <v>64440</v>
      </c>
      <c r="D72" s="188" t="s">
        <v>201</v>
      </c>
      <c r="E72" s="188" t="s">
        <v>201</v>
      </c>
      <c r="F72" s="188">
        <v>672</v>
      </c>
      <c r="G72" s="186">
        <v>59752</v>
      </c>
      <c r="H72" s="188">
        <v>51742</v>
      </c>
      <c r="I72" s="188">
        <v>3863</v>
      </c>
      <c r="J72" s="190">
        <v>4146</v>
      </c>
      <c r="K72" s="191">
        <v>10565</v>
      </c>
      <c r="L72" s="180">
        <f>I72/TableA10!D71</f>
        <v>0.3670657544659825</v>
      </c>
    </row>
    <row r="73" spans="1:12" x14ac:dyDescent="0.35">
      <c r="A73" s="208" t="s">
        <v>95</v>
      </c>
      <c r="B73" s="196">
        <v>21132</v>
      </c>
      <c r="C73" s="197">
        <v>20522</v>
      </c>
      <c r="D73" s="198">
        <v>463</v>
      </c>
      <c r="E73" s="198">
        <v>-15</v>
      </c>
      <c r="F73" s="198">
        <v>162</v>
      </c>
      <c r="G73" s="196">
        <v>18499</v>
      </c>
      <c r="H73" s="198">
        <v>16740</v>
      </c>
      <c r="I73" s="198">
        <v>390</v>
      </c>
      <c r="J73" s="199">
        <v>1369</v>
      </c>
      <c r="K73" s="200">
        <v>2633</v>
      </c>
      <c r="L73" s="180">
        <f>I73/TableA10!D72</f>
        <v>0.14590347923681257</v>
      </c>
    </row>
    <row r="74" spans="1:12" x14ac:dyDescent="0.35">
      <c r="A74" s="208" t="s">
        <v>218</v>
      </c>
      <c r="B74" s="196">
        <v>12224</v>
      </c>
      <c r="C74" s="197">
        <v>11077</v>
      </c>
      <c r="D74" s="198" t="s">
        <v>201</v>
      </c>
      <c r="E74" s="193" t="s">
        <v>201</v>
      </c>
      <c r="F74" s="193">
        <v>32</v>
      </c>
      <c r="G74" s="196">
        <v>10915</v>
      </c>
      <c r="H74" s="198">
        <v>10237</v>
      </c>
      <c r="I74" s="198">
        <v>162</v>
      </c>
      <c r="J74" s="199">
        <v>516</v>
      </c>
      <c r="K74" s="200">
        <v>1309</v>
      </c>
      <c r="L74" s="180">
        <f>I74/TableA10!D73</f>
        <v>0.39130434782608697</v>
      </c>
    </row>
    <row r="75" spans="1:12" x14ac:dyDescent="0.35">
      <c r="A75" s="208" t="s">
        <v>219</v>
      </c>
      <c r="B75" s="196">
        <v>23691</v>
      </c>
      <c r="C75" s="197">
        <v>22986</v>
      </c>
      <c r="D75" s="198" t="s">
        <v>201</v>
      </c>
      <c r="E75" s="193">
        <v>162</v>
      </c>
      <c r="F75" s="193" t="s">
        <v>201</v>
      </c>
      <c r="G75" s="196">
        <v>20688</v>
      </c>
      <c r="H75" s="198">
        <v>17144</v>
      </c>
      <c r="I75" s="198" t="s">
        <v>201</v>
      </c>
      <c r="J75" s="199" t="s">
        <v>201</v>
      </c>
      <c r="K75" s="200">
        <v>3003</v>
      </c>
      <c r="L75" s="180"/>
    </row>
    <row r="76" spans="1:12" x14ac:dyDescent="0.35">
      <c r="A76" s="208" t="s">
        <v>202</v>
      </c>
      <c r="B76" s="196">
        <v>13269</v>
      </c>
      <c r="C76" s="197">
        <v>9855</v>
      </c>
      <c r="D76" s="198" t="s">
        <v>201</v>
      </c>
      <c r="E76" s="193" t="s">
        <v>201</v>
      </c>
      <c r="F76" s="193" t="s">
        <v>201</v>
      </c>
      <c r="G76" s="196">
        <v>9649</v>
      </c>
      <c r="H76" s="198">
        <v>7621</v>
      </c>
      <c r="I76" s="198" t="s">
        <v>201</v>
      </c>
      <c r="J76" s="199" t="s">
        <v>201</v>
      </c>
      <c r="K76" s="200">
        <v>3620</v>
      </c>
      <c r="L76" s="180"/>
    </row>
    <row r="77" spans="1:12" x14ac:dyDescent="0.35">
      <c r="A77" s="207" t="s">
        <v>166</v>
      </c>
      <c r="B77" s="192" t="s">
        <v>166</v>
      </c>
      <c r="C77" s="189" t="s">
        <v>166</v>
      </c>
      <c r="D77" s="193" t="s">
        <v>166</v>
      </c>
      <c r="E77" s="193" t="s">
        <v>166</v>
      </c>
      <c r="F77" s="193" t="s">
        <v>166</v>
      </c>
      <c r="G77" s="192" t="s">
        <v>166</v>
      </c>
      <c r="H77" s="193" t="s">
        <v>166</v>
      </c>
      <c r="I77" s="193" t="s">
        <v>166</v>
      </c>
      <c r="J77" s="194" t="s">
        <v>166</v>
      </c>
      <c r="K77" s="195" t="s">
        <v>166</v>
      </c>
      <c r="L77" s="180"/>
    </row>
    <row r="78" spans="1:12" x14ac:dyDescent="0.35">
      <c r="A78" s="207" t="s">
        <v>248</v>
      </c>
      <c r="B78" s="186">
        <v>1724881</v>
      </c>
      <c r="C78" s="187">
        <v>1653007</v>
      </c>
      <c r="D78" s="188">
        <v>51895</v>
      </c>
      <c r="E78" s="188">
        <v>-3333</v>
      </c>
      <c r="F78" s="188">
        <v>23313</v>
      </c>
      <c r="G78" s="186">
        <v>1579451</v>
      </c>
      <c r="H78" s="188">
        <v>1461139</v>
      </c>
      <c r="I78" s="188">
        <v>23359</v>
      </c>
      <c r="J78" s="190">
        <v>94952</v>
      </c>
      <c r="K78" s="191">
        <v>145430</v>
      </c>
      <c r="L78" s="313">
        <f>I78/TableA10!D77</f>
        <v>0.19166830773270316</v>
      </c>
    </row>
    <row r="79" spans="1:12" x14ac:dyDescent="0.35">
      <c r="A79" s="208" t="s">
        <v>54</v>
      </c>
      <c r="B79" s="196">
        <v>160065</v>
      </c>
      <c r="C79" s="197">
        <v>152193</v>
      </c>
      <c r="D79" s="198">
        <v>10436</v>
      </c>
      <c r="E79" s="198">
        <v>-6243</v>
      </c>
      <c r="F79" s="198">
        <v>3678</v>
      </c>
      <c r="G79" s="196">
        <v>156494</v>
      </c>
      <c r="H79" s="198">
        <v>133326</v>
      </c>
      <c r="I79" s="198">
        <v>2186</v>
      </c>
      <c r="J79" s="199">
        <v>20981</v>
      </c>
      <c r="K79" s="200">
        <v>3571</v>
      </c>
      <c r="L79" s="180">
        <f>I79/TableA10!D78</f>
        <v>1.1034830893488137</v>
      </c>
    </row>
    <row r="80" spans="1:12" x14ac:dyDescent="0.35">
      <c r="A80" s="208" t="s">
        <v>101</v>
      </c>
      <c r="B80" s="196">
        <v>363697</v>
      </c>
      <c r="C80" s="197">
        <v>355840</v>
      </c>
      <c r="D80" s="198">
        <v>4432</v>
      </c>
      <c r="E80" s="198">
        <v>-1809</v>
      </c>
      <c r="F80" s="198">
        <v>5233</v>
      </c>
      <c r="G80" s="196">
        <v>341758</v>
      </c>
      <c r="H80" s="198">
        <v>323290</v>
      </c>
      <c r="I80" s="198">
        <v>5230</v>
      </c>
      <c r="J80" s="199">
        <v>13238</v>
      </c>
      <c r="K80" s="200">
        <v>21938</v>
      </c>
      <c r="L80" s="180">
        <f>I80/TableA10!D79</f>
        <v>0.21222204187631877</v>
      </c>
    </row>
    <row r="81" spans="1:12" x14ac:dyDescent="0.35">
      <c r="A81" s="208" t="s">
        <v>220</v>
      </c>
      <c r="B81" s="196">
        <v>156597</v>
      </c>
      <c r="C81" s="197">
        <v>142786</v>
      </c>
      <c r="D81" s="198">
        <v>8493</v>
      </c>
      <c r="E81" s="198">
        <v>2465</v>
      </c>
      <c r="F81" s="198">
        <v>2853</v>
      </c>
      <c r="G81" s="196">
        <v>138184</v>
      </c>
      <c r="H81" s="198">
        <v>130574</v>
      </c>
      <c r="I81" s="198">
        <v>1239</v>
      </c>
      <c r="J81" s="199">
        <v>6371</v>
      </c>
      <c r="K81" s="200">
        <v>18413</v>
      </c>
      <c r="L81" s="180">
        <f>I81/TableA10!D80</f>
        <v>0.14233199310740954</v>
      </c>
    </row>
    <row r="82" spans="1:12" x14ac:dyDescent="0.35">
      <c r="A82" s="208" t="s">
        <v>102</v>
      </c>
      <c r="B82" s="196">
        <v>82239</v>
      </c>
      <c r="C82" s="197">
        <v>80115</v>
      </c>
      <c r="D82" s="198">
        <v>389</v>
      </c>
      <c r="E82" s="198">
        <v>567</v>
      </c>
      <c r="F82" s="198">
        <v>1168</v>
      </c>
      <c r="G82" s="196">
        <v>77084</v>
      </c>
      <c r="H82" s="198">
        <v>68470</v>
      </c>
      <c r="I82" s="198">
        <v>2293</v>
      </c>
      <c r="J82" s="199">
        <v>6321</v>
      </c>
      <c r="K82" s="200">
        <v>5155</v>
      </c>
      <c r="L82" s="180">
        <f>I82/TableA10!D81</f>
        <v>0.35320394331484906</v>
      </c>
    </row>
    <row r="83" spans="1:12" x14ac:dyDescent="0.35">
      <c r="A83" s="208" t="s">
        <v>221</v>
      </c>
      <c r="B83" s="196">
        <v>27497</v>
      </c>
      <c r="C83" s="197">
        <v>26021</v>
      </c>
      <c r="D83" s="198">
        <v>1430</v>
      </c>
      <c r="E83" s="198">
        <v>-32</v>
      </c>
      <c r="F83" s="193">
        <v>77</v>
      </c>
      <c r="G83" s="192">
        <v>24244</v>
      </c>
      <c r="H83" s="193">
        <v>20828</v>
      </c>
      <c r="I83" s="198">
        <v>1953</v>
      </c>
      <c r="J83" s="199">
        <v>1462</v>
      </c>
      <c r="K83" s="200">
        <v>3253</v>
      </c>
      <c r="L83" s="180">
        <f>I83/TableA10!D82</f>
        <v>0.45845070422535211</v>
      </c>
    </row>
    <row r="84" spans="1:12" x14ac:dyDescent="0.35">
      <c r="A84" s="208" t="s">
        <v>67</v>
      </c>
      <c r="B84" s="196">
        <v>219703</v>
      </c>
      <c r="C84" s="197">
        <v>215684</v>
      </c>
      <c r="D84" s="198">
        <v>4130</v>
      </c>
      <c r="E84" s="198">
        <v>-3001</v>
      </c>
      <c r="F84" s="198">
        <v>2890</v>
      </c>
      <c r="G84" s="196">
        <v>201795</v>
      </c>
      <c r="H84" s="198">
        <v>186886</v>
      </c>
      <c r="I84" s="198">
        <v>5505</v>
      </c>
      <c r="J84" s="199">
        <v>9405</v>
      </c>
      <c r="K84" s="200">
        <v>17908</v>
      </c>
      <c r="L84" s="180">
        <f>I84/TableA10!D83</f>
        <v>0.24690527448869753</v>
      </c>
    </row>
    <row r="85" spans="1:12" x14ac:dyDescent="0.35">
      <c r="A85" s="208" t="s">
        <v>222</v>
      </c>
      <c r="B85" s="196">
        <v>73036</v>
      </c>
      <c r="C85" s="197">
        <v>71673</v>
      </c>
      <c r="D85" s="198">
        <v>396</v>
      </c>
      <c r="E85" s="198">
        <v>328</v>
      </c>
      <c r="F85" s="198">
        <v>639</v>
      </c>
      <c r="G85" s="196">
        <v>68268</v>
      </c>
      <c r="H85" s="198">
        <v>63234</v>
      </c>
      <c r="I85" s="198">
        <v>1096</v>
      </c>
      <c r="J85" s="199">
        <v>3938</v>
      </c>
      <c r="K85" s="200">
        <v>4768</v>
      </c>
      <c r="L85" s="180">
        <f>I85/TableA10!D84</f>
        <v>0.21318809570122543</v>
      </c>
    </row>
    <row r="86" spans="1:12" x14ac:dyDescent="0.35">
      <c r="A86" s="208" t="s">
        <v>223</v>
      </c>
      <c r="B86" s="196">
        <v>48439</v>
      </c>
      <c r="C86" s="197">
        <v>47568</v>
      </c>
      <c r="D86" s="198">
        <v>-39</v>
      </c>
      <c r="E86" s="198">
        <v>241</v>
      </c>
      <c r="F86" s="198">
        <v>670</v>
      </c>
      <c r="G86" s="196">
        <v>45321</v>
      </c>
      <c r="H86" s="198">
        <v>42394</v>
      </c>
      <c r="I86" s="198">
        <v>-178</v>
      </c>
      <c r="J86" s="199">
        <v>3105</v>
      </c>
      <c r="K86" s="200">
        <v>3118</v>
      </c>
      <c r="L86" s="180">
        <f>I86/TableA10!D85</f>
        <v>-6.1000685400959563E-2</v>
      </c>
    </row>
    <row r="87" spans="1:12" x14ac:dyDescent="0.35">
      <c r="A87" s="208" t="s">
        <v>73</v>
      </c>
      <c r="B87" s="196">
        <v>15078</v>
      </c>
      <c r="C87" s="197">
        <v>14769</v>
      </c>
      <c r="D87" s="198" t="s">
        <v>201</v>
      </c>
      <c r="E87" s="198" t="s">
        <v>201</v>
      </c>
      <c r="F87" s="198" t="s">
        <v>201</v>
      </c>
      <c r="G87" s="196">
        <v>13837</v>
      </c>
      <c r="H87" s="198">
        <v>12928</v>
      </c>
      <c r="I87" s="198">
        <v>196</v>
      </c>
      <c r="J87" s="199">
        <v>713</v>
      </c>
      <c r="K87" s="200">
        <v>1241</v>
      </c>
      <c r="L87" s="180">
        <f>I87/TableA10!D86</f>
        <v>0.15909090909090909</v>
      </c>
    </row>
    <row r="88" spans="1:12" x14ac:dyDescent="0.35">
      <c r="A88" s="208" t="s">
        <v>224</v>
      </c>
      <c r="B88" s="196">
        <v>22206</v>
      </c>
      <c r="C88" s="197">
        <v>21975</v>
      </c>
      <c r="D88" s="198">
        <v>51</v>
      </c>
      <c r="E88" s="198">
        <v>5</v>
      </c>
      <c r="F88" s="198">
        <v>175</v>
      </c>
      <c r="G88" s="196">
        <v>21701</v>
      </c>
      <c r="H88" s="198">
        <v>19010</v>
      </c>
      <c r="I88" s="198">
        <v>371</v>
      </c>
      <c r="J88" s="199">
        <v>2319</v>
      </c>
      <c r="K88" s="200">
        <v>505</v>
      </c>
      <c r="L88" s="180">
        <f>I88/TableA10!D87</f>
        <v>0.45243902439024392</v>
      </c>
    </row>
    <row r="89" spans="1:12" x14ac:dyDescent="0.35">
      <c r="A89" s="208" t="s">
        <v>225</v>
      </c>
      <c r="B89" s="196">
        <v>431201</v>
      </c>
      <c r="C89" s="197">
        <v>401090</v>
      </c>
      <c r="D89" s="198">
        <v>20744</v>
      </c>
      <c r="E89" s="198">
        <v>4938</v>
      </c>
      <c r="F89" s="198">
        <v>4429</v>
      </c>
      <c r="G89" s="196">
        <v>377593</v>
      </c>
      <c r="H89" s="198">
        <v>354068</v>
      </c>
      <c r="I89" s="198">
        <v>1714</v>
      </c>
      <c r="J89" s="199">
        <v>21812</v>
      </c>
      <c r="K89" s="200">
        <v>53608</v>
      </c>
      <c r="L89" s="180">
        <f>I89/TableA10!D88</f>
        <v>5.7823358747722826E-2</v>
      </c>
    </row>
    <row r="90" spans="1:12" x14ac:dyDescent="0.35">
      <c r="A90" s="208" t="s">
        <v>226</v>
      </c>
      <c r="B90" s="196">
        <v>37909</v>
      </c>
      <c r="C90" s="197">
        <v>37217</v>
      </c>
      <c r="D90" s="198">
        <v>321</v>
      </c>
      <c r="E90" s="198">
        <v>110</v>
      </c>
      <c r="F90" s="198">
        <v>260</v>
      </c>
      <c r="G90" s="196">
        <v>35057</v>
      </c>
      <c r="H90" s="198">
        <v>32579</v>
      </c>
      <c r="I90" s="198">
        <v>484</v>
      </c>
      <c r="J90" s="199">
        <v>1994</v>
      </c>
      <c r="K90" s="200">
        <v>2852</v>
      </c>
      <c r="L90" s="180">
        <f>I90/TableA10!D89</f>
        <v>0.16666666666666666</v>
      </c>
    </row>
    <row r="91" spans="1:12" x14ac:dyDescent="0.35">
      <c r="A91" s="208" t="s">
        <v>227</v>
      </c>
      <c r="B91" s="196">
        <v>56660</v>
      </c>
      <c r="C91" s="197">
        <v>55678</v>
      </c>
      <c r="D91" s="198">
        <v>140</v>
      </c>
      <c r="E91" s="198">
        <v>438</v>
      </c>
      <c r="F91" s="198">
        <v>404</v>
      </c>
      <c r="G91" s="196">
        <v>51455</v>
      </c>
      <c r="H91" s="198">
        <v>48939</v>
      </c>
      <c r="I91" s="198">
        <v>763</v>
      </c>
      <c r="J91" s="199">
        <v>1752</v>
      </c>
      <c r="K91" s="200">
        <v>5206</v>
      </c>
      <c r="L91" s="180">
        <f>I91/TableA10!D90</f>
        <v>0.1339066339066339</v>
      </c>
    </row>
    <row r="92" spans="1:12" x14ac:dyDescent="0.35">
      <c r="A92" s="208" t="s">
        <v>202</v>
      </c>
      <c r="B92" s="196">
        <v>30556</v>
      </c>
      <c r="C92" s="197">
        <v>30399</v>
      </c>
      <c r="D92" s="198" t="s">
        <v>201</v>
      </c>
      <c r="E92" s="198" t="s">
        <v>201</v>
      </c>
      <c r="F92" s="193" t="s">
        <v>201</v>
      </c>
      <c r="G92" s="192">
        <v>26661</v>
      </c>
      <c r="H92" s="193">
        <v>24613</v>
      </c>
      <c r="I92" s="198">
        <v>507</v>
      </c>
      <c r="J92" s="199">
        <v>1540</v>
      </c>
      <c r="K92" s="200">
        <v>3895</v>
      </c>
      <c r="L92" s="180">
        <f>I92/TableA10!D91</f>
        <v>9.8676527831841179E-2</v>
      </c>
    </row>
    <row r="93" spans="1:12" x14ac:dyDescent="0.35">
      <c r="A93" s="207" t="s">
        <v>166</v>
      </c>
      <c r="B93" s="192" t="s">
        <v>166</v>
      </c>
      <c r="C93" s="189" t="s">
        <v>166</v>
      </c>
      <c r="D93" s="193" t="s">
        <v>166</v>
      </c>
      <c r="E93" s="193" t="s">
        <v>166</v>
      </c>
      <c r="F93" s="193" t="s">
        <v>166</v>
      </c>
      <c r="G93" s="192" t="s">
        <v>166</v>
      </c>
      <c r="H93" s="193" t="s">
        <v>166</v>
      </c>
      <c r="I93" s="193" t="s">
        <v>166</v>
      </c>
      <c r="J93" s="194" t="s">
        <v>166</v>
      </c>
      <c r="K93" s="195" t="s">
        <v>166</v>
      </c>
      <c r="L93" s="180"/>
    </row>
    <row r="94" spans="1:12" x14ac:dyDescent="0.35">
      <c r="A94" s="207" t="s">
        <v>249</v>
      </c>
      <c r="B94" s="192" t="s">
        <v>166</v>
      </c>
      <c r="C94" s="189" t="s">
        <v>166</v>
      </c>
      <c r="D94" s="193" t="s">
        <v>166</v>
      </c>
      <c r="E94" s="193" t="s">
        <v>166</v>
      </c>
      <c r="F94" s="193" t="s">
        <v>166</v>
      </c>
      <c r="G94" s="192" t="s">
        <v>166</v>
      </c>
      <c r="H94" s="193" t="s">
        <v>166</v>
      </c>
      <c r="I94" s="193" t="s">
        <v>166</v>
      </c>
      <c r="J94" s="194" t="s">
        <v>166</v>
      </c>
      <c r="K94" s="195" t="s">
        <v>166</v>
      </c>
      <c r="L94" s="180"/>
    </row>
    <row r="95" spans="1:12" x14ac:dyDescent="0.35">
      <c r="A95" s="208" t="s">
        <v>228</v>
      </c>
      <c r="B95" s="196">
        <v>2948107</v>
      </c>
      <c r="C95" s="197">
        <v>2386308</v>
      </c>
      <c r="D95" s="198">
        <v>451075</v>
      </c>
      <c r="E95" s="198">
        <v>-29134</v>
      </c>
      <c r="F95" s="198">
        <v>139858</v>
      </c>
      <c r="G95" s="196">
        <v>2362270</v>
      </c>
      <c r="H95" s="198">
        <v>2060533</v>
      </c>
      <c r="I95" s="198">
        <v>32595</v>
      </c>
      <c r="J95" s="199">
        <v>269141</v>
      </c>
      <c r="K95" s="200">
        <v>585837</v>
      </c>
      <c r="L95" s="180">
        <f>I95/TableA10!D94</f>
        <v>0.16548373339831851</v>
      </c>
    </row>
    <row r="96" spans="1:12" ht="16" thickBot="1" x14ac:dyDescent="0.4">
      <c r="A96" s="210" t="s">
        <v>229</v>
      </c>
      <c r="B96" s="201">
        <v>97268</v>
      </c>
      <c r="C96" s="202">
        <v>84915</v>
      </c>
      <c r="D96" s="203">
        <v>14137</v>
      </c>
      <c r="E96" s="203">
        <v>-2688</v>
      </c>
      <c r="F96" s="203">
        <v>902</v>
      </c>
      <c r="G96" s="201">
        <v>82533</v>
      </c>
      <c r="H96" s="203">
        <v>71746</v>
      </c>
      <c r="I96" s="203">
        <v>5854</v>
      </c>
      <c r="J96" s="204">
        <v>4934</v>
      </c>
      <c r="K96" s="205">
        <v>14734</v>
      </c>
      <c r="L96" s="181">
        <f>I96/TableA10!D95</f>
        <v>0.5874560963371801</v>
      </c>
    </row>
    <row r="97" spans="1:12" ht="16" thickTop="1" x14ac:dyDescent="0.35"/>
    <row r="99" spans="1:12" x14ac:dyDescent="0.35">
      <c r="A99" s="218" t="s">
        <v>168</v>
      </c>
      <c r="B99" s="225">
        <f t="shared" ref="B99:G99" si="0">B26+B27+B24+B35+B59+B89</f>
        <v>2171040</v>
      </c>
      <c r="C99" s="225">
        <f t="shared" si="0"/>
        <v>1571317</v>
      </c>
      <c r="D99" s="225">
        <f t="shared" si="0"/>
        <v>499559</v>
      </c>
      <c r="E99" s="225">
        <f t="shared" si="0"/>
        <v>-14065</v>
      </c>
      <c r="F99" s="225">
        <f t="shared" si="0"/>
        <v>114228</v>
      </c>
      <c r="G99" s="225">
        <f t="shared" si="0"/>
        <v>1487580</v>
      </c>
      <c r="H99" s="225">
        <f>H26+H27+H24+H35+H59+H89</f>
        <v>1265417</v>
      </c>
      <c r="I99" s="225">
        <f>I26+I27+I24+I35+I59+I89</f>
        <v>14897</v>
      </c>
      <c r="J99" s="225">
        <f>J26+J27+J24+J35+J59+J89</f>
        <v>207264</v>
      </c>
      <c r="K99" s="225">
        <f>K26+K27+K24+K35+K59+K89</f>
        <v>683460</v>
      </c>
      <c r="L99" s="229">
        <f>I99/(K99+I99-D99-E99)</f>
        <v>6.9983980306582164E-2</v>
      </c>
    </row>
    <row r="100" spans="1:12" x14ac:dyDescent="0.35">
      <c r="A100" s="218" t="s">
        <v>254</v>
      </c>
      <c r="B100" s="225">
        <f>B13-B26-B27-B24-B35-B29</f>
        <v>1975103</v>
      </c>
      <c r="C100" s="225">
        <f t="shared" ref="C100:K100" si="1">C13-C26-C27-C24-C35-C29</f>
        <v>1788414</v>
      </c>
      <c r="D100" s="225">
        <f t="shared" si="1"/>
        <v>138768</v>
      </c>
      <c r="E100" s="225">
        <f t="shared" si="1"/>
        <v>-7236</v>
      </c>
      <c r="F100" s="225">
        <f t="shared" si="1"/>
        <v>55158</v>
      </c>
      <c r="G100" s="225">
        <f t="shared" si="1"/>
        <v>1780591</v>
      </c>
      <c r="H100" s="225">
        <f t="shared" si="1"/>
        <v>1605982</v>
      </c>
      <c r="I100" s="225">
        <f t="shared" si="1"/>
        <v>27140</v>
      </c>
      <c r="J100" s="225">
        <f t="shared" si="1"/>
        <v>147473</v>
      </c>
      <c r="K100" s="225">
        <f t="shared" si="1"/>
        <v>194511</v>
      </c>
      <c r="L100" s="229">
        <f>I100/(K100+I100-D100-E100)</f>
        <v>0.30115735860362408</v>
      </c>
    </row>
    <row r="101" spans="1:12" x14ac:dyDescent="0.35">
      <c r="A101" s="218" t="s">
        <v>253</v>
      </c>
      <c r="B101" s="225">
        <f t="shared" ref="B101:H101" si="2">B82+B80+B83+B85+B42</f>
        <v>874564</v>
      </c>
      <c r="C101" s="225">
        <f t="shared" si="2"/>
        <v>853203</v>
      </c>
      <c r="D101" s="225">
        <f t="shared" si="2"/>
        <v>14660</v>
      </c>
      <c r="E101" s="225">
        <f t="shared" si="2"/>
        <v>-4893</v>
      </c>
      <c r="F101" s="225">
        <f t="shared" si="2"/>
        <v>11592</v>
      </c>
      <c r="G101" s="225">
        <f t="shared" si="2"/>
        <v>830990</v>
      </c>
      <c r="H101" s="225">
        <f t="shared" si="2"/>
        <v>768218</v>
      </c>
      <c r="I101" s="225">
        <f>I82+I80+I83+I85+I42</f>
        <v>16835</v>
      </c>
      <c r="J101" s="225">
        <f>J82+J80+J83+J85+J42</f>
        <v>45936</v>
      </c>
      <c r="K101" s="225">
        <f>K82+K80+K83+K85+K42</f>
        <v>43573</v>
      </c>
      <c r="L101" s="229">
        <f>I101/(K101+I101-D101-E101)</f>
        <v>0.3324381430066547</v>
      </c>
    </row>
  </sheetData>
  <mergeCells count="6">
    <mergeCell ref="K7:K8"/>
    <mergeCell ref="B6:K6"/>
    <mergeCell ref="A3:L3"/>
    <mergeCell ref="B7:F7"/>
    <mergeCell ref="G7:J7"/>
    <mergeCell ref="L6:L8"/>
  </mergeCells>
  <pageMargins left="0.7" right="0.7" top="0.75" bottom="0.75" header="0.3" footer="0.3"/>
  <pageSetup scale="46" orientation="portrait" horizontalDpi="300" verticalDpi="300"/>
  <headerFooter alignWithMargins="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2:L101"/>
  <sheetViews>
    <sheetView workbookViewId="0">
      <pane xSplit="1" ySplit="8" topLeftCell="B41" activePane="bottomRight" state="frozen"/>
      <selection pane="topRight" activeCell="B1" sqref="B1"/>
      <selection pane="bottomLeft" activeCell="A8" sqref="A8"/>
      <selection pane="bottomRight" activeCell="L101" sqref="L101"/>
    </sheetView>
  </sheetViews>
  <sheetFormatPr baseColWidth="10" defaultColWidth="7.6328125" defaultRowHeight="15.5" x14ac:dyDescent="0.35"/>
  <cols>
    <col min="1" max="1" width="29.36328125" style="218" customWidth="1"/>
    <col min="2" max="11" width="12.1796875" style="218" customWidth="1"/>
    <col min="12" max="12" width="11" style="218" customWidth="1"/>
    <col min="13" max="248" width="7.6328125" style="218"/>
    <col min="249" max="249" width="38.81640625" style="218" customWidth="1"/>
    <col min="250" max="259" width="12.1796875" style="218" customWidth="1"/>
    <col min="260" max="504" width="7.6328125" style="218"/>
    <col min="505" max="505" width="38.81640625" style="218" customWidth="1"/>
    <col min="506" max="515" width="12.1796875" style="218" customWidth="1"/>
    <col min="516" max="760" width="7.6328125" style="218"/>
    <col min="761" max="761" width="38.81640625" style="218" customWidth="1"/>
    <col min="762" max="771" width="12.1796875" style="218" customWidth="1"/>
    <col min="772" max="1016" width="7.6328125" style="218"/>
    <col min="1017" max="1017" width="38.81640625" style="218" customWidth="1"/>
    <col min="1018" max="1027" width="12.1796875" style="218" customWidth="1"/>
    <col min="1028" max="1272" width="7.6328125" style="218"/>
    <col min="1273" max="1273" width="38.81640625" style="218" customWidth="1"/>
    <col min="1274" max="1283" width="12.1796875" style="218" customWidth="1"/>
    <col min="1284" max="1528" width="7.6328125" style="218"/>
    <col min="1529" max="1529" width="38.81640625" style="218" customWidth="1"/>
    <col min="1530" max="1539" width="12.1796875" style="218" customWidth="1"/>
    <col min="1540" max="1784" width="7.6328125" style="218"/>
    <col min="1785" max="1785" width="38.81640625" style="218" customWidth="1"/>
    <col min="1786" max="1795" width="12.1796875" style="218" customWidth="1"/>
    <col min="1796" max="2040" width="7.6328125" style="218"/>
    <col min="2041" max="2041" width="38.81640625" style="218" customWidth="1"/>
    <col min="2042" max="2051" width="12.1796875" style="218" customWidth="1"/>
    <col min="2052" max="2296" width="7.6328125" style="218"/>
    <col min="2297" max="2297" width="38.81640625" style="218" customWidth="1"/>
    <col min="2298" max="2307" width="12.1796875" style="218" customWidth="1"/>
    <col min="2308" max="2552" width="7.6328125" style="218"/>
    <col min="2553" max="2553" width="38.81640625" style="218" customWidth="1"/>
    <col min="2554" max="2563" width="12.1796875" style="218" customWidth="1"/>
    <col min="2564" max="2808" width="7.6328125" style="218"/>
    <col min="2809" max="2809" width="38.81640625" style="218" customWidth="1"/>
    <col min="2810" max="2819" width="12.1796875" style="218" customWidth="1"/>
    <col min="2820" max="3064" width="7.6328125" style="218"/>
    <col min="3065" max="3065" width="38.81640625" style="218" customWidth="1"/>
    <col min="3066" max="3075" width="12.1796875" style="218" customWidth="1"/>
    <col min="3076" max="3320" width="7.6328125" style="218"/>
    <col min="3321" max="3321" width="38.81640625" style="218" customWidth="1"/>
    <col min="3322" max="3331" width="12.1796875" style="218" customWidth="1"/>
    <col min="3332" max="3576" width="7.6328125" style="218"/>
    <col min="3577" max="3577" width="38.81640625" style="218" customWidth="1"/>
    <col min="3578" max="3587" width="12.1796875" style="218" customWidth="1"/>
    <col min="3588" max="3832" width="7.6328125" style="218"/>
    <col min="3833" max="3833" width="38.81640625" style="218" customWidth="1"/>
    <col min="3834" max="3843" width="12.1796875" style="218" customWidth="1"/>
    <col min="3844" max="4088" width="7.6328125" style="218"/>
    <col min="4089" max="4089" width="38.81640625" style="218" customWidth="1"/>
    <col min="4090" max="4099" width="12.1796875" style="218" customWidth="1"/>
    <col min="4100" max="4344" width="7.6328125" style="218"/>
    <col min="4345" max="4345" width="38.81640625" style="218" customWidth="1"/>
    <col min="4346" max="4355" width="12.1796875" style="218" customWidth="1"/>
    <col min="4356" max="4600" width="7.6328125" style="218"/>
    <col min="4601" max="4601" width="38.81640625" style="218" customWidth="1"/>
    <col min="4602" max="4611" width="12.1796875" style="218" customWidth="1"/>
    <col min="4612" max="4856" width="7.6328125" style="218"/>
    <col min="4857" max="4857" width="38.81640625" style="218" customWidth="1"/>
    <col min="4858" max="4867" width="12.1796875" style="218" customWidth="1"/>
    <col min="4868" max="5112" width="7.6328125" style="218"/>
    <col min="5113" max="5113" width="38.81640625" style="218" customWidth="1"/>
    <col min="5114" max="5123" width="12.1796875" style="218" customWidth="1"/>
    <col min="5124" max="5368" width="7.6328125" style="218"/>
    <col min="5369" max="5369" width="38.81640625" style="218" customWidth="1"/>
    <col min="5370" max="5379" width="12.1796875" style="218" customWidth="1"/>
    <col min="5380" max="5624" width="7.6328125" style="218"/>
    <col min="5625" max="5625" width="38.81640625" style="218" customWidth="1"/>
    <col min="5626" max="5635" width="12.1796875" style="218" customWidth="1"/>
    <col min="5636" max="5880" width="7.6328125" style="218"/>
    <col min="5881" max="5881" width="38.81640625" style="218" customWidth="1"/>
    <col min="5882" max="5891" width="12.1796875" style="218" customWidth="1"/>
    <col min="5892" max="6136" width="7.6328125" style="218"/>
    <col min="6137" max="6137" width="38.81640625" style="218" customWidth="1"/>
    <col min="6138" max="6147" width="12.1796875" style="218" customWidth="1"/>
    <col min="6148" max="6392" width="7.6328125" style="218"/>
    <col min="6393" max="6393" width="38.81640625" style="218" customWidth="1"/>
    <col min="6394" max="6403" width="12.1796875" style="218" customWidth="1"/>
    <col min="6404" max="6648" width="7.6328125" style="218"/>
    <col min="6649" max="6649" width="38.81640625" style="218" customWidth="1"/>
    <col min="6650" max="6659" width="12.1796875" style="218" customWidth="1"/>
    <col min="6660" max="6904" width="7.6328125" style="218"/>
    <col min="6905" max="6905" width="38.81640625" style="218" customWidth="1"/>
    <col min="6906" max="6915" width="12.1796875" style="218" customWidth="1"/>
    <col min="6916" max="7160" width="7.6328125" style="218"/>
    <col min="7161" max="7161" width="38.81640625" style="218" customWidth="1"/>
    <col min="7162" max="7171" width="12.1796875" style="218" customWidth="1"/>
    <col min="7172" max="7416" width="7.6328125" style="218"/>
    <col min="7417" max="7417" width="38.81640625" style="218" customWidth="1"/>
    <col min="7418" max="7427" width="12.1796875" style="218" customWidth="1"/>
    <col min="7428" max="7672" width="7.6328125" style="218"/>
    <col min="7673" max="7673" width="38.81640625" style="218" customWidth="1"/>
    <col min="7674" max="7683" width="12.1796875" style="218" customWidth="1"/>
    <col min="7684" max="7928" width="7.6328125" style="218"/>
    <col min="7929" max="7929" width="38.81640625" style="218" customWidth="1"/>
    <col min="7930" max="7939" width="12.1796875" style="218" customWidth="1"/>
    <col min="7940" max="8184" width="7.6328125" style="218"/>
    <col min="8185" max="8185" width="38.81640625" style="218" customWidth="1"/>
    <col min="8186" max="8195" width="12.1796875" style="218" customWidth="1"/>
    <col min="8196" max="8440" width="7.6328125" style="218"/>
    <col min="8441" max="8441" width="38.81640625" style="218" customWidth="1"/>
    <col min="8442" max="8451" width="12.1796875" style="218" customWidth="1"/>
    <col min="8452" max="8696" width="7.6328125" style="218"/>
    <col min="8697" max="8697" width="38.81640625" style="218" customWidth="1"/>
    <col min="8698" max="8707" width="12.1796875" style="218" customWidth="1"/>
    <col min="8708" max="8952" width="7.6328125" style="218"/>
    <col min="8953" max="8953" width="38.81640625" style="218" customWidth="1"/>
    <col min="8954" max="8963" width="12.1796875" style="218" customWidth="1"/>
    <col min="8964" max="9208" width="7.6328125" style="218"/>
    <col min="9209" max="9209" width="38.81640625" style="218" customWidth="1"/>
    <col min="9210" max="9219" width="12.1796875" style="218" customWidth="1"/>
    <col min="9220" max="9464" width="7.6328125" style="218"/>
    <col min="9465" max="9465" width="38.81640625" style="218" customWidth="1"/>
    <col min="9466" max="9475" width="12.1796875" style="218" customWidth="1"/>
    <col min="9476" max="9720" width="7.6328125" style="218"/>
    <col min="9721" max="9721" width="38.81640625" style="218" customWidth="1"/>
    <col min="9722" max="9731" width="12.1796875" style="218" customWidth="1"/>
    <col min="9732" max="9976" width="7.6328125" style="218"/>
    <col min="9977" max="9977" width="38.81640625" style="218" customWidth="1"/>
    <col min="9978" max="9987" width="12.1796875" style="218" customWidth="1"/>
    <col min="9988" max="10232" width="7.6328125" style="218"/>
    <col min="10233" max="10233" width="38.81640625" style="218" customWidth="1"/>
    <col min="10234" max="10243" width="12.1796875" style="218" customWidth="1"/>
    <col min="10244" max="10488" width="7.6328125" style="218"/>
    <col min="10489" max="10489" width="38.81640625" style="218" customWidth="1"/>
    <col min="10490" max="10499" width="12.1796875" style="218" customWidth="1"/>
    <col min="10500" max="10744" width="7.6328125" style="218"/>
    <col min="10745" max="10745" width="38.81640625" style="218" customWidth="1"/>
    <col min="10746" max="10755" width="12.1796875" style="218" customWidth="1"/>
    <col min="10756" max="11000" width="7.6328125" style="218"/>
    <col min="11001" max="11001" width="38.81640625" style="218" customWidth="1"/>
    <col min="11002" max="11011" width="12.1796875" style="218" customWidth="1"/>
    <col min="11012" max="11256" width="7.6328125" style="218"/>
    <col min="11257" max="11257" width="38.81640625" style="218" customWidth="1"/>
    <col min="11258" max="11267" width="12.1796875" style="218" customWidth="1"/>
    <col min="11268" max="11512" width="7.6328125" style="218"/>
    <col min="11513" max="11513" width="38.81640625" style="218" customWidth="1"/>
    <col min="11514" max="11523" width="12.1796875" style="218" customWidth="1"/>
    <col min="11524" max="11768" width="7.6328125" style="218"/>
    <col min="11769" max="11769" width="38.81640625" style="218" customWidth="1"/>
    <col min="11770" max="11779" width="12.1796875" style="218" customWidth="1"/>
    <col min="11780" max="12024" width="7.6328125" style="218"/>
    <col min="12025" max="12025" width="38.81640625" style="218" customWidth="1"/>
    <col min="12026" max="12035" width="12.1796875" style="218" customWidth="1"/>
    <col min="12036" max="12280" width="7.6328125" style="218"/>
    <col min="12281" max="12281" width="38.81640625" style="218" customWidth="1"/>
    <col min="12282" max="12291" width="12.1796875" style="218" customWidth="1"/>
    <col min="12292" max="12536" width="7.6328125" style="218"/>
    <col min="12537" max="12537" width="38.81640625" style="218" customWidth="1"/>
    <col min="12538" max="12547" width="12.1796875" style="218" customWidth="1"/>
    <col min="12548" max="12792" width="7.6328125" style="218"/>
    <col min="12793" max="12793" width="38.81640625" style="218" customWidth="1"/>
    <col min="12794" max="12803" width="12.1796875" style="218" customWidth="1"/>
    <col min="12804" max="13048" width="7.6328125" style="218"/>
    <col min="13049" max="13049" width="38.81640625" style="218" customWidth="1"/>
    <col min="13050" max="13059" width="12.1796875" style="218" customWidth="1"/>
    <col min="13060" max="13304" width="7.6328125" style="218"/>
    <col min="13305" max="13305" width="38.81640625" style="218" customWidth="1"/>
    <col min="13306" max="13315" width="12.1796875" style="218" customWidth="1"/>
    <col min="13316" max="13560" width="7.6328125" style="218"/>
    <col min="13561" max="13561" width="38.81640625" style="218" customWidth="1"/>
    <col min="13562" max="13571" width="12.1796875" style="218" customWidth="1"/>
    <col min="13572" max="13816" width="7.6328125" style="218"/>
    <col min="13817" max="13817" width="38.81640625" style="218" customWidth="1"/>
    <col min="13818" max="13827" width="12.1796875" style="218" customWidth="1"/>
    <col min="13828" max="14072" width="7.6328125" style="218"/>
    <col min="14073" max="14073" width="38.81640625" style="218" customWidth="1"/>
    <col min="14074" max="14083" width="12.1796875" style="218" customWidth="1"/>
    <col min="14084" max="14328" width="7.6328125" style="218"/>
    <col min="14329" max="14329" width="38.81640625" style="218" customWidth="1"/>
    <col min="14330" max="14339" width="12.1796875" style="218" customWidth="1"/>
    <col min="14340" max="14584" width="7.6328125" style="218"/>
    <col min="14585" max="14585" width="38.81640625" style="218" customWidth="1"/>
    <col min="14586" max="14595" width="12.1796875" style="218" customWidth="1"/>
    <col min="14596" max="14840" width="7.6328125" style="218"/>
    <col min="14841" max="14841" width="38.81640625" style="218" customWidth="1"/>
    <col min="14842" max="14851" width="12.1796875" style="218" customWidth="1"/>
    <col min="14852" max="15096" width="7.6328125" style="218"/>
    <col min="15097" max="15097" width="38.81640625" style="218" customWidth="1"/>
    <col min="15098" max="15107" width="12.1796875" style="218" customWidth="1"/>
    <col min="15108" max="15352" width="7.6328125" style="218"/>
    <col min="15353" max="15353" width="38.81640625" style="218" customWidth="1"/>
    <col min="15354" max="15363" width="12.1796875" style="218" customWidth="1"/>
    <col min="15364" max="15608" width="7.6328125" style="218"/>
    <col min="15609" max="15609" width="38.81640625" style="218" customWidth="1"/>
    <col min="15610" max="15619" width="12.1796875" style="218" customWidth="1"/>
    <col min="15620" max="15864" width="7.6328125" style="218"/>
    <col min="15865" max="15865" width="38.81640625" style="218" customWidth="1"/>
    <col min="15866" max="15875" width="12.1796875" style="218" customWidth="1"/>
    <col min="15876" max="16120" width="7.6328125" style="218"/>
    <col min="16121" max="16121" width="38.81640625" style="218" customWidth="1"/>
    <col min="16122" max="16131" width="12.1796875" style="218" customWidth="1"/>
    <col min="16132" max="16384" width="7.6328125" style="218"/>
  </cols>
  <sheetData>
    <row r="2" spans="1:12" ht="16" thickBot="1" x14ac:dyDescent="0.4"/>
    <row r="3" spans="1:12" ht="33" customHeight="1" thickTop="1" x14ac:dyDescent="0.35">
      <c r="A3" s="2235" t="s">
        <v>316</v>
      </c>
      <c r="B3" s="2249"/>
      <c r="C3" s="2249"/>
      <c r="D3" s="2249"/>
      <c r="E3" s="2249"/>
      <c r="F3" s="2249"/>
      <c r="G3" s="2249"/>
      <c r="H3" s="2249"/>
      <c r="I3" s="2249"/>
      <c r="J3" s="2249"/>
      <c r="K3" s="2249"/>
      <c r="L3" s="2250"/>
    </row>
    <row r="4" spans="1:12" x14ac:dyDescent="0.35">
      <c r="A4" s="219"/>
      <c r="B4" s="220"/>
      <c r="C4" s="220"/>
      <c r="D4" s="220"/>
      <c r="E4" s="220"/>
      <c r="F4" s="220"/>
      <c r="G4" s="220"/>
      <c r="H4" s="220"/>
      <c r="I4" s="220"/>
      <c r="J4" s="220"/>
      <c r="K4" s="220"/>
      <c r="L4" s="221"/>
    </row>
    <row r="5" spans="1:12" x14ac:dyDescent="0.35">
      <c r="A5" s="222" t="s">
        <v>166</v>
      </c>
      <c r="B5" s="10" t="s">
        <v>20</v>
      </c>
      <c r="C5" s="10" t="s">
        <v>21</v>
      </c>
      <c r="D5" s="10" t="s">
        <v>22</v>
      </c>
      <c r="E5" s="10" t="s">
        <v>23</v>
      </c>
      <c r="F5" s="10" t="s">
        <v>24</v>
      </c>
      <c r="G5" s="10" t="s">
        <v>25</v>
      </c>
      <c r="H5" s="10" t="s">
        <v>26</v>
      </c>
      <c r="I5" s="10" t="s">
        <v>33</v>
      </c>
      <c r="J5" s="10" t="s">
        <v>34</v>
      </c>
      <c r="K5" s="10" t="s">
        <v>37</v>
      </c>
      <c r="L5" s="178" t="s">
        <v>105</v>
      </c>
    </row>
    <row r="6" spans="1:12" x14ac:dyDescent="0.35">
      <c r="A6" s="219"/>
      <c r="B6" s="2246" t="s">
        <v>251</v>
      </c>
      <c r="C6" s="2247"/>
      <c r="D6" s="2247"/>
      <c r="E6" s="2247"/>
      <c r="F6" s="2247"/>
      <c r="G6" s="2247"/>
      <c r="H6" s="2247"/>
      <c r="I6" s="2247"/>
      <c r="J6" s="2247"/>
      <c r="K6" s="2248"/>
      <c r="L6" s="2257" t="s">
        <v>167</v>
      </c>
    </row>
    <row r="7" spans="1:12" ht="23.25" customHeight="1" x14ac:dyDescent="0.35">
      <c r="A7" s="223" t="s">
        <v>166</v>
      </c>
      <c r="B7" s="2251" t="s">
        <v>154</v>
      </c>
      <c r="C7" s="2252"/>
      <c r="D7" s="2252"/>
      <c r="E7" s="2252"/>
      <c r="F7" s="2253"/>
      <c r="G7" s="2251" t="s">
        <v>235</v>
      </c>
      <c r="H7" s="2252"/>
      <c r="I7" s="2252"/>
      <c r="J7" s="2253"/>
      <c r="K7" s="2244" t="s">
        <v>236</v>
      </c>
      <c r="L7" s="2258"/>
    </row>
    <row r="8" spans="1:12" ht="107.25" customHeight="1" x14ac:dyDescent="0.35">
      <c r="A8" s="224" t="s">
        <v>166</v>
      </c>
      <c r="B8" s="182" t="s">
        <v>136</v>
      </c>
      <c r="C8" s="183" t="s">
        <v>237</v>
      </c>
      <c r="D8" s="184" t="s">
        <v>238</v>
      </c>
      <c r="E8" s="922" t="s">
        <v>583</v>
      </c>
      <c r="F8" s="184" t="s">
        <v>202</v>
      </c>
      <c r="G8" s="182" t="s">
        <v>136</v>
      </c>
      <c r="H8" s="923" t="s">
        <v>239</v>
      </c>
      <c r="I8" s="184" t="s">
        <v>240</v>
      </c>
      <c r="J8" s="185" t="s">
        <v>202</v>
      </c>
      <c r="K8" s="2245"/>
      <c r="L8" s="2260"/>
    </row>
    <row r="9" spans="1:12" x14ac:dyDescent="0.35">
      <c r="A9" s="206" t="s">
        <v>242</v>
      </c>
      <c r="B9" s="186">
        <v>7454513</v>
      </c>
      <c r="C9" s="187">
        <v>6504909</v>
      </c>
      <c r="D9" s="188">
        <v>746914</v>
      </c>
      <c r="E9" s="188">
        <v>10251</v>
      </c>
      <c r="F9" s="188">
        <v>192439</v>
      </c>
      <c r="G9" s="186">
        <v>6288291</v>
      </c>
      <c r="H9" s="226">
        <v>5743289</v>
      </c>
      <c r="I9" s="188">
        <v>133164</v>
      </c>
      <c r="J9" s="190">
        <v>411837</v>
      </c>
      <c r="K9" s="191">
        <v>1166223</v>
      </c>
      <c r="L9" s="180">
        <f>I9/TableA10b!D8</f>
        <v>0.24027021467776682</v>
      </c>
    </row>
    <row r="10" spans="1:12" x14ac:dyDescent="0.35">
      <c r="A10" s="207" t="s">
        <v>166</v>
      </c>
      <c r="B10" s="192" t="s">
        <v>166</v>
      </c>
      <c r="C10" s="189" t="s">
        <v>166</v>
      </c>
      <c r="D10" s="193"/>
      <c r="E10" s="193" t="s">
        <v>166</v>
      </c>
      <c r="F10" s="193" t="s">
        <v>166</v>
      </c>
      <c r="G10" s="192" t="s">
        <v>166</v>
      </c>
      <c r="H10" s="193" t="s">
        <v>166</v>
      </c>
      <c r="I10" s="193" t="s">
        <v>166</v>
      </c>
      <c r="J10" s="194" t="s">
        <v>166</v>
      </c>
      <c r="K10" s="195" t="s">
        <v>166</v>
      </c>
      <c r="L10" s="180"/>
    </row>
    <row r="11" spans="1:12" x14ac:dyDescent="0.35">
      <c r="A11" s="207" t="s">
        <v>243</v>
      </c>
      <c r="B11" s="186">
        <v>726159</v>
      </c>
      <c r="C11" s="187">
        <v>677696</v>
      </c>
      <c r="D11" s="188">
        <v>49262</v>
      </c>
      <c r="E11" s="188">
        <v>-12788</v>
      </c>
      <c r="F11" s="188">
        <v>11990</v>
      </c>
      <c r="G11" s="186">
        <v>655124</v>
      </c>
      <c r="H11" s="188">
        <v>616384</v>
      </c>
      <c r="I11" s="188">
        <v>9178</v>
      </c>
      <c r="J11" s="190">
        <v>29562</v>
      </c>
      <c r="K11" s="191">
        <v>71035</v>
      </c>
      <c r="L11" s="180">
        <f>I11/TableA10b!D10</f>
        <v>0.19777614963582296</v>
      </c>
    </row>
    <row r="12" spans="1:12" x14ac:dyDescent="0.35">
      <c r="A12" s="207" t="s">
        <v>166</v>
      </c>
      <c r="B12" s="192" t="s">
        <v>166</v>
      </c>
      <c r="C12" s="189" t="s">
        <v>166</v>
      </c>
      <c r="D12" s="193"/>
      <c r="E12" s="193" t="s">
        <v>166</v>
      </c>
      <c r="F12" s="193" t="s">
        <v>166</v>
      </c>
      <c r="G12" s="192" t="s">
        <v>166</v>
      </c>
      <c r="H12" s="193" t="s">
        <v>166</v>
      </c>
      <c r="I12" s="193" t="s">
        <v>166</v>
      </c>
      <c r="J12" s="194" t="s">
        <v>166</v>
      </c>
      <c r="K12" s="195" t="s">
        <v>166</v>
      </c>
      <c r="L12" s="180"/>
    </row>
    <row r="13" spans="1:12" x14ac:dyDescent="0.35">
      <c r="A13" s="207" t="s">
        <v>244</v>
      </c>
      <c r="B13" s="186">
        <v>3632353</v>
      </c>
      <c r="C13" s="187">
        <v>3036358</v>
      </c>
      <c r="D13" s="188">
        <v>453184</v>
      </c>
      <c r="E13" s="188">
        <v>13287</v>
      </c>
      <c r="F13" s="188">
        <v>129523</v>
      </c>
      <c r="G13" s="186">
        <v>2982696</v>
      </c>
      <c r="H13" s="188">
        <v>2677372</v>
      </c>
      <c r="I13" s="188">
        <v>52277</v>
      </c>
      <c r="J13" s="190">
        <v>253047</v>
      </c>
      <c r="K13" s="191">
        <v>649657</v>
      </c>
      <c r="L13" s="180">
        <f>I13/TableA10b!D12</f>
        <v>0.21970480201057402</v>
      </c>
    </row>
    <row r="14" spans="1:12" x14ac:dyDescent="0.35">
      <c r="A14" s="208" t="s">
        <v>55</v>
      </c>
      <c r="B14" s="196">
        <v>27244</v>
      </c>
      <c r="C14" s="197">
        <v>22467</v>
      </c>
      <c r="D14" s="198">
        <v>3399</v>
      </c>
      <c r="E14" s="198">
        <v>8</v>
      </c>
      <c r="F14" s="198">
        <v>1369</v>
      </c>
      <c r="G14" s="196">
        <v>23046</v>
      </c>
      <c r="H14" s="198">
        <v>21580</v>
      </c>
      <c r="I14" s="198" t="s">
        <v>201</v>
      </c>
      <c r="J14" s="199" t="s">
        <v>201</v>
      </c>
      <c r="K14" s="200">
        <v>4198</v>
      </c>
      <c r="L14" s="180"/>
    </row>
    <row r="15" spans="1:12" x14ac:dyDescent="0.35">
      <c r="A15" s="208" t="s">
        <v>2</v>
      </c>
      <c r="B15" s="196">
        <v>151437</v>
      </c>
      <c r="C15" s="197">
        <v>141254</v>
      </c>
      <c r="D15" s="198"/>
      <c r="E15" s="198">
        <v>251</v>
      </c>
      <c r="F15" s="198">
        <v>2334</v>
      </c>
      <c r="G15" s="196">
        <v>138404</v>
      </c>
      <c r="H15" s="198">
        <v>130637</v>
      </c>
      <c r="I15" s="198">
        <v>1590</v>
      </c>
      <c r="J15" s="199">
        <v>6177</v>
      </c>
      <c r="K15" s="200">
        <v>13032</v>
      </c>
      <c r="L15" s="180">
        <f>I15/TableA10b!D14</f>
        <v>0.23472099202834368</v>
      </c>
    </row>
    <row r="16" spans="1:12" x14ac:dyDescent="0.35">
      <c r="A16" s="208" t="s">
        <v>58</v>
      </c>
      <c r="B16" s="196">
        <v>19397</v>
      </c>
      <c r="C16" s="197">
        <v>19003</v>
      </c>
      <c r="D16" s="198">
        <v>92</v>
      </c>
      <c r="E16" s="198">
        <v>56</v>
      </c>
      <c r="F16" s="198">
        <v>246</v>
      </c>
      <c r="G16" s="196">
        <v>18089</v>
      </c>
      <c r="H16" s="198">
        <v>16683</v>
      </c>
      <c r="I16" s="198">
        <v>264</v>
      </c>
      <c r="J16" s="199">
        <v>1142</v>
      </c>
      <c r="K16" s="200">
        <v>1308</v>
      </c>
      <c r="L16" s="180">
        <f>I16/TableA10b!D15</f>
        <v>0.1853932584269663</v>
      </c>
    </row>
    <row r="17" spans="1:12" x14ac:dyDescent="0.35">
      <c r="A17" s="208" t="s">
        <v>59</v>
      </c>
      <c r="B17" s="196">
        <v>26206</v>
      </c>
      <c r="C17" s="197">
        <v>23123</v>
      </c>
      <c r="D17" s="198">
        <v>1475</v>
      </c>
      <c r="E17" s="198">
        <v>1204</v>
      </c>
      <c r="F17" s="198">
        <v>405</v>
      </c>
      <c r="G17" s="196">
        <v>23430</v>
      </c>
      <c r="H17" s="198">
        <v>19661</v>
      </c>
      <c r="I17" s="198">
        <v>2219</v>
      </c>
      <c r="J17" s="199">
        <v>1550</v>
      </c>
      <c r="K17" s="200">
        <v>2777</v>
      </c>
      <c r="L17" s="180">
        <f>I17/TableA10b!D16</f>
        <v>0.95770392749244715</v>
      </c>
    </row>
    <row r="18" spans="1:12" x14ac:dyDescent="0.35">
      <c r="A18" s="208" t="s">
        <v>61</v>
      </c>
      <c r="B18" s="196">
        <v>11432</v>
      </c>
      <c r="C18" s="197">
        <v>11140</v>
      </c>
      <c r="D18" s="198"/>
      <c r="E18" s="198">
        <v>-16</v>
      </c>
      <c r="F18" s="198">
        <v>98</v>
      </c>
      <c r="G18" s="196">
        <v>11556</v>
      </c>
      <c r="H18" s="198">
        <v>10631</v>
      </c>
      <c r="I18" s="198">
        <v>105</v>
      </c>
      <c r="J18" s="199">
        <v>820</v>
      </c>
      <c r="K18" s="200">
        <v>-124</v>
      </c>
      <c r="L18" s="180">
        <f>I18/TableA10b!D17</f>
        <v>-0.49295774647887325</v>
      </c>
    </row>
    <row r="19" spans="1:12" x14ac:dyDescent="0.35">
      <c r="A19" s="208" t="s">
        <v>48</v>
      </c>
      <c r="B19" s="196">
        <v>228594</v>
      </c>
      <c r="C19" s="197">
        <v>218946</v>
      </c>
      <c r="D19" s="198">
        <v>5273</v>
      </c>
      <c r="E19" s="198">
        <v>-948</v>
      </c>
      <c r="F19" s="198">
        <v>5322</v>
      </c>
      <c r="G19" s="196">
        <v>220706</v>
      </c>
      <c r="H19" s="198">
        <v>205604</v>
      </c>
      <c r="I19" s="198">
        <v>3877</v>
      </c>
      <c r="J19" s="199">
        <v>11226</v>
      </c>
      <c r="K19" s="200">
        <v>7888</v>
      </c>
      <c r="L19" s="180">
        <f>I19/TableA10b!D18</f>
        <v>0.52082213863514237</v>
      </c>
    </row>
    <row r="20" spans="1:12" x14ac:dyDescent="0.35">
      <c r="A20" s="207" t="s">
        <v>166</v>
      </c>
      <c r="B20" s="192" t="s">
        <v>166</v>
      </c>
      <c r="C20" s="189" t="s">
        <v>166</v>
      </c>
      <c r="D20" s="193"/>
      <c r="E20" s="193" t="s">
        <v>166</v>
      </c>
      <c r="F20" s="193" t="s">
        <v>166</v>
      </c>
      <c r="G20" s="192" t="s">
        <v>166</v>
      </c>
      <c r="H20" s="193" t="s">
        <v>166</v>
      </c>
      <c r="I20" s="193" t="s">
        <v>166</v>
      </c>
      <c r="J20" s="194" t="s">
        <v>166</v>
      </c>
      <c r="K20" s="195" t="s">
        <v>166</v>
      </c>
      <c r="L20" s="180"/>
    </row>
    <row r="21" spans="1:12" x14ac:dyDescent="0.35">
      <c r="A21" s="208" t="s">
        <v>62</v>
      </c>
      <c r="B21" s="196">
        <v>391864</v>
      </c>
      <c r="C21" s="197">
        <v>363546</v>
      </c>
      <c r="D21" s="198">
        <v>14781</v>
      </c>
      <c r="E21" s="198">
        <v>-242</v>
      </c>
      <c r="F21" s="198">
        <v>13779</v>
      </c>
      <c r="G21" s="196">
        <v>368888</v>
      </c>
      <c r="H21" s="198">
        <v>336179</v>
      </c>
      <c r="I21" s="198" t="s">
        <v>201</v>
      </c>
      <c r="J21" s="199" t="s">
        <v>201</v>
      </c>
      <c r="K21" s="200">
        <v>22976</v>
      </c>
      <c r="L21" s="180"/>
    </row>
    <row r="22" spans="1:12" x14ac:dyDescent="0.35">
      <c r="A22" s="208" t="s">
        <v>63</v>
      </c>
      <c r="B22" s="196">
        <v>6667</v>
      </c>
      <c r="C22" s="197">
        <v>6445</v>
      </c>
      <c r="D22" s="198"/>
      <c r="E22" s="193" t="s">
        <v>201</v>
      </c>
      <c r="F22" s="193">
        <v>104</v>
      </c>
      <c r="G22" s="196">
        <v>6492</v>
      </c>
      <c r="H22" s="198">
        <v>6212</v>
      </c>
      <c r="I22" s="198">
        <v>92</v>
      </c>
      <c r="J22" s="199">
        <v>187</v>
      </c>
      <c r="K22" s="200">
        <v>175</v>
      </c>
      <c r="L22" s="180">
        <f>I22/TableA10b!D21</f>
        <v>0.6174496644295302</v>
      </c>
    </row>
    <row r="23" spans="1:12" x14ac:dyDescent="0.35">
      <c r="A23" s="208" t="s">
        <v>64</v>
      </c>
      <c r="B23" s="196">
        <v>24122</v>
      </c>
      <c r="C23" s="197">
        <v>22872</v>
      </c>
      <c r="D23" s="193"/>
      <c r="E23" s="198">
        <v>88</v>
      </c>
      <c r="F23" s="198">
        <v>759</v>
      </c>
      <c r="G23" s="192">
        <v>23434</v>
      </c>
      <c r="H23" s="198">
        <v>19620</v>
      </c>
      <c r="I23" s="198">
        <v>433</v>
      </c>
      <c r="J23" s="199">
        <v>3380</v>
      </c>
      <c r="K23" s="195">
        <v>689</v>
      </c>
      <c r="L23" s="180"/>
    </row>
    <row r="24" spans="1:12" x14ac:dyDescent="0.35">
      <c r="A24" s="208" t="s">
        <v>19</v>
      </c>
      <c r="B24" s="196">
        <v>428444</v>
      </c>
      <c r="C24" s="197">
        <v>358012</v>
      </c>
      <c r="D24" s="198">
        <v>54257</v>
      </c>
      <c r="E24" s="198">
        <v>3298</v>
      </c>
      <c r="F24" s="198">
        <v>12877</v>
      </c>
      <c r="G24" s="196">
        <v>313162</v>
      </c>
      <c r="H24" s="198">
        <v>279344</v>
      </c>
      <c r="I24" s="198">
        <v>3840</v>
      </c>
      <c r="J24" s="199">
        <v>29979</v>
      </c>
      <c r="K24" s="200">
        <v>115282</v>
      </c>
      <c r="L24" s="180">
        <f>I24/TableA10b!D23</f>
        <v>6.2366010524264277E-2</v>
      </c>
    </row>
    <row r="25" spans="1:12" x14ac:dyDescent="0.35">
      <c r="A25" s="208" t="s">
        <v>66</v>
      </c>
      <c r="B25" s="196">
        <v>121658</v>
      </c>
      <c r="C25" s="197">
        <v>119115</v>
      </c>
      <c r="D25" s="198">
        <v>1277</v>
      </c>
      <c r="E25" s="198">
        <v>-312</v>
      </c>
      <c r="F25" s="198">
        <v>1578</v>
      </c>
      <c r="G25" s="196">
        <v>119423</v>
      </c>
      <c r="H25" s="198">
        <v>111017</v>
      </c>
      <c r="I25" s="198">
        <v>2220</v>
      </c>
      <c r="J25" s="199">
        <v>6187</v>
      </c>
      <c r="K25" s="200">
        <v>2236</v>
      </c>
      <c r="L25" s="180">
        <f>I25/TableA10b!D24</f>
        <v>0.6353749284487693</v>
      </c>
    </row>
    <row r="26" spans="1:12" x14ac:dyDescent="0.35">
      <c r="A26" s="208" t="s">
        <v>70</v>
      </c>
      <c r="B26" s="196">
        <v>200150</v>
      </c>
      <c r="C26" s="197">
        <v>65027</v>
      </c>
      <c r="D26" s="198">
        <v>117965</v>
      </c>
      <c r="E26" s="198">
        <v>145</v>
      </c>
      <c r="F26" s="198">
        <v>17013</v>
      </c>
      <c r="G26" s="196">
        <v>75718</v>
      </c>
      <c r="H26" s="198">
        <v>46128</v>
      </c>
      <c r="I26" s="198">
        <v>795</v>
      </c>
      <c r="J26" s="199">
        <v>28794</v>
      </c>
      <c r="K26" s="200">
        <v>124432</v>
      </c>
      <c r="L26" s="180">
        <f>I26/TableA10b!D25</f>
        <v>0.11168867659454904</v>
      </c>
    </row>
    <row r="27" spans="1:12" x14ac:dyDescent="0.35">
      <c r="A27" s="208" t="s">
        <v>72</v>
      </c>
      <c r="B27" s="196">
        <v>443839</v>
      </c>
      <c r="C27" s="197">
        <v>271919</v>
      </c>
      <c r="D27" s="198">
        <v>130704</v>
      </c>
      <c r="E27" s="198">
        <v>11239</v>
      </c>
      <c r="F27" s="198">
        <v>29978</v>
      </c>
      <c r="G27" s="196">
        <v>291220</v>
      </c>
      <c r="H27" s="198">
        <v>240961</v>
      </c>
      <c r="I27" s="198">
        <v>4344</v>
      </c>
      <c r="J27" s="199">
        <v>45916</v>
      </c>
      <c r="K27" s="200">
        <v>152619</v>
      </c>
      <c r="L27" s="180">
        <f>I27/TableA10b!D26</f>
        <v>0.28900272769609475</v>
      </c>
    </row>
    <row r="28" spans="1:12" x14ac:dyDescent="0.35">
      <c r="A28" s="207" t="s">
        <v>166</v>
      </c>
      <c r="B28" s="192" t="s">
        <v>166</v>
      </c>
      <c r="C28" s="189" t="s">
        <v>166</v>
      </c>
      <c r="D28" s="193"/>
      <c r="E28" s="193" t="s">
        <v>166</v>
      </c>
      <c r="F28" s="193" t="s">
        <v>166</v>
      </c>
      <c r="G28" s="192" t="s">
        <v>166</v>
      </c>
      <c r="H28" s="193" t="s">
        <v>166</v>
      </c>
      <c r="I28" s="193" t="s">
        <v>166</v>
      </c>
      <c r="J28" s="194" t="s">
        <v>166</v>
      </c>
      <c r="K28" s="195" t="s">
        <v>166</v>
      </c>
      <c r="L28" s="180"/>
    </row>
    <row r="29" spans="1:12" x14ac:dyDescent="0.35">
      <c r="A29" s="208" t="s">
        <v>74</v>
      </c>
      <c r="B29" s="196">
        <v>60966</v>
      </c>
      <c r="C29" s="197">
        <v>55694</v>
      </c>
      <c r="D29" s="198"/>
      <c r="E29" s="198">
        <v>-2433</v>
      </c>
      <c r="F29" s="198">
        <v>1438</v>
      </c>
      <c r="G29" s="196">
        <v>50169</v>
      </c>
      <c r="H29" s="198">
        <v>41242</v>
      </c>
      <c r="I29" s="198" t="s">
        <v>201</v>
      </c>
      <c r="J29" s="199" t="s">
        <v>201</v>
      </c>
      <c r="K29" s="200">
        <v>10797</v>
      </c>
      <c r="L29" s="180"/>
    </row>
    <row r="30" spans="1:12" x14ac:dyDescent="0.35">
      <c r="A30" s="208" t="s">
        <v>75</v>
      </c>
      <c r="B30" s="196">
        <v>43210</v>
      </c>
      <c r="C30" s="197">
        <v>41579</v>
      </c>
      <c r="D30" s="198">
        <v>657</v>
      </c>
      <c r="E30" s="198">
        <v>242</v>
      </c>
      <c r="F30" s="198">
        <v>732</v>
      </c>
      <c r="G30" s="196">
        <v>40407</v>
      </c>
      <c r="H30" s="198">
        <v>37144</v>
      </c>
      <c r="I30" s="198">
        <v>373</v>
      </c>
      <c r="J30" s="199">
        <v>2891</v>
      </c>
      <c r="K30" s="200">
        <v>2803</v>
      </c>
      <c r="L30" s="180">
        <f>I30/TableA10b!D29</f>
        <v>0.16352476983779043</v>
      </c>
    </row>
    <row r="31" spans="1:12" x14ac:dyDescent="0.35">
      <c r="A31" s="208" t="s">
        <v>76</v>
      </c>
      <c r="B31" s="196">
        <v>10332</v>
      </c>
      <c r="C31" s="197">
        <v>9946</v>
      </c>
      <c r="D31" s="198"/>
      <c r="E31" s="193" t="s">
        <v>201</v>
      </c>
      <c r="F31" s="193" t="s">
        <v>201</v>
      </c>
      <c r="G31" s="196">
        <v>9612</v>
      </c>
      <c r="H31" s="198">
        <v>9116</v>
      </c>
      <c r="I31" s="198">
        <v>153</v>
      </c>
      <c r="J31" s="199">
        <v>344</v>
      </c>
      <c r="K31" s="200">
        <v>720</v>
      </c>
      <c r="L31" s="180">
        <f>I31/TableA10b!D30</f>
        <v>0.26333907056798622</v>
      </c>
    </row>
    <row r="32" spans="1:12" x14ac:dyDescent="0.35">
      <c r="A32" s="208" t="s">
        <v>103</v>
      </c>
      <c r="B32" s="196">
        <v>57203</v>
      </c>
      <c r="C32" s="197">
        <v>56447</v>
      </c>
      <c r="D32" s="198"/>
      <c r="E32" s="198">
        <v>265</v>
      </c>
      <c r="F32" s="198">
        <v>802</v>
      </c>
      <c r="G32" s="196">
        <v>55147</v>
      </c>
      <c r="H32" s="198">
        <v>51820</v>
      </c>
      <c r="I32" s="198" t="s">
        <v>201</v>
      </c>
      <c r="J32" s="199" t="s">
        <v>201</v>
      </c>
      <c r="K32" s="200">
        <v>2056</v>
      </c>
      <c r="L32" s="180"/>
    </row>
    <row r="33" spans="1:12" x14ac:dyDescent="0.35">
      <c r="A33" s="208" t="s">
        <v>79</v>
      </c>
      <c r="B33" s="196">
        <v>92384</v>
      </c>
      <c r="C33" s="197">
        <v>85384</v>
      </c>
      <c r="D33" s="198">
        <v>2470</v>
      </c>
      <c r="E33" s="198">
        <v>566</v>
      </c>
      <c r="F33" s="198">
        <v>3965</v>
      </c>
      <c r="G33" s="196">
        <v>87646</v>
      </c>
      <c r="H33" s="198">
        <v>79852</v>
      </c>
      <c r="I33" s="198">
        <v>918</v>
      </c>
      <c r="J33" s="199">
        <v>6875</v>
      </c>
      <c r="K33" s="200">
        <v>4738</v>
      </c>
      <c r="L33" s="180">
        <f>I33/TableA10b!D32</f>
        <v>0.35011441647597252</v>
      </c>
    </row>
    <row r="34" spans="1:12" x14ac:dyDescent="0.35">
      <c r="A34" s="208" t="s">
        <v>80</v>
      </c>
      <c r="B34" s="196">
        <v>39847</v>
      </c>
      <c r="C34" s="197">
        <v>37735</v>
      </c>
      <c r="D34" s="198"/>
      <c r="E34" s="198">
        <v>-353</v>
      </c>
      <c r="F34" s="198">
        <v>2166</v>
      </c>
      <c r="G34" s="196">
        <v>37181</v>
      </c>
      <c r="H34" s="198">
        <v>33192</v>
      </c>
      <c r="I34" s="198">
        <v>475</v>
      </c>
      <c r="J34" s="199">
        <v>3514</v>
      </c>
      <c r="K34" s="200">
        <v>2666</v>
      </c>
      <c r="L34" s="180">
        <f>I34/TableA10b!D33</f>
        <v>0.14866979655712051</v>
      </c>
    </row>
    <row r="35" spans="1:12" ht="16" customHeight="1" x14ac:dyDescent="0.35">
      <c r="A35" s="208" t="s">
        <v>1</v>
      </c>
      <c r="B35" s="196">
        <v>381821</v>
      </c>
      <c r="C35" s="197">
        <v>337624</v>
      </c>
      <c r="D35" s="198">
        <v>35033</v>
      </c>
      <c r="E35" s="198">
        <v>68</v>
      </c>
      <c r="F35" s="198">
        <v>9097</v>
      </c>
      <c r="G35" s="196">
        <v>311217</v>
      </c>
      <c r="H35" s="198">
        <v>285695</v>
      </c>
      <c r="I35" s="198">
        <v>2677</v>
      </c>
      <c r="J35" s="199">
        <v>22845</v>
      </c>
      <c r="K35" s="200">
        <v>70604</v>
      </c>
      <c r="L35" s="180">
        <f>I35/TableA10b!D34</f>
        <v>7.0106062590022264E-2</v>
      </c>
    </row>
    <row r="36" spans="1:12" x14ac:dyDescent="0.35">
      <c r="A36" s="208" t="s">
        <v>81</v>
      </c>
      <c r="B36" s="196">
        <v>27017</v>
      </c>
      <c r="C36" s="197">
        <v>26706</v>
      </c>
      <c r="D36" s="198"/>
      <c r="E36" s="193">
        <v>9</v>
      </c>
      <c r="F36" s="193">
        <v>328</v>
      </c>
      <c r="G36" s="192">
        <v>26340</v>
      </c>
      <c r="H36" s="193">
        <v>24931</v>
      </c>
      <c r="I36" s="198">
        <v>333</v>
      </c>
      <c r="J36" s="199">
        <v>1076</v>
      </c>
      <c r="K36" s="200">
        <v>677</v>
      </c>
      <c r="L36" s="180">
        <f>I36/TableA10b!D35</f>
        <v>0.32424537487828625</v>
      </c>
    </row>
    <row r="37" spans="1:12" x14ac:dyDescent="0.35">
      <c r="A37" s="208" t="s">
        <v>82</v>
      </c>
      <c r="B37" s="196">
        <v>756426</v>
      </c>
      <c r="C37" s="197">
        <v>676048</v>
      </c>
      <c r="D37" s="198">
        <v>54183.585446845376</v>
      </c>
      <c r="E37" s="198">
        <v>585</v>
      </c>
      <c r="F37" s="198" t="s">
        <v>201</v>
      </c>
      <c r="G37" s="196">
        <v>675002</v>
      </c>
      <c r="H37" s="198">
        <v>622369</v>
      </c>
      <c r="I37" s="198">
        <v>8513</v>
      </c>
      <c r="J37" s="199">
        <v>44119</v>
      </c>
      <c r="K37" s="200">
        <v>81424</v>
      </c>
      <c r="L37" s="180">
        <f>I37/TableA10b!D36</f>
        <v>0.23949248860631295</v>
      </c>
    </row>
    <row r="38" spans="1:12" x14ac:dyDescent="0.35">
      <c r="A38" s="208" t="s">
        <v>202</v>
      </c>
      <c r="B38" s="196">
        <v>82092</v>
      </c>
      <c r="C38" s="197">
        <v>66327</v>
      </c>
      <c r="D38" s="193"/>
      <c r="E38" s="193">
        <v>-476</v>
      </c>
      <c r="F38" s="198" t="s">
        <v>201</v>
      </c>
      <c r="G38" s="196">
        <v>56407</v>
      </c>
      <c r="H38" s="198">
        <v>47754</v>
      </c>
      <c r="I38" s="198">
        <v>5415</v>
      </c>
      <c r="J38" s="199">
        <v>3238</v>
      </c>
      <c r="K38" s="200">
        <v>25685</v>
      </c>
      <c r="L38" s="180">
        <f>I38/TableA10b!D37</f>
        <v>0.33062645011600927</v>
      </c>
    </row>
    <row r="39" spans="1:12" x14ac:dyDescent="0.35">
      <c r="A39" s="207" t="s">
        <v>166</v>
      </c>
      <c r="B39" s="192" t="s">
        <v>166</v>
      </c>
      <c r="C39" s="189" t="s">
        <v>166</v>
      </c>
      <c r="D39" s="193"/>
      <c r="E39" s="193" t="s">
        <v>166</v>
      </c>
      <c r="F39" s="193" t="s">
        <v>166</v>
      </c>
      <c r="G39" s="192" t="s">
        <v>166</v>
      </c>
      <c r="H39" s="193" t="s">
        <v>166</v>
      </c>
      <c r="I39" s="193" t="s">
        <v>166</v>
      </c>
      <c r="J39" s="194" t="s">
        <v>166</v>
      </c>
      <c r="K39" s="195" t="s">
        <v>166</v>
      </c>
      <c r="L39" s="180"/>
    </row>
    <row r="40" spans="1:12" x14ac:dyDescent="0.35">
      <c r="A40" s="207" t="s">
        <v>252</v>
      </c>
      <c r="B40" s="186">
        <v>1024797</v>
      </c>
      <c r="C40" s="187">
        <v>840014</v>
      </c>
      <c r="D40" s="188">
        <v>157427</v>
      </c>
      <c r="E40" s="188">
        <v>4696</v>
      </c>
      <c r="F40" s="188">
        <v>22660</v>
      </c>
      <c r="G40" s="186">
        <v>802195</v>
      </c>
      <c r="H40" s="188">
        <v>731980</v>
      </c>
      <c r="I40" s="188">
        <v>16505</v>
      </c>
      <c r="J40" s="190">
        <v>53710</v>
      </c>
      <c r="K40" s="191">
        <v>222602</v>
      </c>
      <c r="L40" s="180">
        <f>I40/TableA10b!D39</f>
        <v>0.21022264112492359</v>
      </c>
    </row>
    <row r="41" spans="1:12" x14ac:dyDescent="0.35">
      <c r="A41" s="207" t="s">
        <v>166</v>
      </c>
      <c r="B41" s="192" t="s">
        <v>166</v>
      </c>
      <c r="C41" s="189" t="s">
        <v>166</v>
      </c>
      <c r="D41" s="193"/>
      <c r="E41" s="193" t="s">
        <v>166</v>
      </c>
      <c r="F41" s="193" t="s">
        <v>166</v>
      </c>
      <c r="G41" s="192" t="s">
        <v>166</v>
      </c>
      <c r="H41" s="193" t="s">
        <v>166</v>
      </c>
      <c r="I41" s="193" t="s">
        <v>166</v>
      </c>
      <c r="J41" s="194" t="s">
        <v>166</v>
      </c>
      <c r="K41" s="195" t="s">
        <v>166</v>
      </c>
      <c r="L41" s="180"/>
    </row>
    <row r="42" spans="1:12" x14ac:dyDescent="0.35">
      <c r="A42" s="208" t="s">
        <v>203</v>
      </c>
      <c r="B42" s="196">
        <v>391530</v>
      </c>
      <c r="C42" s="197">
        <v>381783</v>
      </c>
      <c r="D42" s="198"/>
      <c r="E42" s="198">
        <v>-3094</v>
      </c>
      <c r="F42" s="198">
        <v>5870</v>
      </c>
      <c r="G42" s="196">
        <v>374514</v>
      </c>
      <c r="H42" s="198">
        <v>347174</v>
      </c>
      <c r="I42" s="198">
        <v>8109</v>
      </c>
      <c r="J42" s="199">
        <v>19231</v>
      </c>
      <c r="K42" s="200">
        <v>17016</v>
      </c>
      <c r="L42" s="180">
        <f>I42/TableA10b!D41</f>
        <v>0.36410578779578823</v>
      </c>
    </row>
    <row r="43" spans="1:12" x14ac:dyDescent="0.35">
      <c r="A43" s="209" t="s">
        <v>204</v>
      </c>
      <c r="B43" s="196">
        <v>50196</v>
      </c>
      <c r="C43" s="197">
        <v>47582</v>
      </c>
      <c r="D43" s="198"/>
      <c r="E43" s="198">
        <v>-165</v>
      </c>
      <c r="F43" s="198">
        <v>772</v>
      </c>
      <c r="G43" s="196">
        <v>45857</v>
      </c>
      <c r="H43" s="198">
        <v>40769</v>
      </c>
      <c r="I43" s="198" t="s">
        <v>201</v>
      </c>
      <c r="J43" s="199" t="s">
        <v>201</v>
      </c>
      <c r="K43" s="200">
        <v>4339</v>
      </c>
      <c r="L43" s="180"/>
    </row>
    <row r="44" spans="1:12" x14ac:dyDescent="0.35">
      <c r="A44" s="209" t="s">
        <v>92</v>
      </c>
      <c r="B44" s="196">
        <v>221931</v>
      </c>
      <c r="C44" s="197">
        <v>216629</v>
      </c>
      <c r="D44" s="198">
        <v>2673</v>
      </c>
      <c r="E44" s="198">
        <v>-1238</v>
      </c>
      <c r="F44" s="198">
        <v>3867</v>
      </c>
      <c r="G44" s="196">
        <v>214780</v>
      </c>
      <c r="H44" s="198">
        <v>202826</v>
      </c>
      <c r="I44" s="198">
        <v>1537</v>
      </c>
      <c r="J44" s="199">
        <v>10416</v>
      </c>
      <c r="K44" s="200">
        <v>7151</v>
      </c>
      <c r="L44" s="180">
        <f>I44/TableA10b!D43</f>
        <v>0.20493333333333333</v>
      </c>
    </row>
    <row r="45" spans="1:12" x14ac:dyDescent="0.35">
      <c r="A45" s="209" t="s">
        <v>57</v>
      </c>
      <c r="B45" s="196">
        <v>40241</v>
      </c>
      <c r="C45" s="197">
        <v>39412</v>
      </c>
      <c r="D45" s="198">
        <v>788</v>
      </c>
      <c r="E45" s="198">
        <v>-456</v>
      </c>
      <c r="F45" s="198">
        <v>497</v>
      </c>
      <c r="G45" s="196">
        <v>36872</v>
      </c>
      <c r="H45" s="198">
        <v>32286</v>
      </c>
      <c r="I45" s="198" t="s">
        <v>201</v>
      </c>
      <c r="J45" s="199" t="s">
        <v>201</v>
      </c>
      <c r="K45" s="200">
        <v>3370</v>
      </c>
      <c r="L45" s="180"/>
    </row>
    <row r="46" spans="1:12" x14ac:dyDescent="0.35">
      <c r="A46" s="209" t="s">
        <v>93</v>
      </c>
      <c r="B46" s="196">
        <v>25735</v>
      </c>
      <c r="C46" s="197">
        <v>25681</v>
      </c>
      <c r="D46" s="198">
        <v>-325</v>
      </c>
      <c r="E46" s="198">
        <v>186</v>
      </c>
      <c r="F46" s="198">
        <v>193</v>
      </c>
      <c r="G46" s="196">
        <v>25226</v>
      </c>
      <c r="H46" s="198">
        <v>23361</v>
      </c>
      <c r="I46" s="198" t="s">
        <v>201</v>
      </c>
      <c r="J46" s="199" t="s">
        <v>201</v>
      </c>
      <c r="K46" s="200">
        <v>509</v>
      </c>
      <c r="L46" s="180"/>
    </row>
    <row r="47" spans="1:12" x14ac:dyDescent="0.35">
      <c r="A47" s="209" t="s">
        <v>205</v>
      </c>
      <c r="B47" s="196">
        <v>6699</v>
      </c>
      <c r="C47" s="197">
        <v>6377</v>
      </c>
      <c r="D47" s="198"/>
      <c r="E47" s="198" t="s">
        <v>201</v>
      </c>
      <c r="F47" s="198">
        <v>15</v>
      </c>
      <c r="G47" s="196">
        <v>6173</v>
      </c>
      <c r="H47" s="198">
        <v>5982</v>
      </c>
      <c r="I47" s="198">
        <v>75</v>
      </c>
      <c r="J47" s="199">
        <v>116</v>
      </c>
      <c r="K47" s="200">
        <v>525</v>
      </c>
      <c r="L47" s="180">
        <f>I47/TableA10b!D46</f>
        <v>0.25510204081632654</v>
      </c>
    </row>
    <row r="48" spans="1:12" x14ac:dyDescent="0.35">
      <c r="A48" s="209" t="s">
        <v>206</v>
      </c>
      <c r="B48" s="196">
        <v>18646</v>
      </c>
      <c r="C48" s="197">
        <v>18032</v>
      </c>
      <c r="D48" s="198">
        <v>454</v>
      </c>
      <c r="E48" s="198" t="s">
        <v>201</v>
      </c>
      <c r="F48" s="198" t="s">
        <v>201</v>
      </c>
      <c r="G48" s="196">
        <v>16901</v>
      </c>
      <c r="H48" s="198">
        <v>15308</v>
      </c>
      <c r="I48" s="198">
        <v>885</v>
      </c>
      <c r="J48" s="199">
        <v>708</v>
      </c>
      <c r="K48" s="200">
        <v>1746</v>
      </c>
      <c r="L48" s="180">
        <f>I48/TableA10b!D47</f>
        <v>0.37153652392947101</v>
      </c>
    </row>
    <row r="49" spans="1:12" x14ac:dyDescent="0.35">
      <c r="A49" s="209" t="s">
        <v>207</v>
      </c>
      <c r="B49" s="196">
        <v>18932</v>
      </c>
      <c r="C49" s="197">
        <v>19144</v>
      </c>
      <c r="D49" s="198"/>
      <c r="E49" s="198">
        <v>-1679</v>
      </c>
      <c r="F49" s="198">
        <v>294</v>
      </c>
      <c r="G49" s="196">
        <v>20184</v>
      </c>
      <c r="H49" s="198">
        <v>18411</v>
      </c>
      <c r="I49" s="198">
        <v>448</v>
      </c>
      <c r="J49" s="199">
        <v>1325</v>
      </c>
      <c r="K49" s="200">
        <v>-1252</v>
      </c>
      <c r="L49" s="180">
        <f>I49/TableA10b!D48</f>
        <v>-1.5238095238095237</v>
      </c>
    </row>
    <row r="50" spans="1:12" x14ac:dyDescent="0.35">
      <c r="A50" s="209" t="s">
        <v>202</v>
      </c>
      <c r="B50" s="196">
        <v>9150</v>
      </c>
      <c r="C50" s="197">
        <v>8925</v>
      </c>
      <c r="D50" s="198"/>
      <c r="E50" s="198" t="s">
        <v>201</v>
      </c>
      <c r="F50" s="198" t="s">
        <v>201</v>
      </c>
      <c r="G50" s="196">
        <v>8521</v>
      </c>
      <c r="H50" s="198">
        <v>8230</v>
      </c>
      <c r="I50" s="198">
        <v>101</v>
      </c>
      <c r="J50" s="199">
        <v>190</v>
      </c>
      <c r="K50" s="200">
        <v>629</v>
      </c>
      <c r="L50" s="180">
        <f>I50/TableA10b!D49</f>
        <v>0.15955766192733017</v>
      </c>
    </row>
    <row r="51" spans="1:12" x14ac:dyDescent="0.35">
      <c r="A51" s="207" t="s">
        <v>166</v>
      </c>
      <c r="B51" s="192" t="s">
        <v>166</v>
      </c>
      <c r="C51" s="189" t="s">
        <v>166</v>
      </c>
      <c r="D51" s="193"/>
      <c r="E51" s="193" t="s">
        <v>166</v>
      </c>
      <c r="F51" s="193" t="s">
        <v>166</v>
      </c>
      <c r="G51" s="192" t="s">
        <v>166</v>
      </c>
      <c r="H51" s="193" t="s">
        <v>166</v>
      </c>
      <c r="I51" s="193" t="s">
        <v>166</v>
      </c>
      <c r="J51" s="194" t="s">
        <v>166</v>
      </c>
      <c r="K51" s="195" t="s">
        <v>166</v>
      </c>
      <c r="L51" s="180"/>
    </row>
    <row r="52" spans="1:12" x14ac:dyDescent="0.35">
      <c r="A52" s="208" t="s">
        <v>208</v>
      </c>
      <c r="B52" s="196">
        <v>304389</v>
      </c>
      <c r="C52" s="197">
        <v>291882</v>
      </c>
      <c r="D52" s="198"/>
      <c r="E52" s="198">
        <v>459</v>
      </c>
      <c r="F52" s="198">
        <v>4229</v>
      </c>
      <c r="G52" s="196">
        <v>281770</v>
      </c>
      <c r="H52" s="198">
        <v>267283</v>
      </c>
      <c r="I52" s="198" t="s">
        <v>201</v>
      </c>
      <c r="J52" s="199" t="s">
        <v>201</v>
      </c>
      <c r="K52" s="200">
        <v>22619</v>
      </c>
      <c r="L52" s="180"/>
    </row>
    <row r="53" spans="1:12" x14ac:dyDescent="0.35">
      <c r="A53" s="209" t="s">
        <v>94</v>
      </c>
      <c r="B53" s="196">
        <v>13181</v>
      </c>
      <c r="C53" s="197">
        <v>12980</v>
      </c>
      <c r="D53" s="198"/>
      <c r="E53" s="198">
        <v>101</v>
      </c>
      <c r="F53" s="198" t="s">
        <v>201</v>
      </c>
      <c r="G53" s="196">
        <v>12462</v>
      </c>
      <c r="H53" s="198">
        <v>12113</v>
      </c>
      <c r="I53" s="198" t="s">
        <v>201</v>
      </c>
      <c r="J53" s="199" t="s">
        <v>201</v>
      </c>
      <c r="K53" s="200">
        <v>719</v>
      </c>
      <c r="L53" s="180"/>
    </row>
    <row r="54" spans="1:12" x14ac:dyDescent="0.35">
      <c r="A54" s="209" t="s">
        <v>209</v>
      </c>
      <c r="B54" s="196">
        <v>3938</v>
      </c>
      <c r="C54" s="197">
        <v>3901</v>
      </c>
      <c r="D54" s="198">
        <v>3</v>
      </c>
      <c r="E54" s="198">
        <v>27</v>
      </c>
      <c r="F54" s="198">
        <v>7</v>
      </c>
      <c r="G54" s="196">
        <v>3852</v>
      </c>
      <c r="H54" s="198">
        <v>3808</v>
      </c>
      <c r="I54" s="198">
        <v>24</v>
      </c>
      <c r="J54" s="199">
        <v>21</v>
      </c>
      <c r="K54" s="200">
        <v>85</v>
      </c>
      <c r="L54" s="180">
        <f>I54/TableA10b!D53</f>
        <v>0.30379746835443039</v>
      </c>
    </row>
    <row r="55" spans="1:12" x14ac:dyDescent="0.35">
      <c r="A55" s="209" t="s">
        <v>71</v>
      </c>
      <c r="B55" s="196">
        <v>264722</v>
      </c>
      <c r="C55" s="197">
        <v>252937</v>
      </c>
      <c r="D55" s="198"/>
      <c r="E55" s="198">
        <v>238</v>
      </c>
      <c r="F55" s="198">
        <v>4056</v>
      </c>
      <c r="G55" s="196">
        <v>243723</v>
      </c>
      <c r="H55" s="198">
        <v>230162</v>
      </c>
      <c r="I55" s="198" t="s">
        <v>201</v>
      </c>
      <c r="J55" s="199" t="s">
        <v>201</v>
      </c>
      <c r="K55" s="200">
        <v>20999</v>
      </c>
      <c r="L55" s="180"/>
    </row>
    <row r="56" spans="1:12" x14ac:dyDescent="0.35">
      <c r="A56" s="209" t="s">
        <v>210</v>
      </c>
      <c r="B56" s="196">
        <v>12494</v>
      </c>
      <c r="C56" s="197">
        <v>12233</v>
      </c>
      <c r="D56" s="198">
        <v>199</v>
      </c>
      <c r="E56" s="198">
        <v>33</v>
      </c>
      <c r="F56" s="198">
        <v>30</v>
      </c>
      <c r="G56" s="196">
        <v>12300</v>
      </c>
      <c r="H56" s="198">
        <v>12038</v>
      </c>
      <c r="I56" s="198">
        <v>74</v>
      </c>
      <c r="J56" s="199">
        <v>188</v>
      </c>
      <c r="K56" s="200">
        <v>194</v>
      </c>
      <c r="L56" s="180">
        <f>I56/TableA10b!D55</f>
        <v>2</v>
      </c>
    </row>
    <row r="57" spans="1:12" x14ac:dyDescent="0.35">
      <c r="A57" s="209" t="s">
        <v>202</v>
      </c>
      <c r="B57" s="196">
        <v>10054</v>
      </c>
      <c r="C57" s="197">
        <v>9831</v>
      </c>
      <c r="D57" s="198"/>
      <c r="E57" s="198">
        <v>61</v>
      </c>
      <c r="F57" s="198" t="s">
        <v>201</v>
      </c>
      <c r="G57" s="196">
        <v>9433</v>
      </c>
      <c r="H57" s="198">
        <v>9163</v>
      </c>
      <c r="I57" s="198" t="s">
        <v>201</v>
      </c>
      <c r="J57" s="199" t="s">
        <v>201</v>
      </c>
      <c r="K57" s="200">
        <v>621</v>
      </c>
      <c r="L57" s="180"/>
    </row>
    <row r="58" spans="1:12" x14ac:dyDescent="0.35">
      <c r="A58" s="207" t="s">
        <v>166</v>
      </c>
      <c r="B58" s="192" t="s">
        <v>166</v>
      </c>
      <c r="C58" s="189" t="s">
        <v>166</v>
      </c>
      <c r="D58" s="193"/>
      <c r="E58" s="193" t="s">
        <v>166</v>
      </c>
      <c r="F58" s="193" t="s">
        <v>166</v>
      </c>
      <c r="G58" s="192" t="s">
        <v>166</v>
      </c>
      <c r="H58" s="193" t="s">
        <v>166</v>
      </c>
      <c r="I58" s="193" t="s">
        <v>166</v>
      </c>
      <c r="J58" s="194" t="s">
        <v>166</v>
      </c>
      <c r="K58" s="195" t="s">
        <v>166</v>
      </c>
      <c r="L58" s="180"/>
    </row>
    <row r="59" spans="1:12" x14ac:dyDescent="0.35">
      <c r="A59" s="208" t="s">
        <v>211</v>
      </c>
      <c r="B59" s="196">
        <v>328878</v>
      </c>
      <c r="C59" s="197">
        <v>166349</v>
      </c>
      <c r="D59" s="198">
        <v>142635</v>
      </c>
      <c r="E59" s="198">
        <v>7332</v>
      </c>
      <c r="F59" s="198">
        <v>12562</v>
      </c>
      <c r="G59" s="196">
        <v>145911</v>
      </c>
      <c r="H59" s="198">
        <v>117523</v>
      </c>
      <c r="I59" s="286">
        <f>I60+I61+I62+I63+I64</f>
        <v>1788.6947186038897</v>
      </c>
      <c r="J59" s="199" t="s">
        <v>201</v>
      </c>
      <c r="K59" s="200">
        <v>182967</v>
      </c>
      <c r="L59" s="180">
        <f>I59/TableA10b!D58</f>
        <v>4.9227871710579046E-2</v>
      </c>
    </row>
    <row r="60" spans="1:12" x14ac:dyDescent="0.35">
      <c r="A60" s="209" t="s">
        <v>212</v>
      </c>
      <c r="B60" s="196">
        <v>13218</v>
      </c>
      <c r="C60" s="197">
        <v>11703</v>
      </c>
      <c r="D60" s="198"/>
      <c r="E60" s="198" t="s">
        <v>201</v>
      </c>
      <c r="F60" s="198" t="s">
        <v>201</v>
      </c>
      <c r="G60" s="196">
        <v>10633</v>
      </c>
      <c r="H60" s="198">
        <v>10070</v>
      </c>
      <c r="I60" s="198">
        <v>366</v>
      </c>
      <c r="J60" s="199">
        <v>196</v>
      </c>
      <c r="K60" s="200">
        <v>2585</v>
      </c>
      <c r="L60" s="180">
        <f>I60/TableA10b!D59</f>
        <v>0.20446927374301677</v>
      </c>
    </row>
    <row r="61" spans="1:12" x14ac:dyDescent="0.35">
      <c r="A61" s="209" t="s">
        <v>213</v>
      </c>
      <c r="B61" s="196">
        <v>142934</v>
      </c>
      <c r="C61" s="197">
        <v>60210</v>
      </c>
      <c r="D61" s="198">
        <v>75963</v>
      </c>
      <c r="E61" s="198">
        <v>1427</v>
      </c>
      <c r="F61" s="198">
        <v>5334</v>
      </c>
      <c r="G61" s="196">
        <v>58712</v>
      </c>
      <c r="H61" s="198">
        <v>47241</v>
      </c>
      <c r="I61" s="286">
        <f>TableA11!I61*TableA11!K61/TableA11b!K61</f>
        <v>544.20811664410724</v>
      </c>
      <c r="J61" s="199" t="s">
        <v>201</v>
      </c>
      <c r="K61" s="200">
        <v>84222</v>
      </c>
      <c r="L61" s="180"/>
    </row>
    <row r="62" spans="1:12" x14ac:dyDescent="0.35">
      <c r="A62" s="209" t="s">
        <v>214</v>
      </c>
      <c r="B62" s="196">
        <v>3907</v>
      </c>
      <c r="C62" s="197">
        <v>3825</v>
      </c>
      <c r="D62" s="198"/>
      <c r="E62" s="193">
        <v>45</v>
      </c>
      <c r="F62" s="193">
        <v>34</v>
      </c>
      <c r="G62" s="196">
        <v>3526</v>
      </c>
      <c r="H62" s="198">
        <v>3347</v>
      </c>
      <c r="I62" s="198">
        <v>83</v>
      </c>
      <c r="J62" s="199">
        <v>96</v>
      </c>
      <c r="K62" s="200">
        <v>380</v>
      </c>
      <c r="L62" s="180">
        <f>I62/TableA10b!D61</f>
        <v>0.19951923076923078</v>
      </c>
    </row>
    <row r="63" spans="1:12" x14ac:dyDescent="0.35">
      <c r="A63" s="209" t="s">
        <v>215</v>
      </c>
      <c r="B63" s="196">
        <v>130053</v>
      </c>
      <c r="C63" s="197">
        <v>64106</v>
      </c>
      <c r="D63" s="198">
        <v>57818</v>
      </c>
      <c r="E63" s="193">
        <v>4053</v>
      </c>
      <c r="F63" s="193">
        <v>4075</v>
      </c>
      <c r="G63" s="196">
        <v>55807</v>
      </c>
      <c r="H63" s="198">
        <v>42050</v>
      </c>
      <c r="I63" s="198">
        <v>697</v>
      </c>
      <c r="J63" s="199">
        <v>13060</v>
      </c>
      <c r="K63" s="200">
        <v>74246</v>
      </c>
      <c r="L63" s="180">
        <f>I63/TableA10b!D62</f>
        <v>5.3287461773700306E-2</v>
      </c>
    </row>
    <row r="64" spans="1:12" x14ac:dyDescent="0.35">
      <c r="A64" s="209" t="s">
        <v>202</v>
      </c>
      <c r="B64" s="196">
        <v>38766</v>
      </c>
      <c r="C64" s="197">
        <v>26505</v>
      </c>
      <c r="D64" s="198"/>
      <c r="E64" s="193" t="s">
        <v>201</v>
      </c>
      <c r="F64" s="193" t="s">
        <v>201</v>
      </c>
      <c r="G64" s="196">
        <v>17233</v>
      </c>
      <c r="H64" s="198">
        <v>14814</v>
      </c>
      <c r="I64" s="286">
        <f>TableA11!I64*TableA11!K64/TableA11b!K64</f>
        <v>98.486601959782661</v>
      </c>
      <c r="J64" s="199" t="s">
        <v>201</v>
      </c>
      <c r="K64" s="200">
        <v>21533</v>
      </c>
      <c r="L64" s="180"/>
    </row>
    <row r="65" spans="1:12" x14ac:dyDescent="0.35">
      <c r="A65" s="207" t="s">
        <v>166</v>
      </c>
      <c r="B65" s="192" t="s">
        <v>166</v>
      </c>
      <c r="C65" s="189" t="s">
        <v>166</v>
      </c>
      <c r="D65" s="193"/>
      <c r="E65" s="193" t="s">
        <v>166</v>
      </c>
      <c r="F65" s="193" t="s">
        <v>166</v>
      </c>
      <c r="G65" s="192" t="s">
        <v>166</v>
      </c>
      <c r="H65" s="193" t="s">
        <v>166</v>
      </c>
      <c r="I65" s="193" t="s">
        <v>166</v>
      </c>
      <c r="J65" s="194" t="s">
        <v>166</v>
      </c>
      <c r="K65" s="195" t="s">
        <v>166</v>
      </c>
      <c r="L65" s="180"/>
    </row>
    <row r="66" spans="1:12" x14ac:dyDescent="0.35">
      <c r="A66" s="207" t="s">
        <v>246</v>
      </c>
      <c r="B66" s="186">
        <v>133890</v>
      </c>
      <c r="C66" s="187">
        <v>114276</v>
      </c>
      <c r="D66" s="188">
        <v>15852</v>
      </c>
      <c r="E66" s="188">
        <v>1738</v>
      </c>
      <c r="F66" s="188">
        <v>2023</v>
      </c>
      <c r="G66" s="186">
        <v>104574</v>
      </c>
      <c r="H66" s="188">
        <v>83709</v>
      </c>
      <c r="I66" s="188" t="s">
        <v>201</v>
      </c>
      <c r="J66" s="190" t="s">
        <v>201</v>
      </c>
      <c r="K66" s="191">
        <v>29316</v>
      </c>
      <c r="L66" s="180"/>
    </row>
    <row r="67" spans="1:12" x14ac:dyDescent="0.35">
      <c r="A67" s="208" t="s">
        <v>216</v>
      </c>
      <c r="B67" s="196">
        <v>14641</v>
      </c>
      <c r="C67" s="197">
        <v>13940</v>
      </c>
      <c r="D67" s="198">
        <v>4</v>
      </c>
      <c r="E67" s="198">
        <v>20</v>
      </c>
      <c r="F67" s="198">
        <v>678</v>
      </c>
      <c r="G67" s="196">
        <v>13148</v>
      </c>
      <c r="H67" s="198">
        <v>11346</v>
      </c>
      <c r="I67" s="198" t="s">
        <v>201</v>
      </c>
      <c r="J67" s="199" t="s">
        <v>201</v>
      </c>
      <c r="K67" s="200">
        <v>1493</v>
      </c>
      <c r="L67" s="180"/>
    </row>
    <row r="68" spans="1:12" x14ac:dyDescent="0.35">
      <c r="A68" s="208" t="s">
        <v>217</v>
      </c>
      <c r="B68" s="196" t="s">
        <v>201</v>
      </c>
      <c r="C68" s="197">
        <v>25040</v>
      </c>
      <c r="D68" s="198"/>
      <c r="E68" s="198">
        <v>53</v>
      </c>
      <c r="F68" s="193" t="s">
        <v>201</v>
      </c>
      <c r="G68" s="192">
        <v>20551</v>
      </c>
      <c r="H68" s="193">
        <v>11911</v>
      </c>
      <c r="I68" s="198" t="s">
        <v>201</v>
      </c>
      <c r="J68" s="199" t="s">
        <v>201</v>
      </c>
      <c r="K68" s="200" t="s">
        <v>201</v>
      </c>
      <c r="L68" s="180"/>
    </row>
    <row r="69" spans="1:12" x14ac:dyDescent="0.35">
      <c r="A69" s="208" t="s">
        <v>97</v>
      </c>
      <c r="B69" s="196">
        <v>35719</v>
      </c>
      <c r="C69" s="197">
        <v>35236</v>
      </c>
      <c r="D69" s="198">
        <v>228</v>
      </c>
      <c r="E69" s="198">
        <v>-46</v>
      </c>
      <c r="F69" s="198">
        <v>301</v>
      </c>
      <c r="G69" s="196">
        <v>34433</v>
      </c>
      <c r="H69" s="198">
        <v>33154</v>
      </c>
      <c r="I69" s="198">
        <v>439</v>
      </c>
      <c r="J69" s="199">
        <v>840</v>
      </c>
      <c r="K69" s="200">
        <v>1286</v>
      </c>
      <c r="L69" s="180">
        <f>I69/TableA10b!D68</f>
        <v>0.28359173126614989</v>
      </c>
    </row>
    <row r="70" spans="1:12" x14ac:dyDescent="0.35">
      <c r="A70" s="208" t="s">
        <v>202</v>
      </c>
      <c r="B70" s="196" t="s">
        <v>201</v>
      </c>
      <c r="C70" s="197">
        <v>40061</v>
      </c>
      <c r="D70" s="198"/>
      <c r="E70" s="198">
        <v>1711</v>
      </c>
      <c r="F70" s="193" t="s">
        <v>201</v>
      </c>
      <c r="G70" s="192">
        <v>36443</v>
      </c>
      <c r="H70" s="193">
        <v>27298</v>
      </c>
      <c r="I70" s="198">
        <v>6190</v>
      </c>
      <c r="J70" s="199">
        <v>2955</v>
      </c>
      <c r="K70" s="200" t="s">
        <v>201</v>
      </c>
      <c r="L70" s="180"/>
    </row>
    <row r="71" spans="1:12" x14ac:dyDescent="0.35">
      <c r="A71" s="207" t="s">
        <v>166</v>
      </c>
      <c r="B71" s="192" t="s">
        <v>166</v>
      </c>
      <c r="C71" s="189" t="s">
        <v>166</v>
      </c>
      <c r="D71" s="193"/>
      <c r="E71" s="193" t="s">
        <v>166</v>
      </c>
      <c r="F71" s="193" t="s">
        <v>166</v>
      </c>
      <c r="G71" s="192" t="s">
        <v>166</v>
      </c>
      <c r="H71" s="193" t="s">
        <v>166</v>
      </c>
      <c r="I71" s="193" t="s">
        <v>166</v>
      </c>
      <c r="J71" s="194" t="s">
        <v>166</v>
      </c>
      <c r="K71" s="195" t="s">
        <v>166</v>
      </c>
      <c r="L71" s="180"/>
    </row>
    <row r="72" spans="1:12" x14ac:dyDescent="0.35">
      <c r="A72" s="207" t="s">
        <v>247</v>
      </c>
      <c r="B72" s="186">
        <v>89544</v>
      </c>
      <c r="C72" s="187">
        <v>75092</v>
      </c>
      <c r="D72" s="188">
        <v>14002</v>
      </c>
      <c r="E72" s="188">
        <v>-866</v>
      </c>
      <c r="F72" s="188">
        <v>1316</v>
      </c>
      <c r="G72" s="186">
        <v>67735</v>
      </c>
      <c r="H72" s="188">
        <v>56485</v>
      </c>
      <c r="I72" s="188" t="s">
        <v>201</v>
      </c>
      <c r="J72" s="190" t="s">
        <v>201</v>
      </c>
      <c r="K72" s="191">
        <v>21809</v>
      </c>
      <c r="L72" s="180"/>
    </row>
    <row r="73" spans="1:12" x14ac:dyDescent="0.35">
      <c r="A73" s="208" t="s">
        <v>95</v>
      </c>
      <c r="B73" s="196">
        <v>21950</v>
      </c>
      <c r="C73" s="197">
        <v>20667</v>
      </c>
      <c r="D73" s="198"/>
      <c r="E73" s="198" t="s">
        <v>201</v>
      </c>
      <c r="F73" s="198">
        <v>952</v>
      </c>
      <c r="G73" s="196">
        <v>18669</v>
      </c>
      <c r="H73" s="198">
        <v>16978</v>
      </c>
      <c r="I73" s="198" t="s">
        <v>201</v>
      </c>
      <c r="J73" s="199" t="s">
        <v>201</v>
      </c>
      <c r="K73" s="200">
        <v>3281</v>
      </c>
      <c r="L73" s="180"/>
    </row>
    <row r="74" spans="1:12" x14ac:dyDescent="0.35">
      <c r="A74" s="208" t="s">
        <v>218</v>
      </c>
      <c r="B74" s="196">
        <v>15914</v>
      </c>
      <c r="C74" s="197">
        <v>14249</v>
      </c>
      <c r="D74" s="198"/>
      <c r="E74" s="193">
        <v>-25</v>
      </c>
      <c r="F74" s="193" t="s">
        <v>201</v>
      </c>
      <c r="G74" s="196">
        <v>13556</v>
      </c>
      <c r="H74" s="198">
        <v>11518</v>
      </c>
      <c r="I74" s="198" t="s">
        <v>201</v>
      </c>
      <c r="J74" s="199" t="s">
        <v>201</v>
      </c>
      <c r="K74" s="200">
        <v>2358</v>
      </c>
      <c r="L74" s="180"/>
    </row>
    <row r="75" spans="1:12" x14ac:dyDescent="0.35">
      <c r="A75" s="208" t="s">
        <v>219</v>
      </c>
      <c r="B75" s="196">
        <v>27397</v>
      </c>
      <c r="C75" s="197">
        <v>26942</v>
      </c>
      <c r="D75" s="198"/>
      <c r="E75" s="193">
        <v>-91</v>
      </c>
      <c r="F75" s="193" t="s">
        <v>201</v>
      </c>
      <c r="G75" s="196">
        <v>23997</v>
      </c>
      <c r="H75" s="198">
        <v>19324</v>
      </c>
      <c r="I75" s="198" t="s">
        <v>201</v>
      </c>
      <c r="J75" s="199" t="s">
        <v>201</v>
      </c>
      <c r="K75" s="200">
        <v>3400</v>
      </c>
      <c r="L75" s="180"/>
    </row>
    <row r="76" spans="1:12" x14ac:dyDescent="0.35">
      <c r="A76" s="208" t="s">
        <v>202</v>
      </c>
      <c r="B76" s="196">
        <v>24283</v>
      </c>
      <c r="C76" s="197">
        <v>13234</v>
      </c>
      <c r="D76" s="198"/>
      <c r="E76" s="193" t="s">
        <v>201</v>
      </c>
      <c r="F76" s="193" t="s">
        <v>201</v>
      </c>
      <c r="G76" s="196">
        <v>11512</v>
      </c>
      <c r="H76" s="198">
        <v>8665</v>
      </c>
      <c r="I76" s="198" t="s">
        <v>201</v>
      </c>
      <c r="J76" s="199" t="s">
        <v>201</v>
      </c>
      <c r="K76" s="200">
        <v>12771</v>
      </c>
      <c r="L76" s="180"/>
    </row>
    <row r="77" spans="1:12" x14ac:dyDescent="0.35">
      <c r="A77" s="207" t="s">
        <v>166</v>
      </c>
      <c r="B77" s="192" t="s">
        <v>166</v>
      </c>
      <c r="C77" s="189" t="s">
        <v>166</v>
      </c>
      <c r="D77" s="193"/>
      <c r="E77" s="193" t="s">
        <v>166</v>
      </c>
      <c r="F77" s="193" t="s">
        <v>166</v>
      </c>
      <c r="G77" s="192" t="s">
        <v>166</v>
      </c>
      <c r="H77" s="193" t="s">
        <v>166</v>
      </c>
      <c r="I77" s="193" t="s">
        <v>166</v>
      </c>
      <c r="J77" s="194" t="s">
        <v>166</v>
      </c>
      <c r="K77" s="195" t="s">
        <v>166</v>
      </c>
      <c r="L77" s="180"/>
    </row>
    <row r="78" spans="1:12" x14ac:dyDescent="0.35">
      <c r="A78" s="207" t="s">
        <v>248</v>
      </c>
      <c r="B78" s="186">
        <v>1847770</v>
      </c>
      <c r="C78" s="187">
        <v>1761472</v>
      </c>
      <c r="D78" s="188">
        <v>57187</v>
      </c>
      <c r="E78" s="188">
        <v>4184</v>
      </c>
      <c r="F78" s="188">
        <v>24927</v>
      </c>
      <c r="G78" s="186">
        <v>1675967</v>
      </c>
      <c r="H78" s="188">
        <v>1577360</v>
      </c>
      <c r="I78" s="188">
        <v>31915</v>
      </c>
      <c r="J78" s="190">
        <v>66692</v>
      </c>
      <c r="K78" s="191">
        <v>171804</v>
      </c>
      <c r="L78" s="180">
        <f>I78/TableA10b!D77</f>
        <v>0.22067415730337078</v>
      </c>
    </row>
    <row r="79" spans="1:12" x14ac:dyDescent="0.35">
      <c r="A79" s="208" t="s">
        <v>54</v>
      </c>
      <c r="B79" s="196">
        <v>198859</v>
      </c>
      <c r="C79" s="197">
        <v>183124</v>
      </c>
      <c r="D79" s="198">
        <v>11476</v>
      </c>
      <c r="E79" s="198">
        <v>-1237</v>
      </c>
      <c r="F79" s="198">
        <v>5497</v>
      </c>
      <c r="G79" s="196">
        <v>179205</v>
      </c>
      <c r="H79" s="198">
        <v>161239</v>
      </c>
      <c r="I79" s="198">
        <v>3528</v>
      </c>
      <c r="J79" s="199">
        <v>14437</v>
      </c>
      <c r="K79" s="200">
        <v>19654</v>
      </c>
      <c r="L79" s="180">
        <f>I79/TableA10b!D78</f>
        <v>0.25124626121635096</v>
      </c>
    </row>
    <row r="80" spans="1:12" x14ac:dyDescent="0.35">
      <c r="A80" s="208" t="s">
        <v>101</v>
      </c>
      <c r="B80" s="196">
        <v>351822</v>
      </c>
      <c r="C80" s="197">
        <v>343031</v>
      </c>
      <c r="D80" s="198">
        <v>4180</v>
      </c>
      <c r="E80" s="198">
        <v>53</v>
      </c>
      <c r="F80" s="198">
        <v>4558</v>
      </c>
      <c r="G80" s="196">
        <v>326138</v>
      </c>
      <c r="H80" s="198">
        <v>308745</v>
      </c>
      <c r="I80" s="198" t="s">
        <v>201</v>
      </c>
      <c r="J80" s="199" t="s">
        <v>201</v>
      </c>
      <c r="K80" s="200">
        <v>25684</v>
      </c>
      <c r="L80" s="180"/>
    </row>
    <row r="81" spans="1:12" x14ac:dyDescent="0.35">
      <c r="A81" s="208" t="s">
        <v>220</v>
      </c>
      <c r="B81" s="196">
        <v>154650</v>
      </c>
      <c r="C81" s="197">
        <v>142981</v>
      </c>
      <c r="D81" s="198">
        <v>8607</v>
      </c>
      <c r="E81" s="198">
        <v>1210</v>
      </c>
      <c r="F81" s="198">
        <v>1852</v>
      </c>
      <c r="G81" s="196">
        <v>138351</v>
      </c>
      <c r="H81" s="198">
        <v>132854</v>
      </c>
      <c r="I81" s="198">
        <v>1372</v>
      </c>
      <c r="J81" s="199">
        <v>4126</v>
      </c>
      <c r="K81" s="200">
        <v>16299</v>
      </c>
      <c r="L81" s="180">
        <f>I81/TableA10b!D80</f>
        <v>0.17457691818297494</v>
      </c>
    </row>
    <row r="82" spans="1:12" x14ac:dyDescent="0.35">
      <c r="A82" s="208" t="s">
        <v>102</v>
      </c>
      <c r="B82" s="196">
        <v>79260</v>
      </c>
      <c r="C82" s="197">
        <v>76881</v>
      </c>
      <c r="D82" s="198">
        <v>186</v>
      </c>
      <c r="E82" s="198">
        <v>617</v>
      </c>
      <c r="F82" s="198">
        <v>1575</v>
      </c>
      <c r="G82" s="196">
        <v>74288</v>
      </c>
      <c r="H82" s="198">
        <v>68832</v>
      </c>
      <c r="I82" s="198">
        <v>2763</v>
      </c>
      <c r="J82" s="199">
        <v>2693</v>
      </c>
      <c r="K82" s="200">
        <v>4972</v>
      </c>
      <c r="L82" s="180">
        <f>I82/TableA10b!D81</f>
        <v>0.39864377434713605</v>
      </c>
    </row>
    <row r="83" spans="1:12" x14ac:dyDescent="0.35">
      <c r="A83" s="208" t="s">
        <v>221</v>
      </c>
      <c r="B83" s="196">
        <v>32267</v>
      </c>
      <c r="C83" s="197">
        <v>29625</v>
      </c>
      <c r="D83" s="198">
        <v>2281</v>
      </c>
      <c r="E83" s="198">
        <v>238</v>
      </c>
      <c r="F83" s="193">
        <v>122</v>
      </c>
      <c r="G83" s="192">
        <v>26148</v>
      </c>
      <c r="H83" s="193">
        <v>22600</v>
      </c>
      <c r="I83" s="198" t="s">
        <v>201</v>
      </c>
      <c r="J83" s="199" t="s">
        <v>201</v>
      </c>
      <c r="K83" s="200">
        <v>6118</v>
      </c>
      <c r="L83" s="180"/>
    </row>
    <row r="84" spans="1:12" x14ac:dyDescent="0.35">
      <c r="A84" s="208" t="s">
        <v>67</v>
      </c>
      <c r="B84" s="196">
        <v>242992</v>
      </c>
      <c r="C84" s="197">
        <v>233748</v>
      </c>
      <c r="D84" s="198">
        <v>5321</v>
      </c>
      <c r="E84" s="198">
        <v>911</v>
      </c>
      <c r="F84" s="198">
        <v>3013</v>
      </c>
      <c r="G84" s="196">
        <v>223445</v>
      </c>
      <c r="H84" s="198">
        <v>207071</v>
      </c>
      <c r="I84" s="198" t="s">
        <v>201</v>
      </c>
      <c r="J84" s="199" t="s">
        <v>201</v>
      </c>
      <c r="K84" s="200">
        <v>19547</v>
      </c>
      <c r="L84" s="180"/>
    </row>
    <row r="85" spans="1:12" x14ac:dyDescent="0.35">
      <c r="A85" s="208" t="s">
        <v>222</v>
      </c>
      <c r="B85" s="196">
        <v>76428</v>
      </c>
      <c r="C85" s="197">
        <v>74499</v>
      </c>
      <c r="D85" s="198">
        <v>355</v>
      </c>
      <c r="E85" s="198">
        <v>793</v>
      </c>
      <c r="F85" s="198">
        <v>781</v>
      </c>
      <c r="G85" s="196">
        <v>71440</v>
      </c>
      <c r="H85" s="198">
        <v>66615</v>
      </c>
      <c r="I85" s="198">
        <v>1253</v>
      </c>
      <c r="J85" s="199">
        <v>3572</v>
      </c>
      <c r="K85" s="200">
        <v>4988</v>
      </c>
      <c r="L85" s="180">
        <f>I85/TableA10b!D84</f>
        <v>0.24602395444728059</v>
      </c>
    </row>
    <row r="86" spans="1:12" x14ac:dyDescent="0.35">
      <c r="A86" s="208" t="s">
        <v>223</v>
      </c>
      <c r="B86" s="196">
        <v>53911</v>
      </c>
      <c r="C86" s="197">
        <v>51413</v>
      </c>
      <c r="D86" s="198">
        <v>1597</v>
      </c>
      <c r="E86" s="198">
        <v>632</v>
      </c>
      <c r="F86" s="198">
        <v>270</v>
      </c>
      <c r="G86" s="196">
        <v>46952</v>
      </c>
      <c r="H86" s="198">
        <v>45017</v>
      </c>
      <c r="I86" s="198" t="s">
        <v>201</v>
      </c>
      <c r="J86" s="199" t="s">
        <v>201</v>
      </c>
      <c r="K86" s="200">
        <v>6960</v>
      </c>
      <c r="L86" s="180"/>
    </row>
    <row r="87" spans="1:12" x14ac:dyDescent="0.35">
      <c r="A87" s="208" t="s">
        <v>73</v>
      </c>
      <c r="B87" s="196">
        <v>17722</v>
      </c>
      <c r="C87" s="197">
        <v>17276</v>
      </c>
      <c r="D87" s="198">
        <v>107</v>
      </c>
      <c r="E87" s="198">
        <v>-66</v>
      </c>
      <c r="F87" s="198">
        <v>406</v>
      </c>
      <c r="G87" s="196">
        <v>16383</v>
      </c>
      <c r="H87" s="198">
        <v>15471</v>
      </c>
      <c r="I87" s="198" t="s">
        <v>201</v>
      </c>
      <c r="J87" s="199" t="s">
        <v>201</v>
      </c>
      <c r="K87" s="200">
        <v>1339</v>
      </c>
      <c r="L87" s="180"/>
    </row>
    <row r="88" spans="1:12" x14ac:dyDescent="0.35">
      <c r="A88" s="208" t="s">
        <v>224</v>
      </c>
      <c r="B88" s="196">
        <v>23780</v>
      </c>
      <c r="C88" s="197">
        <v>22488</v>
      </c>
      <c r="D88" s="198">
        <v>790</v>
      </c>
      <c r="E88" s="198">
        <v>320</v>
      </c>
      <c r="F88" s="198">
        <v>183</v>
      </c>
      <c r="G88" s="196">
        <v>21020</v>
      </c>
      <c r="H88" s="198">
        <v>19946</v>
      </c>
      <c r="I88" s="198">
        <v>460</v>
      </c>
      <c r="J88" s="199">
        <v>615</v>
      </c>
      <c r="K88" s="200">
        <v>2760</v>
      </c>
      <c r="L88" s="180">
        <f>I88/TableA10b!D87</f>
        <v>0.21800947867298578</v>
      </c>
    </row>
    <row r="89" spans="1:12" x14ac:dyDescent="0.35">
      <c r="A89" s="208" t="s">
        <v>225</v>
      </c>
      <c r="B89" s="196">
        <v>477624</v>
      </c>
      <c r="C89" s="197">
        <v>450946</v>
      </c>
      <c r="D89" s="198">
        <v>20988</v>
      </c>
      <c r="E89" s="198">
        <v>195</v>
      </c>
      <c r="F89" s="198">
        <v>5495</v>
      </c>
      <c r="G89" s="196">
        <v>429474</v>
      </c>
      <c r="H89" s="198">
        <v>412448</v>
      </c>
      <c r="I89" s="198">
        <v>1931</v>
      </c>
      <c r="J89" s="199">
        <v>15095</v>
      </c>
      <c r="K89" s="200">
        <v>48150</v>
      </c>
      <c r="L89" s="180">
        <f>I89/TableA10b!D88</f>
        <v>6.6816608996539795E-2</v>
      </c>
    </row>
    <row r="90" spans="1:12" x14ac:dyDescent="0.35">
      <c r="A90" s="208" t="s">
        <v>226</v>
      </c>
      <c r="B90" s="196">
        <v>39636</v>
      </c>
      <c r="C90" s="197">
        <v>38691</v>
      </c>
      <c r="D90" s="198"/>
      <c r="E90" s="198">
        <v>250</v>
      </c>
      <c r="F90" s="198">
        <v>343</v>
      </c>
      <c r="G90" s="196">
        <v>36345</v>
      </c>
      <c r="H90" s="198">
        <v>34198</v>
      </c>
      <c r="I90" s="198">
        <v>559</v>
      </c>
      <c r="J90" s="199">
        <v>1588</v>
      </c>
      <c r="K90" s="200">
        <v>3292</v>
      </c>
      <c r="L90" s="180">
        <f>I90/TableA10b!D89</f>
        <v>0.17205293936595875</v>
      </c>
    </row>
    <row r="91" spans="1:12" x14ac:dyDescent="0.35">
      <c r="A91" s="208" t="s">
        <v>227</v>
      </c>
      <c r="B91" s="196">
        <v>63793</v>
      </c>
      <c r="C91" s="197">
        <v>62792</v>
      </c>
      <c r="D91" s="198">
        <v>298</v>
      </c>
      <c r="E91" s="198">
        <v>430</v>
      </c>
      <c r="F91" s="198">
        <v>273</v>
      </c>
      <c r="G91" s="196">
        <v>58217</v>
      </c>
      <c r="H91" s="198">
        <v>55782</v>
      </c>
      <c r="I91" s="198" t="s">
        <v>201</v>
      </c>
      <c r="J91" s="199" t="s">
        <v>201</v>
      </c>
      <c r="K91" s="200">
        <v>5576</v>
      </c>
      <c r="L91" s="180"/>
    </row>
    <row r="92" spans="1:12" x14ac:dyDescent="0.35">
      <c r="A92" s="208" t="s">
        <v>202</v>
      </c>
      <c r="B92" s="196">
        <v>35025</v>
      </c>
      <c r="C92" s="197">
        <v>33978</v>
      </c>
      <c r="D92" s="198"/>
      <c r="E92" s="198">
        <v>-161</v>
      </c>
      <c r="F92" s="193">
        <v>557</v>
      </c>
      <c r="G92" s="192">
        <v>28561</v>
      </c>
      <c r="H92" s="193">
        <v>26540</v>
      </c>
      <c r="I92" s="198" t="s">
        <v>201</v>
      </c>
      <c r="J92" s="199" t="s">
        <v>201</v>
      </c>
      <c r="K92" s="200">
        <v>6464</v>
      </c>
      <c r="L92" s="180"/>
    </row>
    <row r="93" spans="1:12" x14ac:dyDescent="0.35">
      <c r="A93" s="207" t="s">
        <v>166</v>
      </c>
      <c r="B93" s="192" t="s">
        <v>166</v>
      </c>
      <c r="C93" s="189" t="s">
        <v>166</v>
      </c>
      <c r="D93" s="193"/>
      <c r="E93" s="193" t="s">
        <v>166</v>
      </c>
      <c r="F93" s="193" t="s">
        <v>166</v>
      </c>
      <c r="G93" s="192" t="s">
        <v>166</v>
      </c>
      <c r="H93" s="193" t="s">
        <v>166</v>
      </c>
      <c r="I93" s="193" t="s">
        <v>166</v>
      </c>
      <c r="J93" s="194" t="s">
        <v>166</v>
      </c>
      <c r="K93" s="195" t="s">
        <v>166</v>
      </c>
      <c r="L93" s="180"/>
    </row>
    <row r="94" spans="1:12" x14ac:dyDescent="0.35">
      <c r="A94" s="207" t="s">
        <v>249</v>
      </c>
      <c r="B94" s="192" t="s">
        <v>166</v>
      </c>
      <c r="C94" s="189" t="s">
        <v>166</v>
      </c>
      <c r="D94" s="193"/>
      <c r="E94" s="193" t="s">
        <v>166</v>
      </c>
      <c r="F94" s="193" t="s">
        <v>166</v>
      </c>
      <c r="G94" s="192" t="s">
        <v>166</v>
      </c>
      <c r="H94" s="193" t="s">
        <v>166</v>
      </c>
      <c r="I94" s="193" t="s">
        <v>166</v>
      </c>
      <c r="J94" s="194" t="s">
        <v>166</v>
      </c>
      <c r="K94" s="195" t="s">
        <v>166</v>
      </c>
      <c r="L94" s="180"/>
    </row>
    <row r="95" spans="1:12" x14ac:dyDescent="0.35">
      <c r="A95" s="208" t="s">
        <v>228</v>
      </c>
      <c r="B95" s="196">
        <v>3054598</v>
      </c>
      <c r="C95" s="197">
        <v>2520897</v>
      </c>
      <c r="D95" s="198">
        <v>400417</v>
      </c>
      <c r="E95" s="198">
        <v>15861</v>
      </c>
      <c r="F95" s="198">
        <v>117423</v>
      </c>
      <c r="G95" s="196">
        <v>2510289</v>
      </c>
      <c r="H95" s="198">
        <v>2250704</v>
      </c>
      <c r="I95" s="198">
        <v>36817</v>
      </c>
      <c r="J95" s="199">
        <v>222769</v>
      </c>
      <c r="K95" s="200">
        <v>544308</v>
      </c>
      <c r="L95" s="180">
        <f>I95/TableA10b!D94</f>
        <v>0.22059449127915687</v>
      </c>
    </row>
    <row r="96" spans="1:12" ht="16" thickBot="1" x14ac:dyDescent="0.4">
      <c r="A96" s="210" t="s">
        <v>229</v>
      </c>
      <c r="B96" s="201">
        <v>139650</v>
      </c>
      <c r="C96" s="202">
        <v>114884</v>
      </c>
      <c r="D96" s="203">
        <v>25520</v>
      </c>
      <c r="E96" s="203">
        <v>-1550</v>
      </c>
      <c r="F96" s="203">
        <v>796</v>
      </c>
      <c r="G96" s="201">
        <v>104324</v>
      </c>
      <c r="H96" s="203">
        <v>80870</v>
      </c>
      <c r="I96" s="203">
        <v>18040</v>
      </c>
      <c r="J96" s="204">
        <v>5414</v>
      </c>
      <c r="K96" s="205">
        <v>35326</v>
      </c>
      <c r="L96" s="181">
        <f>I96/TableA10b!D95</f>
        <v>0.59575311251279683</v>
      </c>
    </row>
    <row r="97" spans="1:12" ht="16" thickTop="1" x14ac:dyDescent="0.35"/>
    <row r="99" spans="1:12" x14ac:dyDescent="0.35">
      <c r="A99" s="218" t="s">
        <v>168</v>
      </c>
      <c r="B99" s="225">
        <f t="shared" ref="B99:G99" si="0">B26+B27+B24+B35+B59+B89</f>
        <v>2260756</v>
      </c>
      <c r="C99" s="225">
        <f t="shared" si="0"/>
        <v>1649877</v>
      </c>
      <c r="D99" s="225">
        <f t="shared" si="0"/>
        <v>501582</v>
      </c>
      <c r="E99" s="225">
        <f t="shared" si="0"/>
        <v>22277</v>
      </c>
      <c r="F99" s="225">
        <f t="shared" si="0"/>
        <v>87022</v>
      </c>
      <c r="G99" s="225">
        <f t="shared" si="0"/>
        <v>1566702</v>
      </c>
      <c r="H99" s="225">
        <f>H26+H27+H24+H35+H59+H89</f>
        <v>1382099</v>
      </c>
      <c r="I99" s="225">
        <f>I26+I27+I24+I35+I59+I89</f>
        <v>15375.694718603889</v>
      </c>
      <c r="J99" s="225" t="e">
        <f>J26+J27+J24+J35+J59+J89</f>
        <v>#VALUE!</v>
      </c>
      <c r="K99" s="225">
        <f>K26+K27+K24+K35+K59+K89</f>
        <v>694054</v>
      </c>
      <c r="L99" s="229">
        <f>I99/(K99+I99-D99-E99)</f>
        <v>8.2856265327450121E-2</v>
      </c>
    </row>
    <row r="100" spans="1:12" x14ac:dyDescent="0.35">
      <c r="A100" s="218" t="s">
        <v>254</v>
      </c>
      <c r="B100" s="225">
        <f>B13-B26-B27-B24-B35-B29</f>
        <v>2117133</v>
      </c>
      <c r="C100" s="225">
        <f t="shared" ref="C100:K100" si="1">C13-C26-C27-C24-C35-C29</f>
        <v>1948082</v>
      </c>
      <c r="D100" s="225">
        <f t="shared" si="1"/>
        <v>115225</v>
      </c>
      <c r="E100" s="225">
        <f t="shared" si="1"/>
        <v>970</v>
      </c>
      <c r="F100" s="225">
        <f t="shared" si="1"/>
        <v>59120</v>
      </c>
      <c r="G100" s="225">
        <f t="shared" si="1"/>
        <v>1941210</v>
      </c>
      <c r="H100" s="225">
        <f t="shared" si="1"/>
        <v>1784002</v>
      </c>
      <c r="I100" s="225" t="e">
        <f t="shared" si="1"/>
        <v>#VALUE!</v>
      </c>
      <c r="J100" s="225" t="e">
        <f t="shared" si="1"/>
        <v>#VALUE!</v>
      </c>
      <c r="K100" s="225">
        <f t="shared" si="1"/>
        <v>175923</v>
      </c>
      <c r="L100" s="735"/>
    </row>
    <row r="101" spans="1:12" x14ac:dyDescent="0.35">
      <c r="A101" s="218" t="s">
        <v>253</v>
      </c>
      <c r="B101" s="225">
        <f t="shared" ref="B101:H101" si="2">B82+B80+B83+B85+B42</f>
        <v>931307</v>
      </c>
      <c r="C101" s="225">
        <f t="shared" si="2"/>
        <v>905819</v>
      </c>
      <c r="D101" s="225">
        <f t="shared" si="2"/>
        <v>7002</v>
      </c>
      <c r="E101" s="225">
        <f t="shared" si="2"/>
        <v>-1393</v>
      </c>
      <c r="F101" s="225">
        <f t="shared" si="2"/>
        <v>12906</v>
      </c>
      <c r="G101" s="225">
        <f t="shared" si="2"/>
        <v>872528</v>
      </c>
      <c r="H101" s="225">
        <f t="shared" si="2"/>
        <v>813966</v>
      </c>
      <c r="I101" s="225" t="e">
        <f>I82+I80+I83+I85+I42</f>
        <v>#VALUE!</v>
      </c>
      <c r="J101" s="225" t="e">
        <f>J82+J80+J83+J85+J42</f>
        <v>#VALUE!</v>
      </c>
      <c r="K101" s="225">
        <f>K82+K80+K83+K85+K42</f>
        <v>58778</v>
      </c>
      <c r="L101" s="735"/>
    </row>
  </sheetData>
  <mergeCells count="6">
    <mergeCell ref="A3:L3"/>
    <mergeCell ref="B6:K6"/>
    <mergeCell ref="L6:L8"/>
    <mergeCell ref="B7:F7"/>
    <mergeCell ref="G7:J7"/>
    <mergeCell ref="K7:K8"/>
  </mergeCells>
  <pageMargins left="0.7" right="0.7" top="0.75" bottom="0.75" header="0.3" footer="0.3"/>
  <pageSetup scale="46" orientation="portrait" horizontalDpi="300" verticalDpi="300"/>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Q97"/>
  <sheetViews>
    <sheetView topLeftCell="B3" workbookViewId="0">
      <pane xSplit="1" ySplit="8" topLeftCell="C11" activePane="bottomRight" state="frozen"/>
      <selection activeCell="Q8" sqref="Q8"/>
      <selection pane="topRight" activeCell="Q8" sqref="Q8"/>
      <selection pane="bottomLeft" activeCell="Q8" sqref="Q8"/>
      <selection pane="bottomRight" activeCell="Q22" sqref="Q22"/>
    </sheetView>
  </sheetViews>
  <sheetFormatPr baseColWidth="10" defaultColWidth="7.6328125" defaultRowHeight="12.5" x14ac:dyDescent="0.25"/>
  <cols>
    <col min="1" max="1" width="7.6328125" style="378" hidden="1" customWidth="1"/>
    <col min="2" max="2" width="18.453125" style="378" customWidth="1"/>
    <col min="3" max="11" width="12.81640625" style="378" customWidth="1"/>
    <col min="12" max="14" width="7.6328125" style="378"/>
    <col min="15" max="15" width="7.6328125" style="1647"/>
    <col min="16" max="16384" width="7.6328125" style="378"/>
  </cols>
  <sheetData>
    <row r="1" spans="1:17" hidden="1" x14ac:dyDescent="0.25"/>
    <row r="2" spans="1:17" hidden="1" x14ac:dyDescent="0.25">
      <c r="C2" s="378" t="s">
        <v>495</v>
      </c>
      <c r="D2" s="378">
        <f>+[1]FX!$D$33</f>
        <v>0.90165899999999999</v>
      </c>
    </row>
    <row r="3" spans="1:17" ht="13" thickBot="1" x14ac:dyDescent="0.3"/>
    <row r="4" spans="1:17" ht="33" customHeight="1" thickTop="1" x14ac:dyDescent="0.25">
      <c r="B4" s="2048" t="s">
        <v>569</v>
      </c>
      <c r="C4" s="2049"/>
      <c r="D4" s="2049"/>
      <c r="E4" s="2049"/>
      <c r="F4" s="2049"/>
      <c r="G4" s="2049"/>
      <c r="H4" s="2049"/>
      <c r="I4" s="2049"/>
      <c r="J4" s="2049"/>
      <c r="K4" s="2050"/>
    </row>
    <row r="5" spans="1:17" s="1" customFormat="1" ht="12" customHeight="1" x14ac:dyDescent="0.35">
      <c r="B5" s="11"/>
      <c r="C5" s="750"/>
      <c r="D5" s="750"/>
      <c r="E5" s="750"/>
      <c r="F5" s="750"/>
      <c r="G5" s="750"/>
      <c r="H5" s="750"/>
      <c r="I5" s="750"/>
      <c r="J5" s="750"/>
      <c r="K5" s="12"/>
      <c r="O5" s="118"/>
    </row>
    <row r="6" spans="1:17" s="1" customFormat="1" ht="16" thickBot="1" x14ac:dyDescent="0.4">
      <c r="A6" s="859"/>
      <c r="B6" s="860"/>
      <c r="C6" s="10" t="s">
        <v>20</v>
      </c>
      <c r="D6" s="10" t="s">
        <v>21</v>
      </c>
      <c r="E6" s="10" t="s">
        <v>22</v>
      </c>
      <c r="F6" s="10" t="s">
        <v>23</v>
      </c>
      <c r="G6" s="10" t="s">
        <v>24</v>
      </c>
      <c r="H6" s="10" t="s">
        <v>25</v>
      </c>
      <c r="I6" s="10" t="s">
        <v>26</v>
      </c>
      <c r="J6" s="10" t="s">
        <v>33</v>
      </c>
      <c r="K6" s="14" t="s">
        <v>34</v>
      </c>
      <c r="O6" s="118"/>
    </row>
    <row r="7" spans="1:17" s="1" customFormat="1" ht="15.5" x14ac:dyDescent="0.35">
      <c r="A7" s="859"/>
      <c r="B7" s="860"/>
      <c r="C7" s="2279" t="s">
        <v>111</v>
      </c>
      <c r="D7" s="2280"/>
      <c r="E7" s="2280"/>
      <c r="F7" s="2280"/>
      <c r="G7" s="2280"/>
      <c r="H7" s="2280"/>
      <c r="I7" s="2280"/>
      <c r="J7" s="2280"/>
      <c r="K7" s="2281"/>
      <c r="O7" s="118"/>
    </row>
    <row r="8" spans="1:17" ht="24.75" customHeight="1" x14ac:dyDescent="0.35">
      <c r="A8" s="379"/>
      <c r="B8" s="861"/>
      <c r="C8" s="2267" t="s">
        <v>108</v>
      </c>
      <c r="D8" s="2270" t="s">
        <v>501</v>
      </c>
      <c r="E8" s="2270" t="s">
        <v>192</v>
      </c>
      <c r="F8" s="865"/>
      <c r="G8" s="865"/>
      <c r="H8" s="865"/>
      <c r="I8" s="865"/>
      <c r="J8" s="865"/>
      <c r="K8" s="2272" t="s">
        <v>193</v>
      </c>
    </row>
    <row r="9" spans="1:17" s="381" customFormat="1" ht="46.5" customHeight="1" thickBot="1" x14ac:dyDescent="0.4">
      <c r="A9" s="382"/>
      <c r="B9" s="862"/>
      <c r="C9" s="2268"/>
      <c r="D9" s="2270"/>
      <c r="E9" s="2270"/>
      <c r="F9" s="2274" t="s">
        <v>13</v>
      </c>
      <c r="G9" s="2276" t="s">
        <v>185</v>
      </c>
      <c r="H9" s="866"/>
      <c r="I9" s="866"/>
      <c r="J9" s="2277" t="s">
        <v>610</v>
      </c>
      <c r="K9" s="2272"/>
      <c r="O9" s="1648"/>
    </row>
    <row r="10" spans="1:17" ht="72" customHeight="1" thickBot="1" x14ac:dyDescent="0.3">
      <c r="A10" s="379"/>
      <c r="B10" s="861"/>
      <c r="C10" s="2269"/>
      <c r="D10" s="2271"/>
      <c r="E10" s="2271"/>
      <c r="F10" s="2275"/>
      <c r="G10" s="2271" t="s">
        <v>185</v>
      </c>
      <c r="H10" s="867" t="s">
        <v>188</v>
      </c>
      <c r="I10" s="868" t="s">
        <v>189</v>
      </c>
      <c r="J10" s="2278"/>
      <c r="K10" s="2273"/>
      <c r="O10" s="1647" t="s">
        <v>147</v>
      </c>
    </row>
    <row r="11" spans="1:17" ht="40" customHeight="1" x14ac:dyDescent="0.25">
      <c r="A11" s="379"/>
      <c r="B11" s="1641" t="s">
        <v>98</v>
      </c>
      <c r="C11" s="1642">
        <f>SUM(C12:C46)</f>
        <v>82.588599250913376</v>
      </c>
      <c r="D11" s="1643">
        <f t="shared" ref="D11:K11" si="0">SUM(D12:D46)</f>
        <v>169.34964211339991</v>
      </c>
      <c r="E11" s="1643">
        <f t="shared" si="0"/>
        <v>248.04061139661329</v>
      </c>
      <c r="F11" s="1649">
        <f t="shared" si="0"/>
        <v>-16.260849400000001</v>
      </c>
      <c r="G11" s="1643">
        <f t="shared" si="0"/>
        <v>416.95715207811338</v>
      </c>
      <c r="H11" s="1650">
        <f t="shared" si="0"/>
        <v>428.24080049349629</v>
      </c>
      <c r="I11" s="1651">
        <f t="shared" si="0"/>
        <v>-11.282057852271533</v>
      </c>
      <c r="J11" s="1652">
        <f t="shared" si="0"/>
        <v>-152.6556912815</v>
      </c>
      <c r="K11" s="1653">
        <f t="shared" si="0"/>
        <v>-334.80165425909996</v>
      </c>
    </row>
    <row r="12" spans="1:17" ht="15.5" x14ac:dyDescent="0.35">
      <c r="A12" s="379"/>
      <c r="B12" s="860" t="s">
        <v>54</v>
      </c>
      <c r="C12" s="887">
        <f>D12+E12+K12</f>
        <v>-58.411891936082995</v>
      </c>
      <c r="D12" s="880">
        <f>+VLOOKUP($B12,'[3]World BOP data'!$A$3:$Q$199,2,0)/1000000000</f>
        <v>-27.4876196578</v>
      </c>
      <c r="E12" s="880">
        <f t="shared" ref="E12:E46" si="1">F12+G12+J12</f>
        <v>-29.518415384082999</v>
      </c>
      <c r="F12" s="881">
        <f>TableB1b!K12</f>
        <v>-2.8967800000000001</v>
      </c>
      <c r="G12" s="888">
        <f>TableB2!G10-TableB2!C10</f>
        <v>-10.587572319483</v>
      </c>
      <c r="H12" s="882">
        <f>TableB1b!E12</f>
        <v>-6.7292809377112004</v>
      </c>
      <c r="I12" s="883">
        <f>TableB1b!F12</f>
        <v>-3.8582913817716999</v>
      </c>
      <c r="J12" s="884">
        <f>TableB1b!G12+TableB1b!J12+TableB1b!L12</f>
        <v>-16.034063064599998</v>
      </c>
      <c r="K12" s="885">
        <f>+VLOOKUP($B12,'[3]World BOP data'!$A$3:$Q$199,14,0)/1000000000</f>
        <v>-1.4058568942</v>
      </c>
      <c r="O12" s="1646">
        <f t="shared" ref="O12:O43" si="2">C12-D12-E12-K12</f>
        <v>4.2188474935755949E-15</v>
      </c>
      <c r="P12" s="853">
        <f t="shared" ref="P12:P43" si="3">E12-F12-G12-J12</f>
        <v>0</v>
      </c>
      <c r="Q12" s="853">
        <f t="shared" ref="Q12:Q43" si="4">G12-H12-I12</f>
        <v>-9.9475983006414026E-14</v>
      </c>
    </row>
    <row r="13" spans="1:17" ht="15.5" x14ac:dyDescent="0.35">
      <c r="A13" s="379"/>
      <c r="B13" s="860" t="s">
        <v>55</v>
      </c>
      <c r="C13" s="887">
        <f t="shared" ref="C13:C76" si="5">D13+E13+K13</f>
        <v>6.4007859047542803</v>
      </c>
      <c r="D13" s="880">
        <f>+VLOOKUP($B13,'[3]World BOP data'!$A$3:$Q$199,2,0)/1000000000</f>
        <v>12.839629604700001</v>
      </c>
      <c r="E13" s="880">
        <f t="shared" si="1"/>
        <v>-2.6726777348457205</v>
      </c>
      <c r="F13" s="881">
        <f>TableB1b!K13</f>
        <v>-0.48529899999999998</v>
      </c>
      <c r="G13" s="888">
        <f>TableB2!G11-TableB2!C11</f>
        <v>1.0904048807542801</v>
      </c>
      <c r="H13" s="882">
        <f>TableB1b!E13</f>
        <v>1.1558513588465011</v>
      </c>
      <c r="I13" s="883">
        <f>TableB1b!F13</f>
        <v>-6.5446478092059945E-2</v>
      </c>
      <c r="J13" s="884">
        <f>TableB1b!G13+TableB1b!J13+TableB1b!L13</f>
        <v>-3.2777836156000006</v>
      </c>
      <c r="K13" s="885">
        <f>+VLOOKUP($B13,'[3]World BOP data'!$A$3:$Q$199,14,0)/1000000000</f>
        <v>-3.7661659650999999</v>
      </c>
      <c r="O13" s="1646">
        <f t="shared" si="2"/>
        <v>0</v>
      </c>
      <c r="P13" s="853">
        <f t="shared" si="3"/>
        <v>0</v>
      </c>
      <c r="Q13" s="853">
        <f t="shared" si="4"/>
        <v>-1.6109336087311021E-13</v>
      </c>
    </row>
    <row r="14" spans="1:17" ht="15.5" x14ac:dyDescent="0.35">
      <c r="A14" s="379"/>
      <c r="B14" s="860" t="s">
        <v>2</v>
      </c>
      <c r="C14" s="887">
        <f t="shared" si="5"/>
        <v>2.9348396848630021</v>
      </c>
      <c r="D14" s="880">
        <f>+VLOOKUP($B14,'[3]World BOP data'!$A$3:$Q$199,2,0)/1000000000</f>
        <v>10.2998078217</v>
      </c>
      <c r="E14" s="880">
        <f t="shared" si="1"/>
        <v>4.3240763363002421E-2</v>
      </c>
      <c r="F14" s="881">
        <f>TableB1b!K14</f>
        <v>6.4764299999999997</v>
      </c>
      <c r="G14" s="888">
        <f>TableB2!G12-TableB2!C12</f>
        <v>-6.8108707709369973</v>
      </c>
      <c r="H14" s="882">
        <f>TableB1b!E14</f>
        <v>-12.627842484748356</v>
      </c>
      <c r="I14" s="883">
        <f>TableB1b!F14</f>
        <v>5.8169717138103998</v>
      </c>
      <c r="J14" s="884">
        <f>TableB1b!G14+TableB1b!J14+TableB1b!L14</f>
        <v>0.37768153430000007</v>
      </c>
      <c r="K14" s="885">
        <f>+VLOOKUP($B14,'[3]World BOP data'!$A$3:$Q$199,14,0)/1000000000</f>
        <v>-7.4082089002</v>
      </c>
      <c r="O14" s="1646">
        <f t="shared" si="2"/>
        <v>0</v>
      </c>
      <c r="P14" s="853">
        <f t="shared" si="3"/>
        <v>0</v>
      </c>
      <c r="Q14" s="853">
        <f t="shared" si="4"/>
        <v>9.5923269327613525E-13</v>
      </c>
    </row>
    <row r="15" spans="1:17" ht="15.5" x14ac:dyDescent="0.35">
      <c r="A15" s="379"/>
      <c r="B15" s="860" t="s">
        <v>56</v>
      </c>
      <c r="C15" s="887">
        <f t="shared" si="5"/>
        <v>-54.300252163949999</v>
      </c>
      <c r="D15" s="880">
        <f>+VLOOKUP($B15,'[3]World BOP data'!$A$3:$Q$199,2,0)/1000000000</f>
        <v>-37.321059861599998</v>
      </c>
      <c r="E15" s="880">
        <f t="shared" si="1"/>
        <v>-14.143957122550002</v>
      </c>
      <c r="F15" s="881">
        <f>TableB1b!K15</f>
        <v>-1.5351900000000001</v>
      </c>
      <c r="G15" s="888">
        <f>TableB2!G13-TableB2!C13</f>
        <v>5.5487757177499972</v>
      </c>
      <c r="H15" s="882">
        <f>TableB1b!E15</f>
        <v>5.3641555190470012</v>
      </c>
      <c r="I15" s="883">
        <f>TableB1b!F15</f>
        <v>0.18462019870139956</v>
      </c>
      <c r="J15" s="884">
        <f>TableB1b!G15+TableB1b!J15+TableB1b!L15</f>
        <v>-18.1575428403</v>
      </c>
      <c r="K15" s="885">
        <f>+VLOOKUP($B15,'[3]World BOP data'!$A$3:$Q$199,14,0)/1000000000</f>
        <v>-2.8352351798000002</v>
      </c>
      <c r="O15" s="1646">
        <f t="shared" si="2"/>
        <v>0</v>
      </c>
      <c r="P15" s="853">
        <f t="shared" si="3"/>
        <v>0</v>
      </c>
      <c r="Q15" s="853">
        <f t="shared" si="4"/>
        <v>1.5965007094109751E-12</v>
      </c>
    </row>
    <row r="16" spans="1:17" ht="15.5" x14ac:dyDescent="0.35">
      <c r="A16" s="379"/>
      <c r="B16" s="860" t="s">
        <v>57</v>
      </c>
      <c r="C16" s="887">
        <f t="shared" si="5"/>
        <v>-4.6697952065948005</v>
      </c>
      <c r="D16" s="880">
        <f>+VLOOKUP($B16,'[3]World BOP data'!$A$3:$Q$199,2,0)/1000000000</f>
        <v>4.7467490700000003E-2</v>
      </c>
      <c r="E16" s="880">
        <f t="shared" si="1"/>
        <v>-6.5757078686948001</v>
      </c>
      <c r="F16" s="881">
        <f>TableB1b!K16</f>
        <v>-0.190971</v>
      </c>
      <c r="G16" s="888">
        <f>TableB2!G14-TableB2!C14</f>
        <v>-6.3508948686947999</v>
      </c>
      <c r="H16" s="882">
        <f>TableB1b!E16</f>
        <v>-4.7134820799641899</v>
      </c>
      <c r="I16" s="883">
        <f>TableB1b!F16</f>
        <v>-1.6374127887305399</v>
      </c>
      <c r="J16" s="884">
        <f>TableB1b!G16+TableB1b!J16+TableB1b!L16</f>
        <v>-3.3842000000000039E-2</v>
      </c>
      <c r="K16" s="885">
        <f>+VLOOKUP($B16,'[3]World BOP data'!$A$3:$Q$199,14,0)/1000000000</f>
        <v>1.8584451714000001</v>
      </c>
      <c r="O16" s="1646">
        <f t="shared" si="2"/>
        <v>0</v>
      </c>
      <c r="P16" s="853">
        <f t="shared" si="3"/>
        <v>1.1102230246251565E-16</v>
      </c>
      <c r="Q16" s="853">
        <f t="shared" si="4"/>
        <v>-7.0166095156309893E-14</v>
      </c>
    </row>
    <row r="17" spans="1:17" ht="15.5" x14ac:dyDescent="0.35">
      <c r="A17" s="379"/>
      <c r="B17" s="860" t="s">
        <v>58</v>
      </c>
      <c r="C17" s="887">
        <f t="shared" si="5"/>
        <v>-0.23557342826079794</v>
      </c>
      <c r="D17" s="880">
        <f>+VLOOKUP($B17,'[3]World BOP data'!$A$3:$Q$199,2,0)/1000000000</f>
        <v>10.8170230157</v>
      </c>
      <c r="E17" s="880">
        <f t="shared" si="1"/>
        <v>-11.058277711260798</v>
      </c>
      <c r="F17" s="881">
        <f>TableB1b!K17</f>
        <v>1.1957899999999999</v>
      </c>
      <c r="G17" s="888">
        <f>TableB2!G15-TableB2!C15</f>
        <v>-12.612613345260799</v>
      </c>
      <c r="H17" s="882">
        <f>TableB1b!E17</f>
        <v>-12.141259708046629</v>
      </c>
      <c r="I17" s="883">
        <f>TableB1b!F17</f>
        <v>-0.47135363721384216</v>
      </c>
      <c r="J17" s="884">
        <f>TableB1b!G17+TableB1b!J17+TableB1b!L17</f>
        <v>0.35854563400000017</v>
      </c>
      <c r="K17" s="885">
        <f>+VLOOKUP($B17,'[3]World BOP data'!$A$3:$Q$199,14,0)/1000000000</f>
        <v>5.6812672999999999E-3</v>
      </c>
      <c r="O17" s="1646">
        <f t="shared" si="2"/>
        <v>-4.0766001685454967E-17</v>
      </c>
      <c r="P17" s="853">
        <f t="shared" si="3"/>
        <v>0</v>
      </c>
      <c r="Q17" s="853">
        <f t="shared" si="4"/>
        <v>-3.2784885917180873E-13</v>
      </c>
    </row>
    <row r="18" spans="1:17" ht="15.5" x14ac:dyDescent="0.35">
      <c r="A18" s="379"/>
      <c r="B18" s="860" t="s">
        <v>59</v>
      </c>
      <c r="C18" s="887">
        <f t="shared" si="5"/>
        <v>27.1763262822356</v>
      </c>
      <c r="D18" s="880">
        <f>+VLOOKUP($B18,'[3]World BOP data'!$A$3:$Q$199,2,0)/1000000000</f>
        <v>22.318809186700001</v>
      </c>
      <c r="E18" s="880">
        <f t="shared" si="1"/>
        <v>9.6766262891355996</v>
      </c>
      <c r="F18" s="881">
        <f>TableB1b!K18</f>
        <v>-1.51902</v>
      </c>
      <c r="G18" s="888">
        <f>TableB2!G16-TableB2!C16</f>
        <v>7.5993992922355993</v>
      </c>
      <c r="H18" s="882">
        <f>TableB1b!E18</f>
        <v>6.8885122074523499</v>
      </c>
      <c r="I18" s="883">
        <f>TableB1b!F18</f>
        <v>0.71148184494603006</v>
      </c>
      <c r="J18" s="884">
        <f>TableB1b!G18+TableB1b!J18+TableB1b!L18</f>
        <v>3.5962469969000002</v>
      </c>
      <c r="K18" s="885">
        <f>+VLOOKUP($B18,'[3]World BOP data'!$A$3:$Q$199,14,0)/1000000000</f>
        <v>-4.8191091936000001</v>
      </c>
      <c r="O18" s="1646">
        <f t="shared" si="2"/>
        <v>0</v>
      </c>
      <c r="P18" s="853">
        <f t="shared" si="3"/>
        <v>0</v>
      </c>
      <c r="Q18" s="853">
        <f t="shared" si="4"/>
        <v>-5.9476016278070531E-4</v>
      </c>
    </row>
    <row r="19" spans="1:17" ht="15.5" x14ac:dyDescent="0.35">
      <c r="A19" s="379"/>
      <c r="B19" s="860" t="s">
        <v>60</v>
      </c>
      <c r="C19" s="887">
        <f t="shared" si="5"/>
        <v>0.49777546594623989</v>
      </c>
      <c r="D19" s="880">
        <f>+VLOOKUP($B19,'[3]World BOP data'!$A$3:$Q$199,2,0)/1000000000</f>
        <v>0.9311176498</v>
      </c>
      <c r="E19" s="880">
        <f t="shared" si="1"/>
        <v>-0.45929482925376008</v>
      </c>
      <c r="F19" s="881">
        <f>TableB1b!K19</f>
        <v>0.283752</v>
      </c>
      <c r="G19" s="888">
        <f>TableB2!G17-TableB2!C17</f>
        <v>-0.98771270105376008</v>
      </c>
      <c r="H19" s="882">
        <f>TableB1b!E19</f>
        <v>-1.0265546311702671</v>
      </c>
      <c r="I19" s="883">
        <f>TableB1b!F19</f>
        <v>3.8841930116473002E-2</v>
      </c>
      <c r="J19" s="884">
        <f>TableB1b!G19+TableB1b!J19+TableB1b!L19</f>
        <v>0.24466587179999999</v>
      </c>
      <c r="K19" s="885">
        <f>+VLOOKUP($B19,'[3]World BOP data'!$A$3:$Q$199,14,0)/1000000000</f>
        <v>2.5952645399999998E-2</v>
      </c>
      <c r="O19" s="1646">
        <f t="shared" si="2"/>
        <v>0</v>
      </c>
      <c r="P19" s="853">
        <f t="shared" si="3"/>
        <v>0</v>
      </c>
      <c r="Q19" s="853">
        <f t="shared" si="4"/>
        <v>3.404915238647277E-14</v>
      </c>
    </row>
    <row r="20" spans="1:17" ht="15.5" x14ac:dyDescent="0.35">
      <c r="A20" s="379"/>
      <c r="B20" s="860" t="s">
        <v>61</v>
      </c>
      <c r="C20" s="887">
        <f t="shared" si="5"/>
        <v>-1.4698836648315998</v>
      </c>
      <c r="D20" s="880">
        <f>+VLOOKUP($B20,'[3]World BOP data'!$A$3:$Q$199,2,0)/1000000000</f>
        <v>-0.10256275209999999</v>
      </c>
      <c r="E20" s="880">
        <f t="shared" si="1"/>
        <v>1.2160564745684002</v>
      </c>
      <c r="F20" s="881">
        <f>TableB1b!K20</f>
        <v>0.17037099999999999</v>
      </c>
      <c r="G20" s="888">
        <f>TableB2!G18-TableB2!C18</f>
        <v>3.2823072656684005</v>
      </c>
      <c r="H20" s="882">
        <f>TableB1b!E20</f>
        <v>3.5463117027172997</v>
      </c>
      <c r="I20" s="883">
        <f>TableB1b!F20</f>
        <v>-0.26400443704936</v>
      </c>
      <c r="J20" s="884">
        <f>TableB1b!G20+TableB1b!J20+TableB1b!L20</f>
        <v>-2.2366217911000001</v>
      </c>
      <c r="K20" s="885">
        <f>+VLOOKUP($B20,'[3]World BOP data'!$A$3:$Q$199,14,0)/1000000000</f>
        <v>-2.5833773873000001</v>
      </c>
      <c r="O20" s="1646">
        <f t="shared" si="2"/>
        <v>0</v>
      </c>
      <c r="P20" s="853">
        <f t="shared" si="3"/>
        <v>0</v>
      </c>
      <c r="Q20" s="853">
        <f t="shared" si="4"/>
        <v>4.6079806637067122E-13</v>
      </c>
    </row>
    <row r="21" spans="1:17" ht="15.5" x14ac:dyDescent="0.35">
      <c r="A21" s="379"/>
      <c r="B21" s="860" t="s">
        <v>48</v>
      </c>
      <c r="C21" s="887">
        <f t="shared" si="5"/>
        <v>-10.826929085461998</v>
      </c>
      <c r="D21" s="880">
        <f>+VLOOKUP($B21,'[3]World BOP data'!$A$3:$Q$199,2,0)/1000000000</f>
        <v>-17.971380817099998</v>
      </c>
      <c r="E21" s="880">
        <f t="shared" si="1"/>
        <v>56.345356133337994</v>
      </c>
      <c r="F21" s="881">
        <f>TableB1b!K21</f>
        <v>21.572399999999998</v>
      </c>
      <c r="G21" s="888">
        <f>TableB2!G19-TableB2!C19</f>
        <v>44.815971118137995</v>
      </c>
      <c r="H21" s="882">
        <f>TableB1b!E21</f>
        <v>45.529564059900203</v>
      </c>
      <c r="I21" s="883">
        <f>TableB1b!F21</f>
        <v>-0.71359294176330001</v>
      </c>
      <c r="J21" s="884">
        <f>TableB1b!G21+TableB1b!J21+TableB1b!L21</f>
        <v>-10.043014984800001</v>
      </c>
      <c r="K21" s="885">
        <f>+VLOOKUP($B21,'[3]World BOP data'!$A$3:$Q$199,14,0)/1000000000</f>
        <v>-49.200904401699994</v>
      </c>
      <c r="O21" s="1646">
        <f t="shared" si="2"/>
        <v>0</v>
      </c>
      <c r="P21" s="853">
        <f t="shared" si="3"/>
        <v>0</v>
      </c>
      <c r="Q21" s="853">
        <f t="shared" si="4"/>
        <v>1.092015367021304E-12</v>
      </c>
    </row>
    <row r="22" spans="1:17" s="2024" customFormat="1" ht="15.5" x14ac:dyDescent="0.35">
      <c r="A22" s="2014"/>
      <c r="B22" s="2015" t="s">
        <v>62</v>
      </c>
      <c r="C22" s="2016">
        <f>D22+E22+K22</f>
        <v>288.17768460765797</v>
      </c>
      <c r="D22" s="2017">
        <f>+VLOOKUP($B22,'[3]World BOP data'!$A$3:$Q$199,2,0)/1000000000</f>
        <v>268.975511187</v>
      </c>
      <c r="E22" s="2017">
        <f t="shared" si="1"/>
        <v>63.653237855857995</v>
      </c>
      <c r="F22" s="2018">
        <f>TableB1b!K22</f>
        <v>0.87762899999999999</v>
      </c>
      <c r="G22" s="2019">
        <f>TableB2!G20-TableB2!C20</f>
        <v>40.567942318358</v>
      </c>
      <c r="H22" s="2020">
        <f>TableB1b!E22</f>
        <v>49.392124237382006</v>
      </c>
      <c r="I22" s="2021">
        <f>TableB1b!F22</f>
        <v>-8.8241819190237987</v>
      </c>
      <c r="J22" s="2022">
        <f>TableB1b!G22+TableB1b!J22+TableB1b!L22</f>
        <v>22.2076665375</v>
      </c>
      <c r="K22" s="2023">
        <f>+VLOOKUP($B22,'[3]World BOP data'!$A$3:$Q$199,14,0)/1000000000</f>
        <v>-44.451064435199996</v>
      </c>
      <c r="O22" s="2025">
        <f t="shared" si="2"/>
        <v>0</v>
      </c>
      <c r="P22" s="2025">
        <f t="shared" si="3"/>
        <v>0</v>
      </c>
      <c r="Q22" s="2025">
        <f t="shared" si="4"/>
        <v>-2.078337502098293E-13</v>
      </c>
    </row>
    <row r="23" spans="1:17" ht="15.5" x14ac:dyDescent="0.35">
      <c r="A23" s="379"/>
      <c r="B23" s="860" t="s">
        <v>63</v>
      </c>
      <c r="C23" s="887">
        <f t="shared" si="5"/>
        <v>-0.45987457409960014</v>
      </c>
      <c r="D23" s="880">
        <f>+VLOOKUP($B23,'[3]World BOP data'!$A$3:$Q$199,2,0)/1000000000</f>
        <v>-0.34159217080000004</v>
      </c>
      <c r="E23" s="880">
        <f t="shared" si="1"/>
        <v>0.46074003830039995</v>
      </c>
      <c r="F23" s="881">
        <f>TableB1b!K23</f>
        <v>-0.25148100000000001</v>
      </c>
      <c r="G23" s="888">
        <f>TableB2!G21-TableB2!C21</f>
        <v>0.64464147310039999</v>
      </c>
      <c r="H23" s="882">
        <f>TableB1b!E23</f>
        <v>0.70526558069888012</v>
      </c>
      <c r="I23" s="883">
        <f>TableB1b!F23</f>
        <v>-6.0624107598446692E-2</v>
      </c>
      <c r="J23" s="884">
        <f>TableB1b!G23+TableB1b!J23+TableB1b!L23</f>
        <v>6.7579565199999969E-2</v>
      </c>
      <c r="K23" s="885">
        <f>+VLOOKUP($B23,'[3]World BOP data'!$A$3:$Q$199,14,0)/1000000000</f>
        <v>-0.57902244160000005</v>
      </c>
      <c r="O23" s="1646">
        <f t="shared" si="2"/>
        <v>0</v>
      </c>
      <c r="P23" s="853">
        <f t="shared" si="3"/>
        <v>0</v>
      </c>
      <c r="Q23" s="853">
        <f t="shared" si="4"/>
        <v>-3.3445468616832841E-14</v>
      </c>
    </row>
    <row r="24" spans="1:17" ht="15.5" x14ac:dyDescent="0.35">
      <c r="A24" s="379"/>
      <c r="B24" s="860" t="s">
        <v>64</v>
      </c>
      <c r="C24" s="887">
        <f t="shared" si="5"/>
        <v>3.648509046749699</v>
      </c>
      <c r="D24" s="880">
        <f>+VLOOKUP($B24,'[3]World BOP data'!$A$3:$Q$199,2,0)/1000000000</f>
        <v>10.893274394100001</v>
      </c>
      <c r="E24" s="880">
        <f t="shared" si="1"/>
        <v>-6.0157852389503015</v>
      </c>
      <c r="F24" s="881">
        <f>TableB1b!K24</f>
        <v>3.1714799999999999</v>
      </c>
      <c r="G24" s="888">
        <f>TableB2!G22-TableB2!C22</f>
        <v>-7.6765909009503011</v>
      </c>
      <c r="H24" s="882">
        <f>TableB1b!E24</f>
        <v>-7.7475333495706007</v>
      </c>
      <c r="I24" s="883">
        <f>TableB1b!F24</f>
        <v>7.0942448619956994E-2</v>
      </c>
      <c r="J24" s="884">
        <f>TableB1b!G24+TableB1b!J24+TableB1b!L24</f>
        <v>-1.5106743380000001</v>
      </c>
      <c r="K24" s="885">
        <f>+VLOOKUP($B24,'[3]World BOP data'!$A$3:$Q$199,14,0)/1000000000</f>
        <v>-1.2289801084</v>
      </c>
      <c r="O24" s="1646">
        <f t="shared" si="2"/>
        <v>0</v>
      </c>
      <c r="P24" s="853">
        <f t="shared" si="3"/>
        <v>0</v>
      </c>
      <c r="Q24" s="853">
        <f t="shared" si="4"/>
        <v>3.4264258097493894E-13</v>
      </c>
    </row>
    <row r="25" spans="1:17" ht="15.5" x14ac:dyDescent="0.35">
      <c r="A25" s="379"/>
      <c r="B25" s="860" t="s">
        <v>65</v>
      </c>
      <c r="C25" s="887">
        <f t="shared" si="5"/>
        <v>0.87548275775753215</v>
      </c>
      <c r="D25" s="880">
        <f>+VLOOKUP($B25,'[3]World BOP data'!$A$3:$Q$199,2,0)/1000000000</f>
        <v>1.2599254712999999</v>
      </c>
      <c r="E25" s="880">
        <f t="shared" si="1"/>
        <v>-0.10160399964246791</v>
      </c>
      <c r="F25" s="881">
        <f>TableB1b!K25</f>
        <v>0.16493099999999999</v>
      </c>
      <c r="G25" s="888">
        <f>TableB2!G23-TableB2!C23</f>
        <v>0.25365420205753203</v>
      </c>
      <c r="H25" s="882">
        <f>TableB1b!E25</f>
        <v>0.23388106244232901</v>
      </c>
      <c r="I25" s="883">
        <f>TableB1b!F25</f>
        <v>1.9773139615190019E-2</v>
      </c>
      <c r="J25" s="884">
        <f>TableB1b!G25+TableB1b!J25+TableB1b!L25</f>
        <v>-0.52018920169999994</v>
      </c>
      <c r="K25" s="885">
        <f>+VLOOKUP($B25,'[3]World BOP data'!$A$3:$Q$199,14,0)/1000000000</f>
        <v>-0.28283871389999998</v>
      </c>
      <c r="O25" s="1646">
        <f t="shared" si="2"/>
        <v>0</v>
      </c>
      <c r="P25" s="853">
        <f t="shared" si="3"/>
        <v>0</v>
      </c>
      <c r="Q25" s="853">
        <f t="shared" si="4"/>
        <v>1.3003487175922146E-14</v>
      </c>
    </row>
    <row r="26" spans="1:17" ht="15.5" x14ac:dyDescent="0.35">
      <c r="A26" s="379"/>
      <c r="B26" s="860" t="s">
        <v>19</v>
      </c>
      <c r="C26" s="887">
        <f t="shared" si="5"/>
        <v>24.787732492359986</v>
      </c>
      <c r="D26" s="880">
        <f>+VLOOKUP($B26,'[3]World BOP data'!$A$3:$Q$199,2,0)/1000000000</f>
        <v>90.068905246899988</v>
      </c>
      <c r="E26" s="880">
        <f t="shared" si="1"/>
        <v>-61.798868747440004</v>
      </c>
      <c r="F26" s="881">
        <f>TableB1b!K26</f>
        <v>-0.101033</v>
      </c>
      <c r="G26" s="888">
        <f>TableB2!G24-TableB2!C24</f>
        <v>-52.939545202440002</v>
      </c>
      <c r="H26" s="882">
        <f>TableB1b!E26</f>
        <v>-50.441486411536403</v>
      </c>
      <c r="I26" s="883">
        <f>TableB1b!F26</f>
        <v>-2.4980587909040999</v>
      </c>
      <c r="J26" s="884">
        <f>TableB1b!G26+TableB1b!J26+TableB1b!L26</f>
        <v>-8.7582905450000013</v>
      </c>
      <c r="K26" s="885">
        <f>+VLOOKUP($B26,'[3]World BOP data'!$A$3:$Q$199,14,0)/1000000000</f>
        <v>-3.4823040070999998</v>
      </c>
      <c r="O26" s="1646">
        <f t="shared" si="2"/>
        <v>8.8817841970012523E-15</v>
      </c>
      <c r="P26" s="853">
        <f t="shared" si="3"/>
        <v>0</v>
      </c>
      <c r="Q26" s="853">
        <f t="shared" si="4"/>
        <v>5.0093262871087063E-13</v>
      </c>
    </row>
    <row r="27" spans="1:17" ht="15.5" x14ac:dyDescent="0.35">
      <c r="A27" s="379"/>
      <c r="B27" s="860" t="s">
        <v>95</v>
      </c>
      <c r="C27" s="887">
        <f t="shared" si="5"/>
        <v>15.092500000000001</v>
      </c>
      <c r="D27" s="880">
        <f>+VLOOKUP($B27,'[3]World BOP data'!$A$3:$Q$199,2,0)/1000000000</f>
        <v>8.9740000000000002</v>
      </c>
      <c r="E27" s="880">
        <f t="shared" si="1"/>
        <v>-3.0516999999999994</v>
      </c>
      <c r="F27" s="881">
        <f>TableB1b!K27</f>
        <v>-4.0746000000000002</v>
      </c>
      <c r="G27" s="888">
        <f>TableB2!G25-TableB2!C25</f>
        <v>1.3800000000000008</v>
      </c>
      <c r="H27" s="882">
        <f>TableB1b!E27</f>
        <v>1.3544</v>
      </c>
      <c r="I27" s="883">
        <f>TableB1b!F27</f>
        <v>2.5600000000000733E-2</v>
      </c>
      <c r="J27" s="884">
        <f>TableB1b!G27+TableB1b!J27+TableB1b!L27</f>
        <v>-0.35709999999999997</v>
      </c>
      <c r="K27" s="885">
        <f>+VLOOKUP($B27,'[3]World BOP data'!$A$3:$Q$199,14,0)/1000000000</f>
        <v>9.1701999999999995</v>
      </c>
      <c r="O27" s="1646">
        <f t="shared" si="2"/>
        <v>0</v>
      </c>
      <c r="P27" s="853">
        <f t="shared" si="3"/>
        <v>0</v>
      </c>
      <c r="Q27" s="853">
        <f t="shared" si="4"/>
        <v>0</v>
      </c>
    </row>
    <row r="28" spans="1:17" ht="15.5" x14ac:dyDescent="0.35">
      <c r="A28" s="379"/>
      <c r="B28" s="860" t="s">
        <v>66</v>
      </c>
      <c r="C28" s="887">
        <f t="shared" si="5"/>
        <v>25.151834301675002</v>
      </c>
      <c r="D28" s="880">
        <f>+VLOOKUP($B28,'[3]World BOP data'!$A$3:$Q$199,2,0)/1000000000</f>
        <v>53.088411933899998</v>
      </c>
      <c r="E28" s="880">
        <f t="shared" si="1"/>
        <v>-11.188730909324995</v>
      </c>
      <c r="F28" s="881">
        <f>TableB1b!K28</f>
        <v>4.75448</v>
      </c>
      <c r="G28" s="888">
        <f>TableB2!G26-TableB2!C26</f>
        <v>0.48626289517500254</v>
      </c>
      <c r="H28" s="882">
        <f>TableB1b!E28</f>
        <v>1.5988386023293986</v>
      </c>
      <c r="I28" s="883">
        <f>TableB1b!F28</f>
        <v>-1.11257570715474</v>
      </c>
      <c r="J28" s="884">
        <f>TableB1b!G28+TableB1b!J28+TableB1b!L28</f>
        <v>-16.429473804499999</v>
      </c>
      <c r="K28" s="885">
        <f>+VLOOKUP($B28,'[3]World BOP data'!$A$3:$Q$199,14,0)/1000000000</f>
        <v>-16.7478467229</v>
      </c>
      <c r="O28" s="1646">
        <f t="shared" si="2"/>
        <v>0</v>
      </c>
      <c r="P28" s="853">
        <f t="shared" si="3"/>
        <v>0</v>
      </c>
      <c r="Q28" s="853">
        <f t="shared" si="4"/>
        <v>3.439470930288735E-13</v>
      </c>
    </row>
    <row r="29" spans="1:17" ht="15.5" x14ac:dyDescent="0.35">
      <c r="A29" s="379"/>
      <c r="B29" s="860" t="s">
        <v>67</v>
      </c>
      <c r="C29" s="887">
        <f t="shared" si="5"/>
        <v>134.86390135182299</v>
      </c>
      <c r="D29" s="880">
        <f>+VLOOKUP($B29,'[3]World BOP data'!$A$3:$Q$199,2,0)/1000000000</f>
        <v>-23.275907631199999</v>
      </c>
      <c r="E29" s="880">
        <f t="shared" si="1"/>
        <v>174.40935293412298</v>
      </c>
      <c r="F29" s="881">
        <f>TableB1b!K29</f>
        <v>-9.51264E-2</v>
      </c>
      <c r="G29" s="888">
        <f>TableB2!G27-TableB2!C27</f>
        <v>70.150732672022997</v>
      </c>
      <c r="H29" s="882">
        <f>TableB1b!E29</f>
        <v>69.291244877162995</v>
      </c>
      <c r="I29" s="883">
        <f>TableB1b!F29</f>
        <v>0.86031422543211022</v>
      </c>
      <c r="J29" s="884">
        <f>TableB1b!G29+TableB1b!J29+TableB1b!L29</f>
        <v>104.35374666209999</v>
      </c>
      <c r="K29" s="885">
        <f>+VLOOKUP($B29,'[3]World BOP data'!$A$3:$Q$199,14,0)/1000000000</f>
        <v>-16.269543951100001</v>
      </c>
      <c r="O29" s="1646">
        <f t="shared" si="2"/>
        <v>0</v>
      </c>
      <c r="P29" s="853">
        <f t="shared" si="3"/>
        <v>0</v>
      </c>
      <c r="Q29" s="853">
        <f t="shared" si="4"/>
        <v>-8.2643057210873838E-4</v>
      </c>
    </row>
    <row r="30" spans="1:17" ht="15.5" x14ac:dyDescent="0.35">
      <c r="A30" s="859" t="s">
        <v>222</v>
      </c>
      <c r="B30" s="860" t="s">
        <v>68</v>
      </c>
      <c r="C30" s="887">
        <f t="shared" si="5"/>
        <v>99.982259627982302</v>
      </c>
      <c r="D30" s="880">
        <f>+VLOOKUP($A30,'[3]World BOP data'!$A$3:$Q$199,2,0)/1000000000</f>
        <v>107.3524</v>
      </c>
      <c r="E30" s="880">
        <f t="shared" si="1"/>
        <v>-2.3849403720177</v>
      </c>
      <c r="F30" s="881">
        <f>TableB1b!K30</f>
        <v>0</v>
      </c>
      <c r="G30" s="888">
        <f>TableB2!G28-TableB2!C28</f>
        <v>-2.3849403720177</v>
      </c>
      <c r="H30" s="882">
        <f>TableB1b!E30</f>
        <v>-2.6293595946325299</v>
      </c>
      <c r="I30" s="883">
        <f>TableB1b!F30</f>
        <v>0.24441922261483998</v>
      </c>
      <c r="J30" s="884">
        <f>TableB1b!G30+TableB1b!J30+TableB1b!L30</f>
        <v>0</v>
      </c>
      <c r="K30" s="885">
        <f>+VLOOKUP($A30,'[3]World BOP data'!$A$3:$Q$199,14,0)/1000000000</f>
        <v>-4.9851999999999999</v>
      </c>
      <c r="O30" s="1646">
        <f t="shared" si="2"/>
        <v>0</v>
      </c>
      <c r="P30" s="853">
        <f t="shared" si="3"/>
        <v>0</v>
      </c>
      <c r="Q30" s="853">
        <f t="shared" si="4"/>
        <v>-1.0130785099704553E-14</v>
      </c>
    </row>
    <row r="31" spans="1:17" ht="15.5" x14ac:dyDescent="0.35">
      <c r="A31" s="379"/>
      <c r="B31" s="860" t="s">
        <v>69</v>
      </c>
      <c r="C31" s="887">
        <f t="shared" si="5"/>
        <v>-0.27511606188919002</v>
      </c>
      <c r="D31" s="880">
        <f>+VLOOKUP($B31,'[3]World BOP data'!$A$3:$Q$199,2,0)/1000000000</f>
        <v>-0.30946332460000003</v>
      </c>
      <c r="E31" s="880">
        <f t="shared" si="1"/>
        <v>-0.12541684718918999</v>
      </c>
      <c r="F31" s="881">
        <f>TableB1b!K31</f>
        <v>0.70552400000000004</v>
      </c>
      <c r="G31" s="888">
        <f>TableB2!G29-TableB2!C29</f>
        <v>-0.99833610648919002</v>
      </c>
      <c r="H31" s="882">
        <f>TableB1b!E31</f>
        <v>-0.951747088186362</v>
      </c>
      <c r="I31" s="883">
        <f>TableB1b!F31</f>
        <v>-4.6589018302828807E-2</v>
      </c>
      <c r="J31" s="884">
        <f>TableB1b!G31+TableB1b!J31+TableB1b!L31</f>
        <v>0.16739525929999999</v>
      </c>
      <c r="K31" s="885">
        <f>+VLOOKUP($B31,'[3]World BOP data'!$A$3:$Q$199,14,0)/1000000000</f>
        <v>0.15976410990000001</v>
      </c>
      <c r="O31" s="1646">
        <f t="shared" si="2"/>
        <v>0</v>
      </c>
      <c r="P31" s="853">
        <f t="shared" si="3"/>
        <v>0</v>
      </c>
      <c r="Q31" s="853">
        <f t="shared" si="4"/>
        <v>7.8409501114151681E-16</v>
      </c>
    </row>
    <row r="32" spans="1:17" ht="15.5" x14ac:dyDescent="0.35">
      <c r="A32" s="379"/>
      <c r="B32" s="860" t="s">
        <v>70</v>
      </c>
      <c r="C32" s="887">
        <f t="shared" si="5"/>
        <v>5.6533274492640047</v>
      </c>
      <c r="D32" s="880">
        <f>+VLOOKUP($B32,'[3]World BOP data'!$A$3:$Q$199,2,0)/1000000000</f>
        <v>19.656265059400003</v>
      </c>
      <c r="E32" s="880">
        <f t="shared" si="1"/>
        <v>-14.977610578835998</v>
      </c>
      <c r="F32" s="881">
        <f>TableB1b!K32</f>
        <v>-9.6544399999999992</v>
      </c>
      <c r="G32" s="888">
        <f>TableB2!G30-TableB2!C30</f>
        <v>25.640599001664</v>
      </c>
      <c r="H32" s="882">
        <f>TableB1b!E32</f>
        <v>10.52911813643999</v>
      </c>
      <c r="I32" s="883">
        <f>TableB1b!F32</f>
        <v>15.111480865224303</v>
      </c>
      <c r="J32" s="884">
        <f>TableB1b!G32+TableB1b!J32+TableB1b!L32</f>
        <v>-30.963769580499999</v>
      </c>
      <c r="K32" s="885">
        <f>+VLOOKUP($B32,'[3]World BOP data'!$A$3:$Q$199,14,0)/1000000000</f>
        <v>0.97467296870000009</v>
      </c>
      <c r="O32" s="1646">
        <f t="shared" si="2"/>
        <v>0</v>
      </c>
      <c r="P32" s="853">
        <f t="shared" si="3"/>
        <v>0</v>
      </c>
      <c r="Q32" s="853">
        <f t="shared" si="4"/>
        <v>-2.9309887850104133E-13</v>
      </c>
    </row>
    <row r="33" spans="1:17" ht="15.5" x14ac:dyDescent="0.35">
      <c r="A33" s="379"/>
      <c r="B33" s="860" t="s">
        <v>71</v>
      </c>
      <c r="C33" s="887">
        <f t="shared" si="5"/>
        <v>-29.221343168899992</v>
      </c>
      <c r="D33" s="880">
        <f>+VLOOKUP($B33,'[3]World BOP data'!$A$3:$Q$199,2,0)/1000000000</f>
        <v>-24.351929606799999</v>
      </c>
      <c r="E33" s="880">
        <f t="shared" si="1"/>
        <v>-29.0000770895</v>
      </c>
      <c r="F33" s="881">
        <f>TableB1b!K33</f>
        <v>1.4483999999999999</v>
      </c>
      <c r="G33" s="888">
        <f>TableB2!G31-TableB2!C31</f>
        <v>-11.75</v>
      </c>
      <c r="H33" s="882">
        <f>TableB1b!E33</f>
        <v>-12.151103767799999</v>
      </c>
      <c r="I33" s="883">
        <f>TableB1b!F33</f>
        <v>0.40110376779999646</v>
      </c>
      <c r="J33" s="884">
        <f>TableB1b!G33+TableB1b!J33+TableB1b!L33</f>
        <v>-18.698477089499999</v>
      </c>
      <c r="K33" s="885">
        <f>+VLOOKUP($B33,'[3]World BOP data'!$A$3:$Q$199,14,0)/1000000000</f>
        <v>24.130663527400003</v>
      </c>
      <c r="O33" s="1646">
        <f t="shared" si="2"/>
        <v>0</v>
      </c>
      <c r="P33" s="853">
        <f t="shared" si="3"/>
        <v>0</v>
      </c>
      <c r="Q33" s="853">
        <f t="shared" si="4"/>
        <v>2.2204460492503131E-15</v>
      </c>
    </row>
    <row r="34" spans="1:17" ht="15.5" x14ac:dyDescent="0.35">
      <c r="A34" s="379"/>
      <c r="B34" s="860" t="s">
        <v>72</v>
      </c>
      <c r="C34" s="887">
        <f t="shared" si="5"/>
        <v>70.094385151309993</v>
      </c>
      <c r="D34" s="880">
        <f>+VLOOKUP($B34,'[3]World BOP data'!$A$3:$Q$199,2,0)/1000000000</f>
        <v>80.05690781780001</v>
      </c>
      <c r="E34" s="880">
        <f t="shared" si="1"/>
        <v>3.0772612948099898</v>
      </c>
      <c r="F34" s="881">
        <f>TableB1b!K34</f>
        <v>-5.4400599999999999</v>
      </c>
      <c r="G34" s="888">
        <f>TableB2!G32-TableB2!C32</f>
        <v>32.227398779809988</v>
      </c>
      <c r="H34" s="882">
        <f>TableB1b!E34</f>
        <v>10.998336106487443</v>
      </c>
      <c r="I34" s="883">
        <f>TableB1b!F34</f>
        <v>21.230171935662998</v>
      </c>
      <c r="J34" s="884">
        <f>TableB1b!G34+TableB1b!J34+TableB1b!L34</f>
        <v>-23.710077484999999</v>
      </c>
      <c r="K34" s="885">
        <f>+VLOOKUP($B34,'[3]World BOP data'!$A$3:$Q$199,14,0)/1000000000</f>
        <v>-13.0397839613</v>
      </c>
      <c r="O34" s="1646">
        <f t="shared" si="2"/>
        <v>0</v>
      </c>
      <c r="P34" s="853">
        <f t="shared" si="3"/>
        <v>0</v>
      </c>
      <c r="Q34" s="853">
        <f t="shared" si="4"/>
        <v>-1.1092623404529434E-3</v>
      </c>
    </row>
    <row r="35" spans="1:17" ht="15.5" x14ac:dyDescent="0.35">
      <c r="A35" s="379"/>
      <c r="B35" s="860" t="s">
        <v>73</v>
      </c>
      <c r="C35" s="887">
        <f t="shared" si="5"/>
        <v>-5.1786588190918996</v>
      </c>
      <c r="D35" s="880">
        <f>+VLOOKUP($B35,'[3]World BOP data'!$A$3:$Q$199,2,0)/1000000000</f>
        <v>1.3633438012999999</v>
      </c>
      <c r="E35" s="880">
        <f t="shared" si="1"/>
        <v>-6.2872922682918997</v>
      </c>
      <c r="F35" s="881">
        <f>TableB1b!K35</f>
        <v>-0.160082</v>
      </c>
      <c r="G35" s="888">
        <f>TableB2!G33-TableB2!C33</f>
        <v>-5.3765165248918994</v>
      </c>
      <c r="H35" s="882">
        <f>TableB1b!E35</f>
        <v>-4.7496862362292553</v>
      </c>
      <c r="I35" s="883">
        <f>TableB1b!F35</f>
        <v>-0.62752754148654288</v>
      </c>
      <c r="J35" s="884">
        <f>TableB1b!G35+TableB1b!J35+TableB1b!L35</f>
        <v>-0.75069374340000017</v>
      </c>
      <c r="K35" s="885">
        <f>+VLOOKUP($B35,'[3]World BOP data'!$A$3:$Q$199,14,0)/1000000000</f>
        <v>-0.25471035209999998</v>
      </c>
      <c r="O35" s="1646">
        <f t="shared" si="2"/>
        <v>0</v>
      </c>
      <c r="P35" s="853">
        <f t="shared" si="3"/>
        <v>0</v>
      </c>
      <c r="Q35" s="853">
        <f t="shared" si="4"/>
        <v>6.9725282389887511E-4</v>
      </c>
    </row>
    <row r="36" spans="1:17" ht="15.5" x14ac:dyDescent="0.35">
      <c r="A36" s="379"/>
      <c r="B36" s="864" t="s">
        <v>74</v>
      </c>
      <c r="C36" s="887">
        <f t="shared" si="5"/>
        <v>32.069760378401298</v>
      </c>
      <c r="D36" s="880">
        <f>+VLOOKUP($B36,'[3]World BOP data'!$A$3:$Q$199,2,0)/1000000000</f>
        <v>21.086789962599997</v>
      </c>
      <c r="E36" s="880">
        <f t="shared" si="1"/>
        <v>17.896533121601298</v>
      </c>
      <c r="F36" s="881">
        <f>TableB1b!K36</f>
        <v>-3.8540199999999998</v>
      </c>
      <c r="G36" s="888">
        <f>TableB2!G34-TableB2!C34</f>
        <v>3.0403134804013003</v>
      </c>
      <c r="H36" s="882">
        <f>TableB1b!E36</f>
        <v>4.7785920662673007</v>
      </c>
      <c r="I36" s="883">
        <f>TableB1b!F36</f>
        <v>-1.7384025891893802</v>
      </c>
      <c r="J36" s="884">
        <f>TableB1b!G36+TableB1b!J36+TableB1b!L36</f>
        <v>18.710239641199998</v>
      </c>
      <c r="K36" s="885">
        <f>+VLOOKUP($B36,'[3]World BOP data'!$A$3:$Q$199,14,0)/1000000000</f>
        <v>-6.9135627058000004</v>
      </c>
      <c r="O36" s="1646">
        <f t="shared" si="2"/>
        <v>0</v>
      </c>
      <c r="P36" s="853">
        <f t="shared" si="3"/>
        <v>0</v>
      </c>
      <c r="Q36" s="853">
        <f t="shared" si="4"/>
        <v>1.2400332337980657E-4</v>
      </c>
    </row>
    <row r="37" spans="1:17" ht="15.5" x14ac:dyDescent="0.35">
      <c r="A37" s="379"/>
      <c r="B37" s="860" t="s">
        <v>75</v>
      </c>
      <c r="C37" s="887">
        <f t="shared" si="5"/>
        <v>-4.6353125033156983</v>
      </c>
      <c r="D37" s="880">
        <f>+VLOOKUP($B37,'[3]World BOP data'!$A$3:$Q$199,2,0)/1000000000</f>
        <v>14.577</v>
      </c>
      <c r="E37" s="880">
        <f t="shared" si="1"/>
        <v>-18.262312503315698</v>
      </c>
      <c r="F37" s="881">
        <f>TableB1b!K37</f>
        <v>0.92800000000000005</v>
      </c>
      <c r="G37" s="888">
        <f>TableB2!G35-TableB2!C35</f>
        <v>-17.459312503315701</v>
      </c>
      <c r="H37" s="882">
        <f>TableB1b!E37</f>
        <v>-15.362580234470316</v>
      </c>
      <c r="I37" s="883">
        <f>TableB1b!F37</f>
        <v>-2.0967322688451793</v>
      </c>
      <c r="J37" s="884">
        <f>TableB1b!G37+TableB1b!J37+TableB1b!L37</f>
        <v>-1.7309999999999999</v>
      </c>
      <c r="K37" s="885">
        <f>+VLOOKUP($B37,'[3]World BOP data'!$A$3:$Q$199,14,0)/1000000000</f>
        <v>-0.95</v>
      </c>
      <c r="O37" s="1646">
        <f t="shared" si="2"/>
        <v>0</v>
      </c>
      <c r="P37" s="853">
        <f t="shared" si="3"/>
        <v>1.7763568394002505E-15</v>
      </c>
      <c r="Q37" s="853">
        <f t="shared" si="4"/>
        <v>-2.0516921495072893E-13</v>
      </c>
    </row>
    <row r="38" spans="1:17" ht="15.5" x14ac:dyDescent="0.35">
      <c r="A38" s="379"/>
      <c r="B38" s="860" t="s">
        <v>76</v>
      </c>
      <c r="C38" s="887">
        <f t="shared" si="5"/>
        <v>6.2101720256900528E-2</v>
      </c>
      <c r="D38" s="880">
        <f>+VLOOKUP($B38,'[3]World BOP data'!$A$3:$Q$199,2,0)/1000000000</f>
        <v>3.5112692421</v>
      </c>
      <c r="E38" s="880">
        <f t="shared" si="1"/>
        <v>-5.1143602359430993</v>
      </c>
      <c r="F38" s="881">
        <f>TableB1b!K38</f>
        <v>0.13298699999999999</v>
      </c>
      <c r="G38" s="888">
        <f>TableB2!G36-TableB2!C36</f>
        <v>-2.9450915141430998</v>
      </c>
      <c r="H38" s="882">
        <f>TableB1b!E38</f>
        <v>-2.0610094287299101</v>
      </c>
      <c r="I38" s="883">
        <f>TableB1b!F38</f>
        <v>-0.88408208541319999</v>
      </c>
      <c r="J38" s="884">
        <f>TableB1b!G38+TableB1b!J38+TableB1b!L38</f>
        <v>-2.3022557217999999</v>
      </c>
      <c r="K38" s="885">
        <f>+VLOOKUP($B38,'[3]World BOP data'!$A$3:$Q$199,14,0)/1000000000</f>
        <v>1.6651927140999998</v>
      </c>
      <c r="O38" s="1646">
        <f t="shared" si="2"/>
        <v>0</v>
      </c>
      <c r="P38" s="853">
        <f t="shared" si="3"/>
        <v>0</v>
      </c>
      <c r="Q38" s="853">
        <f t="shared" si="4"/>
        <v>1.0325074129013956E-14</v>
      </c>
    </row>
    <row r="39" spans="1:17" ht="15.5" x14ac:dyDescent="0.35">
      <c r="A39" s="379"/>
      <c r="B39" s="860" t="s">
        <v>77</v>
      </c>
      <c r="C39" s="887">
        <f t="shared" si="5"/>
        <v>-0.46455140495939951</v>
      </c>
      <c r="D39" s="880">
        <f>+VLOOKUP($B39,'[3]World BOP data'!$A$3:$Q$199,2,0)/1000000000</f>
        <v>2.4223451886999996</v>
      </c>
      <c r="E39" s="880">
        <f t="shared" si="1"/>
        <v>-1.5203485240593992</v>
      </c>
      <c r="F39" s="881">
        <f>TableB1b!K39</f>
        <v>1.6504700000000001</v>
      </c>
      <c r="G39" s="888">
        <f>TableB2!G37-TableB2!C37</f>
        <v>-4.0705713843593996</v>
      </c>
      <c r="H39" s="882">
        <f>TableB1b!E39</f>
        <v>-3.7777937914586763</v>
      </c>
      <c r="I39" s="883">
        <f>TableB1b!F39</f>
        <v>-0.29277759290072503</v>
      </c>
      <c r="J39" s="884">
        <f>TableB1b!G39+TableB1b!J39+TableB1b!L39</f>
        <v>0.89975286030000001</v>
      </c>
      <c r="K39" s="885">
        <f>+VLOOKUP($B39,'[3]World BOP data'!$A$3:$Q$199,14,0)/1000000000</f>
        <v>-1.3665480695999999</v>
      </c>
      <c r="O39" s="1646">
        <f t="shared" si="2"/>
        <v>0</v>
      </c>
      <c r="P39" s="853">
        <f t="shared" si="3"/>
        <v>0</v>
      </c>
      <c r="Q39" s="853">
        <f t="shared" si="4"/>
        <v>1.7763568394002505E-15</v>
      </c>
    </row>
    <row r="40" spans="1:17" ht="15.5" x14ac:dyDescent="0.35">
      <c r="A40" s="379"/>
      <c r="B40" s="864" t="s">
        <v>78</v>
      </c>
      <c r="C40" s="887">
        <f t="shared" si="5"/>
        <v>1.8669149447324922</v>
      </c>
      <c r="D40" s="880">
        <f>+VLOOKUP($B40,'[3]World BOP data'!$A$3:$Q$199,2,0)/1000000000</f>
        <v>3.6988828380999998</v>
      </c>
      <c r="E40" s="880">
        <f t="shared" si="1"/>
        <v>-1.4149578055675078</v>
      </c>
      <c r="F40" s="881">
        <f>TableB1b!K40</f>
        <v>0.22276299999999999</v>
      </c>
      <c r="G40" s="888">
        <f>TableB2!G38-TableB2!C38</f>
        <v>-1.0230083194675079</v>
      </c>
      <c r="H40" s="882">
        <f>TableB1b!E40</f>
        <v>-0.99966389351080898</v>
      </c>
      <c r="I40" s="883">
        <f>TableB1b!F40</f>
        <v>-2.3344425956739003E-2</v>
      </c>
      <c r="J40" s="884">
        <f>TableB1b!G40+TableB1b!J40+TableB1b!L40</f>
        <v>-0.61471248609999996</v>
      </c>
      <c r="K40" s="885">
        <f>+VLOOKUP($B40,'[3]World BOP data'!$A$3:$Q$199,14,0)/1000000000</f>
        <v>-0.41701008779999998</v>
      </c>
      <c r="O40" s="1646">
        <f t="shared" si="2"/>
        <v>0</v>
      </c>
      <c r="P40" s="853">
        <f t="shared" si="3"/>
        <v>0</v>
      </c>
      <c r="Q40" s="853">
        <f t="shared" si="4"/>
        <v>4.0058234507256429E-14</v>
      </c>
    </row>
    <row r="41" spans="1:17" ht="15.5" x14ac:dyDescent="0.35">
      <c r="A41" s="379"/>
      <c r="B41" s="860" t="s">
        <v>79</v>
      </c>
      <c r="C41" s="887">
        <f t="shared" si="5"/>
        <v>19.095024122486002</v>
      </c>
      <c r="D41" s="880">
        <f>+VLOOKUP($B41,'[3]World BOP data'!$A$3:$Q$199,2,0)/1000000000</f>
        <v>29.088750019199999</v>
      </c>
      <c r="E41" s="880">
        <f t="shared" si="1"/>
        <v>2.0812292535860042</v>
      </c>
      <c r="F41" s="881">
        <f>TableB1b!K41</f>
        <v>2.3014299999999999</v>
      </c>
      <c r="G41" s="888">
        <f>TableB2!G39-TableB2!C39</f>
        <v>8.869661674986002</v>
      </c>
      <c r="H41" s="882">
        <f>TableB1b!E41</f>
        <v>13.300055463116902</v>
      </c>
      <c r="I41" s="883">
        <f>TableB1b!F41</f>
        <v>-4.4303937881308997</v>
      </c>
      <c r="J41" s="884">
        <f>TableB1b!G41+TableB1b!J41+TableB1b!L41</f>
        <v>-9.0898624213999977</v>
      </c>
      <c r="K41" s="885">
        <f>+VLOOKUP($B41,'[3]World BOP data'!$A$3:$Q$199,14,0)/1000000000</f>
        <v>-12.074955150299999</v>
      </c>
      <c r="O41" s="1646">
        <f t="shared" si="2"/>
        <v>0</v>
      </c>
      <c r="P41" s="853">
        <f t="shared" si="3"/>
        <v>0</v>
      </c>
      <c r="Q41" s="853">
        <f t="shared" si="4"/>
        <v>0</v>
      </c>
    </row>
    <row r="42" spans="1:17" ht="15.5" x14ac:dyDescent="0.35">
      <c r="A42" s="379"/>
      <c r="B42" s="860" t="s">
        <v>80</v>
      </c>
      <c r="C42" s="887">
        <f t="shared" si="5"/>
        <v>22.801183079806002</v>
      </c>
      <c r="D42" s="880">
        <f>+VLOOKUP($B42,'[3]World BOP data'!$A$3:$Q$199,2,0)/1000000000</f>
        <v>24.546649288000001</v>
      </c>
      <c r="E42" s="880">
        <f t="shared" si="1"/>
        <v>6.4959621662059996</v>
      </c>
      <c r="F42" s="881">
        <f>TableB1b!K42</f>
        <v>2.0425800000000001</v>
      </c>
      <c r="G42" s="888">
        <f>TableB2!G40-TableB2!C40</f>
        <v>7.8616255205059993</v>
      </c>
      <c r="H42" s="882">
        <f>TableB1b!E42</f>
        <v>8.014069970222403</v>
      </c>
      <c r="I42" s="883">
        <f>TableB1b!F42</f>
        <v>-0.15256308353010017</v>
      </c>
      <c r="J42" s="884">
        <f>TableB1b!G42+TableB1b!J42+TableB1b!L42</f>
        <v>-3.4082433543000006</v>
      </c>
      <c r="K42" s="885">
        <f>+VLOOKUP($B42,'[3]World BOP data'!$A$3:$Q$199,14,0)/1000000000</f>
        <v>-8.2414283743999999</v>
      </c>
      <c r="O42" s="1646">
        <f t="shared" si="2"/>
        <v>0</v>
      </c>
      <c r="P42" s="853">
        <f t="shared" si="3"/>
        <v>0</v>
      </c>
      <c r="Q42" s="853">
        <f t="shared" si="4"/>
        <v>1.1863381369647819E-4</v>
      </c>
    </row>
    <row r="43" spans="1:17" ht="15.5" x14ac:dyDescent="0.35">
      <c r="A43" s="379"/>
      <c r="B43" s="860" t="s">
        <v>1</v>
      </c>
      <c r="C43" s="887">
        <f t="shared" si="5"/>
        <v>75.743675341047009</v>
      </c>
      <c r="D43" s="880">
        <f>+VLOOKUP($B43,'[3]World BOP data'!$A$3:$Q$199,2,0)/1000000000</f>
        <v>72.236173587100012</v>
      </c>
      <c r="E43" s="880">
        <f t="shared" si="1"/>
        <v>16.765160490646998</v>
      </c>
      <c r="F43" s="881">
        <f>TableB1b!K43</f>
        <v>-21.828399999999998</v>
      </c>
      <c r="G43" s="888">
        <f>TableB2!G41-TableB2!C41</f>
        <v>30.368160490646993</v>
      </c>
      <c r="H43" s="882">
        <f>TableB1b!E43</f>
        <v>26.818145302579005</v>
      </c>
      <c r="I43" s="883">
        <f>TableB1b!F43</f>
        <v>3.5500151880690005</v>
      </c>
      <c r="J43" s="884">
        <f>TableB1b!G43+TableB1b!J43+TableB1b!L43</f>
        <v>8.2254000000000023</v>
      </c>
      <c r="K43" s="885">
        <f>+VLOOKUP($B43,'[3]World BOP data'!$A$3:$Q$199,14,0)/1000000000</f>
        <v>-13.257658736700002</v>
      </c>
      <c r="O43" s="1646">
        <f t="shared" si="2"/>
        <v>0</v>
      </c>
      <c r="P43" s="853">
        <f t="shared" si="3"/>
        <v>0</v>
      </c>
      <c r="Q43" s="853">
        <f t="shared" si="4"/>
        <v>-1.0125233984581428E-12</v>
      </c>
    </row>
    <row r="44" spans="1:17" ht="15.5" x14ac:dyDescent="0.35">
      <c r="A44" s="379"/>
      <c r="B44" s="860" t="s">
        <v>81</v>
      </c>
      <c r="C44" s="887">
        <f t="shared" si="5"/>
        <v>-32.119169999999997</v>
      </c>
      <c r="D44" s="880">
        <f>+VLOOKUP($B44,'[3]World BOP data'!$A$3:$Q$199,2,0)/1000000000</f>
        <v>-23.905999999999999</v>
      </c>
      <c r="E44" s="880">
        <f t="shared" si="1"/>
        <v>-9.6431699999999996</v>
      </c>
      <c r="F44" s="881">
        <f>TableB1b!K44</f>
        <v>-0.40699999999999997</v>
      </c>
      <c r="G44" s="888">
        <f>TableB2!G42-TableB2!C42</f>
        <v>-3.3191699999999997</v>
      </c>
      <c r="H44" s="882">
        <f>TableB1b!E44</f>
        <v>-3.1791100000000001</v>
      </c>
      <c r="I44" s="883">
        <f>TableB1b!F44</f>
        <v>-0.14006000000000002</v>
      </c>
      <c r="J44" s="884">
        <f>TableB1b!G44+TableB1b!J44+TableB1b!L44</f>
        <v>-5.9169999999999998</v>
      </c>
      <c r="K44" s="885">
        <f>+VLOOKUP($B44,'[3]World BOP data'!$A$3:$Q$199,14,0)/1000000000</f>
        <v>1.43</v>
      </c>
      <c r="O44" s="1646">
        <f t="shared" ref="O44:O64" si="6">C44-D44-E44-K44</f>
        <v>0</v>
      </c>
      <c r="P44" s="853">
        <f t="shared" ref="P44:P64" si="7">E44-F44-G44-J44</f>
        <v>0</v>
      </c>
      <c r="Q44" s="853">
        <f t="shared" ref="Q44:Q64" si="8">G44-H44-I44</f>
        <v>3.8857805861880479E-16</v>
      </c>
    </row>
    <row r="45" spans="1:17" ht="15.5" x14ac:dyDescent="0.35">
      <c r="A45" s="379"/>
      <c r="B45" s="860" t="s">
        <v>82</v>
      </c>
      <c r="C45" s="887">
        <f t="shared" si="5"/>
        <v>-122.385052442757</v>
      </c>
      <c r="D45" s="880">
        <f>+VLOOKUP($B45,'[3]World BOP data'!$A$3:$Q$199,2,0)/1000000000</f>
        <v>-45.693501871400002</v>
      </c>
      <c r="E45" s="880">
        <f t="shared" si="1"/>
        <v>-39.030639648157006</v>
      </c>
      <c r="F45" s="881">
        <f>TableB1b!K45</f>
        <v>-0.13176399999999999</v>
      </c>
      <c r="G45" s="888">
        <f>TableB2!G43-TableB2!C43</f>
        <v>13.893048128342997</v>
      </c>
      <c r="H45" s="882">
        <f>TableB1b!E45</f>
        <v>24.846827878169748</v>
      </c>
      <c r="I45" s="883">
        <f>TableB1b!F45</f>
        <v>-10.953779749826746</v>
      </c>
      <c r="J45" s="884">
        <f>TableB1b!G45+TableB1b!J45+TableB1b!L45</f>
        <v>-52.791923776499999</v>
      </c>
      <c r="K45" s="885">
        <f>+VLOOKUP($B45,'[3]World BOP data'!$A$3:$Q$199,14,0)/1000000000</f>
        <v>-37.660910923199999</v>
      </c>
      <c r="O45" s="1646">
        <f t="shared" si="6"/>
        <v>0</v>
      </c>
      <c r="P45" s="853">
        <f t="shared" si="7"/>
        <v>0</v>
      </c>
      <c r="Q45" s="853">
        <f t="shared" si="8"/>
        <v>0</v>
      </c>
    </row>
    <row r="46" spans="1:17" ht="15.5" x14ac:dyDescent="0.35">
      <c r="A46" s="379"/>
      <c r="B46" s="860" t="s">
        <v>0</v>
      </c>
      <c r="C46" s="887">
        <f t="shared" si="5"/>
        <v>-449.73400000000004</v>
      </c>
      <c r="D46" s="880">
        <f>+VLOOKUP($B46,'[3]World BOP data'!$A$3:$Q$199,2,0)/1000000000</f>
        <v>-500</v>
      </c>
      <c r="E46" s="880">
        <f t="shared" si="1"/>
        <v>170.26599999999999</v>
      </c>
      <c r="F46" s="881">
        <f>TableB1b!K46</f>
        <v>-11.734999999999999</v>
      </c>
      <c r="G46" s="888">
        <f>TableB2!G44-TableB2!C44</f>
        <v>266.529</v>
      </c>
      <c r="H46" s="882">
        <f>TableB1b!E46</f>
        <v>285.185</v>
      </c>
      <c r="I46" s="883">
        <f>TableB1b!F46</f>
        <v>-18.655999999999999</v>
      </c>
      <c r="J46" s="884">
        <f>TableB1b!G46+TableB1b!J46+TableB1b!L46</f>
        <v>-84.527999999999992</v>
      </c>
      <c r="K46" s="885">
        <f>+VLOOKUP($B46,'[3]World BOP data'!$A$3:$Q$199,14,0)/1000000000</f>
        <v>-120</v>
      </c>
      <c r="O46" s="1646">
        <f t="shared" si="6"/>
        <v>0</v>
      </c>
      <c r="P46" s="853">
        <f t="shared" si="7"/>
        <v>0</v>
      </c>
      <c r="Q46" s="853">
        <f t="shared" si="8"/>
        <v>0</v>
      </c>
    </row>
    <row r="47" spans="1:17" ht="40" customHeight="1" x14ac:dyDescent="0.25">
      <c r="A47" s="379"/>
      <c r="B47" s="38" t="s">
        <v>99</v>
      </c>
      <c r="C47" s="1654"/>
      <c r="D47" s="1655"/>
      <c r="E47" s="1655"/>
      <c r="F47" s="1656"/>
      <c r="G47" s="1655"/>
      <c r="H47" s="1657"/>
      <c r="I47" s="1658"/>
      <c r="J47" s="1659"/>
      <c r="K47" s="1660"/>
      <c r="O47" s="1646"/>
      <c r="P47" s="853"/>
      <c r="Q47" s="853"/>
    </row>
    <row r="48" spans="1:17" ht="15.5" x14ac:dyDescent="0.35">
      <c r="A48" s="379" t="s">
        <v>92</v>
      </c>
      <c r="B48" s="899" t="s">
        <v>92</v>
      </c>
      <c r="C48" s="887">
        <f t="shared" si="5"/>
        <v>-62.042500438999994</v>
      </c>
      <c r="D48" s="880">
        <f>+VLOOKUP($A48,'[3]World BOP data'!$A$3:$Q$199,2,0)/1000000000</f>
        <v>-19.248507289099997</v>
      </c>
      <c r="E48" s="880">
        <f t="shared" ref="E48:E54" si="9">F48+G48+J48</f>
        <v>-45.517752664400007</v>
      </c>
      <c r="F48" s="881">
        <f>TableB1b!K48</f>
        <v>0.34923399999999999</v>
      </c>
      <c r="G48" s="888">
        <f>TableB2!G46-TableB2!C46</f>
        <v>-21.310946850500002</v>
      </c>
      <c r="H48" s="882">
        <f>TableB1b!E48</f>
        <v>-16.685762936409997</v>
      </c>
      <c r="I48" s="883">
        <f>TableB1b!F48</f>
        <v>-4.58980803627</v>
      </c>
      <c r="J48" s="884">
        <f>TableB1b!G48+TableB1b!J48+TableB1b!L48</f>
        <v>-24.5560398139</v>
      </c>
      <c r="K48" s="885">
        <f>+VLOOKUP($B48,'[3]World BOP data'!$A$3:$Q$199,14,0)/1000000000</f>
        <v>2.7237595145000002</v>
      </c>
      <c r="O48" s="1646">
        <f t="shared" si="6"/>
        <v>9.7699626167013776E-15</v>
      </c>
      <c r="P48" s="853">
        <f t="shared" si="7"/>
        <v>0</v>
      </c>
      <c r="Q48" s="853">
        <f t="shared" si="8"/>
        <v>-3.5375877820005286E-2</v>
      </c>
    </row>
    <row r="49" spans="1:17" ht="15.5" x14ac:dyDescent="0.35">
      <c r="A49" s="859" t="s">
        <v>488</v>
      </c>
      <c r="B49" s="860" t="s">
        <v>101</v>
      </c>
      <c r="C49" s="887">
        <f t="shared" si="5"/>
        <v>304.16446188040561</v>
      </c>
      <c r="D49" s="880">
        <f>+VLOOKUP($B49,'[3]World BOP data'!$A$3:$Q$199,2,0)/1000000000</f>
        <v>357.87076428130001</v>
      </c>
      <c r="E49" s="880">
        <f t="shared" si="9"/>
        <v>-41.05697396009441</v>
      </c>
      <c r="F49" s="881">
        <f>TableB1b!K49</f>
        <v>27.386500000000002</v>
      </c>
      <c r="G49" s="888">
        <f>TableB2!G47-TableB2!C47</f>
        <v>-34.555951026594414</v>
      </c>
      <c r="H49" s="882">
        <f>TableB1b!E49</f>
        <v>-34.555951026594414</v>
      </c>
      <c r="I49" s="883">
        <f>TableB1b!F49</f>
        <v>0</v>
      </c>
      <c r="J49" s="884">
        <f>TableB1b!G49+TableB1b!J49+TableB1b!L49</f>
        <v>-33.887522933500001</v>
      </c>
      <c r="K49" s="885">
        <f>+VLOOKUP($B49,'[3]World BOP data'!$A$3:$Q$199,14,0)/1000000000</f>
        <v>-12.6493284408</v>
      </c>
      <c r="O49" s="1646">
        <f t="shared" si="6"/>
        <v>0</v>
      </c>
      <c r="P49" s="853">
        <f t="shared" si="7"/>
        <v>0</v>
      </c>
      <c r="Q49" s="853">
        <f t="shared" si="8"/>
        <v>0</v>
      </c>
    </row>
    <row r="50" spans="1:17" ht="15.5" x14ac:dyDescent="0.35">
      <c r="A50" s="379"/>
      <c r="B50" s="860" t="s">
        <v>93</v>
      </c>
      <c r="C50" s="887">
        <f t="shared" si="5"/>
        <v>-19.083277812800006</v>
      </c>
      <c r="D50" s="880">
        <f>+VLOOKUP($B50,'[3]World BOP data'!$A$3:$Q$199,2,0)/1000000000</f>
        <v>-18.543288431700002</v>
      </c>
      <c r="E50" s="880">
        <f t="shared" si="9"/>
        <v>-5.9697216002999998</v>
      </c>
      <c r="F50" s="881">
        <f>TableB1b!K50</f>
        <v>-3.4732199999999998E-2</v>
      </c>
      <c r="G50" s="888">
        <f>TableB2!G48-TableB2!C48</f>
        <v>-1.7484193972999997</v>
      </c>
      <c r="H50" s="882">
        <f>TableB1b!E50</f>
        <v>-1.2611379088999999</v>
      </c>
      <c r="I50" s="883">
        <f>TableB1b!F50</f>
        <v>-0.48728148839999996</v>
      </c>
      <c r="J50" s="884">
        <f>TableB1b!G50+TableB1b!J50+TableB1b!L50</f>
        <v>-4.1865700029999999</v>
      </c>
      <c r="K50" s="885">
        <f>+VLOOKUP($B50,'[3]World BOP data'!$A$3:$Q$199,14,0)/1000000000</f>
        <v>5.4297322191999999</v>
      </c>
      <c r="O50" s="1646">
        <f t="shared" si="6"/>
        <v>0</v>
      </c>
      <c r="P50" s="853">
        <f t="shared" si="7"/>
        <v>0</v>
      </c>
      <c r="Q50" s="853">
        <f t="shared" si="8"/>
        <v>0</v>
      </c>
    </row>
    <row r="51" spans="1:17" ht="15.5" x14ac:dyDescent="0.35">
      <c r="A51" s="379"/>
      <c r="B51" s="860" t="s">
        <v>94</v>
      </c>
      <c r="C51" s="887">
        <f t="shared" si="5"/>
        <v>-2.1082263101000001</v>
      </c>
      <c r="D51" s="880">
        <f>+VLOOKUP($B51,'[3]World BOP data'!$A$3:$Q$199,2,0)/1000000000</f>
        <v>-1.8108003000000001E-2</v>
      </c>
      <c r="E51" s="880">
        <f t="shared" si="9"/>
        <v>-2.5472001676999998</v>
      </c>
      <c r="F51" s="881">
        <f>TableB1b!K51</f>
        <v>-6.08671E-2</v>
      </c>
      <c r="G51" s="888">
        <f>TableB2!G49-TableB2!C49</f>
        <v>-1.9651139597</v>
      </c>
      <c r="H51" s="882">
        <f>TableB1b!E51</f>
        <v>-0.89792523350000009</v>
      </c>
      <c r="I51" s="883">
        <f>TableB1b!F51</f>
        <v>-1.0671887261999999</v>
      </c>
      <c r="J51" s="884">
        <f>TableB1b!G51+TableB1b!J51+TableB1b!L51</f>
        <v>-0.52121910799999993</v>
      </c>
      <c r="K51" s="885">
        <f>+VLOOKUP($B51,'[3]World BOP data'!$A$3:$Q$199,14,0)/1000000000</f>
        <v>0.4570818606</v>
      </c>
      <c r="O51" s="1646">
        <f t="shared" si="6"/>
        <v>0</v>
      </c>
      <c r="P51" s="853">
        <f t="shared" si="7"/>
        <v>0</v>
      </c>
      <c r="Q51" s="853">
        <f t="shared" si="8"/>
        <v>0</v>
      </c>
    </row>
    <row r="52" spans="1:17" ht="15.5" x14ac:dyDescent="0.35">
      <c r="A52" s="379"/>
      <c r="B52" s="860" t="s">
        <v>102</v>
      </c>
      <c r="C52" s="887">
        <f t="shared" si="5"/>
        <v>-25.787330963999992</v>
      </c>
      <c r="D52" s="880">
        <f>+VLOOKUP($B52,'[3]World BOP data'!$A$3:$Q$199,2,0)/1000000000</f>
        <v>-63.249171394800001</v>
      </c>
      <c r="E52" s="880">
        <f t="shared" si="9"/>
        <v>-26.690869753999998</v>
      </c>
      <c r="F52" s="881">
        <f>TableB1b!K52</f>
        <v>1.31857</v>
      </c>
      <c r="G52" s="888">
        <f>TableB2!G50-TableB2!C50</f>
        <v>-8.6814563184999987</v>
      </c>
      <c r="H52" s="882">
        <f>TableB1b!E52</f>
        <v>-1.9692084181999983</v>
      </c>
      <c r="I52" s="883">
        <f>TableB1b!F52</f>
        <v>-6.7122479003000004</v>
      </c>
      <c r="J52" s="884">
        <f>TableB1b!G52+TableB1b!J52+TableB1b!L52</f>
        <v>-19.327983435499998</v>
      </c>
      <c r="K52" s="885">
        <f>+VLOOKUP($B52,'[3]World BOP data'!$A$3:$Q$199,14,0)/1000000000</f>
        <v>64.1527101848</v>
      </c>
      <c r="O52" s="1646">
        <f t="shared" si="6"/>
        <v>0</v>
      </c>
      <c r="P52" s="853">
        <f t="shared" si="7"/>
        <v>0</v>
      </c>
      <c r="Q52" s="853">
        <f t="shared" si="8"/>
        <v>0</v>
      </c>
    </row>
    <row r="53" spans="1:17" ht="15.5" x14ac:dyDescent="0.35">
      <c r="A53" s="379"/>
      <c r="B53" s="860" t="s">
        <v>318</v>
      </c>
      <c r="C53" s="887">
        <f t="shared" si="5"/>
        <v>67.858109999999996</v>
      </c>
      <c r="D53" s="880">
        <f>+VLOOKUP($B53,'[3]World BOP data'!$A$3:$Q$199,2,0)/1000000000</f>
        <v>111.47775</v>
      </c>
      <c r="E53" s="880">
        <f t="shared" si="9"/>
        <v>-37.899680000000004</v>
      </c>
      <c r="F53" s="881">
        <f>TableB1b!K53</f>
        <v>-5.1038699999999997</v>
      </c>
      <c r="G53" s="888">
        <f>TableB2!G51-TableB2!C51</f>
        <v>-23.717169999999999</v>
      </c>
      <c r="H53" s="882">
        <f>TableB1b!E53</f>
        <v>-18.431759999999997</v>
      </c>
      <c r="I53" s="883">
        <f>TableB1b!F53</f>
        <v>-5.2854099999999997</v>
      </c>
      <c r="J53" s="884">
        <f>TableB1b!G53+TableB1b!J53+TableB1b!L53</f>
        <v>-9.0786400000000018</v>
      </c>
      <c r="K53" s="885">
        <f>+VLOOKUP($B53,'[3]World BOP data'!$A$3:$Q$199,14,0)/1000000000</f>
        <v>-5.7199600000000004</v>
      </c>
      <c r="O53" s="1646">
        <f t="shared" si="6"/>
        <v>0</v>
      </c>
      <c r="P53" s="853">
        <f t="shared" si="7"/>
        <v>0</v>
      </c>
      <c r="Q53" s="853">
        <f t="shared" si="8"/>
        <v>0</v>
      </c>
    </row>
    <row r="54" spans="1:17" ht="15.5" x14ac:dyDescent="0.35">
      <c r="A54" s="379"/>
      <c r="B54" s="860" t="s">
        <v>97</v>
      </c>
      <c r="C54" s="887">
        <f t="shared" si="5"/>
        <v>-13.9090694671</v>
      </c>
      <c r="D54" s="880">
        <f>+VLOOKUP($B54,'[3]World BOP data'!$A$3:$Q$199,2,0)/1000000000</f>
        <v>-3.4638944553000002</v>
      </c>
      <c r="E54" s="880">
        <f t="shared" si="9"/>
        <v>-7.7994050636000001</v>
      </c>
      <c r="F54" s="881">
        <f>TableB1b!K54</f>
        <v>-0.15484400000000001</v>
      </c>
      <c r="G54" s="888">
        <f>TableB2!G52-TableB2!C52</f>
        <v>-3.7332209097</v>
      </c>
      <c r="H54" s="882">
        <f>TableB1b!E54</f>
        <v>-3.7332209096999995</v>
      </c>
      <c r="I54" s="883">
        <f>TableB1b!F54</f>
        <v>0</v>
      </c>
      <c r="J54" s="884">
        <f>TableB1b!G54+TableB1b!J54+TableB1b!L54</f>
        <v>-3.9113401538999999</v>
      </c>
      <c r="K54" s="885">
        <f>+VLOOKUP($B54,'[3]World BOP data'!$A$3:$Q$199,14,0)/1000000000</f>
        <v>-2.6457699481999999</v>
      </c>
      <c r="O54" s="1646">
        <f t="shared" si="6"/>
        <v>0</v>
      </c>
      <c r="P54" s="853">
        <f t="shared" si="7"/>
        <v>0</v>
      </c>
      <c r="Q54" s="853">
        <f t="shared" si="8"/>
        <v>-4.4408920985006262E-16</v>
      </c>
    </row>
    <row r="55" spans="1:17" ht="40" customHeight="1" x14ac:dyDescent="0.35">
      <c r="A55" s="379"/>
      <c r="B55" s="38" t="s">
        <v>100</v>
      </c>
      <c r="C55" s="887"/>
      <c r="D55" s="880"/>
      <c r="E55" s="880" t="e">
        <f>+VLOOKUP(B55,'[3]World BOP data'!#REF!,2,0)/1000000000</f>
        <v>#REF!</v>
      </c>
      <c r="F55" s="881"/>
      <c r="G55" s="888"/>
      <c r="H55" s="882"/>
      <c r="I55" s="883"/>
      <c r="J55" s="884"/>
      <c r="K55" s="886"/>
      <c r="O55" s="1646"/>
      <c r="P55" s="853"/>
      <c r="Q55" s="853"/>
    </row>
    <row r="56" spans="1:17" ht="15.5" x14ac:dyDescent="0.35">
      <c r="A56" s="379"/>
      <c r="B56" s="860" t="s">
        <v>272</v>
      </c>
      <c r="C56" s="887" t="e">
        <f t="shared" si="5"/>
        <v>#N/A</v>
      </c>
      <c r="D56" s="880" t="e">
        <f>+VLOOKUP($B56,'[3]World BOP data'!$A$3:$Q$199,2,0)/1000000000</f>
        <v>#N/A</v>
      </c>
      <c r="E56" s="880">
        <f t="shared" ref="E56:E91" si="10">F56+G56+J56</f>
        <v>3.27E-2</v>
      </c>
      <c r="F56" s="881">
        <f>TableB1b!K56</f>
        <v>0</v>
      </c>
      <c r="G56" s="888">
        <f>TableB2!G54-TableB2!C54</f>
        <v>3.27E-2</v>
      </c>
      <c r="H56" s="882">
        <f>TableB2!H54+TableB2!J54-TableB2!D54-TableB2!F54</f>
        <v>3.27E-2</v>
      </c>
      <c r="I56" s="883">
        <f>TableB2!I54-TableB2!E54</f>
        <v>0</v>
      </c>
      <c r="J56" s="884">
        <f>TableB1b!G56+TableB1b!J56+TableB1b!L56</f>
        <v>0</v>
      </c>
      <c r="K56" s="885" t="e">
        <f>+VLOOKUP($B56,'[3]World BOP data'!$A$3:$Q$199,14,0)/1000000000</f>
        <v>#N/A</v>
      </c>
      <c r="O56" s="1646" t="e">
        <f t="shared" si="6"/>
        <v>#N/A</v>
      </c>
      <c r="P56" s="853">
        <f t="shared" si="7"/>
        <v>0</v>
      </c>
      <c r="Q56" s="853">
        <f t="shared" si="8"/>
        <v>0</v>
      </c>
    </row>
    <row r="57" spans="1:17" ht="15.5" x14ac:dyDescent="0.35">
      <c r="A57" s="379"/>
      <c r="B57" s="860" t="s">
        <v>273</v>
      </c>
      <c r="C57" s="887">
        <f t="shared" si="5"/>
        <v>-0.1027</v>
      </c>
      <c r="D57" s="880">
        <f>+VLOOKUP($B57,'[3]World BOP data'!$A$3:$Q$199,2,0)/1000000000</f>
        <v>0</v>
      </c>
      <c r="E57" s="880">
        <f t="shared" si="10"/>
        <v>-0.1027</v>
      </c>
      <c r="F57" s="881">
        <f>TableB1b!K57</f>
        <v>0</v>
      </c>
      <c r="G57" s="888">
        <f>TableB2!G55-TableB2!C55</f>
        <v>-0.1027</v>
      </c>
      <c r="H57" s="882">
        <f>TableB2!H55+TableB2!J55-TableB2!D55-TableB2!F55</f>
        <v>-0.1027</v>
      </c>
      <c r="I57" s="883">
        <f>TableB2!I55-TableB2!E55</f>
        <v>0</v>
      </c>
      <c r="J57" s="884">
        <f>TableB1b!G57+TableB1b!J57+TableB1b!L57</f>
        <v>0</v>
      </c>
      <c r="K57" s="885">
        <f>+VLOOKUP($B57,'[3]World BOP data'!$A$3:$Q$199,14,0)/1000000000</f>
        <v>0</v>
      </c>
      <c r="O57" s="1646">
        <f t="shared" si="6"/>
        <v>0</v>
      </c>
      <c r="P57" s="853">
        <f t="shared" si="7"/>
        <v>0</v>
      </c>
      <c r="Q57" s="853">
        <f t="shared" si="8"/>
        <v>0</v>
      </c>
    </row>
    <row r="58" spans="1:17" ht="15.5" x14ac:dyDescent="0.35">
      <c r="A58" s="379"/>
      <c r="B58" s="860" t="s">
        <v>319</v>
      </c>
      <c r="C58" s="887">
        <f t="shared" si="5"/>
        <v>-7.690000000000001E-2</v>
      </c>
      <c r="D58" s="880">
        <f>+VLOOKUP($B58,'[3]World BOP data'!$A$3:$Q$199,2,0)/1000000000</f>
        <v>0</v>
      </c>
      <c r="E58" s="880">
        <f t="shared" si="10"/>
        <v>-7.690000000000001E-2</v>
      </c>
      <c r="F58" s="881">
        <f>TableB1b!K58</f>
        <v>0</v>
      </c>
      <c r="G58" s="888">
        <f>TableB2!G56-TableB2!C56</f>
        <v>-7.690000000000001E-2</v>
      </c>
      <c r="H58" s="882">
        <f>TableB2!H56+TableB2!J56-TableB2!D56-TableB2!F56</f>
        <v>-7.690000000000001E-2</v>
      </c>
      <c r="I58" s="883">
        <f>TableB2!I56-TableB2!E56</f>
        <v>0</v>
      </c>
      <c r="J58" s="884">
        <f>TableB1b!G58+TableB1b!J58+TableB1b!L58</f>
        <v>0</v>
      </c>
      <c r="K58" s="885">
        <f>+VLOOKUP($B58,'[3]World BOP data'!$A$3:$Q$199,14,0)/1000000000</f>
        <v>0</v>
      </c>
      <c r="O58" s="1646">
        <f t="shared" si="6"/>
        <v>0</v>
      </c>
      <c r="P58" s="853">
        <f t="shared" si="7"/>
        <v>0</v>
      </c>
      <c r="Q58" s="853">
        <f t="shared" si="8"/>
        <v>0</v>
      </c>
    </row>
    <row r="59" spans="1:17" ht="15.5" x14ac:dyDescent="0.35">
      <c r="A59" s="379"/>
      <c r="B59" s="860" t="s">
        <v>274</v>
      </c>
      <c r="C59" s="887">
        <f t="shared" si="5"/>
        <v>0.13945810064916003</v>
      </c>
      <c r="D59" s="880">
        <f>+VLOOKUP($B59,'[3]World BOP data'!$A$3:$Q$199,2,0)/1000000000</f>
        <v>0.28709497210000001</v>
      </c>
      <c r="E59" s="880">
        <f t="shared" si="10"/>
        <v>-8.115642455083999E-2</v>
      </c>
      <c r="F59" s="881">
        <f>TableB1b!K59</f>
        <v>-3.4636871508399998E-3</v>
      </c>
      <c r="G59" s="888">
        <f>TableB2!G57-TableB2!C57</f>
        <v>-4.1715083800000004E-2</v>
      </c>
      <c r="H59" s="882">
        <f>TableB2!H57+TableB2!J57-TableB2!D57-TableB2!F57</f>
        <v>-4.1715083799999997E-2</v>
      </c>
      <c r="I59" s="883">
        <f>TableB2!I57-TableB2!E57</f>
        <v>0</v>
      </c>
      <c r="J59" s="884">
        <f>TableB1b!G59+TableB1b!J59+TableB1b!L59</f>
        <v>-3.5977653599999992E-2</v>
      </c>
      <c r="K59" s="885">
        <f>+VLOOKUP($B59,'[3]World BOP data'!$A$3:$Q$199,14,0)/1000000000</f>
        <v>-6.6480446900000004E-2</v>
      </c>
      <c r="O59" s="1646">
        <f t="shared" si="6"/>
        <v>0</v>
      </c>
      <c r="P59" s="853">
        <f t="shared" si="7"/>
        <v>0</v>
      </c>
      <c r="Q59" s="853">
        <f t="shared" si="8"/>
        <v>-6.9388939039072284E-18</v>
      </c>
    </row>
    <row r="60" spans="1:17" ht="15.5" x14ac:dyDescent="0.35">
      <c r="A60" s="379" t="s">
        <v>503</v>
      </c>
      <c r="B60" s="860" t="s">
        <v>275</v>
      </c>
      <c r="C60" s="887" t="e">
        <f t="shared" si="5"/>
        <v>#N/A</v>
      </c>
      <c r="D60" s="880" t="e">
        <f>+VLOOKUP($A60,'[3]World BOP data'!$A$3:$Q$199,2,0)/1000000000</f>
        <v>#N/A</v>
      </c>
      <c r="E60" s="880">
        <f t="shared" si="10"/>
        <v>-1.1414548391967188</v>
      </c>
      <c r="F60" s="881">
        <f>TableB1b!K60</f>
        <v>-6.64965E-2</v>
      </c>
      <c r="G60" s="888">
        <f>TableB2!G58-TableB2!C58</f>
        <v>-0.73882524149671891</v>
      </c>
      <c r="H60" s="882">
        <f>TableB2!H58+TableB2!J58-TableB2!D58-TableB2!F58</f>
        <v>-0.73882524149671902</v>
      </c>
      <c r="I60" s="883">
        <f>TableB2!I58-TableB2!E58</f>
        <v>0</v>
      </c>
      <c r="J60" s="884">
        <f>TableB1b!G60+TableB1b!J60+TableB1b!L60</f>
        <v>-0.33613309769999999</v>
      </c>
      <c r="K60" s="885">
        <f>+VLOOKUP($B60,'[3]World BOP data'!$A$3:$Q$199,14,0)/1000000000</f>
        <v>1.5321789000000001E-2</v>
      </c>
      <c r="O60" s="1646" t="e">
        <f t="shared" si="6"/>
        <v>#N/A</v>
      </c>
      <c r="P60" s="853">
        <f t="shared" si="7"/>
        <v>0</v>
      </c>
      <c r="Q60" s="853">
        <f t="shared" si="8"/>
        <v>1.1102230246251565E-16</v>
      </c>
    </row>
    <row r="61" spans="1:17" ht="15.5" x14ac:dyDescent="0.35">
      <c r="A61" s="859" t="s">
        <v>486</v>
      </c>
      <c r="B61" s="860" t="s">
        <v>276</v>
      </c>
      <c r="C61" s="887" t="e">
        <f t="shared" si="5"/>
        <v>#N/A</v>
      </c>
      <c r="D61" s="880" t="e">
        <f>+VLOOKUP($A61,'[3]World BOP data'!$A$3:$Q$199,2,0)/1000000000</f>
        <v>#N/A</v>
      </c>
      <c r="E61" s="880">
        <f t="shared" si="10"/>
        <v>-0.64260805649591413</v>
      </c>
      <c r="F61" s="881">
        <f>TableB1b!K61</f>
        <v>0</v>
      </c>
      <c r="G61" s="888">
        <f>TableB2!G59-TableB2!C59</f>
        <v>-0.64260805649591413</v>
      </c>
      <c r="H61" s="882">
        <f>TableB2!H59+TableB2!J59-TableB2!D59-TableB2!F59</f>
        <v>-0.64260805649591413</v>
      </c>
      <c r="I61" s="883">
        <f>TableB2!I59-TableB2!E59</f>
        <v>0</v>
      </c>
      <c r="J61" s="884">
        <f>TableB1b!G61+TableB1b!J61+TableB1b!L61</f>
        <v>0</v>
      </c>
      <c r="K61" s="885">
        <f>+VLOOKUP($B61,'[3]World BOP data'!$A$3:$Q$199,14,0)/1000000000</f>
        <v>0</v>
      </c>
      <c r="O61" s="1646" t="e">
        <f t="shared" si="6"/>
        <v>#N/A</v>
      </c>
      <c r="P61" s="853">
        <f t="shared" si="7"/>
        <v>0</v>
      </c>
      <c r="Q61" s="853">
        <f t="shared" si="8"/>
        <v>0</v>
      </c>
    </row>
    <row r="62" spans="1:17" ht="15.5" x14ac:dyDescent="0.35">
      <c r="A62" s="379"/>
      <c r="B62" s="860" t="s">
        <v>212</v>
      </c>
      <c r="C62" s="887">
        <f t="shared" si="5"/>
        <v>-1.8957898653382528</v>
      </c>
      <c r="D62" s="880">
        <f>+VLOOKUP($B62,'[3]World BOP data'!$A$3:$Q$199,2,0)/1000000000</f>
        <v>0</v>
      </c>
      <c r="E62" s="880">
        <f t="shared" si="10"/>
        <v>-1.8957898653382528</v>
      </c>
      <c r="F62" s="881">
        <f>TableB1b!K62</f>
        <v>0</v>
      </c>
      <c r="G62" s="888">
        <f>TableB2!G60-TableB2!C60</f>
        <v>-1.8957898653382528</v>
      </c>
      <c r="H62" s="882">
        <f>TableB2!H60+TableB2!J60-TableB2!D60-TableB2!F60</f>
        <v>-1.8957898653382528</v>
      </c>
      <c r="I62" s="883">
        <f>TableB2!I60-TableB2!E60</f>
        <v>0</v>
      </c>
      <c r="J62" s="884">
        <f>TableB1b!G62+TableB1b!J62+TableB1b!L62</f>
        <v>0</v>
      </c>
      <c r="K62" s="885">
        <f>+VLOOKUP($B62,'[3]World BOP data'!$A$3:$Q$199,14,0)/1000000000</f>
        <v>0</v>
      </c>
      <c r="O62" s="1646">
        <f t="shared" si="6"/>
        <v>0</v>
      </c>
      <c r="P62" s="853">
        <f t="shared" si="7"/>
        <v>0</v>
      </c>
      <c r="Q62" s="853">
        <f t="shared" si="8"/>
        <v>0</v>
      </c>
    </row>
    <row r="63" spans="1:17" ht="15.5" x14ac:dyDescent="0.35">
      <c r="A63" s="379"/>
      <c r="B63" s="860" t="s">
        <v>277</v>
      </c>
      <c r="C63" s="887">
        <f t="shared" si="5"/>
        <v>-0.18947414577512001</v>
      </c>
      <c r="D63" s="880">
        <f>+VLOOKUP($B63,'[3]World BOP data'!$A$3:$Q$199,2,0)/1000000000</f>
        <v>-0.14897820119999999</v>
      </c>
      <c r="E63" s="880">
        <f t="shared" si="10"/>
        <v>-0.11020450537512001</v>
      </c>
      <c r="F63" s="881">
        <f>TableB1b!K63</f>
        <v>-4.26969227512E-3</v>
      </c>
      <c r="G63" s="888">
        <f>TableB2!G61-TableB2!C61</f>
        <v>-6.4989477700000006E-2</v>
      </c>
      <c r="H63" s="882">
        <f>TableB2!H61+TableB2!J61-TableB2!D61-TableB2!F61</f>
        <v>-6.4989477700000006E-2</v>
      </c>
      <c r="I63" s="883">
        <f>TableB2!I61-TableB2!E61</f>
        <v>0</v>
      </c>
      <c r="J63" s="884">
        <f>TableB1b!G63+TableB1b!J63+TableB1b!L63</f>
        <v>-4.0945335400000005E-2</v>
      </c>
      <c r="K63" s="885">
        <f>+VLOOKUP($B63,'[3]World BOP data'!$A$3:$Q$199,14,0)/1000000000</f>
        <v>6.97085608E-2</v>
      </c>
      <c r="O63" s="1646">
        <f t="shared" si="6"/>
        <v>0</v>
      </c>
      <c r="P63" s="853">
        <f t="shared" si="7"/>
        <v>0</v>
      </c>
      <c r="Q63" s="853">
        <f t="shared" si="8"/>
        <v>0</v>
      </c>
    </row>
    <row r="64" spans="1:17" ht="15.5" x14ac:dyDescent="0.35">
      <c r="A64" s="379"/>
      <c r="B64" s="860" t="s">
        <v>213</v>
      </c>
      <c r="C64" s="887">
        <f t="shared" si="5"/>
        <v>-14.589563351836661</v>
      </c>
      <c r="D64" s="880">
        <f>+VLOOKUP($B64,'[3]World BOP data'!$A$3:$Q$199,2,0)/1000000000</f>
        <v>-0.61723925479999997</v>
      </c>
      <c r="E64" s="880">
        <f t="shared" si="10"/>
        <v>-13.834507059336662</v>
      </c>
      <c r="F64" s="881">
        <f>TableB1b!K64</f>
        <v>1.37815</v>
      </c>
      <c r="G64" s="888">
        <f>TableB2!G62-TableB2!C62</f>
        <v>-15.447398527436661</v>
      </c>
      <c r="H64" s="882">
        <f>TableB2!H62+TableB2!J62-TableB2!D62-TableB2!F62</f>
        <v>-15.447398527436663</v>
      </c>
      <c r="I64" s="883">
        <f>TableB2!I62-TableB2!E62</f>
        <v>0</v>
      </c>
      <c r="J64" s="884">
        <f>TableB1b!G64+TableB1b!J64+TableB1b!L64</f>
        <v>0.23474146810000002</v>
      </c>
      <c r="K64" s="885">
        <f>+VLOOKUP($B64,'[3]World BOP data'!$A$3:$Q$199,14,0)/1000000000</f>
        <v>-0.13781703769999998</v>
      </c>
      <c r="O64" s="1646">
        <f t="shared" si="6"/>
        <v>3.3306690738754696E-16</v>
      </c>
      <c r="P64" s="853">
        <f t="shared" si="7"/>
        <v>-7.2164496600635175E-16</v>
      </c>
      <c r="Q64" s="853">
        <f t="shared" si="8"/>
        <v>1.7763568394002505E-15</v>
      </c>
    </row>
    <row r="65" spans="1:17" ht="15.5" x14ac:dyDescent="0.35">
      <c r="A65" s="379"/>
      <c r="B65" s="860" t="s">
        <v>278</v>
      </c>
      <c r="C65" s="887" t="e">
        <f t="shared" si="5"/>
        <v>#N/A</v>
      </c>
      <c r="D65" s="880" t="e">
        <f>+VLOOKUP($B65,'[3]World BOP data'!$A$3:$Q$199,2,0)/1000000000</f>
        <v>#N/A</v>
      </c>
      <c r="E65" s="880">
        <f t="shared" si="10"/>
        <v>9.4000000000000004E-3</v>
      </c>
      <c r="F65" s="881">
        <f>TableB1b!K65</f>
        <v>0</v>
      </c>
      <c r="G65" s="888">
        <f>TableB2!G63-TableB2!C63</f>
        <v>9.4000000000000004E-3</v>
      </c>
      <c r="H65" s="882">
        <f>TableB2!H63+TableB2!J63-TableB2!D63-TableB2!F63</f>
        <v>9.3999999999999986E-3</v>
      </c>
      <c r="I65" s="883">
        <f>TableB2!I63-TableB2!E63</f>
        <v>0</v>
      </c>
      <c r="J65" s="884">
        <f>TableB1b!G65+TableB1b!J65+TableB1b!L65</f>
        <v>0</v>
      </c>
      <c r="K65" s="885" t="e">
        <f>+VLOOKUP($B65,'[3]World BOP data'!$A$3:$Q$199,14,0)/1000000000</f>
        <v>#N/A</v>
      </c>
      <c r="O65" s="1646"/>
      <c r="P65" s="853"/>
      <c r="Q65" s="853"/>
    </row>
    <row r="66" spans="1:17" ht="15.5" x14ac:dyDescent="0.35">
      <c r="A66" s="379"/>
      <c r="B66" s="860" t="s">
        <v>279</v>
      </c>
      <c r="C66" s="887" t="e">
        <f t="shared" si="5"/>
        <v>#N/A</v>
      </c>
      <c r="D66" s="880" t="e">
        <f>+VLOOKUP($B66,'[3]World BOP data'!$A$3:$Q$199,2,0)/1000000000</f>
        <v>#N/A</v>
      </c>
      <c r="E66" s="880">
        <f t="shared" si="10"/>
        <v>4.0091023290772432</v>
      </c>
      <c r="F66" s="881">
        <f>TableB1b!K66</f>
        <v>0</v>
      </c>
      <c r="G66" s="888">
        <f>TableB2!G64-TableB2!C64</f>
        <v>4.0091023290772432</v>
      </c>
      <c r="H66" s="882">
        <f>TableB2!H64+TableB2!J64-TableB2!D64-TableB2!F64</f>
        <v>4.0091023290772432</v>
      </c>
      <c r="I66" s="883">
        <f>TableB2!I64-TableB2!E64</f>
        <v>0</v>
      </c>
      <c r="J66" s="884">
        <f>TableB1b!G66+TableB1b!J66+TableB1b!L66</f>
        <v>0</v>
      </c>
      <c r="K66" s="885" t="e">
        <f>+VLOOKUP($B66,'[3]World BOP data'!$A$3:$Q$199,14,0)/1000000000</f>
        <v>#N/A</v>
      </c>
      <c r="O66" s="1646"/>
      <c r="P66" s="853"/>
      <c r="Q66" s="853"/>
    </row>
    <row r="67" spans="1:17" ht="15.5" x14ac:dyDescent="0.35">
      <c r="A67" s="379"/>
      <c r="B67" s="282" t="s">
        <v>291</v>
      </c>
      <c r="C67" s="887" t="e">
        <f t="shared" si="5"/>
        <v>#N/A</v>
      </c>
      <c r="D67" s="880" t="e">
        <f>+VLOOKUP($B67,'[3]World BOP data'!$A$3:$Q$199,2,0)/1000000000</f>
        <v>#N/A</v>
      </c>
      <c r="E67" s="880">
        <f t="shared" si="10"/>
        <v>-16.042018175138416</v>
      </c>
      <c r="F67" s="881">
        <f>TableB1b!K67</f>
        <v>0</v>
      </c>
      <c r="G67" s="888">
        <f>TableB2!G65-TableB2!C65</f>
        <v>-16.042018175138416</v>
      </c>
      <c r="H67" s="882">
        <f>TableB2!H65+TableB2!J65-TableB2!D65-TableB2!F65</f>
        <v>-16.042018175138416</v>
      </c>
      <c r="I67" s="883">
        <f>TableB2!I65-TableB2!E65</f>
        <v>0</v>
      </c>
      <c r="J67" s="884">
        <f>TableB1b!G67+TableB1b!J67+TableB1b!L67</f>
        <v>0</v>
      </c>
      <c r="K67" s="885" t="e">
        <f>+VLOOKUP($B67,'[3]World BOP data'!$A$3:$Q$199,14,0)/1000000000</f>
        <v>#N/A</v>
      </c>
      <c r="O67" s="1646"/>
      <c r="P67" s="853"/>
      <c r="Q67" s="853"/>
    </row>
    <row r="68" spans="1:17" ht="15.5" x14ac:dyDescent="0.35">
      <c r="A68" s="379"/>
      <c r="B68" s="860" t="s">
        <v>280</v>
      </c>
      <c r="C68" s="887">
        <f t="shared" si="5"/>
        <v>1.7145125548400937</v>
      </c>
      <c r="D68" s="880">
        <f>+VLOOKUP($B68,'[3]World BOP data'!$A$3:$Q$199,2,0)/1000000000</f>
        <v>-0.47401675980000002</v>
      </c>
      <c r="E68" s="880">
        <f t="shared" si="10"/>
        <v>2.2305740073400937</v>
      </c>
      <c r="F68" s="881">
        <f>TableB1b!K68</f>
        <v>4.2642458100559999E-2</v>
      </c>
      <c r="G68" s="888">
        <f>TableB2!G66-TableB2!C66</f>
        <v>2.1990097615395339</v>
      </c>
      <c r="H68" s="882">
        <f>TableB2!H66+TableB2!J66-TableB2!D66-TableB2!F66</f>
        <v>2.1990097615395339</v>
      </c>
      <c r="I68" s="883">
        <f>TableB2!I66-TableB2!E66</f>
        <v>0</v>
      </c>
      <c r="J68" s="884">
        <f>TableB1b!G68+TableB1b!J68+TableB1b!L68</f>
        <v>-1.1078212299999999E-2</v>
      </c>
      <c r="K68" s="885">
        <f>+VLOOKUP($B68,'[3]World BOP data'!$A$3:$Q$199,14,0)/1000000000</f>
        <v>-4.2044692700000004E-2</v>
      </c>
      <c r="O68" s="1646">
        <f>C68-D68-E68-K68</f>
        <v>-2.1510571102112408E-16</v>
      </c>
      <c r="P68" s="853">
        <f>E68-F68-G68-J68</f>
        <v>-1.6826817716975029E-16</v>
      </c>
      <c r="Q68" s="853">
        <f>G68-H68-I68</f>
        <v>0</v>
      </c>
    </row>
    <row r="69" spans="1:17" ht="15.5" x14ac:dyDescent="0.35">
      <c r="A69" s="379"/>
      <c r="B69" s="860" t="s">
        <v>116</v>
      </c>
      <c r="C69" s="887">
        <f t="shared" si="5"/>
        <v>-3.3735185330952282</v>
      </c>
      <c r="D69" s="880">
        <f>+VLOOKUP($B69,'[3]World BOP data'!$A$3:$Q$199,2,0)/1000000000</f>
        <v>5.94995044E-2</v>
      </c>
      <c r="E69" s="880">
        <f t="shared" si="10"/>
        <v>-2.8674717586952285</v>
      </c>
      <c r="F69" s="881">
        <f>TableB1b!K69</f>
        <v>-1.04276E-2</v>
      </c>
      <c r="G69" s="888">
        <f>TableB2!G67-TableB2!C67</f>
        <v>-2.2882870559952284</v>
      </c>
      <c r="H69" s="882">
        <f>TableB2!H67+TableB2!J67-TableB2!D67-TableB2!F67</f>
        <v>-2.2882870559952284</v>
      </c>
      <c r="I69" s="883">
        <f>TableB2!I67-TableB2!E67</f>
        <v>0</v>
      </c>
      <c r="J69" s="884">
        <f>TableB1b!G69+TableB1b!J69+TableB1b!L69</f>
        <v>-0.56875710270000002</v>
      </c>
      <c r="K69" s="885">
        <f>+VLOOKUP($B69,'[3]World BOP data'!$A$3:$Q$199,14,0)/1000000000</f>
        <v>-0.56554627879999997</v>
      </c>
      <c r="O69" s="1646">
        <f>C69-D69-E69-K69</f>
        <v>0</v>
      </c>
      <c r="P69" s="853">
        <f>E69-F69-G69-J69</f>
        <v>0</v>
      </c>
      <c r="Q69" s="853">
        <f>G69-H69-I69</f>
        <v>0</v>
      </c>
    </row>
    <row r="70" spans="1:17" ht="15.5" x14ac:dyDescent="0.35">
      <c r="A70" s="379"/>
      <c r="B70" s="860" t="s">
        <v>281</v>
      </c>
      <c r="C70" s="887" t="e">
        <f t="shared" si="5"/>
        <v>#N/A</v>
      </c>
      <c r="D70" s="880" t="e">
        <f>+VLOOKUP($B70,'[3]World BOP data'!$A$3:$Q$199,2,0)/1000000000</f>
        <v>#N/A</v>
      </c>
      <c r="E70" s="880">
        <f t="shared" si="10"/>
        <v>-2.0350376390608886</v>
      </c>
      <c r="F70" s="881">
        <f>TableB1b!K70</f>
        <v>0</v>
      </c>
      <c r="G70" s="888">
        <f>TableB2!G68-TableB2!C68</f>
        <v>-2.0350376390608886</v>
      </c>
      <c r="H70" s="882">
        <f>TableB2!H68+TableB2!J68-TableB2!D68-TableB2!F68</f>
        <v>-2.0350376390608886</v>
      </c>
      <c r="I70" s="883">
        <f>TableB2!I68-TableB2!E68</f>
        <v>0</v>
      </c>
      <c r="J70" s="884">
        <f>TableB1b!G70+TableB1b!J70+TableB1b!L70</f>
        <v>0</v>
      </c>
      <c r="K70" s="885" t="e">
        <f>+VLOOKUP($B70,'[3]World BOP data'!$A$3:$Q$199,14,0)/1000000000</f>
        <v>#N/A</v>
      </c>
      <c r="O70" s="1646"/>
      <c r="P70" s="853"/>
      <c r="Q70" s="853"/>
    </row>
    <row r="71" spans="1:17" ht="15.5" x14ac:dyDescent="0.35">
      <c r="A71" s="379"/>
      <c r="B71" s="860" t="s">
        <v>294</v>
      </c>
      <c r="C71" s="887">
        <f t="shared" si="5"/>
        <v>-1.52E-2</v>
      </c>
      <c r="D71" s="880">
        <f>+VLOOKUP($B71,'[3]World BOP data'!$A$3:$Q$199,2,0)/1000000000</f>
        <v>0</v>
      </c>
      <c r="E71" s="880">
        <f t="shared" si="10"/>
        <v>-1.52E-2</v>
      </c>
      <c r="F71" s="881">
        <f>TableB1b!K71</f>
        <v>0</v>
      </c>
      <c r="G71" s="888">
        <f>TableB2!G69-TableB2!C69</f>
        <v>-1.52E-2</v>
      </c>
      <c r="H71" s="882">
        <f>TableB2!H69+TableB2!J69-TableB2!D69-TableB2!F69</f>
        <v>-1.52E-2</v>
      </c>
      <c r="I71" s="883">
        <f>TableB2!I69-TableB2!E69</f>
        <v>0</v>
      </c>
      <c r="J71" s="884">
        <f>TableB1b!G71+TableB1b!J71+TableB1b!L71</f>
        <v>0</v>
      </c>
      <c r="K71" s="885">
        <f>+VLOOKUP($B71,'[3]World BOP data'!$A$3:$Q$199,14,0)/1000000000</f>
        <v>0</v>
      </c>
      <c r="O71" s="1646">
        <f>C71-D71-E71-K71</f>
        <v>0</v>
      </c>
      <c r="P71" s="853">
        <f>E71-F71-G71-J71</f>
        <v>0</v>
      </c>
      <c r="Q71" s="853">
        <f>G71-H71-I71</f>
        <v>0</v>
      </c>
    </row>
    <row r="72" spans="1:17" ht="15.5" x14ac:dyDescent="0.35">
      <c r="A72" s="379"/>
      <c r="B72" s="860" t="s">
        <v>282</v>
      </c>
      <c r="C72" s="887" t="e">
        <f t="shared" si="5"/>
        <v>#N/A</v>
      </c>
      <c r="D72" s="880" t="e">
        <f>+VLOOKUP($B72,'[3]World BOP data'!$A$3:$Q$199,2,0)/1000000000</f>
        <v>#N/A</v>
      </c>
      <c r="E72" s="880">
        <f t="shared" si="10"/>
        <v>1.9626714972368675</v>
      </c>
      <c r="F72" s="881">
        <f>TableB1b!K72</f>
        <v>0</v>
      </c>
      <c r="G72" s="888">
        <f>TableB2!G70-TableB2!C70</f>
        <v>1.9626714972368675</v>
      </c>
      <c r="H72" s="882">
        <f>TableB2!H70+TableB2!J70-TableB2!D70-TableB2!F70</f>
        <v>1.9626714972368675</v>
      </c>
      <c r="I72" s="883">
        <f>TableB2!I70-TableB2!E70</f>
        <v>0</v>
      </c>
      <c r="J72" s="884">
        <f>TableB1b!G72+TableB1b!J72+TableB1b!L72</f>
        <v>0</v>
      </c>
      <c r="K72" s="885" t="e">
        <f>+VLOOKUP($B72,'[3]World BOP data'!$A$3:$Q$199,14,0)/1000000000</f>
        <v>#N/A</v>
      </c>
      <c r="O72" s="1646"/>
      <c r="P72" s="853"/>
      <c r="Q72" s="853"/>
    </row>
    <row r="73" spans="1:17" ht="15.5" x14ac:dyDescent="0.35">
      <c r="A73" s="379"/>
      <c r="B73" s="860" t="s">
        <v>295</v>
      </c>
      <c r="C73" s="887" t="e">
        <f t="shared" si="5"/>
        <v>#N/A</v>
      </c>
      <c r="D73" s="880" t="e">
        <f>+VLOOKUP($B73,'[3]World BOP data'!$A$3:$Q$199,2,0)/1000000000</f>
        <v>#N/A</v>
      </c>
      <c r="E73" s="880">
        <f t="shared" si="10"/>
        <v>2.7822519102711953</v>
      </c>
      <c r="F73" s="881">
        <f>TableB1b!K73</f>
        <v>0</v>
      </c>
      <c r="G73" s="888">
        <f>TableB2!G71-TableB2!C71</f>
        <v>2.7822519102711953</v>
      </c>
      <c r="H73" s="882">
        <f>TableB2!H71+TableB2!J71-TableB2!D71-TableB2!F71</f>
        <v>2.7822519102711953</v>
      </c>
      <c r="I73" s="883">
        <f>TableB2!I71-TableB2!E71</f>
        <v>0</v>
      </c>
      <c r="J73" s="884">
        <f>TableB1b!G73+TableB1b!J73+TableB1b!L73</f>
        <v>0</v>
      </c>
      <c r="K73" s="885" t="e">
        <f>+VLOOKUP($B73,'[3]World BOP data'!$A$3:$Q$199,14,0)/1000000000</f>
        <v>#N/A</v>
      </c>
      <c r="O73" s="1646"/>
      <c r="P73" s="853"/>
      <c r="Q73" s="853"/>
    </row>
    <row r="74" spans="1:17" ht="15.5" x14ac:dyDescent="0.35">
      <c r="A74" s="859" t="s">
        <v>481</v>
      </c>
      <c r="B74" s="860" t="s">
        <v>220</v>
      </c>
      <c r="C74" s="887" t="e">
        <f t="shared" si="5"/>
        <v>#N/A</v>
      </c>
      <c r="D74" s="880" t="e">
        <f>+VLOOKUP($A74,'[3]World BOP data'!$A$3:$Q$199,2,0)/1000000000</f>
        <v>#N/A</v>
      </c>
      <c r="E74" s="880">
        <f t="shared" si="10"/>
        <v>5.2383283873000064</v>
      </c>
      <c r="F74" s="881">
        <f>TableB1b!K74</f>
        <v>-0.37179099999999998</v>
      </c>
      <c r="G74" s="888">
        <f>TableB2!G72-TableB2!C72</f>
        <v>-15.315460612699994</v>
      </c>
      <c r="H74" s="882">
        <f>TableB2!H72+TableB2!J72-TableB2!D72-TableB2!F72</f>
        <v>-15.315460612700001</v>
      </c>
      <c r="I74" s="883">
        <f>TableB2!I72-TableB2!E72</f>
        <v>0</v>
      </c>
      <c r="J74" s="884">
        <f>TableB1b!G74+TableB1b!J74+TableB1b!L74</f>
        <v>20.92558</v>
      </c>
      <c r="K74" s="885">
        <f>+VLOOKUP($B74,'[3]World BOP data'!$A$3:$Q$199,14,0)/1000000000</f>
        <v>-2.8540231194000003</v>
      </c>
      <c r="O74" s="1646" t="e">
        <f>C74-D74-E74-K74</f>
        <v>#N/A</v>
      </c>
      <c r="P74" s="853">
        <f>E74-F74-G74-J74</f>
        <v>0</v>
      </c>
      <c r="Q74" s="853">
        <f>G74-H74-I74</f>
        <v>7.1054273576010019E-15</v>
      </c>
    </row>
    <row r="75" spans="1:17" ht="15.5" x14ac:dyDescent="0.35">
      <c r="A75" s="379"/>
      <c r="B75" s="860" t="s">
        <v>284</v>
      </c>
      <c r="C75" s="887" t="e">
        <f t="shared" si="5"/>
        <v>#N/A</v>
      </c>
      <c r="D75" s="880" t="e">
        <f>+VLOOKUP($B75,'[3]World BOP data'!$A$3:$Q$199,2,0)/1000000000</f>
        <v>#N/A</v>
      </c>
      <c r="E75" s="880">
        <f t="shared" si="10"/>
        <v>-0.57979007685009587</v>
      </c>
      <c r="F75" s="881">
        <f>TableB1b!K75</f>
        <v>0</v>
      </c>
      <c r="G75" s="888">
        <f>TableB2!G73-TableB2!C73</f>
        <v>-0.57979007685009587</v>
      </c>
      <c r="H75" s="882">
        <f>TableB2!H73+TableB2!J73-TableB2!D73-TableB2!F73</f>
        <v>-0.57979007685009587</v>
      </c>
      <c r="I75" s="883">
        <f>TableB2!I73-TableB2!E73</f>
        <v>0</v>
      </c>
      <c r="J75" s="884">
        <f>TableB1b!G75+TableB1b!J75+TableB1b!L75</f>
        <v>0</v>
      </c>
      <c r="K75" s="885" t="e">
        <f>+VLOOKUP($B75,'[3]World BOP data'!$A$3:$Q$199,14,0)/1000000000</f>
        <v>#N/A</v>
      </c>
      <c r="O75" s="1646"/>
      <c r="P75" s="853"/>
      <c r="Q75" s="853"/>
    </row>
    <row r="76" spans="1:17" ht="15.5" x14ac:dyDescent="0.35">
      <c r="A76" s="379"/>
      <c r="B76" s="860" t="s">
        <v>285</v>
      </c>
      <c r="C76" s="887">
        <f t="shared" si="5"/>
        <v>-8.0513607922000006</v>
      </c>
      <c r="D76" s="880">
        <f>+VLOOKUP($B76,'[3]World BOP data'!$A$3:$Q$199,2,0)/1000000000</f>
        <v>-10.9004712246</v>
      </c>
      <c r="E76" s="880">
        <f t="shared" si="10"/>
        <v>-0.53632502799999993</v>
      </c>
      <c r="F76" s="881">
        <f>TableB1b!K76</f>
        <v>0.22838600000000001</v>
      </c>
      <c r="G76" s="888">
        <f>TableB2!G74-TableB2!C74</f>
        <v>5.1541391299999961E-2</v>
      </c>
      <c r="H76" s="882">
        <f>TableB2!H74+TableB2!J74-TableB2!D74-TableB2!F74</f>
        <v>5.1541391299999934E-2</v>
      </c>
      <c r="I76" s="883">
        <f>TableB2!I74-TableB2!E74</f>
        <v>0</v>
      </c>
      <c r="J76" s="884">
        <f>TableB1b!G76+TableB1b!J76+TableB1b!L76</f>
        <v>-0.81625241929999992</v>
      </c>
      <c r="K76" s="885">
        <f>+VLOOKUP($B76,'[3]World BOP data'!$A$3:$Q$199,14,0)/1000000000</f>
        <v>3.3854354604000001</v>
      </c>
      <c r="O76" s="1646">
        <f>C76-D76-E76-K76</f>
        <v>0</v>
      </c>
      <c r="P76" s="853">
        <f>E76-F76-G76-J76</f>
        <v>0</v>
      </c>
      <c r="Q76" s="853">
        <f>G76-H76-I76</f>
        <v>2.7755575615628914E-17</v>
      </c>
    </row>
    <row r="77" spans="1:17" ht="15.5" x14ac:dyDescent="0.35">
      <c r="A77" s="379"/>
      <c r="B77" s="860" t="s">
        <v>286</v>
      </c>
      <c r="C77" s="887" t="e">
        <f t="shared" ref="C77:C91" si="11">D77+E77+K77</f>
        <v>#N/A</v>
      </c>
      <c r="D77" s="880" t="e">
        <f>+VLOOKUP($B77,'[3]World BOP data'!$A$3:$Q$199,2,0)/1000000000</f>
        <v>#N/A</v>
      </c>
      <c r="E77" s="880">
        <f t="shared" si="10"/>
        <v>1.7876512367491164</v>
      </c>
      <c r="F77" s="881">
        <f>TableB1b!K77</f>
        <v>0</v>
      </c>
      <c r="G77" s="888">
        <f>TableB2!G75-TableB2!C75</f>
        <v>1.7876512367491164</v>
      </c>
      <c r="H77" s="882">
        <f>TableB2!H75+TableB2!J75-TableB2!D75-TableB2!F75</f>
        <v>1.7876512367491164</v>
      </c>
      <c r="I77" s="883">
        <f>TableB2!I75-TableB2!E75</f>
        <v>0</v>
      </c>
      <c r="J77" s="884">
        <f>TableB1b!G77+TableB1b!J77+TableB1b!L77</f>
        <v>0</v>
      </c>
      <c r="K77" s="885" t="e">
        <f>+VLOOKUP($B77,'[3]World BOP data'!$A$3:$Q$199,14,0)/1000000000</f>
        <v>#N/A</v>
      </c>
      <c r="O77" s="1646"/>
      <c r="P77" s="853"/>
      <c r="Q77" s="853"/>
    </row>
    <row r="78" spans="1:17" ht="15.5" x14ac:dyDescent="0.35">
      <c r="A78" s="859" t="s">
        <v>480</v>
      </c>
      <c r="B78" s="860" t="s">
        <v>287</v>
      </c>
      <c r="C78" s="887" t="e">
        <f t="shared" si="11"/>
        <v>#N/A</v>
      </c>
      <c r="D78" s="880" t="e">
        <f>+VLOOKUP($A78,'[3]World BOP data'!$A$3:$Q$199,2,0)/1000000000</f>
        <v>#N/A</v>
      </c>
      <c r="E78" s="880">
        <f t="shared" si="10"/>
        <v>-3.7243811860999996</v>
      </c>
      <c r="F78" s="881">
        <f>TableB1b!K78</f>
        <v>-0.24190600000000001</v>
      </c>
      <c r="G78" s="888">
        <f>TableB2!G76-TableB2!C76</f>
        <v>-6.3523999999999994</v>
      </c>
      <c r="H78" s="882">
        <f>TableB2!H76+TableB2!J76-TableB2!D76-TableB2!F76</f>
        <v>-6.3523999999999994</v>
      </c>
      <c r="I78" s="883">
        <f>TableB2!I76-TableB2!E76</f>
        <v>0</v>
      </c>
      <c r="J78" s="884">
        <f>TableB1b!G78+TableB1b!J78+TableB1b!L78</f>
        <v>2.8699248139</v>
      </c>
      <c r="K78" s="885">
        <f>+VLOOKUP($B78,'[3]World BOP data'!$A$3:$Q$199,14,0)/1000000000</f>
        <v>-2.6313869786999997</v>
      </c>
      <c r="O78" s="1646" t="e">
        <f>C78-D78-E78-K78</f>
        <v>#N/A</v>
      </c>
      <c r="P78" s="853">
        <f>E78-F78-G78-J78</f>
        <v>0</v>
      </c>
      <c r="Q78" s="853">
        <f>G78-H78-I78</f>
        <v>0</v>
      </c>
    </row>
    <row r="79" spans="1:17" ht="15.5" x14ac:dyDescent="0.35">
      <c r="A79" s="379"/>
      <c r="B79" s="860" t="s">
        <v>301</v>
      </c>
      <c r="C79" s="887">
        <f t="shared" si="11"/>
        <v>1.3078159852703561</v>
      </c>
      <c r="D79" s="880">
        <f>+VLOOKUP($B79,'[3]World BOP data'!$A$3:$Q$199,2,0)/1000000000</f>
        <v>0.82165718189999992</v>
      </c>
      <c r="E79" s="880">
        <f t="shared" si="10"/>
        <v>0.25530257497035613</v>
      </c>
      <c r="F79" s="881">
        <f>TableB1b!K79</f>
        <v>-3.8364299999999997E-2</v>
      </c>
      <c r="G79" s="888">
        <f>TableB2!G77-TableB2!C77</f>
        <v>-9.2496091507296434</v>
      </c>
      <c r="H79" s="882">
        <f>TableB2!H77+TableB2!J77-TableB2!D77-TableB2!F77</f>
        <v>-9.2496091507296434</v>
      </c>
      <c r="I79" s="883">
        <f>TableB2!I77-TableB2!E77</f>
        <v>0</v>
      </c>
      <c r="J79" s="884">
        <f>TableB1b!G79+TableB1b!J79+TableB1b!L79</f>
        <v>9.5432760256999991</v>
      </c>
      <c r="K79" s="885">
        <f>+VLOOKUP($B79,'[3]World BOP data'!$A$3:$Q$199,14,0)/1000000000</f>
        <v>0.2308562284</v>
      </c>
      <c r="O79" s="1646">
        <f>C79-D79-E79-K79</f>
        <v>0</v>
      </c>
      <c r="P79" s="853">
        <f>E79-F79-G79-J79</f>
        <v>0</v>
      </c>
      <c r="Q79" s="853">
        <f>G79-H79-I79</f>
        <v>0</v>
      </c>
    </row>
    <row r="80" spans="1:17" ht="15.5" x14ac:dyDescent="0.35">
      <c r="A80" s="379"/>
      <c r="B80" s="860" t="s">
        <v>302</v>
      </c>
      <c r="C80" s="887" t="e">
        <f t="shared" si="11"/>
        <v>#N/A</v>
      </c>
      <c r="D80" s="880" t="e">
        <f>+VLOOKUP($B80,'[3]World BOP data'!$A$3:$Q$199,2,0)/1000000000</f>
        <v>#N/A</v>
      </c>
      <c r="E80" s="880">
        <f t="shared" si="10"/>
        <v>0.28108196978038985</v>
      </c>
      <c r="F80" s="881">
        <f>TableB1b!K80</f>
        <v>0</v>
      </c>
      <c r="G80" s="888">
        <f>TableB2!G78-TableB2!C78</f>
        <v>0.28108196978038985</v>
      </c>
      <c r="H80" s="882">
        <f>TableB2!H78+TableB2!J78-TableB2!D78-TableB2!F78</f>
        <v>0.28108196978038985</v>
      </c>
      <c r="I80" s="883">
        <f>TableB2!I78-TableB2!E78</f>
        <v>0</v>
      </c>
      <c r="J80" s="884">
        <f>TableB1b!G80+TableB1b!J80+TableB1b!L80</f>
        <v>0</v>
      </c>
      <c r="K80" s="885" t="e">
        <f>+VLOOKUP($B80,'[3]World BOP data'!$A$3:$Q$199,14,0)/1000000000</f>
        <v>#N/A</v>
      </c>
      <c r="O80" s="1646"/>
      <c r="P80" s="853"/>
      <c r="Q80" s="853"/>
    </row>
    <row r="81" spans="1:17" ht="15.5" x14ac:dyDescent="0.35">
      <c r="A81" s="379"/>
      <c r="B81" s="860" t="s">
        <v>296</v>
      </c>
      <c r="C81" s="887" t="e">
        <f t="shared" si="11"/>
        <v>#N/A</v>
      </c>
      <c r="D81" s="880" t="e">
        <f>+VLOOKUP($B81,'[3]World BOP data'!$A$3:$Q$199,2,0)/1000000000</f>
        <v>#N/A</v>
      </c>
      <c r="E81" s="880">
        <f t="shared" si="10"/>
        <v>0</v>
      </c>
      <c r="F81" s="881">
        <f>TableB1b!K81</f>
        <v>0</v>
      </c>
      <c r="G81" s="888">
        <f>TableB2!G79-TableB2!C79</f>
        <v>0</v>
      </c>
      <c r="H81" s="882">
        <f>TableB2!H79+TableB2!J79-TableB2!D79-TableB2!F79</f>
        <v>0</v>
      </c>
      <c r="I81" s="883">
        <f>TableB2!I79-TableB2!E79</f>
        <v>0</v>
      </c>
      <c r="J81" s="884">
        <f>TableB1b!G81+TableB1b!J81+TableB1b!L81</f>
        <v>0</v>
      </c>
      <c r="K81" s="885" t="e">
        <f>+VLOOKUP($B81,'[3]World BOP data'!$A$3:$Q$199,14,0)/1000000000</f>
        <v>#N/A</v>
      </c>
      <c r="O81" s="1646"/>
      <c r="P81" s="853"/>
      <c r="Q81" s="853"/>
    </row>
    <row r="82" spans="1:17" ht="15.5" x14ac:dyDescent="0.35">
      <c r="A82" s="379"/>
      <c r="B82" s="860" t="s">
        <v>288</v>
      </c>
      <c r="C82" s="887">
        <f t="shared" si="11"/>
        <v>1.1265953600000003E-2</v>
      </c>
      <c r="D82" s="880">
        <f>+VLOOKUP($B82,'[3]World BOP data'!$A$3:$Q$199,2,0)/1000000000</f>
        <v>8.2435754200000003E-2</v>
      </c>
      <c r="E82" s="880">
        <f t="shared" si="10"/>
        <v>-1.6376504499999996E-2</v>
      </c>
      <c r="F82" s="881">
        <f>TableB1b!K82</f>
        <v>-3.6111699999999997E-2</v>
      </c>
      <c r="G82" s="888">
        <f>TableB2!G80-TableB2!C80</f>
        <v>-3.5217877E-3</v>
      </c>
      <c r="H82" s="882">
        <f>TableB2!H80+TableB2!J80-TableB2!D80-TableB2!F80</f>
        <v>-3.5217877E-3</v>
      </c>
      <c r="I82" s="883">
        <f>TableB2!I80-TableB2!E80</f>
        <v>0</v>
      </c>
      <c r="J82" s="884">
        <f>TableB1b!G82+TableB1b!J82+TableB1b!L82</f>
        <v>2.3256983200000001E-2</v>
      </c>
      <c r="K82" s="885">
        <f>+VLOOKUP($B82,'[3]World BOP data'!$A$3:$Q$199,14,0)/1000000000</f>
        <v>-5.47932961E-2</v>
      </c>
      <c r="O82" s="1646">
        <f t="shared" ref="O82:O88" si="12">C82-D82-E82-K82</f>
        <v>0</v>
      </c>
      <c r="P82" s="853">
        <f t="shared" ref="P82:P88" si="13">E82-F82-G82-J82</f>
        <v>0</v>
      </c>
      <c r="Q82" s="853">
        <f t="shared" ref="Q82:Q88" si="14">G82-H82-I82</f>
        <v>0</v>
      </c>
    </row>
    <row r="83" spans="1:17" ht="15.5" x14ac:dyDescent="0.35">
      <c r="A83" s="379"/>
      <c r="B83" s="860" t="s">
        <v>289</v>
      </c>
      <c r="C83" s="887">
        <f t="shared" si="11"/>
        <v>-0.58751640589025933</v>
      </c>
      <c r="D83" s="880">
        <f>+VLOOKUP($B83,'[3]World BOP data'!$A$3:$Q$199,2,0)/1000000000</f>
        <v>-1.2604900272000001</v>
      </c>
      <c r="E83" s="880">
        <f t="shared" si="10"/>
        <v>0.89874964850974082</v>
      </c>
      <c r="F83" s="881">
        <f>TableB1b!K83</f>
        <v>-5.8143641902599994E-3</v>
      </c>
      <c r="G83" s="888">
        <f>TableB2!G81-TableB2!C81</f>
        <v>-0.31856366779999945</v>
      </c>
      <c r="H83" s="882">
        <f>TableB2!H81+TableB2!J81-TableB2!D81-TableB2!F81</f>
        <v>-0.31856366779999967</v>
      </c>
      <c r="I83" s="883">
        <f>TableB2!I81-TableB2!E81</f>
        <v>0</v>
      </c>
      <c r="J83" s="884">
        <f>TableB1b!G83+TableB1b!J83+TableB1b!L83</f>
        <v>1.2231276805000002</v>
      </c>
      <c r="K83" s="885">
        <f>+VLOOKUP($B83,'[3]World BOP data'!$A$3:$Q$199,14,0)/1000000000</f>
        <v>-0.22577602719999998</v>
      </c>
      <c r="O83" s="1646">
        <f t="shared" si="12"/>
        <v>0</v>
      </c>
      <c r="P83" s="853">
        <f t="shared" si="13"/>
        <v>0</v>
      </c>
      <c r="Q83" s="853">
        <f t="shared" si="14"/>
        <v>2.2204460492503131E-16</v>
      </c>
    </row>
    <row r="84" spans="1:17" ht="15.5" x14ac:dyDescent="0.35">
      <c r="A84" s="379"/>
      <c r="B84" s="860" t="s">
        <v>297</v>
      </c>
      <c r="C84" s="887">
        <f t="shared" si="11"/>
        <v>-0.25760984858000002</v>
      </c>
      <c r="D84" s="880">
        <f>+VLOOKUP($B84,'[3]World BOP data'!$A$3:$Q$199,2,0)/1000000000</f>
        <v>-0.12379804920000001</v>
      </c>
      <c r="E84" s="880">
        <f t="shared" si="10"/>
        <v>-0.10680721618</v>
      </c>
      <c r="F84" s="881">
        <f>TableB1b!K84</f>
        <v>-1.50898E-2</v>
      </c>
      <c r="G84" s="888">
        <f>TableB2!G82-TableB2!C82</f>
        <v>-6.8115529979999992E-2</v>
      </c>
      <c r="H84" s="882">
        <f>TableB2!H82+TableB2!J82-TableB2!D82-TableB2!F82</f>
        <v>-6.8115529979999992E-2</v>
      </c>
      <c r="I84" s="883">
        <f>TableB2!I82-TableB2!E82</f>
        <v>0</v>
      </c>
      <c r="J84" s="884">
        <f>TableB1b!G84+TableB1b!J84+TableB1b!L84</f>
        <v>-2.3601886200000002E-2</v>
      </c>
      <c r="K84" s="885">
        <f>+VLOOKUP($B84,'[3]World BOP data'!$A$3:$Q$199,14,0)/1000000000</f>
        <v>-2.7004583199999998E-2</v>
      </c>
      <c r="O84" s="1646">
        <f t="shared" si="12"/>
        <v>0</v>
      </c>
      <c r="P84" s="853">
        <f t="shared" si="13"/>
        <v>0</v>
      </c>
      <c r="Q84" s="853">
        <f t="shared" si="14"/>
        <v>0</v>
      </c>
    </row>
    <row r="85" spans="1:17" ht="15.5" x14ac:dyDescent="0.35">
      <c r="A85" s="379"/>
      <c r="B85" s="860" t="s">
        <v>225</v>
      </c>
      <c r="C85" s="887">
        <f t="shared" si="11"/>
        <v>54.266346320696478</v>
      </c>
      <c r="D85" s="880">
        <f>+VLOOKUP($B85,'[3]World BOP data'!$A$3:$Q$199,2,0)/1000000000</f>
        <v>76.94164711869999</v>
      </c>
      <c r="E85" s="880">
        <f t="shared" si="10"/>
        <v>-12.696503496503503</v>
      </c>
      <c r="F85" s="881">
        <f>TableB1b!K85</f>
        <v>0</v>
      </c>
      <c r="G85" s="888">
        <f>TableB2!G83-TableB2!C83</f>
        <v>-45.636512043373877</v>
      </c>
      <c r="H85" s="882">
        <f>TableB2!H83+TableB2!J83-TableB2!D83-TableB2!F83</f>
        <v>-45.63651204337387</v>
      </c>
      <c r="I85" s="883">
        <f>TableB2!I83-TableB2!E83</f>
        <v>0</v>
      </c>
      <c r="J85" s="884">
        <f>TableB1b!G85+TableB1b!J85+TableB1b!L85</f>
        <v>32.940008546870374</v>
      </c>
      <c r="K85" s="885">
        <f>+VLOOKUP($B85,'[3]World BOP data'!$A$3:$Q$199,14,0)/1000000000</f>
        <v>-9.9787973015000002</v>
      </c>
      <c r="O85" s="1646">
        <f t="shared" si="12"/>
        <v>0</v>
      </c>
      <c r="P85" s="853">
        <f t="shared" si="13"/>
        <v>0</v>
      </c>
      <c r="Q85" s="853">
        <f t="shared" si="14"/>
        <v>-7.1054273576010019E-15</v>
      </c>
    </row>
    <row r="86" spans="1:17" ht="15.5" x14ac:dyDescent="0.35">
      <c r="A86" s="379"/>
      <c r="B86" s="860" t="s">
        <v>298</v>
      </c>
      <c r="C86" s="887">
        <f t="shared" si="11"/>
        <v>-3.0000000000000003E-4</v>
      </c>
      <c r="D86" s="880">
        <f>+VLOOKUP($B86,'[3]World BOP data'!$A$3:$Q$199,2,0)/1000000000</f>
        <v>0</v>
      </c>
      <c r="E86" s="880">
        <f t="shared" si="10"/>
        <v>-3.0000000000000003E-4</v>
      </c>
      <c r="F86" s="881">
        <f>TableB1b!K86</f>
        <v>0</v>
      </c>
      <c r="G86" s="888">
        <f>TableB2!G84-TableB2!C84</f>
        <v>-3.0000000000000003E-4</v>
      </c>
      <c r="H86" s="882">
        <f>TableB2!H84+TableB2!J84-TableB2!D84-TableB2!F84</f>
        <v>-3.0000000000000003E-4</v>
      </c>
      <c r="I86" s="883">
        <f>TableB2!I84-TableB2!E84</f>
        <v>0</v>
      </c>
      <c r="J86" s="884">
        <f>TableB1b!G86+TableB1b!J86+TableB1b!L86</f>
        <v>0</v>
      </c>
      <c r="K86" s="885">
        <f>+VLOOKUP($B86,'[3]World BOP data'!$A$3:$Q$199,14,0)/1000000000</f>
        <v>0</v>
      </c>
      <c r="O86" s="1646">
        <f t="shared" si="12"/>
        <v>0</v>
      </c>
      <c r="P86" s="853">
        <f t="shared" si="13"/>
        <v>0</v>
      </c>
      <c r="Q86" s="853">
        <f t="shared" si="14"/>
        <v>0</v>
      </c>
    </row>
    <row r="87" spans="1:17" ht="15.5" x14ac:dyDescent="0.35">
      <c r="A87" s="379"/>
      <c r="B87" s="860" t="s">
        <v>299</v>
      </c>
      <c r="C87" s="887">
        <f t="shared" si="11"/>
        <v>-6.9400000000000003E-2</v>
      </c>
      <c r="D87" s="880">
        <f>+VLOOKUP($B87,'[3]World BOP data'!$A$3:$Q$199,2,0)/1000000000</f>
        <v>0</v>
      </c>
      <c r="E87" s="880">
        <f t="shared" si="10"/>
        <v>-6.9400000000000003E-2</v>
      </c>
      <c r="F87" s="881">
        <f>TableB1b!K87</f>
        <v>0</v>
      </c>
      <c r="G87" s="888">
        <f>TableB2!G85-TableB2!C85</f>
        <v>-6.9400000000000003E-2</v>
      </c>
      <c r="H87" s="882">
        <f>TableB2!H85+TableB2!J85-TableB2!D85-TableB2!F85</f>
        <v>-6.9400000000000003E-2</v>
      </c>
      <c r="I87" s="883">
        <f>TableB2!I85-TableB2!E85</f>
        <v>0</v>
      </c>
      <c r="J87" s="884">
        <f>TableB1b!G87+TableB1b!J87+TableB1b!L87</f>
        <v>0</v>
      </c>
      <c r="K87" s="885">
        <f>+VLOOKUP($B87,'[3]World BOP data'!$A$3:$Q$199,14,0)/1000000000</f>
        <v>0</v>
      </c>
      <c r="O87" s="1646">
        <f t="shared" si="12"/>
        <v>0</v>
      </c>
      <c r="P87" s="853">
        <f t="shared" si="13"/>
        <v>0</v>
      </c>
      <c r="Q87" s="853">
        <f t="shared" si="14"/>
        <v>0</v>
      </c>
    </row>
    <row r="88" spans="1:17" ht="15.5" x14ac:dyDescent="0.35">
      <c r="A88" s="379"/>
      <c r="B88" s="860" t="s">
        <v>322</v>
      </c>
      <c r="C88" s="887">
        <f t="shared" si="11"/>
        <v>-1.6300000000000002E-2</v>
      </c>
      <c r="D88" s="880">
        <f>+VLOOKUP($B88,'[3]World BOP data'!$A$3:$Q$199,2,0)/1000000000</f>
        <v>0</v>
      </c>
      <c r="E88" s="880">
        <f t="shared" si="10"/>
        <v>-1.6300000000000002E-2</v>
      </c>
      <c r="F88" s="881">
        <f>TableB1b!K88</f>
        <v>0</v>
      </c>
      <c r="G88" s="888">
        <f>TableB2!G86-TableB2!C86</f>
        <v>-1.6300000000000002E-2</v>
      </c>
      <c r="H88" s="882">
        <f>TableB2!H86+TableB2!J86-TableB2!D86-TableB2!F86</f>
        <v>-1.6300000000000002E-2</v>
      </c>
      <c r="I88" s="883">
        <f>TableB2!I86-TableB2!E86</f>
        <v>0</v>
      </c>
      <c r="J88" s="884">
        <f>TableB1b!G88+TableB1b!J88+TableB1b!L88</f>
        <v>0</v>
      </c>
      <c r="K88" s="885">
        <f>+VLOOKUP($B88,'[3]World BOP data'!$A$3:$Q$199,14,0)/1000000000</f>
        <v>0</v>
      </c>
      <c r="O88" s="1646">
        <f t="shared" si="12"/>
        <v>0</v>
      </c>
      <c r="P88" s="853">
        <f t="shared" si="13"/>
        <v>0</v>
      </c>
      <c r="Q88" s="853">
        <f t="shared" si="14"/>
        <v>0</v>
      </c>
    </row>
    <row r="89" spans="1:17" ht="15.5" x14ac:dyDescent="0.35">
      <c r="A89" s="379"/>
      <c r="B89" s="860" t="s">
        <v>300</v>
      </c>
      <c r="C89" s="887" t="e">
        <f t="shared" si="11"/>
        <v>#N/A</v>
      </c>
      <c r="D89" s="880" t="e">
        <f>+VLOOKUP($B89,'[3]World BOP data'!$A$3:$Q$199,2,0)/1000000000</f>
        <v>#N/A</v>
      </c>
      <c r="E89" s="880">
        <f t="shared" si="10"/>
        <v>0</v>
      </c>
      <c r="F89" s="881">
        <f>TableB1b!K89</f>
        <v>0</v>
      </c>
      <c r="G89" s="888">
        <f>TableB2!G87-TableB2!C87</f>
        <v>0</v>
      </c>
      <c r="H89" s="882">
        <f>TableB2!H87+TableB2!J87-TableB2!D87-TableB2!F87</f>
        <v>0</v>
      </c>
      <c r="I89" s="883">
        <f>TableB2!I87-TableB2!E87</f>
        <v>0</v>
      </c>
      <c r="J89" s="884">
        <f>TableB1b!G89+TableB1b!J89+TableB1b!L89</f>
        <v>0</v>
      </c>
      <c r="K89" s="885" t="e">
        <f>+VLOOKUP($B89,'[3]World BOP data'!$A$3:$Q$199,14,0)/1000000000</f>
        <v>#N/A</v>
      </c>
      <c r="O89" s="1646"/>
      <c r="P89" s="853"/>
      <c r="Q89" s="853"/>
    </row>
    <row r="90" spans="1:17" ht="15.5" x14ac:dyDescent="0.35">
      <c r="A90" s="379"/>
      <c r="B90" s="860" t="s">
        <v>210</v>
      </c>
      <c r="C90" s="887">
        <f t="shared" si="11"/>
        <v>-3.2609818939811026</v>
      </c>
      <c r="D90" s="880">
        <f>+VLOOKUP($B90,'[3]World BOP data'!$A$3:$Q$199,2,0)/1000000000</f>
        <v>0.95050000000000001</v>
      </c>
      <c r="E90" s="880">
        <f t="shared" si="10"/>
        <v>-4.1054818939811026</v>
      </c>
      <c r="F90" s="881">
        <f>TableB1b!K90</f>
        <v>8.4199999999999997E-2</v>
      </c>
      <c r="G90" s="888">
        <f>TableB2!G88-TableB2!C88</f>
        <v>-3.3522818939811025</v>
      </c>
      <c r="H90" s="882">
        <f>TableB2!H88+TableB2!J88-TableB2!D88-TableB2!F88</f>
        <v>-3.352281893981103</v>
      </c>
      <c r="I90" s="883">
        <f>TableB2!I88-TableB2!E88</f>
        <v>0</v>
      </c>
      <c r="J90" s="884">
        <f>TableB1b!G90+TableB1b!J90+TableB1b!L90</f>
        <v>-0.83739999999999992</v>
      </c>
      <c r="K90" s="885">
        <f>+VLOOKUP($B90,'[3]World BOP data'!$A$3:$Q$199,14,0)/1000000000</f>
        <v>-0.106</v>
      </c>
      <c r="O90" s="1646">
        <f>C90-D90-E90-K90</f>
        <v>1.2490009027033011E-16</v>
      </c>
      <c r="P90" s="853">
        <f>E90-F90-G90-J90</f>
        <v>0</v>
      </c>
      <c r="Q90" s="853">
        <f>G90-H90-I90</f>
        <v>4.4408920985006262E-16</v>
      </c>
    </row>
    <row r="91" spans="1:17" ht="15.5" x14ac:dyDescent="0.35">
      <c r="A91" s="379"/>
      <c r="B91" s="860" t="s">
        <v>290</v>
      </c>
      <c r="C91" s="887" t="e">
        <f t="shared" si="11"/>
        <v>#N/A</v>
      </c>
      <c r="D91" s="880">
        <f>([2]PuertoRicoBOP!$J$9-[2]PuertoRicoBOP!$J$13-([2]PuertoRicoBOP!$J$18-[2]PuertoRicoBOP!$J$22))/1000</f>
        <v>24.823500000000013</v>
      </c>
      <c r="E91" s="880">
        <f t="shared" si="10"/>
        <v>-34.773400000000002</v>
      </c>
      <c r="F91" s="881">
        <f>TableB1b!K91</f>
        <v>0</v>
      </c>
      <c r="G91" s="888">
        <f>TableB2!G89-TableB2!C89</f>
        <v>-34.773400000000002</v>
      </c>
      <c r="H91" s="882">
        <f>TableB2!H89+TableB2!J89-TableB2!D89-TableB2!F89</f>
        <v>-34.773400000000002</v>
      </c>
      <c r="I91" s="883">
        <f>TableB2!I89-TableB2!E89</f>
        <v>0</v>
      </c>
      <c r="J91" s="884">
        <f>TableB1b!G91+TableB1b!J91+TableB1b!L91</f>
        <v>0</v>
      </c>
      <c r="K91" s="885" t="e">
        <f>+VLOOKUP($B91,'[3]World BOP data'!$A$3:$Q$199,14,0)/1000000000</f>
        <v>#N/A</v>
      </c>
      <c r="O91" s="1646" t="e">
        <f>C91-D91-E91-K91</f>
        <v>#N/A</v>
      </c>
      <c r="P91" s="853">
        <f>E91-F91-G91-J91</f>
        <v>0</v>
      </c>
      <c r="Q91" s="853">
        <f>G91-H91-I91</f>
        <v>0</v>
      </c>
    </row>
    <row r="92" spans="1:17" ht="40" customHeight="1" x14ac:dyDescent="0.25">
      <c r="B92" s="641" t="s">
        <v>613</v>
      </c>
      <c r="C92" s="1667">
        <f t="shared" ref="C92:J92" si="15">C93-SUMIF(C12:C91,"&gt;-999999999")</f>
        <v>-76.541550216678445</v>
      </c>
      <c r="D92" s="1665">
        <f t="shared" si="15"/>
        <v>-112.86052783530079</v>
      </c>
      <c r="E92" s="1665">
        <f t="shared" si="15"/>
        <v>-69.507708022451141</v>
      </c>
      <c r="F92" s="1666">
        <f t="shared" si="15"/>
        <v>39.321214885515658</v>
      </c>
      <c r="G92" s="1665">
        <f t="shared" si="15"/>
        <v>7.7908401738035309</v>
      </c>
      <c r="H92" s="1664">
        <f t="shared" si="15"/>
        <v>-5.4151202705692754</v>
      </c>
      <c r="I92" s="1663">
        <f t="shared" si="15"/>
        <v>13.168994003441536</v>
      </c>
      <c r="J92" s="1662">
        <f t="shared" si="15"/>
        <v>-116.61976308177037</v>
      </c>
      <c r="K92" s="1661">
        <f>+C92-D92-E92</f>
        <v>105.82668564107348</v>
      </c>
      <c r="O92" s="1646">
        <f>C92-D92-E92-K92</f>
        <v>0</v>
      </c>
      <c r="P92" s="853">
        <f>E92-F92-G92-J92</f>
        <v>0</v>
      </c>
      <c r="Q92" s="853">
        <f>G92-H92-I92</f>
        <v>3.6966440931269773E-2</v>
      </c>
    </row>
    <row r="93" spans="1:17" ht="40" customHeight="1" thickBot="1" x14ac:dyDescent="0.3">
      <c r="B93" s="584" t="s">
        <v>500</v>
      </c>
      <c r="C93" s="1668">
        <f>+TableB9!N54</f>
        <v>280.09199999999998</v>
      </c>
      <c r="D93" s="1669">
        <f>+TableB9!O54+TableB9!P54</f>
        <v>511.7559999999994</v>
      </c>
      <c r="E93" s="1669">
        <f>+TableB9!Q54</f>
        <v>-64.93100000000004</v>
      </c>
      <c r="F93" s="1670">
        <f>+TableB9!R54</f>
        <v>47.7</v>
      </c>
      <c r="G93" s="1669">
        <f>+TableB9!S54</f>
        <v>187.024</v>
      </c>
      <c r="H93" s="1671">
        <f>+TableB9!T54</f>
        <v>203.279</v>
      </c>
      <c r="I93" s="1672">
        <f>+G93-H93</f>
        <v>-16.254999999999995</v>
      </c>
      <c r="J93" s="1673">
        <f>+E93-G93-F93</f>
        <v>-299.65500000000003</v>
      </c>
      <c r="K93" s="1674">
        <f>+C93-D93-E93</f>
        <v>-166.73299999999938</v>
      </c>
      <c r="O93" s="1646">
        <f>C93-D93-E93-K93</f>
        <v>0</v>
      </c>
      <c r="P93" s="853">
        <f>E93-F93-G93-J93</f>
        <v>0</v>
      </c>
      <c r="Q93" s="853">
        <f>G93-H93-I93</f>
        <v>0</v>
      </c>
    </row>
    <row r="94" spans="1:17" ht="13" thickTop="1" x14ac:dyDescent="0.25"/>
    <row r="95" spans="1:17" ht="13" thickBot="1" x14ac:dyDescent="0.3">
      <c r="J95" s="853"/>
      <c r="K95" s="853"/>
    </row>
    <row r="96" spans="1:17" x14ac:dyDescent="0.25">
      <c r="B96" s="2261" t="s">
        <v>771</v>
      </c>
      <c r="C96" s="2262"/>
      <c r="D96" s="2262"/>
      <c r="E96" s="2262"/>
      <c r="F96" s="2262"/>
      <c r="G96" s="2262"/>
      <c r="H96" s="2262"/>
      <c r="I96" s="2262"/>
      <c r="J96" s="2262"/>
      <c r="K96" s="2263"/>
    </row>
    <row r="97" spans="2:11" ht="13" thickBot="1" x14ac:dyDescent="0.3">
      <c r="B97" s="2264"/>
      <c r="C97" s="2265"/>
      <c r="D97" s="2265"/>
      <c r="E97" s="2265"/>
      <c r="F97" s="2265"/>
      <c r="G97" s="2265"/>
      <c r="H97" s="2265"/>
      <c r="I97" s="2265"/>
      <c r="J97" s="2265"/>
      <c r="K97" s="2266"/>
    </row>
  </sheetData>
  <mergeCells count="10">
    <mergeCell ref="B96:K97"/>
    <mergeCell ref="B4:K4"/>
    <mergeCell ref="C8:C10"/>
    <mergeCell ref="D8:D10"/>
    <mergeCell ref="E8:E10"/>
    <mergeCell ref="K8:K10"/>
    <mergeCell ref="F9:F10"/>
    <mergeCell ref="G9:G10"/>
    <mergeCell ref="J9:J10"/>
    <mergeCell ref="C7:K7"/>
  </mergeCells>
  <phoneticPr fontId="62" type="noConversion"/>
  <conditionalFormatting sqref="C12:K91">
    <cfRule type="cellIs" dxfId="20" priority="7" operator="greaterThan">
      <formula>-999999999999999000</formula>
    </cfRule>
  </conditionalFormatting>
  <conditionalFormatting sqref="C93:H93">
    <cfRule type="cellIs" dxfId="19" priority="6" operator="greaterThan">
      <formula>-999999999999999000</formula>
    </cfRule>
  </conditionalFormatting>
  <conditionalFormatting sqref="K93">
    <cfRule type="cellIs" dxfId="18" priority="5" operator="greaterThan">
      <formula>-999999999999999000</formula>
    </cfRule>
  </conditionalFormatting>
  <conditionalFormatting sqref="J93">
    <cfRule type="cellIs" dxfId="17" priority="4" operator="greaterThan">
      <formula>-999999999999999000</formula>
    </cfRule>
  </conditionalFormatting>
  <conditionalFormatting sqref="I93">
    <cfRule type="cellIs" dxfId="16" priority="3" operator="greaterThan">
      <formula>-999999999999999000</formula>
    </cfRule>
  </conditionalFormatting>
  <conditionalFormatting sqref="C92:J92">
    <cfRule type="cellIs" dxfId="15" priority="2" operator="greaterThan">
      <formula>-999999999999999000</formula>
    </cfRule>
  </conditionalFormatting>
  <conditionalFormatting sqref="K92">
    <cfRule type="cellIs" dxfId="14" priority="1" operator="greaterThan">
      <formula>-999999999999999000</formula>
    </cfRule>
  </conditionalFormatting>
  <hyperlinks>
    <hyperlink ref="B48" r:id="rId1" display="  Brazil" xr:uid="{00000000-0004-0000-0F00-000000000000}"/>
    <hyperlink ref="B54" r:id="rId2" tooltip="Click once to display linked information. Click and hold to select this cell." display="  South Africa" xr:uid="{00000000-0004-0000-0F00-000001000000}"/>
    <hyperlink ref="B53" r:id="rId3" tooltip="Click once to display linked information. Click and hold to select this cell." display="  Russia" xr:uid="{00000000-0004-0000-0F00-000002000000}"/>
    <hyperlink ref="B52" r:id="rId4" tooltip="Click once to display linked information. Click and hold to select this cell." display="  India" xr:uid="{00000000-0004-0000-0F00-000003000000}"/>
  </hyperlinks>
  <pageMargins left="0.7" right="0.7" top="0.75" bottom="0.75" header="0.3" footer="0.3"/>
  <pageSetup scale="63" fitToHeight="2" orientation="portrait" horizontalDpi="4294967292" verticalDpi="4294967292"/>
  <extLst>
    <ext xmlns:mx="http://schemas.microsoft.com/office/mac/excel/2008/main" uri="{64002731-A6B0-56B0-2670-7721B7C09600}">
      <mx:PLV Mode="0" OnePage="0" WScale="10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Q92"/>
  <sheetViews>
    <sheetView workbookViewId="0">
      <pane xSplit="1" ySplit="11" topLeftCell="B12" activePane="bottomRight" state="frozen"/>
      <selection pane="topRight" activeCell="B1" sqref="B1"/>
      <selection pane="bottomLeft" activeCell="A13" sqref="A13"/>
      <selection pane="bottomRight" activeCell="P22" sqref="P22"/>
    </sheetView>
  </sheetViews>
  <sheetFormatPr baseColWidth="10" defaultColWidth="7.6328125" defaultRowHeight="14.5" x14ac:dyDescent="0.35"/>
  <cols>
    <col min="1" max="1" width="19.81640625" style="981" customWidth="1"/>
    <col min="2" max="17" width="11.6328125" style="981" customWidth="1"/>
    <col min="18" max="26" width="7.6328125" style="981"/>
    <col min="27" max="27" width="16.453125" style="981" bestFit="1" customWidth="1"/>
    <col min="28" max="28" width="17.36328125" style="981" bestFit="1" customWidth="1"/>
    <col min="29" max="29" width="16.453125" style="981" bestFit="1" customWidth="1"/>
    <col min="30" max="16384" width="7.6328125" style="981"/>
  </cols>
  <sheetData>
    <row r="1" spans="1:17" x14ac:dyDescent="0.35">
      <c r="G1" s="1089"/>
    </row>
    <row r="3" spans="1:17" ht="15" thickBot="1" x14ac:dyDescent="0.4"/>
    <row r="4" spans="1:17" ht="33" customHeight="1" thickTop="1" x14ac:dyDescent="0.35">
      <c r="A4" s="2048" t="s">
        <v>612</v>
      </c>
      <c r="B4" s="2049"/>
      <c r="C4" s="2049"/>
      <c r="D4" s="2049"/>
      <c r="E4" s="2049"/>
      <c r="F4" s="2049"/>
      <c r="G4" s="2049"/>
      <c r="H4" s="2049"/>
      <c r="I4" s="2049"/>
      <c r="J4" s="2049"/>
      <c r="K4" s="2049"/>
      <c r="L4" s="2049"/>
      <c r="M4" s="2049"/>
      <c r="N4" s="2049"/>
      <c r="O4" s="2049"/>
      <c r="P4" s="2049"/>
      <c r="Q4" s="1096"/>
    </row>
    <row r="5" spans="1:17" ht="20" x14ac:dyDescent="0.35">
      <c r="A5" s="11"/>
      <c r="B5" s="1022"/>
      <c r="C5" s="1022"/>
      <c r="D5" s="1022"/>
      <c r="E5" s="1022"/>
      <c r="F5" s="1022"/>
      <c r="G5" s="1022"/>
      <c r="H5" s="1022"/>
      <c r="I5" s="1022"/>
      <c r="J5" s="1022"/>
      <c r="K5" s="1022"/>
      <c r="L5" s="1022"/>
      <c r="M5" s="1022"/>
      <c r="N5" s="1022"/>
      <c r="O5" s="1022"/>
      <c r="P5" s="1094"/>
      <c r="Q5" s="1028"/>
    </row>
    <row r="6" spans="1:17" ht="20" x14ac:dyDescent="0.35">
      <c r="A6" s="11"/>
      <c r="B6" s="1032" t="s">
        <v>20</v>
      </c>
      <c r="C6" s="1032" t="s">
        <v>21</v>
      </c>
      <c r="D6" s="1032" t="s">
        <v>22</v>
      </c>
      <c r="E6" s="1032" t="s">
        <v>23</v>
      </c>
      <c r="F6" s="1032" t="s">
        <v>24</v>
      </c>
      <c r="G6" s="1032" t="s">
        <v>25</v>
      </c>
      <c r="H6" s="1032" t="s">
        <v>26</v>
      </c>
      <c r="I6" s="1032" t="s">
        <v>33</v>
      </c>
      <c r="J6" s="1032" t="s">
        <v>34</v>
      </c>
      <c r="K6" s="1032" t="s">
        <v>37</v>
      </c>
      <c r="L6" s="1032" t="s">
        <v>105</v>
      </c>
      <c r="M6" s="1032" t="s">
        <v>138</v>
      </c>
      <c r="N6" s="10" t="s">
        <v>139</v>
      </c>
      <c r="O6" s="10" t="s">
        <v>140</v>
      </c>
      <c r="P6" s="10" t="s">
        <v>141</v>
      </c>
      <c r="Q6" s="1097" t="s">
        <v>255</v>
      </c>
    </row>
    <row r="7" spans="1:17" ht="15.5" x14ac:dyDescent="0.35">
      <c r="A7" s="860"/>
      <c r="B7" s="2297" t="s">
        <v>111</v>
      </c>
      <c r="C7" s="2298"/>
      <c r="D7" s="2298"/>
      <c r="E7" s="2298"/>
      <c r="F7" s="2298"/>
      <c r="G7" s="2298"/>
      <c r="H7" s="2298"/>
      <c r="I7" s="2298"/>
      <c r="J7" s="2298"/>
      <c r="K7" s="2298"/>
      <c r="L7" s="2298"/>
      <c r="M7" s="2299"/>
      <c r="N7" s="2288" t="s">
        <v>607</v>
      </c>
      <c r="O7" s="2289"/>
      <c r="P7" s="2289"/>
      <c r="Q7" s="2290"/>
    </row>
    <row r="8" spans="1:17" ht="15" customHeight="1" x14ac:dyDescent="0.35">
      <c r="A8" s="860"/>
      <c r="B8" s="2283" t="s">
        <v>611</v>
      </c>
      <c r="C8" s="2285" t="s">
        <v>604</v>
      </c>
      <c r="D8" s="1039"/>
      <c r="E8" s="1023"/>
      <c r="F8" s="1023"/>
      <c r="G8" s="1023"/>
      <c r="H8" s="1023"/>
      <c r="I8" s="1023"/>
      <c r="J8" s="1023"/>
      <c r="K8" s="2306" t="s">
        <v>13</v>
      </c>
      <c r="L8" s="2308" t="s">
        <v>603</v>
      </c>
      <c r="M8" s="2282" t="s">
        <v>585</v>
      </c>
      <c r="N8" s="2300" t="s">
        <v>614</v>
      </c>
      <c r="O8" s="2291" t="s">
        <v>615</v>
      </c>
      <c r="P8" s="2291" t="s">
        <v>608</v>
      </c>
      <c r="Q8" s="2287" t="s">
        <v>617</v>
      </c>
    </row>
    <row r="9" spans="1:17" ht="15" customHeight="1" thickBot="1" x14ac:dyDescent="0.4">
      <c r="A9" s="861"/>
      <c r="B9" s="2284"/>
      <c r="C9" s="2286"/>
      <c r="D9" s="2291" t="s">
        <v>601</v>
      </c>
      <c r="E9" s="1024"/>
      <c r="F9" s="1024"/>
      <c r="G9" s="2301" t="s">
        <v>602</v>
      </c>
      <c r="H9" s="1024"/>
      <c r="I9" s="1024"/>
      <c r="J9" s="2291" t="s">
        <v>609</v>
      </c>
      <c r="K9" s="2307"/>
      <c r="L9" s="2309"/>
      <c r="M9" s="2282"/>
      <c r="N9" s="2300"/>
      <c r="O9" s="2291"/>
      <c r="P9" s="2291"/>
      <c r="Q9" s="2287"/>
    </row>
    <row r="10" spans="1:17" ht="16" customHeight="1" x14ac:dyDescent="0.35">
      <c r="A10" s="862"/>
      <c r="B10" s="2284"/>
      <c r="C10" s="2286"/>
      <c r="D10" s="2292"/>
      <c r="E10" s="2293" t="s">
        <v>188</v>
      </c>
      <c r="F10" s="2295" t="s">
        <v>189</v>
      </c>
      <c r="G10" s="2301"/>
      <c r="H10" s="2302" t="s">
        <v>605</v>
      </c>
      <c r="I10" s="2304" t="s">
        <v>606</v>
      </c>
      <c r="J10" s="2291"/>
      <c r="K10" s="2307"/>
      <c r="L10" s="2309"/>
      <c r="M10" s="2282"/>
      <c r="N10" s="2300"/>
      <c r="O10" s="2291"/>
      <c r="P10" s="2291"/>
      <c r="Q10" s="2287"/>
    </row>
    <row r="11" spans="1:17" ht="46" customHeight="1" x14ac:dyDescent="0.35">
      <c r="A11" s="861"/>
      <c r="B11" s="2284"/>
      <c r="C11" s="2286"/>
      <c r="D11" s="2292"/>
      <c r="E11" s="2294"/>
      <c r="F11" s="2296"/>
      <c r="G11" s="2301"/>
      <c r="H11" s="2303"/>
      <c r="I11" s="2305"/>
      <c r="J11" s="2291"/>
      <c r="K11" s="2307"/>
      <c r="L11" s="2309"/>
      <c r="M11" s="2282"/>
      <c r="N11" s="2300"/>
      <c r="O11" s="2291"/>
      <c r="P11" s="2291"/>
      <c r="Q11" s="2287"/>
    </row>
    <row r="12" spans="1:17" ht="15.5" x14ac:dyDescent="0.35">
      <c r="A12" s="863" t="s">
        <v>54</v>
      </c>
      <c r="B12" s="1049">
        <f t="shared" ref="B12:B46" si="0">C12+K12+L12</f>
        <v>-29.518415384082896</v>
      </c>
      <c r="C12" s="1050">
        <f t="shared" ref="C12:C46" si="1">D12+G12+J12</f>
        <v>-26.959686351682898</v>
      </c>
      <c r="D12" s="1051">
        <f>E12+F12</f>
        <v>-10.5875723194829</v>
      </c>
      <c r="E12" s="1052">
        <f>TableB2!H10+TableB2!J10-TableB2!D10-TableB2!F10</f>
        <v>-6.7292809377112004</v>
      </c>
      <c r="F12" s="1051">
        <f>TableB2!I10-TableB2!E10</f>
        <v>-3.8582913817716999</v>
      </c>
      <c r="G12" s="1100">
        <f>IFERROR(H12+I12,0)</f>
        <v>-14.591359642199999</v>
      </c>
      <c r="H12" s="1052">
        <f>VLOOKUP(A12,'[3]World BOP data'!$A$3:$AD$202,10,)/1000000000</f>
        <v>-2.5402093093000002</v>
      </c>
      <c r="I12" s="1053">
        <f>VLOOKUP(A12,'[3]World BOP data'!$A$3:$AD$202,11,)/1000000000</f>
        <v>-12.051150332899999</v>
      </c>
      <c r="J12" s="1054">
        <f>IFERROR(VLOOKUP(A12,'[3]World BOP data'!$A$3:$AD$202,12,)/1000000000,0)</f>
        <v>-1.78075439</v>
      </c>
      <c r="K12" s="1055">
        <f>IFERROR(VLOOKUP(A12,'[3]World BOP data'!$A$2:$AD$200,19,0)/1000000000,0)</f>
        <v>-2.8967800000000001</v>
      </c>
      <c r="L12" s="1056">
        <f>IFERROR(VLOOKUP(A12,'[3]World BOP data'!$A$3:$AD$202,16,)/1000000000,0)</f>
        <v>0.33805096760000003</v>
      </c>
      <c r="M12" s="1057">
        <f>TableA1!B10-TableA1!M10+B12</f>
        <v>975.05377733015882</v>
      </c>
      <c r="N12" s="1058">
        <f>(F12)/M12</f>
        <v>-3.9570036765933783E-3</v>
      </c>
      <c r="O12" s="1059">
        <f>(E12)/M12</f>
        <v>-6.9014459449990182E-3</v>
      </c>
      <c r="P12" s="1059">
        <f>TableB1!D12/M12</f>
        <v>-2.8190875515671721E-2</v>
      </c>
      <c r="Q12" s="1101">
        <f t="shared" ref="Q12:Q46" si="2">B12/M12</f>
        <v>-3.0273628050453458E-2</v>
      </c>
    </row>
    <row r="13" spans="1:17" ht="15.5" x14ac:dyDescent="0.35">
      <c r="A13" s="860" t="s">
        <v>55</v>
      </c>
      <c r="B13" s="1033">
        <f t="shared" si="0"/>
        <v>-2.6726777348455593</v>
      </c>
      <c r="C13" s="1035">
        <f t="shared" si="1"/>
        <v>-2.7307609181455592</v>
      </c>
      <c r="D13" s="1025">
        <f t="shared" ref="D13:D46" si="3">E13+F13</f>
        <v>1.0904048807544413</v>
      </c>
      <c r="E13" s="882">
        <f>TableB2!H11+TableB2!J11-TableB2!D11-TableB2!F11</f>
        <v>1.1558513588465011</v>
      </c>
      <c r="F13" s="1025">
        <f>TableB2!I11-TableB2!E11</f>
        <v>-6.5446478092059945E-2</v>
      </c>
      <c r="G13" s="881">
        <f t="shared" ref="G13:G54" si="4">IFERROR(H13+I13,0)</f>
        <v>-3.6269865039000004</v>
      </c>
      <c r="H13" s="882">
        <f>VLOOKUP(A13,'[3]World BOP data'!$A$3:$AD$202,10,)/1000000000</f>
        <v>1.0610486473</v>
      </c>
      <c r="I13" s="1038">
        <f>VLOOKUP(A13,'[3]World BOP data'!$A$3:$AD$202,11,)/1000000000</f>
        <v>-4.6880351512000003</v>
      </c>
      <c r="J13" s="880">
        <f>IFERROR(VLOOKUP(A13,'[3]World BOP data'!$A$3:$AD$202,12,)/1000000000,0)</f>
        <v>-0.194179295</v>
      </c>
      <c r="K13" s="1040">
        <f>IFERROR(VLOOKUP(A13,'[3]World BOP data'!$A$2:$AD$200,19,0)/1000000000,0)</f>
        <v>-0.48529899999999998</v>
      </c>
      <c r="L13" s="1041">
        <f>IFERROR(VLOOKUP(A13,'[3]World BOP data'!$A$3:$AD$202,16,)/1000000000,0)</f>
        <v>0.54338218329999999</v>
      </c>
      <c r="M13" s="1026">
        <f>TableA1!B11-TableA1!M11+B13</f>
        <v>310.85072745492135</v>
      </c>
      <c r="N13" s="1029">
        <f t="shared" ref="N13:N76" si="5">(F13)/M13</f>
        <v>-2.1053989040945964E-4</v>
      </c>
      <c r="O13" s="1027">
        <f t="shared" ref="O13:O76" si="6">(E13)/M13</f>
        <v>3.7183485729951177E-3</v>
      </c>
      <c r="P13" s="1027">
        <f>TableB1!D13/M13</f>
        <v>4.1304807969484214E-2</v>
      </c>
      <c r="Q13" s="1098">
        <f t="shared" si="2"/>
        <v>-8.5979458910326757E-3</v>
      </c>
    </row>
    <row r="14" spans="1:17" ht="15.5" x14ac:dyDescent="0.35">
      <c r="A14" s="860" t="s">
        <v>2</v>
      </c>
      <c r="B14" s="1033">
        <f t="shared" si="0"/>
        <v>4.3240763362043189E-2</v>
      </c>
      <c r="C14" s="1035">
        <f t="shared" si="1"/>
        <v>-5.7951812021379565</v>
      </c>
      <c r="D14" s="1025">
        <f t="shared" si="3"/>
        <v>-6.8108707709379566</v>
      </c>
      <c r="E14" s="882">
        <f>TableB2!H12+TableB2!J12-TableB2!D12-TableB2!F12</f>
        <v>-12.627842484748356</v>
      </c>
      <c r="F14" s="1025">
        <f>TableB2!I12-TableB2!E12</f>
        <v>5.8169717138103998</v>
      </c>
      <c r="G14" s="881">
        <f t="shared" si="4"/>
        <v>1.5217639961</v>
      </c>
      <c r="H14" s="882">
        <f>VLOOKUP(A14,'[3]World BOP data'!$A$3:$AD$202,10,)/1000000000</f>
        <v>1.2458868175</v>
      </c>
      <c r="I14" s="1038">
        <f>VLOOKUP(A14,'[3]World BOP data'!$A$3:$AD$202,11,)/1000000000</f>
        <v>0.27587717860000005</v>
      </c>
      <c r="J14" s="880">
        <f>IFERROR(VLOOKUP(A14,'[3]World BOP data'!$A$3:$AD$202,12,)/1000000000,0)</f>
        <v>-0.50607442729999996</v>
      </c>
      <c r="K14" s="1040">
        <f>IFERROR(VLOOKUP(A14,'[3]World BOP data'!$A$2:$AD$200,19,0)/1000000000,0)</f>
        <v>6.4764299999999997</v>
      </c>
      <c r="L14" s="1041">
        <f>IFERROR(VLOOKUP(A14,'[3]World BOP data'!$A$3:$AD$202,16,)/1000000000,0)</f>
        <v>-0.63800803449999999</v>
      </c>
      <c r="M14" s="1026">
        <f>TableA1!B12-TableA1!M12+B14</f>
        <v>367.156417696105</v>
      </c>
      <c r="N14" s="1029">
        <f t="shared" si="5"/>
        <v>1.5843306649279659E-2</v>
      </c>
      <c r="O14" s="1027">
        <f t="shared" si="6"/>
        <v>-3.4393631368308017E-2</v>
      </c>
      <c r="P14" s="1027">
        <f>TableB1!D14/M14</f>
        <v>2.8052915120838608E-2</v>
      </c>
      <c r="Q14" s="1098">
        <f t="shared" si="2"/>
        <v>1.1777204830948515E-4</v>
      </c>
    </row>
    <row r="15" spans="1:17" ht="15.5" x14ac:dyDescent="0.35">
      <c r="A15" s="860" t="s">
        <v>56</v>
      </c>
      <c r="B15" s="1033">
        <f t="shared" si="0"/>
        <v>-14.143957122551599</v>
      </c>
      <c r="C15" s="1035">
        <f t="shared" si="1"/>
        <v>-12.608767122551599</v>
      </c>
      <c r="D15" s="1025">
        <f t="shared" si="3"/>
        <v>5.5487757177484003</v>
      </c>
      <c r="E15" s="882">
        <f>TableB2!H13+TableB2!J13-TableB2!D13-TableB2!F13</f>
        <v>5.3641555190470012</v>
      </c>
      <c r="F15" s="1025">
        <f>TableB2!I13-TableB2!E13</f>
        <v>0.18462019870139956</v>
      </c>
      <c r="G15" s="881">
        <f t="shared" si="4"/>
        <v>-17.4844449406</v>
      </c>
      <c r="H15" s="882">
        <f>VLOOKUP(A15,'[3]World BOP data'!$A$3:$AD$202,10,)/1000000000</f>
        <v>4.8758243471</v>
      </c>
      <c r="I15" s="1038">
        <f>VLOOKUP(A15,'[3]World BOP data'!$A$3:$AD$202,11,)/1000000000</f>
        <v>-22.3602692877</v>
      </c>
      <c r="J15" s="880">
        <f>IFERROR(VLOOKUP(A15,'[3]World BOP data'!$A$3:$AD$202,12,)/1000000000,0)</f>
        <v>-0.6730978997</v>
      </c>
      <c r="K15" s="1040">
        <f>IFERROR(VLOOKUP(A15,'[3]World BOP data'!$A$2:$AD$200,19,0)/1000000000,0)</f>
        <v>-1.5351900000000001</v>
      </c>
      <c r="L15" s="1041">
        <f>IFERROR(VLOOKUP(A15,'[3]World BOP data'!$A$3:$AD$202,16,)/1000000000,0)</f>
        <v>0</v>
      </c>
      <c r="M15" s="1026">
        <f>TableA1!B13-TableA1!M13+B15</f>
        <v>1278.741341736488</v>
      </c>
      <c r="N15" s="1029">
        <f t="shared" si="5"/>
        <v>1.4437649951216209E-4</v>
      </c>
      <c r="O15" s="1027">
        <f t="shared" si="6"/>
        <v>4.194871428621098E-3</v>
      </c>
      <c r="P15" s="1027">
        <f>TableB1!D15/M15</f>
        <v>-2.9185777172824681E-2</v>
      </c>
      <c r="Q15" s="1098">
        <f t="shared" si="2"/>
        <v>-1.1060842924922236E-2</v>
      </c>
    </row>
    <row r="16" spans="1:17" ht="15.5" x14ac:dyDescent="0.35">
      <c r="A16" s="860" t="s">
        <v>57</v>
      </c>
      <c r="B16" s="1033">
        <f t="shared" si="0"/>
        <v>-6.5757078686947308</v>
      </c>
      <c r="C16" s="1035">
        <f t="shared" si="1"/>
        <v>-6.3847368686947306</v>
      </c>
      <c r="D16" s="1025">
        <f t="shared" si="3"/>
        <v>-6.3508948686947297</v>
      </c>
      <c r="E16" s="882">
        <f>TableB2!H14+TableB2!J14-TableB2!D14-TableB2!F14</f>
        <v>-4.7134820799641899</v>
      </c>
      <c r="F16" s="1025">
        <f>TableB2!I14-TableB2!E14</f>
        <v>-1.6374127887305399</v>
      </c>
      <c r="G16" s="881">
        <f t="shared" si="4"/>
        <v>0.17790501599999997</v>
      </c>
      <c r="H16" s="882">
        <f>VLOOKUP(A16,'[3]World BOP data'!$A$3:$AD$202,10,)/1000000000</f>
        <v>1.7092656159999999</v>
      </c>
      <c r="I16" s="1038">
        <f>VLOOKUP(A16,'[3]World BOP data'!$A$3:$AD$202,11,)/1000000000</f>
        <v>-1.5313606</v>
      </c>
      <c r="J16" s="880">
        <f>IFERROR(VLOOKUP(A16,'[3]World BOP data'!$A$3:$AD$202,12,)/1000000000,0)</f>
        <v>-0.21174701600000001</v>
      </c>
      <c r="K16" s="1040">
        <f>IFERROR(VLOOKUP(A16,'[3]World BOP data'!$A$2:$AD$200,19,0)/1000000000,0)</f>
        <v>-0.190971</v>
      </c>
      <c r="L16" s="1041">
        <f>IFERROR(VLOOKUP(A16,'[3]World BOP data'!$A$3:$AD$202,16,)/1000000000,0)</f>
        <v>0</v>
      </c>
      <c r="M16" s="1026">
        <f>TableA1!B14-TableA1!M14+B16</f>
        <v>187.47361197091911</v>
      </c>
      <c r="N16" s="1029">
        <f t="shared" si="5"/>
        <v>-8.7340974098505941E-3</v>
      </c>
      <c r="O16" s="1027">
        <f t="shared" si="6"/>
        <v>-2.5142109496964004E-2</v>
      </c>
      <c r="P16" s="1027">
        <f>TableB1!D16/M16</f>
        <v>2.5319558417300435E-4</v>
      </c>
      <c r="Q16" s="1098">
        <f t="shared" si="2"/>
        <v>-3.5075378340258118E-2</v>
      </c>
    </row>
    <row r="17" spans="1:17" ht="15.5" x14ac:dyDescent="0.35">
      <c r="A17" s="860" t="s">
        <v>58</v>
      </c>
      <c r="B17" s="1033">
        <f t="shared" si="0"/>
        <v>-11.05827771126047</v>
      </c>
      <c r="C17" s="1035">
        <f t="shared" si="1"/>
        <v>-13.264963967360471</v>
      </c>
      <c r="D17" s="1025">
        <f t="shared" si="3"/>
        <v>-12.612613345260471</v>
      </c>
      <c r="E17" s="882">
        <f>TableB2!H15+TableB2!J15-TableB2!D15-TableB2!F15</f>
        <v>-12.141259708046629</v>
      </c>
      <c r="F17" s="1025">
        <f>TableB2!I15-TableB2!E15</f>
        <v>-0.47135363721384216</v>
      </c>
      <c r="G17" s="881">
        <f t="shared" si="4"/>
        <v>-0.9642354756</v>
      </c>
      <c r="H17" s="882">
        <f>VLOOKUP(A17,'[3]World BOP data'!$A$3:$AD$202,10,)/1000000000</f>
        <v>-0.34563953010000004</v>
      </c>
      <c r="I17" s="1038">
        <f>VLOOKUP(A17,'[3]World BOP data'!$A$3:$AD$202,11,)/1000000000</f>
        <v>-0.61859594549999997</v>
      </c>
      <c r="J17" s="880">
        <f>IFERROR(VLOOKUP(A17,'[3]World BOP data'!$A$3:$AD$202,12,)/1000000000,0)</f>
        <v>0.3118848535</v>
      </c>
      <c r="K17" s="1040">
        <f>IFERROR(VLOOKUP(A17,'[3]World BOP data'!$A$2:$AD$200,19,0)/1000000000,0)</f>
        <v>1.1957899999999999</v>
      </c>
      <c r="L17" s="1041">
        <f>IFERROR(VLOOKUP(A17,'[3]World BOP data'!$A$3:$AD$202,16,)/1000000000,0)</f>
        <v>1.0108962561000001</v>
      </c>
      <c r="M17" s="1026">
        <f>TableA1!B15-TableA1!M15+B17</f>
        <v>136.38848279486282</v>
      </c>
      <c r="N17" s="1029">
        <f t="shared" si="5"/>
        <v>-3.4559636382405453E-3</v>
      </c>
      <c r="O17" s="1027">
        <f t="shared" si="6"/>
        <v>-8.9019684501570967E-2</v>
      </c>
      <c r="P17" s="1027">
        <f>TableB1!D17/M17</f>
        <v>7.931038452835866E-2</v>
      </c>
      <c r="Q17" s="1098">
        <f t="shared" si="2"/>
        <v>-8.1079263326749085E-2</v>
      </c>
    </row>
    <row r="18" spans="1:17" ht="15.5" x14ac:dyDescent="0.35">
      <c r="A18" s="860" t="s">
        <v>59</v>
      </c>
      <c r="B18" s="1033">
        <f t="shared" si="0"/>
        <v>9.6772210492983799</v>
      </c>
      <c r="C18" s="1035">
        <f t="shared" si="1"/>
        <v>10.58797707559838</v>
      </c>
      <c r="D18" s="1025">
        <f t="shared" si="3"/>
        <v>7.5999940523983796</v>
      </c>
      <c r="E18" s="882">
        <f>TableB2!H16+TableB2!J16-TableB2!D16-TableB2!F16</f>
        <v>6.8885122074523499</v>
      </c>
      <c r="F18" s="1025">
        <f>TableB2!I16-TableB2!E16</f>
        <v>0.71148184494603006</v>
      </c>
      <c r="G18" s="881">
        <f t="shared" si="4"/>
        <v>1.6641586606000001</v>
      </c>
      <c r="H18" s="882">
        <f>VLOOKUP(A18,'[3]World BOP data'!$A$3:$AD$202,10,)/1000000000</f>
        <v>0.76818408660000004</v>
      </c>
      <c r="I18" s="1038">
        <f>VLOOKUP(A18,'[3]World BOP data'!$A$3:$AD$202,11,)/1000000000</f>
        <v>0.89597457400000002</v>
      </c>
      <c r="J18" s="880">
        <f>IFERROR(VLOOKUP(A18,'[3]World BOP data'!$A$3:$AD$202,12,)/1000000000,0)</f>
        <v>1.3238243625999999</v>
      </c>
      <c r="K18" s="1040">
        <f>IFERROR(VLOOKUP(A18,'[3]World BOP data'!$A$2:$AD$200,19,0)/1000000000,0)</f>
        <v>-1.51902</v>
      </c>
      <c r="L18" s="1041">
        <f>IFERROR(VLOOKUP(A18,'[3]World BOP data'!$A$3:$AD$202,16,)/1000000000,0)</f>
        <v>0.60826397370000007</v>
      </c>
      <c r="M18" s="1026">
        <f>TableA1!B16-TableA1!M16+B18</f>
        <v>260.92430279403715</v>
      </c>
      <c r="N18" s="1029">
        <f t="shared" si="5"/>
        <v>2.7267749202635385E-3</v>
      </c>
      <c r="O18" s="1027">
        <f t="shared" si="6"/>
        <v>2.6400423930191954E-2</v>
      </c>
      <c r="P18" s="1027">
        <f>TableB1!D18/M18</f>
        <v>8.5537487109115878E-2</v>
      </c>
      <c r="Q18" s="1098">
        <f t="shared" si="2"/>
        <v>3.708823189588889E-2</v>
      </c>
    </row>
    <row r="19" spans="1:17" ht="15.5" x14ac:dyDescent="0.35">
      <c r="A19" s="860" t="s">
        <v>60</v>
      </c>
      <c r="B19" s="1033">
        <f t="shared" si="0"/>
        <v>-0.45929482925379417</v>
      </c>
      <c r="C19" s="1035">
        <f t="shared" si="1"/>
        <v>-0.91381544065379416</v>
      </c>
      <c r="D19" s="1025">
        <f t="shared" si="3"/>
        <v>-0.98771270105379416</v>
      </c>
      <c r="E19" s="882">
        <f>TableB2!H17+TableB2!J17-TableB2!D17-TableB2!F17</f>
        <v>-1.0265546311702671</v>
      </c>
      <c r="F19" s="1025">
        <f>TableB2!I17-TableB2!E17</f>
        <v>3.8841930116473002E-2</v>
      </c>
      <c r="G19" s="881">
        <f t="shared" si="4"/>
        <v>6.0501559400000002E-2</v>
      </c>
      <c r="H19" s="882">
        <f>VLOOKUP(A19,'[3]World BOP data'!$A$3:$AD$202,10,)/1000000000</f>
        <v>2.70224082E-2</v>
      </c>
      <c r="I19" s="1038">
        <f>VLOOKUP(A19,'[3]World BOP data'!$A$3:$AD$202,11,)/1000000000</f>
        <v>3.3479151200000001E-2</v>
      </c>
      <c r="J19" s="880">
        <f>IFERROR(VLOOKUP(A19,'[3]World BOP data'!$A$3:$AD$202,12,)/1000000000,0)</f>
        <v>1.3395700999999999E-2</v>
      </c>
      <c r="K19" s="1040">
        <f>IFERROR(VLOOKUP(A19,'[3]World BOP data'!$A$2:$AD$200,19,0)/1000000000,0)</f>
        <v>0.283752</v>
      </c>
      <c r="L19" s="1041">
        <f>IFERROR(VLOOKUP(A19,'[3]World BOP data'!$A$3:$AD$202,16,)/1000000000,0)</f>
        <v>0.17076861139999999</v>
      </c>
      <c r="M19" s="1026">
        <f>TableA1!B17-TableA1!M17+B19</f>
        <v>18.384636191231781</v>
      </c>
      <c r="N19" s="1029">
        <f t="shared" si="5"/>
        <v>2.1127385776063363E-3</v>
      </c>
      <c r="O19" s="1027">
        <f t="shared" si="6"/>
        <v>-5.5837636409681236E-2</v>
      </c>
      <c r="P19" s="1027">
        <f>TableB1!D19/M19</f>
        <v>5.0646509406810002E-2</v>
      </c>
      <c r="Q19" s="1098">
        <f t="shared" si="2"/>
        <v>-2.4982535660555878E-2</v>
      </c>
    </row>
    <row r="20" spans="1:17" ht="15.5" x14ac:dyDescent="0.35">
      <c r="A20" s="860" t="s">
        <v>61</v>
      </c>
      <c r="B20" s="1033">
        <f t="shared" si="0"/>
        <v>1.2160564745679392</v>
      </c>
      <c r="C20" s="1035">
        <f t="shared" si="1"/>
        <v>0.70209723166793936</v>
      </c>
      <c r="D20" s="1025">
        <f t="shared" si="3"/>
        <v>3.2823072656679395</v>
      </c>
      <c r="E20" s="882">
        <f>TableB2!H18+TableB2!J18-TableB2!D18-TableB2!F18</f>
        <v>3.5463117027172997</v>
      </c>
      <c r="F20" s="1025">
        <f>TableB2!I18-TableB2!E18</f>
        <v>-0.26400443704936</v>
      </c>
      <c r="G20" s="881">
        <f t="shared" si="4"/>
        <v>-2.1497130635000001</v>
      </c>
      <c r="H20" s="882">
        <f>VLOOKUP(A20,'[3]World BOP data'!$A$3:$AD$202,10,)/1000000000</f>
        <v>-0.75080875670000002</v>
      </c>
      <c r="I20" s="1038">
        <f>VLOOKUP(A20,'[3]World BOP data'!$A$3:$AD$202,11,)/1000000000</f>
        <v>-1.3989043068</v>
      </c>
      <c r="J20" s="880">
        <f>IFERROR(VLOOKUP(A20,'[3]World BOP data'!$A$3:$AD$202,12,)/1000000000,0)</f>
        <v>-0.43049697050000002</v>
      </c>
      <c r="K20" s="1040">
        <f>IFERROR(VLOOKUP(A20,'[3]World BOP data'!$A$2:$AD$200,19,0)/1000000000,0)</f>
        <v>0.17037099999999999</v>
      </c>
      <c r="L20" s="1041">
        <f>IFERROR(VLOOKUP(A20,'[3]World BOP data'!$A$3:$AD$202,16,)/1000000000,0)</f>
        <v>0.34358824289999995</v>
      </c>
      <c r="M20" s="1026">
        <f>TableA1!B18-TableA1!M18+B20</f>
        <v>189.63429441152635</v>
      </c>
      <c r="N20" s="1029">
        <f t="shared" si="5"/>
        <v>-1.3921766517423406E-3</v>
      </c>
      <c r="O20" s="1027">
        <f t="shared" si="6"/>
        <v>1.870079309083952E-2</v>
      </c>
      <c r="P20" s="1027">
        <f>TableB1!D20/M20</f>
        <v>-5.4084495854651708E-4</v>
      </c>
      <c r="Q20" s="1098">
        <f t="shared" si="2"/>
        <v>6.412640067776817E-3</v>
      </c>
    </row>
    <row r="21" spans="1:17" ht="15.5" x14ac:dyDescent="0.35">
      <c r="A21" s="860" t="s">
        <v>48</v>
      </c>
      <c r="B21" s="1033">
        <f t="shared" si="0"/>
        <v>56.3453561333369</v>
      </c>
      <c r="C21" s="1035">
        <f t="shared" si="1"/>
        <v>23.916729885736899</v>
      </c>
      <c r="D21" s="1025">
        <f t="shared" si="3"/>
        <v>44.8159711181369</v>
      </c>
      <c r="E21" s="882">
        <f>TableB2!H19+TableB2!J19-TableB2!D19-TableB2!F19</f>
        <v>45.529564059900203</v>
      </c>
      <c r="F21" s="1025">
        <f>TableB2!I19-TableB2!E19</f>
        <v>-0.71359294176330001</v>
      </c>
      <c r="G21" s="881">
        <f t="shared" si="4"/>
        <v>-19.8282231982</v>
      </c>
      <c r="H21" s="882">
        <f>VLOOKUP(A21,'[3]World BOP data'!$A$3:$AD$202,10,)/1000000000</f>
        <v>-9.2975558635999995</v>
      </c>
      <c r="I21" s="1038">
        <f>VLOOKUP(A21,'[3]World BOP data'!$A$3:$AD$202,11,)/1000000000</f>
        <v>-10.5306673346</v>
      </c>
      <c r="J21" s="880">
        <f>IFERROR(VLOOKUP(A21,'[3]World BOP data'!$A$3:$AD$202,12,)/1000000000,0)</f>
        <v>-1.0710180342</v>
      </c>
      <c r="K21" s="1040">
        <f>IFERROR(VLOOKUP(A21,'[3]World BOP data'!$A$2:$AD$200,19,0)/1000000000,0)</f>
        <v>21.572399999999998</v>
      </c>
      <c r="L21" s="1041">
        <f>IFERROR(VLOOKUP(A21,'[3]World BOP data'!$A$3:$AD$202,16,)/1000000000,0)</f>
        <v>10.8562262476</v>
      </c>
      <c r="M21" s="1026">
        <f>TableA1!B19-TableA1!M19+B21</f>
        <v>2054.3745445515747</v>
      </c>
      <c r="N21" s="1029">
        <f t="shared" si="5"/>
        <v>-3.4735289319848045E-4</v>
      </c>
      <c r="O21" s="1027">
        <f t="shared" si="6"/>
        <v>2.2162250881003938E-2</v>
      </c>
      <c r="P21" s="1027">
        <f>TableB1!D21/M21</f>
        <v>-8.7478599580403001E-3</v>
      </c>
      <c r="Q21" s="1098">
        <f t="shared" si="2"/>
        <v>2.7427012412498456E-2</v>
      </c>
    </row>
    <row r="22" spans="1:17" s="2036" customFormat="1" ht="15.5" x14ac:dyDescent="0.35">
      <c r="A22" s="2015" t="s">
        <v>62</v>
      </c>
      <c r="B22" s="2026">
        <f t="shared" si="0"/>
        <v>63.653237855858208</v>
      </c>
      <c r="C22" s="2027">
        <f t="shared" si="1"/>
        <v>63.235658190258206</v>
      </c>
      <c r="D22" s="2028">
        <f t="shared" si="3"/>
        <v>40.567942318358206</v>
      </c>
      <c r="E22" s="2020">
        <f>TableB2!H20+TableB2!J20-TableB2!D20-TableB2!F20</f>
        <v>49.392124237382006</v>
      </c>
      <c r="F22" s="2028">
        <f>TableB2!I20-TableB2!E20</f>
        <v>-8.8241819190237987</v>
      </c>
      <c r="G22" s="2018">
        <f t="shared" si="4"/>
        <v>7.5559022102000011</v>
      </c>
      <c r="H22" s="2020">
        <f>VLOOKUP(A22,'[3]World BOP data'!$A$3:$AD$202,10,)/1000000000</f>
        <v>-9.2704448577999994</v>
      </c>
      <c r="I22" s="2029">
        <f>VLOOKUP(A22,'[3]World BOP data'!$A$3:$AD$202,11,)/1000000000</f>
        <v>16.826347068</v>
      </c>
      <c r="J22" s="2017">
        <f>IFERROR(VLOOKUP(A22,'[3]World BOP data'!$A$3:$AD$202,12,)/1000000000,0)</f>
        <v>15.111813661700001</v>
      </c>
      <c r="K22" s="2030">
        <f>IFERROR(VLOOKUP(A22,'[3]World BOP data'!$A$2:$AD$200,19,0)/1000000000,0)</f>
        <v>0.87762899999999999</v>
      </c>
      <c r="L22" s="2031">
        <f>IFERROR(VLOOKUP(A22,'[3]World BOP data'!$A$3:$AD$202,16,)/1000000000,0)</f>
        <v>-0.46004933439999995</v>
      </c>
      <c r="M22" s="2032">
        <f>TableA1!B20-TableA1!M20+B22</f>
        <v>2844.671338933982</v>
      </c>
      <c r="N22" s="2033">
        <f t="shared" si="5"/>
        <v>-3.102004016509897E-3</v>
      </c>
      <c r="O22" s="2034">
        <f t="shared" si="6"/>
        <v>1.7363033669784613E-2</v>
      </c>
      <c r="P22" s="2034">
        <f>TableB1!D22/M22</f>
        <v>9.4554160793772546E-2</v>
      </c>
      <c r="Q22" s="2035">
        <f t="shared" si="2"/>
        <v>2.2376306529566171E-2</v>
      </c>
    </row>
    <row r="23" spans="1:17" ht="15.5" x14ac:dyDescent="0.35">
      <c r="A23" s="860" t="s">
        <v>63</v>
      </c>
      <c r="B23" s="1033">
        <f t="shared" si="0"/>
        <v>0.46074003830043342</v>
      </c>
      <c r="C23" s="1035">
        <f t="shared" si="1"/>
        <v>-2.4806423845995664</v>
      </c>
      <c r="D23" s="1025">
        <f t="shared" si="3"/>
        <v>0.6446414731004334</v>
      </c>
      <c r="E23" s="882">
        <f>TableB2!H21+TableB2!J21-TableB2!D21-TableB2!F21</f>
        <v>0.70526558069888012</v>
      </c>
      <c r="F23" s="1025">
        <f>TableB2!I21-TableB2!E21</f>
        <v>-6.0624107598446692E-2</v>
      </c>
      <c r="G23" s="881">
        <f t="shared" si="4"/>
        <v>-0.42426810629999995</v>
      </c>
      <c r="H23" s="882">
        <f>VLOOKUP(A23,'[3]World BOP data'!$A$3:$AD$202,10,)/1000000000</f>
        <v>-0.35629227469999997</v>
      </c>
      <c r="I23" s="1038">
        <f>VLOOKUP(A23,'[3]World BOP data'!$A$3:$AD$202,11,)/1000000000</f>
        <v>-6.7975831599999995E-2</v>
      </c>
      <c r="J23" s="880">
        <f>IFERROR(VLOOKUP(A23,'[3]World BOP data'!$A$3:$AD$202,12,)/1000000000,0)</f>
        <v>-2.7010157513999999</v>
      </c>
      <c r="K23" s="1040">
        <f>IFERROR(VLOOKUP(A23,'[3]World BOP data'!$A$2:$AD$200,19,0)/1000000000,0)</f>
        <v>-0.25148100000000001</v>
      </c>
      <c r="L23" s="1041">
        <f>IFERROR(VLOOKUP(A23,'[3]World BOP data'!$A$3:$AD$202,16,)/1000000000,0)</f>
        <v>3.1928634228999999</v>
      </c>
      <c r="M23" s="1026">
        <f>TableA1!B21-TableA1!M21+B23</f>
        <v>157.17664228072243</v>
      </c>
      <c r="N23" s="1029">
        <f t="shared" si="5"/>
        <v>-3.8570685006853708E-4</v>
      </c>
      <c r="O23" s="1027">
        <f t="shared" si="6"/>
        <v>4.4870889876833832E-3</v>
      </c>
      <c r="P23" s="1027">
        <f>TableB1!D23/M23</f>
        <v>-2.1733011078701229E-3</v>
      </c>
      <c r="Q23" s="1098">
        <f t="shared" si="2"/>
        <v>2.9313518320205441E-3</v>
      </c>
    </row>
    <row r="24" spans="1:17" ht="15.5" x14ac:dyDescent="0.35">
      <c r="A24" s="860" t="s">
        <v>64</v>
      </c>
      <c r="B24" s="1033">
        <f t="shared" si="0"/>
        <v>-6.0157852389506434</v>
      </c>
      <c r="C24" s="1035">
        <f t="shared" si="1"/>
        <v>-10.571598893050643</v>
      </c>
      <c r="D24" s="1025">
        <f t="shared" si="3"/>
        <v>-7.6765909009506439</v>
      </c>
      <c r="E24" s="882">
        <f>TableB2!H22+TableB2!J22-TableB2!D22-TableB2!F22</f>
        <v>-7.7475333495706007</v>
      </c>
      <c r="F24" s="1025">
        <f>TableB2!I22-TableB2!E22</f>
        <v>7.0942448619956994E-2</v>
      </c>
      <c r="G24" s="881">
        <f t="shared" si="4"/>
        <v>-2.3047368414</v>
      </c>
      <c r="H24" s="882">
        <f>VLOOKUP(A24,'[3]World BOP data'!$A$3:$AD$202,10,)/1000000000</f>
        <v>-0.1349522544</v>
      </c>
      <c r="I24" s="1038">
        <f>VLOOKUP(A24,'[3]World BOP data'!$A$3:$AD$202,11,)/1000000000</f>
        <v>-2.1697845870000001</v>
      </c>
      <c r="J24" s="880">
        <f>IFERROR(VLOOKUP(A24,'[3]World BOP data'!$A$3:$AD$202,12,)/1000000000,0)</f>
        <v>-0.59027115070000002</v>
      </c>
      <c r="K24" s="1040">
        <f>IFERROR(VLOOKUP(A24,'[3]World BOP data'!$A$2:$AD$200,19,0)/1000000000,0)</f>
        <v>3.1714799999999999</v>
      </c>
      <c r="L24" s="1041">
        <f>IFERROR(VLOOKUP(A24,'[3]World BOP data'!$A$3:$AD$202,16,)/1000000000,0)</f>
        <v>1.3843336541</v>
      </c>
      <c r="M24" s="1026">
        <f>TableA1!B22-TableA1!M22+B24</f>
        <v>94.887768769265378</v>
      </c>
      <c r="N24" s="1029">
        <f t="shared" si="5"/>
        <v>7.476458719612723E-4</v>
      </c>
      <c r="O24" s="1027">
        <f t="shared" si="6"/>
        <v>-8.1649441756923943E-2</v>
      </c>
      <c r="P24" s="1027">
        <f>TableB1!D24/M24</f>
        <v>0.11480167080952995</v>
      </c>
      <c r="Q24" s="1098">
        <f t="shared" si="2"/>
        <v>-6.3398953489769344E-2</v>
      </c>
    </row>
    <row r="25" spans="1:17" ht="15.5" x14ac:dyDescent="0.35">
      <c r="A25" s="860" t="s">
        <v>65</v>
      </c>
      <c r="B25" s="1033">
        <f t="shared" si="0"/>
        <v>-0.1016039996424809</v>
      </c>
      <c r="C25" s="1035">
        <f t="shared" si="1"/>
        <v>-0.2665349996424809</v>
      </c>
      <c r="D25" s="1025">
        <f t="shared" si="3"/>
        <v>0.25365420205751904</v>
      </c>
      <c r="E25" s="882">
        <f>TableB2!H23+TableB2!J23-TableB2!D23-TableB2!F23</f>
        <v>0.23388106244232901</v>
      </c>
      <c r="F25" s="1025">
        <f>TableB2!I23-TableB2!E23</f>
        <v>1.9773139615190019E-2</v>
      </c>
      <c r="G25" s="881">
        <f t="shared" si="4"/>
        <v>-0.44490653449999995</v>
      </c>
      <c r="H25" s="882">
        <f>VLOOKUP(A25,'[3]World BOP data'!$A$3:$AD$202,10,)/1000000000</f>
        <v>1.85242145E-2</v>
      </c>
      <c r="I25" s="1038">
        <f>VLOOKUP(A25,'[3]World BOP data'!$A$3:$AD$202,11,)/1000000000</f>
        <v>-0.46343074899999998</v>
      </c>
      <c r="J25" s="880">
        <f>IFERROR(VLOOKUP(A25,'[3]World BOP data'!$A$3:$AD$202,12,)/1000000000,0)</f>
        <v>-7.52826672E-2</v>
      </c>
      <c r="K25" s="1040">
        <f>IFERROR(VLOOKUP(A25,'[3]World BOP data'!$A$2:$AD$200,19,0)/1000000000,0)</f>
        <v>0.16493099999999999</v>
      </c>
      <c r="L25" s="1041">
        <f>IFERROR(VLOOKUP(A25,'[3]World BOP data'!$A$3:$AD$202,16,)/1000000000,0)</f>
        <v>0</v>
      </c>
      <c r="M25" s="1026">
        <f>TableA1!B23-TableA1!M23+B25</f>
        <v>14.224749086284451</v>
      </c>
      <c r="N25" s="1029">
        <f t="shared" si="5"/>
        <v>1.390051908490628E-3</v>
      </c>
      <c r="O25" s="1027">
        <f t="shared" si="6"/>
        <v>1.6441840978962355E-2</v>
      </c>
      <c r="P25" s="1027">
        <f>TableB1!D25/M25</f>
        <v>8.8572772964749455E-2</v>
      </c>
      <c r="Q25" s="1098">
        <f t="shared" si="2"/>
        <v>-7.1427621693832058E-3</v>
      </c>
    </row>
    <row r="26" spans="1:17" ht="15.5" x14ac:dyDescent="0.35">
      <c r="A26" s="860" t="s">
        <v>19</v>
      </c>
      <c r="B26" s="1033">
        <f t="shared" si="0"/>
        <v>-61.798868747440494</v>
      </c>
      <c r="C26" s="1035">
        <f t="shared" si="1"/>
        <v>-63.079668018440493</v>
      </c>
      <c r="D26" s="1025">
        <f t="shared" si="3"/>
        <v>-52.939545202440499</v>
      </c>
      <c r="E26" s="882">
        <f>TableB2!H24+TableB2!J24-TableB2!D24-TableB2!F24</f>
        <v>-50.441486411536403</v>
      </c>
      <c r="F26" s="1025">
        <f>TableB2!I24-TableB2!E24</f>
        <v>-2.4980587909040999</v>
      </c>
      <c r="G26" s="881">
        <f t="shared" si="4"/>
        <v>-9.1713707749000015</v>
      </c>
      <c r="H26" s="882">
        <f>VLOOKUP(A26,'[3]World BOP data'!$A$3:$AD$202,10,)/1000000000</f>
        <v>-28.180499168000001</v>
      </c>
      <c r="I26" s="1038">
        <f>VLOOKUP(A26,'[3]World BOP data'!$A$3:$AD$202,11,)/1000000000</f>
        <v>19.009128393099999</v>
      </c>
      <c r="J26" s="880">
        <f>IFERROR(VLOOKUP(A26,'[3]World BOP data'!$A$3:$AD$202,12,)/1000000000,0)</f>
        <v>-0.96875204110000002</v>
      </c>
      <c r="K26" s="1040">
        <f>IFERROR(VLOOKUP(A26,'[3]World BOP data'!$A$2:$AD$200,19,0)/1000000000,0)</f>
        <v>-0.101033</v>
      </c>
      <c r="L26" s="1041">
        <f>IFERROR(VLOOKUP(A26,'[3]World BOP data'!$A$3:$AD$202,16,)/1000000000,0)</f>
        <v>1.3818322709999999</v>
      </c>
      <c r="M26" s="1026">
        <f>TableA1!B24-TableA1!M24+B26</f>
        <v>165.84391327991131</v>
      </c>
      <c r="N26" s="1029">
        <f t="shared" si="5"/>
        <v>-1.5062710120014335E-2</v>
      </c>
      <c r="O26" s="1027">
        <f t="shared" si="6"/>
        <v>-0.30415036291625175</v>
      </c>
      <c r="P26" s="1027">
        <f>TableB1!D26/M26</f>
        <v>0.54309442816198938</v>
      </c>
      <c r="Q26" s="1098">
        <f t="shared" si="2"/>
        <v>-0.37263272148635557</v>
      </c>
    </row>
    <row r="27" spans="1:17" ht="15.5" x14ac:dyDescent="0.35">
      <c r="A27" s="860" t="s">
        <v>95</v>
      </c>
      <c r="B27" s="1033">
        <f t="shared" si="0"/>
        <v>-3.0516999999999994</v>
      </c>
      <c r="C27" s="1035">
        <f t="shared" si="1"/>
        <v>1.0229000000000008</v>
      </c>
      <c r="D27" s="1025">
        <f t="shared" si="3"/>
        <v>1.3800000000000008</v>
      </c>
      <c r="E27" s="882">
        <f>TableB2!H25+TableB2!J25-TableB2!D25-TableB2!F25</f>
        <v>1.3544</v>
      </c>
      <c r="F27" s="1025">
        <f>TableB2!I25-TableB2!E25</f>
        <v>2.5600000000000733E-2</v>
      </c>
      <c r="G27" s="881">
        <f t="shared" si="4"/>
        <v>-0.9022</v>
      </c>
      <c r="H27" s="882">
        <f>VLOOKUP(A27,'[3]World BOP data'!$A$3:$AD$202,10,)/1000000000</f>
        <v>-0.22770000000000001</v>
      </c>
      <c r="I27" s="1038">
        <f>VLOOKUP(A27,'[3]World BOP data'!$A$3:$AD$202,11,)/1000000000</f>
        <v>-0.67449999999999999</v>
      </c>
      <c r="J27" s="880">
        <f>IFERROR(VLOOKUP(A27,'[3]World BOP data'!$A$3:$AD$202,12,)/1000000000,0)</f>
        <v>0.54510000000000003</v>
      </c>
      <c r="K27" s="1040">
        <f>IFERROR(VLOOKUP(A27,'[3]World BOP data'!$A$2:$AD$200,19,0)/1000000000,0)</f>
        <v>-4.0746000000000002</v>
      </c>
      <c r="L27" s="1041">
        <f>IFERROR(VLOOKUP(A27,'[3]World BOP data'!$A$3:$AD$202,16,)/1000000000,0)</f>
        <v>0</v>
      </c>
      <c r="M27" s="1026">
        <f>TableA1!B25-TableA1!M25+B27</f>
        <v>257.07202378746399</v>
      </c>
      <c r="N27" s="1029">
        <f t="shared" si="5"/>
        <v>9.958298698875808E-5</v>
      </c>
      <c r="O27" s="1027">
        <f t="shared" si="6"/>
        <v>5.2685624053738309E-3</v>
      </c>
      <c r="P27" s="1027">
        <f>TableB1!D27/M27</f>
        <v>3.4908504892073804E-2</v>
      </c>
      <c r="Q27" s="1098">
        <f t="shared" si="2"/>
        <v>-1.1870992241936886E-2</v>
      </c>
    </row>
    <row r="28" spans="1:17" ht="15.5" x14ac:dyDescent="0.35">
      <c r="A28" s="860" t="s">
        <v>66</v>
      </c>
      <c r="B28" s="1033">
        <f t="shared" si="0"/>
        <v>-11.188730909325342</v>
      </c>
      <c r="C28" s="1035">
        <f t="shared" si="1"/>
        <v>-18.329270259025343</v>
      </c>
      <c r="D28" s="1025">
        <f t="shared" si="3"/>
        <v>0.48626289517465859</v>
      </c>
      <c r="E28" s="882">
        <f>TableB2!H26+TableB2!J26-TableB2!D26-TableB2!F26</f>
        <v>1.5988386023293986</v>
      </c>
      <c r="F28" s="1025">
        <f>TableB2!I26-TableB2!E26</f>
        <v>-1.11257570715474</v>
      </c>
      <c r="G28" s="881">
        <f t="shared" si="4"/>
        <v>-18.460144010100002</v>
      </c>
      <c r="H28" s="882">
        <f>VLOOKUP(A28,'[3]World BOP data'!$A$3:$AD$202,10,)/1000000000</f>
        <v>4.0070257603000003</v>
      </c>
      <c r="I28" s="1038">
        <f>VLOOKUP(A28,'[3]World BOP data'!$A$3:$AD$202,11,)/1000000000</f>
        <v>-22.467169770400002</v>
      </c>
      <c r="J28" s="880">
        <f>IFERROR(VLOOKUP(A28,'[3]World BOP data'!$A$3:$AD$202,12,)/1000000000,0)</f>
        <v>-0.3553891441</v>
      </c>
      <c r="K28" s="1040">
        <f>IFERROR(VLOOKUP(A28,'[3]World BOP data'!$A$2:$AD$200,19,0)/1000000000,0)</f>
        <v>4.75448</v>
      </c>
      <c r="L28" s="1041">
        <f>IFERROR(VLOOKUP(A28,'[3]World BOP data'!$A$3:$AD$202,16,)/1000000000,0)</f>
        <v>2.3860593497</v>
      </c>
      <c r="M28" s="1026">
        <f>TableA1!B26-TableA1!M26+B28</f>
        <v>1490.1723157834931</v>
      </c>
      <c r="N28" s="1029">
        <f t="shared" si="5"/>
        <v>-7.4660876153089526E-4</v>
      </c>
      <c r="O28" s="1027">
        <f t="shared" si="6"/>
        <v>1.0729219603632025E-3</v>
      </c>
      <c r="P28" s="1027">
        <f>TableB1!D28/M28</f>
        <v>3.562568662134051E-2</v>
      </c>
      <c r="Q28" s="1098">
        <f t="shared" si="2"/>
        <v>-7.5083470487388596E-3</v>
      </c>
    </row>
    <row r="29" spans="1:17" ht="15.5" x14ac:dyDescent="0.35">
      <c r="A29" s="860" t="s">
        <v>67</v>
      </c>
      <c r="B29" s="1033">
        <f t="shared" si="0"/>
        <v>174.41017936469513</v>
      </c>
      <c r="C29" s="1035">
        <f t="shared" si="1"/>
        <v>175.24238456279511</v>
      </c>
      <c r="D29" s="1025">
        <f t="shared" si="3"/>
        <v>70.151559102595101</v>
      </c>
      <c r="E29" s="882">
        <f>TableB2!H27+TableB2!J27-TableB2!D27-TableB2!F27</f>
        <v>69.291244877162995</v>
      </c>
      <c r="F29" s="1025">
        <f>TableB2!I27-TableB2!E27</f>
        <v>0.86031422543211022</v>
      </c>
      <c r="G29" s="881">
        <f t="shared" si="4"/>
        <v>100.1103292298</v>
      </c>
      <c r="H29" s="882">
        <f>VLOOKUP(A29,'[3]World BOP data'!$A$3:$AD$202,10,)/1000000000</f>
        <v>25.025492990900002</v>
      </c>
      <c r="I29" s="1038">
        <f>VLOOKUP(A29,'[3]World BOP data'!$A$3:$AD$202,11,)/1000000000</f>
        <v>75.084836238899996</v>
      </c>
      <c r="J29" s="880">
        <f>IFERROR(VLOOKUP(A29,'[3]World BOP data'!$A$3:$AD$202,12,)/1000000000,0)</f>
        <v>4.9804962304</v>
      </c>
      <c r="K29" s="1040">
        <f>IFERROR(VLOOKUP(A29,'[3]World BOP data'!$A$2:$AD$200,19,0)/1000000000,0)</f>
        <v>-9.51264E-2</v>
      </c>
      <c r="L29" s="1041">
        <f>IFERROR(VLOOKUP(A29,'[3]World BOP data'!$A$3:$AD$202,16,)/1000000000,0)</f>
        <v>-0.73707879809999999</v>
      </c>
      <c r="M29" s="1026">
        <f>TableA1!B27-TableA1!M27+B29</f>
        <v>3551.1310304467343</v>
      </c>
      <c r="N29" s="1029">
        <f t="shared" si="5"/>
        <v>2.4226484972138081E-4</v>
      </c>
      <c r="O29" s="1027">
        <f t="shared" si="6"/>
        <v>1.9512443861708511E-2</v>
      </c>
      <c r="P29" s="1027">
        <f>TableB1!D29/M29</f>
        <v>-6.5545054326739041E-3</v>
      </c>
      <c r="Q29" s="1098">
        <f t="shared" si="2"/>
        <v>4.9113980269760486E-2</v>
      </c>
    </row>
    <row r="30" spans="1:17" ht="15.5" x14ac:dyDescent="0.35">
      <c r="A30" s="860" t="s">
        <v>68</v>
      </c>
      <c r="B30" s="1033">
        <f t="shared" si="0"/>
        <v>-2.3849403720176898</v>
      </c>
      <c r="C30" s="1035">
        <f t="shared" si="1"/>
        <v>-2.3849403720176898</v>
      </c>
      <c r="D30" s="1025">
        <f t="shared" si="3"/>
        <v>-2.3849403720176898</v>
      </c>
      <c r="E30" s="882">
        <f>TableB2!H28+TableB2!J28-TableB2!D28-TableB2!F28</f>
        <v>-2.6293595946325299</v>
      </c>
      <c r="F30" s="1025">
        <f>TableB2!I28-TableB2!E28</f>
        <v>0.24441922261483998</v>
      </c>
      <c r="G30" s="881">
        <f t="shared" si="4"/>
        <v>0</v>
      </c>
      <c r="H30" s="882" t="e">
        <f>VLOOKUP(A30,'[3]World BOP data'!$A$3:$AD$202,10,)/1000000000</f>
        <v>#N/A</v>
      </c>
      <c r="I30" s="1038" t="e">
        <f>VLOOKUP(A30,'[3]World BOP data'!$A$3:$AD$202,11,)/1000000000</f>
        <v>#N/A</v>
      </c>
      <c r="J30" s="880">
        <f>IFERROR(VLOOKUP(A30,'[3]World BOP data'!$A$3:$AD$202,12,)/1000000000,0)</f>
        <v>0</v>
      </c>
      <c r="K30" s="1040">
        <f>IFERROR(VLOOKUP(A30,'[3]World BOP data'!$A$2:$AD$200,19,0)/1000000000,0)</f>
        <v>0</v>
      </c>
      <c r="L30" s="1041">
        <f>IFERROR(VLOOKUP(A30,'[3]World BOP data'!$A$3:$AD$202,16,)/1000000000,0)</f>
        <v>0</v>
      </c>
      <c r="M30" s="1026">
        <f>TableA1!B28-TableA1!M28+B30</f>
        <v>1110.1422717978173</v>
      </c>
      <c r="N30" s="1029">
        <f t="shared" si="5"/>
        <v>2.201692781403737E-4</v>
      </c>
      <c r="O30" s="1027">
        <f t="shared" si="6"/>
        <v>-2.368488851770701E-3</v>
      </c>
      <c r="P30" s="1027">
        <f>TableB1!D30/M30</f>
        <v>9.6701479375385285E-2</v>
      </c>
      <c r="Q30" s="1098">
        <f t="shared" si="2"/>
        <v>-2.1483195736303274E-3</v>
      </c>
    </row>
    <row r="31" spans="1:17" ht="15.5" x14ac:dyDescent="0.35">
      <c r="A31" s="860" t="s">
        <v>69</v>
      </c>
      <c r="B31" s="1033">
        <f t="shared" si="0"/>
        <v>-0.12541684718919069</v>
      </c>
      <c r="C31" s="1035">
        <f t="shared" si="1"/>
        <v>-1.0551275116891907</v>
      </c>
      <c r="D31" s="1025">
        <f t="shared" si="3"/>
        <v>-0.9983361064891908</v>
      </c>
      <c r="E31" s="882">
        <f>TableB2!H29+TableB2!J29-TableB2!D29-TableB2!F29</f>
        <v>-0.951747088186362</v>
      </c>
      <c r="F31" s="1025">
        <f>TableB2!I29-TableB2!E29</f>
        <v>-4.6589018302828807E-2</v>
      </c>
      <c r="G31" s="881">
        <f t="shared" si="4"/>
        <v>7.5380401999999994E-3</v>
      </c>
      <c r="H31" s="882">
        <f>VLOOKUP(A31,'[3]World BOP data'!$A$3:$AD$202,10,)/1000000000</f>
        <v>-2.3552427000000003E-3</v>
      </c>
      <c r="I31" s="1038">
        <f>VLOOKUP(A31,'[3]World BOP data'!$A$3:$AD$202,11,)/1000000000</f>
        <v>9.8932828999999996E-3</v>
      </c>
      <c r="J31" s="880">
        <f>IFERROR(VLOOKUP(A31,'[3]World BOP data'!$A$3:$AD$202,12,)/1000000000,0)</f>
        <v>-6.4329445400000004E-2</v>
      </c>
      <c r="K31" s="1040">
        <f>IFERROR(VLOOKUP(A31,'[3]World BOP data'!$A$2:$AD$200,19,0)/1000000000,0)</f>
        <v>0.70552400000000004</v>
      </c>
      <c r="L31" s="1041">
        <f>IFERROR(VLOOKUP(A31,'[3]World BOP data'!$A$3:$AD$202,16,)/1000000000,0)</f>
        <v>0.22418666449999999</v>
      </c>
      <c r="M31" s="1026">
        <f>TableA1!B29-TableA1!M29+B31</f>
        <v>20.674424334454866</v>
      </c>
      <c r="N31" s="1029">
        <f t="shared" si="5"/>
        <v>-2.2534614531049407E-3</v>
      </c>
      <c r="O31" s="1027">
        <f t="shared" si="6"/>
        <v>-4.6034998256286742E-2</v>
      </c>
      <c r="P31" s="1027">
        <f>TableB1!D31/M31</f>
        <v>-1.4968413126950547E-2</v>
      </c>
      <c r="Q31" s="1098">
        <f t="shared" si="2"/>
        <v>-6.0662800163280885E-3</v>
      </c>
    </row>
    <row r="32" spans="1:17" ht="15.5" x14ac:dyDescent="0.35">
      <c r="A32" s="860" t="s">
        <v>70</v>
      </c>
      <c r="B32" s="1033">
        <f t="shared" si="0"/>
        <v>-14.977610578835707</v>
      </c>
      <c r="C32" s="1035">
        <f t="shared" si="1"/>
        <v>-5.8471417645357082</v>
      </c>
      <c r="D32" s="1025">
        <f t="shared" si="3"/>
        <v>25.640599001664292</v>
      </c>
      <c r="E32" s="882">
        <f>TableB2!H30+TableB2!J30-TableB2!D30-TableB2!F30</f>
        <v>10.52911813643999</v>
      </c>
      <c r="F32" s="1025">
        <f>TableB2!I30-TableB2!E30</f>
        <v>15.111480865224303</v>
      </c>
      <c r="G32" s="881">
        <f t="shared" si="4"/>
        <v>-33.591651887899999</v>
      </c>
      <c r="H32" s="882">
        <f>VLOOKUP(A32,'[3]World BOP data'!$A$3:$AD$202,10,)/1000000000</f>
        <v>-59.774582981499996</v>
      </c>
      <c r="I32" s="1038">
        <f>VLOOKUP(A32,'[3]World BOP data'!$A$3:$AD$202,11,)/1000000000</f>
        <v>26.182931093599997</v>
      </c>
      <c r="J32" s="880">
        <f>IFERROR(VLOOKUP(A32,'[3]World BOP data'!$A$3:$AD$202,12,)/1000000000,0)</f>
        <v>2.1039111216999999</v>
      </c>
      <c r="K32" s="1040">
        <f>IFERROR(VLOOKUP(A32,'[3]World BOP data'!$A$2:$AD$200,19,0)/1000000000,0)</f>
        <v>-9.6544399999999992</v>
      </c>
      <c r="L32" s="1041">
        <f>IFERROR(VLOOKUP(A32,'[3]World BOP data'!$A$3:$AD$202,16,)/1000000000,0)</f>
        <v>0.52397118570000001</v>
      </c>
      <c r="M32" s="1026">
        <f>TableA1!B30-TableA1!M30+B32</f>
        <v>35.921121646983586</v>
      </c>
      <c r="N32" s="1029">
        <f t="shared" si="5"/>
        <v>0.4206851059310745</v>
      </c>
      <c r="O32" s="1027">
        <f t="shared" si="6"/>
        <v>0.29311774392557577</v>
      </c>
      <c r="P32" s="1027">
        <f>TableB1!D32/M32</f>
        <v>0.54720632759112642</v>
      </c>
      <c r="Q32" s="1098">
        <f t="shared" si="2"/>
        <v>-0.4169583212358689</v>
      </c>
    </row>
    <row r="33" spans="1:17" ht="15.5" x14ac:dyDescent="0.35">
      <c r="A33" s="860" t="s">
        <v>71</v>
      </c>
      <c r="B33" s="1033">
        <f t="shared" si="0"/>
        <v>-29.000077089500003</v>
      </c>
      <c r="C33" s="1035">
        <f t="shared" si="1"/>
        <v>-30.449025612200003</v>
      </c>
      <c r="D33" s="1025">
        <f t="shared" si="3"/>
        <v>-11.750000000000002</v>
      </c>
      <c r="E33" s="882">
        <f>TableB2!H31+TableB2!J31-TableB2!D31-TableB2!F31</f>
        <v>-12.151103767799999</v>
      </c>
      <c r="F33" s="1025">
        <f>TableB2!I31-TableB2!E31</f>
        <v>0.40110376779999646</v>
      </c>
      <c r="G33" s="881">
        <f t="shared" si="4"/>
        <v>-16.830543761600001</v>
      </c>
      <c r="H33" s="882">
        <f>VLOOKUP(A33,'[3]World BOP data'!$A$3:$AD$202,10,)/1000000000</f>
        <v>0</v>
      </c>
      <c r="I33" s="1038">
        <f>VLOOKUP(A33,'[3]World BOP data'!$A$3:$AD$202,11,)/1000000000</f>
        <v>-16.830543761600001</v>
      </c>
      <c r="J33" s="880">
        <f>IFERROR(VLOOKUP(A33,'[3]World BOP data'!$A$3:$AD$202,12,)/1000000000,0)</f>
        <v>-1.8684818505999998</v>
      </c>
      <c r="K33" s="1040">
        <f>IFERROR(VLOOKUP(A33,'[3]World BOP data'!$A$2:$AD$200,19,0)/1000000000,0)</f>
        <v>1.4483999999999999</v>
      </c>
      <c r="L33" s="1041">
        <f>IFERROR(VLOOKUP(A33,'[3]World BOP data'!$A$3:$AD$202,16,)/1000000000,0)</f>
        <v>5.4852269999999999E-4</v>
      </c>
      <c r="M33" s="1026">
        <f>TableA1!B31-TableA1!M31+B33</f>
        <v>976.95476958237907</v>
      </c>
      <c r="N33" s="1029">
        <f t="shared" si="5"/>
        <v>4.1056534067739607E-4</v>
      </c>
      <c r="O33" s="1027">
        <f t="shared" si="6"/>
        <v>-1.2437734218744084E-2</v>
      </c>
      <c r="P33" s="1027">
        <f>TableB1!D33/M33</f>
        <v>-2.4926363394704311E-2</v>
      </c>
      <c r="Q33" s="1098">
        <f t="shared" si="2"/>
        <v>-2.9684155287861204E-2</v>
      </c>
    </row>
    <row r="34" spans="1:17" ht="15.5" x14ac:dyDescent="0.35">
      <c r="A34" s="860" t="s">
        <v>72</v>
      </c>
      <c r="B34" s="1033">
        <f t="shared" si="0"/>
        <v>3.0783705571504383</v>
      </c>
      <c r="C34" s="1035">
        <f t="shared" si="1"/>
        <v>10.400022025650438</v>
      </c>
      <c r="D34" s="1025">
        <f t="shared" si="3"/>
        <v>32.228508042150438</v>
      </c>
      <c r="E34" s="882">
        <f>TableB2!H32+TableB2!J32-TableB2!D32-TableB2!F32</f>
        <v>10.998336106487443</v>
      </c>
      <c r="F34" s="1025">
        <f>TableB2!I32-TableB2!E32</f>
        <v>21.230171935662998</v>
      </c>
      <c r="G34" s="881">
        <f t="shared" si="4"/>
        <v>-20.0607634102</v>
      </c>
      <c r="H34" s="882">
        <f>VLOOKUP(A34,'[3]World BOP data'!$A$3:$AD$202,10,)/1000000000</f>
        <v>-5.39039497</v>
      </c>
      <c r="I34" s="1038">
        <f>VLOOKUP(A34,'[3]World BOP data'!$A$3:$AD$202,11,)/1000000000</f>
        <v>-14.670368440200001</v>
      </c>
      <c r="J34" s="880">
        <f>IFERROR(VLOOKUP(A34,'[3]World BOP data'!$A$3:$AD$202,12,)/1000000000,0)</f>
        <v>-1.7677226063</v>
      </c>
      <c r="K34" s="1040">
        <f>IFERROR(VLOOKUP(A34,'[3]World BOP data'!$A$2:$AD$200,19,0)/1000000000,0)</f>
        <v>-5.4400599999999999</v>
      </c>
      <c r="L34" s="1041">
        <f>IFERROR(VLOOKUP(A34,'[3]World BOP data'!$A$3:$AD$202,16,)/1000000000,0)</f>
        <v>-1.8815914684999999</v>
      </c>
      <c r="M34" s="1026">
        <f>TableA1!B32-TableA1!M32+B34</f>
        <v>637.13403905266819</v>
      </c>
      <c r="N34" s="1029">
        <f t="shared" si="5"/>
        <v>3.3321358826204579E-2</v>
      </c>
      <c r="O34" s="1027">
        <f t="shared" si="6"/>
        <v>1.7262201408734142E-2</v>
      </c>
      <c r="P34" s="1027">
        <f>TableB1!D34/M34</f>
        <v>0.12565159434399983</v>
      </c>
      <c r="Q34" s="1098">
        <f t="shared" si="2"/>
        <v>4.8315901654345092E-3</v>
      </c>
    </row>
    <row r="35" spans="1:17" ht="15.5" x14ac:dyDescent="0.35">
      <c r="A35" s="860" t="s">
        <v>73</v>
      </c>
      <c r="B35" s="1033">
        <f t="shared" si="0"/>
        <v>-6.287989521115799</v>
      </c>
      <c r="C35" s="1035">
        <f t="shared" si="1"/>
        <v>-6.127907521115799</v>
      </c>
      <c r="D35" s="1025">
        <f t="shared" si="3"/>
        <v>-5.3772137777157987</v>
      </c>
      <c r="E35" s="882">
        <f>TableB2!H33+TableB2!J33-TableB2!D33-TableB2!F33</f>
        <v>-4.7496862362292553</v>
      </c>
      <c r="F35" s="1025">
        <f>TableB2!I33-TableB2!E33</f>
        <v>-0.62752754148654288</v>
      </c>
      <c r="G35" s="881">
        <f t="shared" si="4"/>
        <v>-0.75069374340000017</v>
      </c>
      <c r="H35" s="882">
        <f>VLOOKUP(A35,'[3]World BOP data'!$A$3:$AD$202,10,)/1000000000</f>
        <v>0.32062624419999997</v>
      </c>
      <c r="I35" s="1038">
        <f>VLOOKUP(A35,'[3]World BOP data'!$A$3:$AD$202,11,)/1000000000</f>
        <v>-1.0713199876000001</v>
      </c>
      <c r="J35" s="880">
        <f>IFERROR(VLOOKUP(A35,'[3]World BOP data'!$A$3:$AD$202,12,)/1000000000,0)</f>
        <v>0</v>
      </c>
      <c r="K35" s="1040">
        <f>IFERROR(VLOOKUP(A35,'[3]World BOP data'!$A$2:$AD$200,19,0)/1000000000,0)</f>
        <v>-0.160082</v>
      </c>
      <c r="L35" s="1041">
        <f>IFERROR(VLOOKUP(A35,'[3]World BOP data'!$A$3:$AD$202,16,)/1000000000,0)</f>
        <v>0</v>
      </c>
      <c r="M35" s="1026">
        <f>TableA1!B33-TableA1!M33+B35</f>
        <v>147.36698286079505</v>
      </c>
      <c r="N35" s="1029">
        <f t="shared" si="5"/>
        <v>-4.2582641600209343E-3</v>
      </c>
      <c r="O35" s="1027">
        <f t="shared" si="6"/>
        <v>-3.2230328286736228E-2</v>
      </c>
      <c r="P35" s="1027">
        <f>TableB1!D35/M35</f>
        <v>9.2513517942335415E-3</v>
      </c>
      <c r="Q35" s="1098">
        <f t="shared" si="2"/>
        <v>-4.2668916734595316E-2</v>
      </c>
    </row>
    <row r="36" spans="1:17" ht="15.5" x14ac:dyDescent="0.35">
      <c r="A36" s="864" t="s">
        <v>74</v>
      </c>
      <c r="B36" s="1033">
        <f t="shared" si="0"/>
        <v>17.896409118277923</v>
      </c>
      <c r="C36" s="1035">
        <f t="shared" si="1"/>
        <v>21.750429118277921</v>
      </c>
      <c r="D36" s="1025">
        <f t="shared" si="3"/>
        <v>3.0401894770779205</v>
      </c>
      <c r="E36" s="882">
        <f>TableB2!H34+TableB2!J34-TableB2!D34-TableB2!F34</f>
        <v>4.7785920662673007</v>
      </c>
      <c r="F36" s="1025">
        <f>TableB2!I34-TableB2!E34</f>
        <v>-1.7384025891893802</v>
      </c>
      <c r="G36" s="881">
        <f t="shared" si="4"/>
        <v>12.4307526628</v>
      </c>
      <c r="H36" s="882">
        <f>VLOOKUP(A36,'[3]World BOP data'!$A$3:$AD$202,10,)/1000000000</f>
        <v>12.4307526628</v>
      </c>
      <c r="I36" s="1038">
        <f>VLOOKUP(A36,'[3]World BOP data'!$A$3:$AD$202,11,)/1000000000</f>
        <v>0</v>
      </c>
      <c r="J36" s="880">
        <f>IFERROR(VLOOKUP(A36,'[3]World BOP data'!$A$3:$AD$202,12,)/1000000000,0)</f>
        <v>6.2794869783999996</v>
      </c>
      <c r="K36" s="1040">
        <f>IFERROR(VLOOKUP(A36,'[3]World BOP data'!$A$2:$AD$200,19,0)/1000000000,0)</f>
        <v>-3.8540199999999998</v>
      </c>
      <c r="L36" s="1041">
        <f>IFERROR(VLOOKUP(A36,'[3]World BOP data'!$A$3:$AD$202,16,)/1000000000,0)</f>
        <v>0</v>
      </c>
      <c r="M36" s="1026">
        <f>TableA1!B34-TableA1!M34+B36</f>
        <v>336.05537085604954</v>
      </c>
      <c r="N36" s="1029">
        <f t="shared" si="5"/>
        <v>-5.1729647550671966E-3</v>
      </c>
      <c r="O36" s="1027">
        <f t="shared" si="6"/>
        <v>1.4219656880039054E-2</v>
      </c>
      <c r="P36" s="1027">
        <f>TableB1!D36/M36</f>
        <v>6.2747962958855957E-2</v>
      </c>
      <c r="Q36" s="1098">
        <f t="shared" si="2"/>
        <v>5.325434636765234E-2</v>
      </c>
    </row>
    <row r="37" spans="1:17" ht="15.5" x14ac:dyDescent="0.35">
      <c r="A37" s="860" t="s">
        <v>75</v>
      </c>
      <c r="B37" s="1033">
        <f t="shared" si="0"/>
        <v>-18.262312503315496</v>
      </c>
      <c r="C37" s="1035">
        <f t="shared" si="1"/>
        <v>-24.041312503315496</v>
      </c>
      <c r="D37" s="1025">
        <f t="shared" si="3"/>
        <v>-17.459312503315495</v>
      </c>
      <c r="E37" s="882">
        <f>TableB2!H35+TableB2!J35-TableB2!D35-TableB2!F35</f>
        <v>-15.362580234470316</v>
      </c>
      <c r="F37" s="1025">
        <f>TableB2!I35-TableB2!E35</f>
        <v>-2.0967322688451793</v>
      </c>
      <c r="G37" s="881">
        <f t="shared" si="4"/>
        <v>-4.87</v>
      </c>
      <c r="H37" s="882">
        <f>VLOOKUP(A37,'[3]World BOP data'!$A$3:$AD$202,10,)/1000000000</f>
        <v>-0.82499999999999996</v>
      </c>
      <c r="I37" s="1038">
        <f>VLOOKUP(A37,'[3]World BOP data'!$A$3:$AD$202,11,)/1000000000</f>
        <v>-4.0449999999999999</v>
      </c>
      <c r="J37" s="880">
        <f>IFERROR(VLOOKUP(A37,'[3]World BOP data'!$A$3:$AD$202,12,)/1000000000,0)</f>
        <v>-1.712</v>
      </c>
      <c r="K37" s="1040">
        <f>IFERROR(VLOOKUP(A37,'[3]World BOP data'!$A$2:$AD$200,19,0)/1000000000,0)</f>
        <v>0.92800000000000005</v>
      </c>
      <c r="L37" s="1041">
        <f>IFERROR(VLOOKUP(A37,'[3]World BOP data'!$A$3:$AD$202,16,)/1000000000,0)</f>
        <v>4.851</v>
      </c>
      <c r="M37" s="1026">
        <f>TableA1!B35-TableA1!M35+B37</f>
        <v>404.14569916932015</v>
      </c>
      <c r="N37" s="1029">
        <f t="shared" si="5"/>
        <v>-5.1880603286260287E-3</v>
      </c>
      <c r="O37" s="1027">
        <f t="shared" si="6"/>
        <v>-3.8012479821130145E-2</v>
      </c>
      <c r="P37" s="1027">
        <f>TableB1!D37/M37</f>
        <v>3.6068675306854737E-2</v>
      </c>
      <c r="Q37" s="1098">
        <f t="shared" si="2"/>
        <v>-4.5187447350922692E-2</v>
      </c>
    </row>
    <row r="38" spans="1:17" ht="15.5" x14ac:dyDescent="0.35">
      <c r="A38" s="860" t="s">
        <v>76</v>
      </c>
      <c r="B38" s="1033">
        <f t="shared" si="0"/>
        <v>-5.11436023594311</v>
      </c>
      <c r="C38" s="1035">
        <f t="shared" si="1"/>
        <v>-6.9098013014431094</v>
      </c>
      <c r="D38" s="1025">
        <f t="shared" si="3"/>
        <v>-2.94509151414311</v>
      </c>
      <c r="E38" s="882">
        <f>TableB2!H36+TableB2!J36-TableB2!D36-TableB2!F36</f>
        <v>-2.0610094287299101</v>
      </c>
      <c r="F38" s="1025">
        <f>TableB2!I36-TableB2!E36</f>
        <v>-0.88408208541319999</v>
      </c>
      <c r="G38" s="881">
        <f t="shared" si="4"/>
        <v>-1.5951980593999999</v>
      </c>
      <c r="H38" s="882">
        <f>VLOOKUP(A38,'[3]World BOP data'!$A$3:$AD$202,10,)/1000000000</f>
        <v>-0.4827625337</v>
      </c>
      <c r="I38" s="1038">
        <f>VLOOKUP(A38,'[3]World BOP data'!$A$3:$AD$202,11,)/1000000000</f>
        <v>-1.1124355257</v>
      </c>
      <c r="J38" s="880">
        <f>IFERROR(VLOOKUP(A38,'[3]World BOP data'!$A$3:$AD$202,12,)/1000000000,0)</f>
        <v>-2.3695117279</v>
      </c>
      <c r="K38" s="1040">
        <f>IFERROR(VLOOKUP(A38,'[3]World BOP data'!$A$2:$AD$200,19,0)/1000000000,0)</f>
        <v>0.13298699999999999</v>
      </c>
      <c r="L38" s="1041">
        <f>IFERROR(VLOOKUP(A38,'[3]World BOP data'!$A$3:$AD$202,16,)/1000000000,0)</f>
        <v>1.6624540655</v>
      </c>
      <c r="M38" s="1026">
        <f>TableA1!B36-TableA1!M36+B38</f>
        <v>159.91084330552877</v>
      </c>
      <c r="N38" s="1029">
        <f t="shared" si="5"/>
        <v>-5.5285937284694046E-3</v>
      </c>
      <c r="O38" s="1027">
        <f t="shared" si="6"/>
        <v>-1.2888490774775701E-2</v>
      </c>
      <c r="P38" s="1027">
        <f>TableB1!D38/M38</f>
        <v>2.1957668220105003E-2</v>
      </c>
      <c r="Q38" s="1098">
        <f t="shared" si="2"/>
        <v>-3.1982573102760231E-2</v>
      </c>
    </row>
    <row r="39" spans="1:17" ht="15.5" x14ac:dyDescent="0.35">
      <c r="A39" s="860" t="s">
        <v>77</v>
      </c>
      <c r="B39" s="1033">
        <f t="shared" si="0"/>
        <v>-1.5203485240594012</v>
      </c>
      <c r="C39" s="1035">
        <f t="shared" si="1"/>
        <v>-4.3520693866594016</v>
      </c>
      <c r="D39" s="1025">
        <f t="shared" si="3"/>
        <v>-4.0705713843594014</v>
      </c>
      <c r="E39" s="882">
        <f>TableB2!H37+TableB2!J37-TableB2!D37-TableB2!F37</f>
        <v>-3.7777937914586763</v>
      </c>
      <c r="F39" s="1025">
        <f>TableB2!I37-TableB2!E37</f>
        <v>-0.29277759290072503</v>
      </c>
      <c r="G39" s="881">
        <f t="shared" si="4"/>
        <v>-0.3070000376</v>
      </c>
      <c r="H39" s="882">
        <f>VLOOKUP(A39,'[3]World BOP data'!$A$3:$AD$202,10,)/1000000000</f>
        <v>5.1116562999999997E-3</v>
      </c>
      <c r="I39" s="1038">
        <f>VLOOKUP(A39,'[3]World BOP data'!$A$3:$AD$202,11,)/1000000000</f>
        <v>-0.31211169389999999</v>
      </c>
      <c r="J39" s="880">
        <f>IFERROR(VLOOKUP(A39,'[3]World BOP data'!$A$3:$AD$202,12,)/1000000000,0)</f>
        <v>2.55020353E-2</v>
      </c>
      <c r="K39" s="1040">
        <f>IFERROR(VLOOKUP(A39,'[3]World BOP data'!$A$2:$AD$200,19,0)/1000000000,0)</f>
        <v>1.6504700000000001</v>
      </c>
      <c r="L39" s="1041">
        <f>IFERROR(VLOOKUP(A39,'[3]World BOP data'!$A$3:$AD$202,16,)/1000000000,0)</f>
        <v>1.1812508626</v>
      </c>
      <c r="M39" s="1026">
        <f>TableA1!B37-TableA1!M37+B39</f>
        <v>68.34592797293115</v>
      </c>
      <c r="N39" s="1029">
        <f t="shared" si="5"/>
        <v>-4.2837605923893738E-3</v>
      </c>
      <c r="O39" s="1027">
        <f t="shared" si="6"/>
        <v>-5.5274599431218437E-2</v>
      </c>
      <c r="P39" s="1027">
        <f>TableB1!D39/M39</f>
        <v>3.5442421524503775E-2</v>
      </c>
      <c r="Q39" s="1098">
        <f t="shared" si="2"/>
        <v>-2.2244902793060989E-2</v>
      </c>
    </row>
    <row r="40" spans="1:17" ht="15.5" x14ac:dyDescent="0.35">
      <c r="A40" s="864" t="s">
        <v>78</v>
      </c>
      <c r="B40" s="1033">
        <f t="shared" si="0"/>
        <v>-1.4149578055675478</v>
      </c>
      <c r="C40" s="1035">
        <f t="shared" si="1"/>
        <v>-1.7425808899675479</v>
      </c>
      <c r="D40" s="1025">
        <f t="shared" si="3"/>
        <v>-1.0230083194675479</v>
      </c>
      <c r="E40" s="882">
        <f>TableB2!H38+TableB2!J38-TableB2!D38-TableB2!F38</f>
        <v>-0.99966389351080898</v>
      </c>
      <c r="F40" s="1025">
        <f>TableB2!I38-TableB2!E38</f>
        <v>-2.3344425956739003E-2</v>
      </c>
      <c r="G40" s="881">
        <f t="shared" si="4"/>
        <v>-0.64969845999999998</v>
      </c>
      <c r="H40" s="882">
        <f>VLOOKUP(A40,'[3]World BOP data'!$A$3:$AD$202,10,)/1000000000</f>
        <v>4.1249311399999995E-2</v>
      </c>
      <c r="I40" s="1038">
        <f>VLOOKUP(A40,'[3]World BOP data'!$A$3:$AD$202,11,)/1000000000</f>
        <v>-0.69094777139999997</v>
      </c>
      <c r="J40" s="880">
        <f>IFERROR(VLOOKUP(A40,'[3]World BOP data'!$A$3:$AD$202,12,)/1000000000,0)</f>
        <v>-6.9874110500000003E-2</v>
      </c>
      <c r="K40" s="1040">
        <f>IFERROR(VLOOKUP(A40,'[3]World BOP data'!$A$2:$AD$200,19,0)/1000000000,0)</f>
        <v>0.22276299999999999</v>
      </c>
      <c r="L40" s="1041">
        <f>IFERROR(VLOOKUP(A40,'[3]World BOP data'!$A$3:$AD$202,16,)/1000000000,0)</f>
        <v>0.10486008440000001</v>
      </c>
      <c r="M40" s="1026">
        <f>TableA1!B38-TableA1!M38+B40</f>
        <v>32.494690187742563</v>
      </c>
      <c r="N40" s="1029">
        <f t="shared" si="5"/>
        <v>-7.1840740200516929E-4</v>
      </c>
      <c r="O40" s="1027">
        <f t="shared" si="6"/>
        <v>-3.0763915203841388E-2</v>
      </c>
      <c r="P40" s="1027">
        <f>TableB1!D40/M40</f>
        <v>0.11383037710866585</v>
      </c>
      <c r="Q40" s="1098">
        <f t="shared" si="2"/>
        <v>-4.3544277461715547E-2</v>
      </c>
    </row>
    <row r="41" spans="1:17" ht="15.5" x14ac:dyDescent="0.35">
      <c r="A41" s="860" t="s">
        <v>79</v>
      </c>
      <c r="B41" s="1033">
        <f t="shared" si="0"/>
        <v>2.0812292535860042</v>
      </c>
      <c r="C41" s="1035">
        <f t="shared" si="1"/>
        <v>-3.3073130343139958</v>
      </c>
      <c r="D41" s="1025">
        <f t="shared" si="3"/>
        <v>8.869661674986002</v>
      </c>
      <c r="E41" s="882">
        <f>TableB2!H39+TableB2!J39-TableB2!D39-TableB2!F39</f>
        <v>13.300055463116902</v>
      </c>
      <c r="F41" s="1025">
        <f>TableB2!I39-TableB2!E39</f>
        <v>-4.4303937881308997</v>
      </c>
      <c r="G41" s="881">
        <f t="shared" si="4"/>
        <v>-12.176974709299998</v>
      </c>
      <c r="H41" s="882">
        <f>VLOOKUP(A41,'[3]World BOP data'!$A$3:$AD$202,10,)/1000000000</f>
        <v>0.87793564400000002</v>
      </c>
      <c r="I41" s="1038">
        <f>VLOOKUP(A41,'[3]World BOP data'!$A$3:$AD$202,11,)/1000000000</f>
        <v>-13.054910353299999</v>
      </c>
      <c r="J41" s="880">
        <f>IFERROR(VLOOKUP(A41,'[3]World BOP data'!$A$3:$AD$202,12,)/1000000000,0)</f>
        <v>0</v>
      </c>
      <c r="K41" s="1040">
        <f>IFERROR(VLOOKUP(A41,'[3]World BOP data'!$A$2:$AD$200,19,0)/1000000000,0)</f>
        <v>2.3014299999999999</v>
      </c>
      <c r="L41" s="1041">
        <f>IFERROR(VLOOKUP(A41,'[3]World BOP data'!$A$3:$AD$202,16,)/1000000000,0)</f>
        <v>3.0871122879000001</v>
      </c>
      <c r="M41" s="1026">
        <f>TableA1!B39-TableA1!M39+B41</f>
        <v>990.06449121847527</v>
      </c>
      <c r="N41" s="1029">
        <f t="shared" si="5"/>
        <v>-4.4748537367282019E-3</v>
      </c>
      <c r="O41" s="1027">
        <f t="shared" si="6"/>
        <v>1.3433524362386217E-2</v>
      </c>
      <c r="P41" s="1027">
        <f>TableB1!D41/M41</f>
        <v>2.9380661842947613E-2</v>
      </c>
      <c r="Q41" s="1098">
        <f t="shared" si="2"/>
        <v>2.1021148339787736E-3</v>
      </c>
    </row>
    <row r="42" spans="1:17" ht="15.5" x14ac:dyDescent="0.35">
      <c r="A42" s="860" t="s">
        <v>80</v>
      </c>
      <c r="B42" s="1033">
        <f t="shared" si="0"/>
        <v>6.4958435323923025</v>
      </c>
      <c r="C42" s="1035">
        <f t="shared" si="1"/>
        <v>4.2268231626923027</v>
      </c>
      <c r="D42" s="1025">
        <f t="shared" si="3"/>
        <v>7.861506886692303</v>
      </c>
      <c r="E42" s="882">
        <f>TableB2!H40+TableB2!J40-TableB2!D40-TableB2!F40</f>
        <v>8.014069970222403</v>
      </c>
      <c r="F42" s="1025">
        <f>TableB2!I40-TableB2!E40</f>
        <v>-0.15256308353010017</v>
      </c>
      <c r="G42" s="881">
        <f t="shared" si="4"/>
        <v>-4.0301339594000005</v>
      </c>
      <c r="H42" s="882">
        <f>VLOOKUP(A42,'[3]World BOP data'!$A$3:$AD$202,10,)/1000000000</f>
        <v>1.4510839307999999</v>
      </c>
      <c r="I42" s="1038">
        <f>VLOOKUP(A42,'[3]World BOP data'!$A$3:$AD$202,11,)/1000000000</f>
        <v>-5.4812178901999999</v>
      </c>
      <c r="J42" s="880">
        <f>IFERROR(VLOOKUP(A42,'[3]World BOP data'!$A$3:$AD$202,12,)/1000000000,0)</f>
        <v>0.39545023539999996</v>
      </c>
      <c r="K42" s="1040">
        <f>IFERROR(VLOOKUP(A42,'[3]World BOP data'!$A$2:$AD$200,19,0)/1000000000,0)</f>
        <v>2.0425800000000001</v>
      </c>
      <c r="L42" s="1041">
        <f>IFERROR(VLOOKUP(A42,'[3]World BOP data'!$A$3:$AD$202,16,)/1000000000,0)</f>
        <v>0.22644036969999998</v>
      </c>
      <c r="M42" s="1026">
        <f>TableA1!B40-TableA1!M40+B42</f>
        <v>422.84571900722341</v>
      </c>
      <c r="N42" s="1029">
        <f t="shared" si="5"/>
        <v>-3.6080082326077416E-4</v>
      </c>
      <c r="O42" s="1027">
        <f t="shared" si="6"/>
        <v>1.8952704520784094E-2</v>
      </c>
      <c r="P42" s="1027">
        <f>TableB1!D42/M42</f>
        <v>5.8051076751188944E-2</v>
      </c>
      <c r="Q42" s="1098">
        <f t="shared" si="2"/>
        <v>1.5362207160672083E-2</v>
      </c>
    </row>
    <row r="43" spans="1:17" ht="15.5" x14ac:dyDescent="0.35">
      <c r="A43" s="860" t="s">
        <v>1</v>
      </c>
      <c r="B43" s="1033">
        <f t="shared" si="0"/>
        <v>16.765160490648011</v>
      </c>
      <c r="C43" s="1035">
        <f t="shared" si="1"/>
        <v>38.593560490648009</v>
      </c>
      <c r="D43" s="1025">
        <f t="shared" si="3"/>
        <v>30.368160490648005</v>
      </c>
      <c r="E43" s="882">
        <f>TableB2!H41+TableB2!J41-TableB2!D41-TableB2!F41</f>
        <v>26.818145302579005</v>
      </c>
      <c r="F43" s="1025">
        <f>TableB2!I41-TableB2!E41</f>
        <v>3.5500151880690005</v>
      </c>
      <c r="G43" s="881">
        <f t="shared" si="4"/>
        <v>-2.4536814018000008</v>
      </c>
      <c r="H43" s="882">
        <f>VLOOKUP(A43,'[3]World BOP data'!$A$3:$AD$202,10,)/1000000000</f>
        <v>-15.7207335086</v>
      </c>
      <c r="I43" s="1038">
        <f>VLOOKUP(A43,'[3]World BOP data'!$A$3:$AD$202,11,)/1000000000</f>
        <v>13.2670521068</v>
      </c>
      <c r="J43" s="880">
        <f>IFERROR(VLOOKUP(A43,'[3]World BOP data'!$A$3:$AD$202,12,)/1000000000,0)</f>
        <v>10.679081401800003</v>
      </c>
      <c r="K43" s="1040">
        <f>IFERROR(VLOOKUP(A43,'[3]World BOP data'!$A$2:$AD$200,19,0)/1000000000,0)</f>
        <v>-21.828399999999998</v>
      </c>
      <c r="L43" s="1041">
        <f>IFERROR(VLOOKUP(A43,'[3]World BOP data'!$A$3:$AD$202,16,)/1000000000,0)</f>
        <v>0</v>
      </c>
      <c r="M43" s="1026">
        <f>TableA1!B41-TableA1!M41+B43</f>
        <v>555.75724242077763</v>
      </c>
      <c r="N43" s="1029">
        <f t="shared" si="5"/>
        <v>6.3877083681460976E-3</v>
      </c>
      <c r="O43" s="1027">
        <f t="shared" si="6"/>
        <v>4.8255143173238792E-2</v>
      </c>
      <c r="P43" s="1027">
        <f>TableB1!D43/M43</f>
        <v>0.12997792574407552</v>
      </c>
      <c r="Q43" s="1098">
        <f t="shared" si="2"/>
        <v>3.0166337405918484E-2</v>
      </c>
    </row>
    <row r="44" spans="1:17" ht="15.5" x14ac:dyDescent="0.35">
      <c r="A44" s="860" t="s">
        <v>81</v>
      </c>
      <c r="B44" s="1033">
        <f t="shared" si="0"/>
        <v>-9.6431700000000014</v>
      </c>
      <c r="C44" s="1035">
        <f t="shared" si="1"/>
        <v>-9.2361700000000013</v>
      </c>
      <c r="D44" s="1025">
        <f t="shared" si="3"/>
        <v>-3.3191700000000002</v>
      </c>
      <c r="E44" s="882">
        <f>TableB2!H42+TableB2!J42-TableB2!D42-TableB2!F42</f>
        <v>-3.1791100000000001</v>
      </c>
      <c r="F44" s="1025">
        <f>TableB2!I42-TableB2!E42</f>
        <v>-0.14006000000000002</v>
      </c>
      <c r="G44" s="881">
        <f t="shared" si="4"/>
        <v>-2.4790000000000001</v>
      </c>
      <c r="H44" s="882">
        <f>VLOOKUP(A44,'[3]World BOP data'!$A$3:$AD$202,10,)/1000000000</f>
        <v>-0.13</v>
      </c>
      <c r="I44" s="1038">
        <f>VLOOKUP(A44,'[3]World BOP data'!$A$3:$AD$202,11,)/1000000000</f>
        <v>-2.3490000000000002</v>
      </c>
      <c r="J44" s="880">
        <f>IFERROR(VLOOKUP(A44,'[3]World BOP data'!$A$3:$AD$202,12,)/1000000000,0)</f>
        <v>-3.4380000000000002</v>
      </c>
      <c r="K44" s="1040">
        <f>IFERROR(VLOOKUP(A44,'[3]World BOP data'!$A$2:$AD$200,19,0)/1000000000,0)</f>
        <v>-0.40699999999999997</v>
      </c>
      <c r="L44" s="1041">
        <f>IFERROR(VLOOKUP(A44,'[3]World BOP data'!$A$3:$AD$202,16,)/1000000000,0)</f>
        <v>0</v>
      </c>
      <c r="M44" s="1026">
        <f>TableA1!B42-TableA1!M42+B44</f>
        <v>723.59100279133986</v>
      </c>
      <c r="N44" s="1029">
        <f t="shared" si="5"/>
        <v>-1.9356238463400129E-4</v>
      </c>
      <c r="O44" s="1027">
        <f t="shared" si="6"/>
        <v>-4.3935178681550743E-3</v>
      </c>
      <c r="P44" s="1027">
        <f>TableB1!D44/M44</f>
        <v>-3.3038000621593844E-2</v>
      </c>
      <c r="Q44" s="1098">
        <f t="shared" si="2"/>
        <v>-1.3326824079901914E-2</v>
      </c>
    </row>
    <row r="45" spans="1:17" ht="15.5" x14ac:dyDescent="0.35">
      <c r="A45" s="860" t="s">
        <v>82</v>
      </c>
      <c r="B45" s="1033">
        <f t="shared" si="0"/>
        <v>-39.030639648156992</v>
      </c>
      <c r="C45" s="1035">
        <f t="shared" si="1"/>
        <v>-37.176745587956994</v>
      </c>
      <c r="D45" s="1025">
        <f t="shared" si="3"/>
        <v>13.893048128343002</v>
      </c>
      <c r="E45" s="882">
        <f>TableB2!H43+TableB2!J43-TableB2!D43-TableB2!F43</f>
        <v>24.846827878169748</v>
      </c>
      <c r="F45" s="1025">
        <f>TableB2!I43-TableB2!E43</f>
        <v>-10.953779749826746</v>
      </c>
      <c r="G45" s="881">
        <f t="shared" si="4"/>
        <v>-36.571395419799998</v>
      </c>
      <c r="H45" s="882">
        <f>VLOOKUP(A45,'[3]World BOP data'!$A$3:$AD$202,10,)/1000000000</f>
        <v>-15.101116887</v>
      </c>
      <c r="I45" s="1038">
        <f>VLOOKUP(A45,'[3]World BOP data'!$A$3:$AD$202,11,)/1000000000</f>
        <v>-21.470278532799998</v>
      </c>
      <c r="J45" s="880">
        <f>IFERROR(VLOOKUP(A45,'[3]World BOP data'!$A$3:$AD$202,12,)/1000000000,0)</f>
        <v>-14.4983982965</v>
      </c>
      <c r="K45" s="1040">
        <f>IFERROR(VLOOKUP(A45,'[3]World BOP data'!$A$2:$AD$200,19,0)/1000000000,0)</f>
        <v>-0.13176399999999999</v>
      </c>
      <c r="L45" s="1041">
        <f>IFERROR(VLOOKUP(A45,'[3]World BOP data'!$A$3:$AD$202,16,)/1000000000,0)</f>
        <v>-1.7221300602</v>
      </c>
      <c r="M45" s="1026">
        <f>TableA1!B43-TableA1!M43+B45</f>
        <v>2447.6188649695541</v>
      </c>
      <c r="N45" s="1029">
        <f t="shared" si="5"/>
        <v>-4.4752799982864157E-3</v>
      </c>
      <c r="O45" s="1027">
        <f t="shared" si="6"/>
        <v>1.01514284898596E-2</v>
      </c>
      <c r="P45" s="1027">
        <f>TableB1!D45/M45</f>
        <v>-1.8668552741346999E-2</v>
      </c>
      <c r="Q45" s="1098">
        <f t="shared" si="2"/>
        <v>-1.5946371474237879E-2</v>
      </c>
    </row>
    <row r="46" spans="1:17" ht="15.5" x14ac:dyDescent="0.35">
      <c r="A46" s="860" t="s">
        <v>0</v>
      </c>
      <c r="B46" s="1033">
        <f t="shared" si="0"/>
        <v>170.26600000000002</v>
      </c>
      <c r="C46" s="1035">
        <f t="shared" si="1"/>
        <v>182.001</v>
      </c>
      <c r="D46" s="1025">
        <f t="shared" si="3"/>
        <v>266.529</v>
      </c>
      <c r="E46" s="882">
        <f>TableB2!H44+TableB2!J44-TableB2!D44-TableB2!F44</f>
        <v>285.185</v>
      </c>
      <c r="F46" s="1025">
        <f>TableB2!I44-TableB2!E44</f>
        <v>-18.655999999999999</v>
      </c>
      <c r="G46" s="881">
        <f t="shared" si="4"/>
        <v>-93.713999999999999</v>
      </c>
      <c r="H46" s="882">
        <f>VLOOKUP(A46,'[3]World BOP data'!$A$3:$AD$202,10,)/1000000000</f>
        <v>66.286000000000001</v>
      </c>
      <c r="I46" s="1038">
        <f>VLOOKUP(A46,'[3]World BOP data'!$A$3:$AD$202,11,)/1000000000</f>
        <v>-160</v>
      </c>
      <c r="J46" s="880">
        <f>IFERROR(VLOOKUP(A46,'[3]World BOP data'!$A$3:$AD$202,12,)/1000000000,0)</f>
        <v>9.1859999999999999</v>
      </c>
      <c r="K46" s="1040">
        <f>IFERROR(VLOOKUP(A46,'[3]World BOP data'!$A$2:$AD$200,19,0)/1000000000,0)</f>
        <v>-11.734999999999999</v>
      </c>
      <c r="L46" s="1041">
        <f>IFERROR(VLOOKUP(A46,'[3]World BOP data'!$A$3:$AD$202,16,)/1000000000,0)</f>
        <v>0</v>
      </c>
      <c r="M46" s="1026">
        <f>TableA1!B44-TableA1!M44+B46</f>
        <v>15449.4339</v>
      </c>
      <c r="N46" s="1029">
        <f t="shared" si="5"/>
        <v>-1.2075523362703924E-3</v>
      </c>
      <c r="O46" s="1027">
        <f t="shared" si="6"/>
        <v>1.8459252413125637E-2</v>
      </c>
      <c r="P46" s="1027">
        <f>TableB1!D46/M46</f>
        <v>-3.2363645376028954E-2</v>
      </c>
      <c r="Q46" s="1098">
        <f t="shared" si="2"/>
        <v>1.1020856887189893E-2</v>
      </c>
    </row>
    <row r="47" spans="1:17" ht="40" customHeight="1" x14ac:dyDescent="0.35">
      <c r="A47" s="38" t="s">
        <v>99</v>
      </c>
      <c r="B47" s="1034"/>
      <c r="C47" s="1036"/>
      <c r="D47" s="1023"/>
      <c r="E47" s="1037"/>
      <c r="F47" s="1023"/>
      <c r="G47" s="881" t="e">
        <f>H47+I47</f>
        <v>#N/A</v>
      </c>
      <c r="H47" s="882" t="e">
        <f>VLOOKUP(A47,'[3]World BOP data'!A38:AD236,10,)/1000000000</f>
        <v>#N/A</v>
      </c>
      <c r="I47" s="1038" t="e">
        <f>VLOOKUP(A47,'[3]World BOP data'!A38:AD236,11,)/1000000000</f>
        <v>#N/A</v>
      </c>
      <c r="J47" s="880" t="e">
        <f>VLOOKUP(A47,'[3]World BOP data'!A38:AD236,12,)/1000000000</f>
        <v>#N/A</v>
      </c>
      <c r="K47" s="1040"/>
      <c r="L47" s="1041">
        <f>IFERROR(VLOOKUP(A47,'[3]World BOP data'!$A$3:$AD$202,16,)/1000000000,0)</f>
        <v>0</v>
      </c>
      <c r="M47" s="888"/>
      <c r="N47" s="1030" t="e">
        <f t="shared" si="5"/>
        <v>#DIV/0!</v>
      </c>
      <c r="O47" s="1027" t="e">
        <f t="shared" si="6"/>
        <v>#DIV/0!</v>
      </c>
      <c r="P47" s="1023"/>
      <c r="Q47" s="1098"/>
    </row>
    <row r="48" spans="1:17" ht="15.5" x14ac:dyDescent="0.35">
      <c r="A48" s="899" t="s">
        <v>92</v>
      </c>
      <c r="B48" s="1033">
        <f t="shared" ref="B48:B54" si="7">C48+K48+L48</f>
        <v>-45.482376786579998</v>
      </c>
      <c r="C48" s="1035">
        <f t="shared" ref="C48:C54" si="8">D48+G48+J48</f>
        <v>-45.831610786580001</v>
      </c>
      <c r="D48" s="1025">
        <f t="shared" ref="D48" si="9">E48+F48</f>
        <v>-21.275570972679997</v>
      </c>
      <c r="E48" s="882">
        <f>TableB2!H46+TableB2!J46-TableB2!D46-TableB2!F46</f>
        <v>-16.685762936409997</v>
      </c>
      <c r="F48" s="1025">
        <f>TableB2!I46-TableB2!E46</f>
        <v>-4.58980803627</v>
      </c>
      <c r="G48" s="1106">
        <f t="shared" si="4"/>
        <v>-18.623718009800001</v>
      </c>
      <c r="H48" s="882">
        <f>VLOOKUP(A48,'[3]World BOP data'!$A$3:$AD$202,10,)/1000000000</f>
        <v>-4.1282420920999998</v>
      </c>
      <c r="I48" s="1038">
        <f>VLOOKUP(A48,'[3]World BOP data'!$A$3:$AD$202,11,)/1000000000</f>
        <v>-14.4954759177</v>
      </c>
      <c r="J48" s="880">
        <f>IFERROR(VLOOKUP(A48,'[3]World BOP data'!$A$3:$AD$202,12,)/1000000000,0)</f>
        <v>-5.9323218041000008</v>
      </c>
      <c r="K48" s="1040">
        <f>IFERROR(VLOOKUP(A48,'[3]World BOP data'!$A$2:$AD$200,19,0)/1000000000,0)</f>
        <v>0.34923399999999999</v>
      </c>
      <c r="L48" s="1041">
        <f>IFERROR(VLOOKUP(A48,'[3]World BOP data'!$A$3:$AD$202,16,)/1000000000,0)</f>
        <v>0</v>
      </c>
      <c r="M48" s="1026">
        <f>TableA1!B46-TableA1!M46+B48+(TableB10!I46-TableB10!R46)/1000</f>
        <v>2032.467181138315</v>
      </c>
      <c r="N48" s="1029">
        <f t="shared" si="5"/>
        <v>-2.2582445998952888E-3</v>
      </c>
      <c r="O48" s="1027">
        <f t="shared" si="6"/>
        <v>-8.2096100204013499E-3</v>
      </c>
      <c r="P48" s="1027">
        <f>TableB1!D48/M48</f>
        <v>-9.4705132106091723E-3</v>
      </c>
      <c r="Q48" s="1098">
        <f t="shared" ref="Q48:Q54" si="10">B48/M48</f>
        <v>-2.2377914491641081E-2</v>
      </c>
    </row>
    <row r="49" spans="1:17" ht="15.5" x14ac:dyDescent="0.35">
      <c r="A49" s="860" t="s">
        <v>101</v>
      </c>
      <c r="B49" s="1033">
        <f t="shared" si="7"/>
        <v>-41.05697396009441</v>
      </c>
      <c r="C49" s="1035">
        <f t="shared" si="8"/>
        <v>-69.11190102659441</v>
      </c>
      <c r="D49" s="1025">
        <f t="shared" ref="D49" si="11">E49+F49</f>
        <v>-34.555951026594414</v>
      </c>
      <c r="E49" s="882">
        <f>TableB2!H47+TableB2!J47-TableB2!D47-TableB2!F47</f>
        <v>-34.555951026594414</v>
      </c>
      <c r="F49" s="1025">
        <f>TableB2!I47-TableB2!E47</f>
        <v>0</v>
      </c>
      <c r="G49" s="881">
        <f>'[3]World BOP data'!$R$42/1000000000*0.5</f>
        <v>-34.555950000000003</v>
      </c>
      <c r="H49" s="882"/>
      <c r="I49" s="1038">
        <f>VLOOKUP(A49,'[3]World BOP data'!$A$3:$AD$202,11,)/1000000000</f>
        <v>0</v>
      </c>
      <c r="J49" s="880">
        <f>IFERROR(VLOOKUP(A49,'[3]World BOP data'!$A$3:$AD$202,12,)/1000000000,0)</f>
        <v>0</v>
      </c>
      <c r="K49" s="1040">
        <f>IFERROR(VLOOKUP(A49,'[3]World BOP data'!$A$2:$AD$200,19,0)/1000000000,0)</f>
        <v>27.386500000000002</v>
      </c>
      <c r="L49" s="1041">
        <f>IFERROR(VLOOKUP(A49,'[3]World BOP data'!$A$3:$AD$202,16,)/1000000000,0)</f>
        <v>0.66842706650000006</v>
      </c>
      <c r="M49" s="1026">
        <f>TableA1!B47-TableA1!M47+B49+(TableB10!I47-TableB10!R47)/1000</f>
        <v>9542.7014074727304</v>
      </c>
      <c r="N49" s="1029">
        <f t="shared" si="5"/>
        <v>0</v>
      </c>
      <c r="O49" s="1027">
        <f t="shared" si="6"/>
        <v>-3.6211916889209409E-3</v>
      </c>
      <c r="P49" s="1027">
        <f>TableB1!D49/M49</f>
        <v>3.7502039412137256E-2</v>
      </c>
      <c r="Q49" s="1098">
        <f t="shared" si="10"/>
        <v>-4.3024477249118762E-3</v>
      </c>
    </row>
    <row r="50" spans="1:17" ht="15.5" x14ac:dyDescent="0.35">
      <c r="A50" s="860" t="s">
        <v>93</v>
      </c>
      <c r="B50" s="1033">
        <f t="shared" si="7"/>
        <v>-5.9697216002999998</v>
      </c>
      <c r="C50" s="1035">
        <f t="shared" si="8"/>
        <v>-5.9349894003000001</v>
      </c>
      <c r="D50" s="1025">
        <f>E50+F50</f>
        <v>-1.7484193972999997</v>
      </c>
      <c r="E50" s="882">
        <f>TableB2!H48+TableB2!J48-TableB2!D48-TableB2!F48</f>
        <v>-1.2611379088999999</v>
      </c>
      <c r="F50" s="1025">
        <f>TableB2!I48-TableB2!E48</f>
        <v>-0.48728148839999996</v>
      </c>
      <c r="G50" s="881">
        <f t="shared" si="4"/>
        <v>-2.9548247790000004</v>
      </c>
      <c r="H50" s="882">
        <f>VLOOKUP(A50,'[3]World BOP data'!$A$3:$AD$202,10,)/1000000000</f>
        <v>-0.34961508669999997</v>
      </c>
      <c r="I50" s="1038">
        <f>VLOOKUP(A50,'[3]World BOP data'!$A$3:$AD$202,11,)/1000000000</f>
        <v>-2.6052096923000003</v>
      </c>
      <c r="J50" s="880">
        <f>IFERROR(VLOOKUP(A50,'[3]World BOP data'!$A$3:$AD$202,12,)/1000000000,0)</f>
        <v>-1.231745224</v>
      </c>
      <c r="K50" s="1040">
        <f>IFERROR(VLOOKUP(A50,'[3]World BOP data'!$A$2:$AD$200,19,0)/1000000000,0)</f>
        <v>-3.4732199999999998E-2</v>
      </c>
      <c r="L50" s="1041">
        <f>IFERROR(VLOOKUP(A50,'[3]World BOP data'!$A$3:$AD$202,16,)/1000000000,0)</f>
        <v>0</v>
      </c>
      <c r="M50" s="1026">
        <f>TableA1!B48-TableA1!M48+B50+(TableB10!I48-TableB10!R48)/1000</f>
        <v>252.25768406694951</v>
      </c>
      <c r="N50" s="1029">
        <f t="shared" si="5"/>
        <v>-1.9316814478907006E-3</v>
      </c>
      <c r="O50" s="1027">
        <f t="shared" si="6"/>
        <v>-4.9994033425173768E-3</v>
      </c>
      <c r="P50" s="1027">
        <f>TableB1!D50/M50</f>
        <v>-7.3509310530174343E-2</v>
      </c>
      <c r="Q50" s="1098">
        <f t="shared" si="10"/>
        <v>-2.3665172469892446E-2</v>
      </c>
    </row>
    <row r="51" spans="1:17" ht="15.5" x14ac:dyDescent="0.35">
      <c r="A51" s="860" t="s">
        <v>94</v>
      </c>
      <c r="B51" s="1033">
        <f t="shared" si="7"/>
        <v>-2.5472001676999998</v>
      </c>
      <c r="C51" s="1035">
        <f t="shared" si="8"/>
        <v>-2.4863330677</v>
      </c>
      <c r="D51" s="1025">
        <f>E51+F51</f>
        <v>-1.9651139597</v>
      </c>
      <c r="E51" s="882">
        <f>TableB2!H49+TableB2!J49-TableB2!D49-TableB2!F49</f>
        <v>-0.89792523350000009</v>
      </c>
      <c r="F51" s="1025">
        <f>TableB2!I49-TableB2!E49</f>
        <v>-1.0671887261999999</v>
      </c>
      <c r="G51" s="881">
        <f t="shared" si="4"/>
        <v>-0.25257986430000001</v>
      </c>
      <c r="H51" s="882">
        <f>VLOOKUP(A51,'[3]World BOP data'!$A$3:$AD$202,10,)/1000000000</f>
        <v>-3.4342103999999997E-3</v>
      </c>
      <c r="I51" s="1038">
        <f>VLOOKUP(A51,'[3]World BOP data'!$A$3:$AD$202,11,)/1000000000</f>
        <v>-0.24914565390000001</v>
      </c>
      <c r="J51" s="880">
        <f>IFERROR(VLOOKUP(A51,'[3]World BOP data'!$A$3:$AD$202,12,)/1000000000,0)</f>
        <v>-0.26863924369999997</v>
      </c>
      <c r="K51" s="1040">
        <f>IFERROR(VLOOKUP(A51,'[3]World BOP data'!$A$2:$AD$200,19,0)/1000000000,0)</f>
        <v>-6.08671E-2</v>
      </c>
      <c r="L51" s="1041">
        <f>IFERROR(VLOOKUP(A51,'[3]World BOP data'!$A$3:$AD$202,16,)/1000000000,0)</f>
        <v>0</v>
      </c>
      <c r="M51" s="1026">
        <f>TableA1!B49-TableA1!M49+B51+(TableB10!I49-TableB10!R49)/1000</f>
        <v>49.283690160911952</v>
      </c>
      <c r="N51" s="1029">
        <f t="shared" si="5"/>
        <v>-2.1653993901747486E-2</v>
      </c>
      <c r="O51" s="1027">
        <f t="shared" si="6"/>
        <v>-1.8219521114759496E-2</v>
      </c>
      <c r="P51" s="1027">
        <f>TableB1!D51/M51</f>
        <v>-3.6742384632476002E-4</v>
      </c>
      <c r="Q51" s="1098">
        <f t="shared" si="10"/>
        <v>-5.1684444881934667E-2</v>
      </c>
    </row>
    <row r="52" spans="1:17" ht="15.5" x14ac:dyDescent="0.35">
      <c r="A52" s="860" t="s">
        <v>102</v>
      </c>
      <c r="B52" s="1033">
        <f t="shared" si="7"/>
        <v>-26.690869753999994</v>
      </c>
      <c r="C52" s="1035">
        <f t="shared" si="8"/>
        <v>-29.068055135099996</v>
      </c>
      <c r="D52" s="1025">
        <f>E52+F52</f>
        <v>-8.6814563184999987</v>
      </c>
      <c r="E52" s="882">
        <f>TableB2!H50+TableB2!J50-TableB2!D50-TableB2!F50</f>
        <v>-1.9692084181999983</v>
      </c>
      <c r="F52" s="1025">
        <f>TableB2!I50-TableB2!E50</f>
        <v>-6.7122479003000004</v>
      </c>
      <c r="G52" s="881">
        <f t="shared" si="4"/>
        <v>-8.6422302068000008</v>
      </c>
      <c r="H52" s="882">
        <f>VLOOKUP(A52,'[3]World BOP data'!$A$3:$AD$202,10,)/1000000000</f>
        <v>-3.6736434021999997</v>
      </c>
      <c r="I52" s="1038">
        <f>VLOOKUP(A52,'[3]World BOP data'!$A$3:$AD$202,11,)/1000000000</f>
        <v>-4.9685868046000001</v>
      </c>
      <c r="J52" s="880">
        <f>IFERROR(VLOOKUP(A52,'[3]World BOP data'!$A$3:$AD$202,12,)/1000000000,0)</f>
        <v>-11.744368609799999</v>
      </c>
      <c r="K52" s="1040">
        <f>IFERROR(VLOOKUP(A52,'[3]World BOP data'!$A$2:$AD$200,19,0)/1000000000,0)</f>
        <v>1.31857</v>
      </c>
      <c r="L52" s="1041">
        <f>IFERROR(VLOOKUP(A52,'[3]World BOP data'!$A$3:$AD$202,16,)/1000000000,0)</f>
        <v>1.0586153811000001</v>
      </c>
      <c r="M52" s="1026">
        <f>TableA1!B50-TableA1!M50+B52+(TableB10!I50-TableB10!R50)/1000</f>
        <v>1666.0116851860782</v>
      </c>
      <c r="N52" s="1029">
        <f t="shared" si="5"/>
        <v>-4.0289320657137554E-3</v>
      </c>
      <c r="O52" s="1027">
        <f t="shared" si="6"/>
        <v>-1.1819895596831037E-3</v>
      </c>
      <c r="P52" s="1027">
        <f>TableB1!D52/M52</f>
        <v>-3.7964422433048928E-2</v>
      </c>
      <c r="Q52" s="1098">
        <f t="shared" si="10"/>
        <v>-1.6020817855799653E-2</v>
      </c>
    </row>
    <row r="53" spans="1:17" ht="15.5" x14ac:dyDescent="0.35">
      <c r="A53" s="860" t="s">
        <v>318</v>
      </c>
      <c r="B53" s="1033">
        <f t="shared" si="7"/>
        <v>-37.899679999999996</v>
      </c>
      <c r="C53" s="1035">
        <f t="shared" si="8"/>
        <v>-32.812439999999995</v>
      </c>
      <c r="D53" s="1025">
        <f>E53+F53</f>
        <v>-23.717169999999996</v>
      </c>
      <c r="E53" s="882">
        <f>TableB2!H51+TableB2!J51-TableB2!D51-TableB2!F51</f>
        <v>-18.431759999999997</v>
      </c>
      <c r="F53" s="1025">
        <f>TableB2!I51-TableB2!E51</f>
        <v>-5.2854099999999997</v>
      </c>
      <c r="G53" s="881">
        <f t="shared" si="4"/>
        <v>-6.0481500000000006</v>
      </c>
      <c r="H53" s="882">
        <f>VLOOKUP(A53,'[3]World BOP data'!$A$3:$AD$202,10,)/1000000000</f>
        <v>-8.2625100000000007</v>
      </c>
      <c r="I53" s="1038">
        <f>VLOOKUP(A53,'[3]World BOP data'!$A$3:$AD$202,11,)/1000000000</f>
        <v>2.2143600000000001</v>
      </c>
      <c r="J53" s="880">
        <f>IFERROR(VLOOKUP(A53,'[3]World BOP data'!$A$3:$AD$202,12,)/1000000000,0)</f>
        <v>-3.0471200000000001</v>
      </c>
      <c r="K53" s="1040">
        <f>IFERROR(VLOOKUP(A53,'[3]World BOP data'!$A$2:$AD$200,19,0)/1000000000,0)</f>
        <v>-5.1038699999999997</v>
      </c>
      <c r="L53" s="1041">
        <f>IFERROR(VLOOKUP(A53,'[3]World BOP data'!$A$3:$AD$202,16,)/1000000000,0)</f>
        <v>1.6629999999999999E-2</v>
      </c>
      <c r="M53" s="1026">
        <f>TableA1!B51-TableA1!M51+B53+(TableB10!I51-TableB10!R51)/1000</f>
        <v>1166.1366423721297</v>
      </c>
      <c r="N53" s="1029">
        <f t="shared" si="5"/>
        <v>-4.5324105323099476E-3</v>
      </c>
      <c r="O53" s="1027">
        <f t="shared" si="6"/>
        <v>-1.5805832121445488E-2</v>
      </c>
      <c r="P53" s="1027">
        <f>TableB1!D53/M53</f>
        <v>9.5595786933883153E-2</v>
      </c>
      <c r="Q53" s="1098">
        <f t="shared" si="10"/>
        <v>-3.2500205055648788E-2</v>
      </c>
    </row>
    <row r="54" spans="1:17" ht="15.5" x14ac:dyDescent="0.35">
      <c r="A54" s="860" t="s">
        <v>97</v>
      </c>
      <c r="B54" s="1033">
        <f t="shared" si="7"/>
        <v>-7.7994050635999992</v>
      </c>
      <c r="C54" s="1035">
        <f t="shared" si="8"/>
        <v>-7.6445610635999994</v>
      </c>
      <c r="D54" s="1025">
        <f>E54+F54</f>
        <v>-3.7332209096999995</v>
      </c>
      <c r="E54" s="882">
        <f>TableB2!H52+TableB2!J52-TableB2!D52-TableB2!F52</f>
        <v>-3.7332209096999995</v>
      </c>
      <c r="F54" s="1025">
        <f>TableB2!I52-TableB2!E52</f>
        <v>0</v>
      </c>
      <c r="G54" s="881">
        <f t="shared" si="4"/>
        <v>-3.9113401538999999</v>
      </c>
      <c r="H54" s="882">
        <f>VLOOKUP(A54,'[3]World BOP data'!$A$3:$AD$202,10,)/1000000000</f>
        <v>0.56292104679999999</v>
      </c>
      <c r="I54" s="1038">
        <f>VLOOKUP(A54,'[3]World BOP data'!$A$3:$AD$202,11,)/1000000000</f>
        <v>-4.4742612007</v>
      </c>
      <c r="J54" s="880">
        <f>IFERROR(VLOOKUP(A54,'[3]World BOP data'!$A$3:$AD$202,12,)/1000000000,0)</f>
        <v>0</v>
      </c>
      <c r="K54" s="1040">
        <f>IFERROR(VLOOKUP(A54,'[3]World BOP data'!$A$2:$AD$200,19,0)/1000000000,0)</f>
        <v>-0.15484400000000001</v>
      </c>
      <c r="L54" s="1041">
        <f>IFERROR(VLOOKUP(A54,'[3]World BOP data'!$A$3:$AD$202,16,)/1000000000,0)</f>
        <v>0</v>
      </c>
      <c r="M54" s="1026">
        <f>TableA1!B52-TableA1!M52+B54+(TableB10!I52-TableB10!R52)/1000</f>
        <v>284.65241492723413</v>
      </c>
      <c r="N54" s="1029">
        <f t="shared" si="5"/>
        <v>0</v>
      </c>
      <c r="O54" s="1027">
        <f t="shared" si="6"/>
        <v>-1.3115015766349023E-2</v>
      </c>
      <c r="P54" s="1027">
        <f>TableB1!D54/M54</f>
        <v>-1.2168856730709549E-2</v>
      </c>
      <c r="Q54" s="1098">
        <f t="shared" si="10"/>
        <v>-2.7399750202694629E-2</v>
      </c>
    </row>
    <row r="55" spans="1:17" ht="40" customHeight="1" x14ac:dyDescent="0.35">
      <c r="A55" s="38" t="s">
        <v>100</v>
      </c>
      <c r="B55" s="1034"/>
      <c r="C55" s="1036"/>
      <c r="D55" s="1023"/>
      <c r="E55" s="1037"/>
      <c r="F55" s="1023"/>
      <c r="G55" s="881" t="e">
        <f>H55+I55</f>
        <v>#N/A</v>
      </c>
      <c r="H55" s="882" t="e">
        <f>VLOOKUP(A55,'[3]World BOP data'!A46:AD244,10,)/1000000000</f>
        <v>#N/A</v>
      </c>
      <c r="I55" s="1038" t="e">
        <f>VLOOKUP(A55,'[3]World BOP data'!A46:AD244,11,)/1000000000</f>
        <v>#N/A</v>
      </c>
      <c r="J55" s="880" t="e">
        <f>VLOOKUP(A55,'[3]World BOP data'!A46:AD244,12,)/1000000000</f>
        <v>#N/A</v>
      </c>
      <c r="K55" s="1040"/>
      <c r="L55" s="1041"/>
      <c r="M55" s="888"/>
      <c r="N55" s="1030" t="e">
        <f t="shared" si="5"/>
        <v>#DIV/0!</v>
      </c>
      <c r="O55" s="1027" t="e">
        <f t="shared" si="6"/>
        <v>#DIV/0!</v>
      </c>
      <c r="P55" s="1023"/>
      <c r="Q55" s="1098"/>
    </row>
    <row r="56" spans="1:17" ht="15.5" x14ac:dyDescent="0.35">
      <c r="A56" s="860" t="s">
        <v>272</v>
      </c>
      <c r="B56" s="1033">
        <f t="shared" ref="B56:B91" si="12">C56+K56+L56</f>
        <v>3.27E-2</v>
      </c>
      <c r="C56" s="1035">
        <f t="shared" ref="C56:C91" si="13">D56+G56+J56</f>
        <v>3.27E-2</v>
      </c>
      <c r="D56" s="1025">
        <f t="shared" ref="D56:D91" si="14">E56+F56</f>
        <v>3.27E-2</v>
      </c>
      <c r="E56" s="882">
        <f>TableB2!H54+TableB2!J54-TableB2!D54-TableB2!F54</f>
        <v>3.27E-2</v>
      </c>
      <c r="F56" s="1025">
        <f>TableB2!I54-TableB2!E54</f>
        <v>0</v>
      </c>
      <c r="G56" s="881">
        <f>IFERROR(H56+I56,0)</f>
        <v>0</v>
      </c>
      <c r="H56" s="882" t="e">
        <f>VLOOKUP(A56,'[3]World BOP data'!$A$3:$AD$202,10,)/1000000000</f>
        <v>#N/A</v>
      </c>
      <c r="I56" s="1038" t="e">
        <f>VLOOKUP(A56,'[3]World BOP data'!$A$3:$AD$202,11,)/1000000000</f>
        <v>#N/A</v>
      </c>
      <c r="J56" s="880">
        <f>IFERROR(VLOOKUP(A56,'[3]World BOP data'!$A$3:$AD$202,12,)/1000000000,0)</f>
        <v>0</v>
      </c>
      <c r="K56" s="1040">
        <f>IFERROR(VLOOKUP(A56,'[3]World BOP data'!$A$2:$AD$200,19,0)/1000000000,0)</f>
        <v>0</v>
      </c>
      <c r="L56" s="1041">
        <f>IFERROR(VLOOKUP(A56,'[3]World BOP data'!$A$3:$AD$202,16,)/1000000000,0)</f>
        <v>0</v>
      </c>
      <c r="M56" s="1026">
        <f>TableA1!B54-TableA1!M54+B56+(TableB10!I54-TableB10!R54)/1000</f>
        <v>2.472283347091313</v>
      </c>
      <c r="N56" s="1029">
        <f t="shared" si="5"/>
        <v>0</v>
      </c>
      <c r="O56" s="1027">
        <f t="shared" si="6"/>
        <v>1.3226639267894658E-2</v>
      </c>
      <c r="P56" s="1027" t="e">
        <f>TableB1!D56/M56</f>
        <v>#N/A</v>
      </c>
      <c r="Q56" s="1098">
        <f>B56/M56</f>
        <v>1.3226639267894658E-2</v>
      </c>
    </row>
    <row r="57" spans="1:17" ht="15.5" x14ac:dyDescent="0.35">
      <c r="A57" s="860" t="s">
        <v>273</v>
      </c>
      <c r="B57" s="1033">
        <f t="shared" si="12"/>
        <v>-0.1027</v>
      </c>
      <c r="C57" s="1035">
        <f t="shared" si="13"/>
        <v>-0.1027</v>
      </c>
      <c r="D57" s="1025">
        <f t="shared" si="14"/>
        <v>-0.1027</v>
      </c>
      <c r="E57" s="882">
        <f>TableB2!H55+TableB2!J55-TableB2!D55-TableB2!F55</f>
        <v>-0.1027</v>
      </c>
      <c r="F57" s="1025">
        <f>TableB2!I55-TableB2!E55</f>
        <v>0</v>
      </c>
      <c r="G57" s="881">
        <f t="shared" ref="G57:G91" si="15">IFERROR(H57+I57,0)</f>
        <v>0</v>
      </c>
      <c r="H57" s="882">
        <f>VLOOKUP(A57,'[3]World BOP data'!$A$3:$AD$202,10,)/1000000000</f>
        <v>0</v>
      </c>
      <c r="I57" s="1038">
        <f>VLOOKUP(A57,'[3]World BOP data'!$A$3:$AD$202,11,)/1000000000</f>
        <v>0</v>
      </c>
      <c r="J57" s="880">
        <f>IFERROR(VLOOKUP(A57,'[3]World BOP data'!$A$3:$AD$202,12,)/1000000000,0)</f>
        <v>0</v>
      </c>
      <c r="K57" s="1040">
        <f>IFERROR(VLOOKUP(A57,'[3]World BOP data'!$A$2:$AD$200,19,0)/1000000000,0)</f>
        <v>0</v>
      </c>
      <c r="L57" s="1041">
        <f>IFERROR(VLOOKUP(A57,'[3]World BOP data'!$A$3:$AD$202,16,)/1000000000,0)</f>
        <v>0</v>
      </c>
      <c r="M57" s="1026">
        <f>TableA1!B55-TableA1!M55+B57+(TableB10!I55-TableB10!R55)/1000</f>
        <v>0.25094872313484867</v>
      </c>
      <c r="N57" s="1029">
        <f t="shared" si="5"/>
        <v>0</v>
      </c>
      <c r="O57" s="1027">
        <f t="shared" si="6"/>
        <v>-0.40924695179585985</v>
      </c>
      <c r="P57" s="1027">
        <f>TableB1!D57/M57</f>
        <v>0</v>
      </c>
      <c r="Q57" s="1098">
        <f t="shared" ref="Q57:Q91" si="16">B57/M57</f>
        <v>-0.40924695179585985</v>
      </c>
    </row>
    <row r="58" spans="1:17" ht="15.5" x14ac:dyDescent="0.35">
      <c r="A58" s="860" t="s">
        <v>319</v>
      </c>
      <c r="B58" s="1033">
        <f t="shared" si="12"/>
        <v>-7.690000000000001E-2</v>
      </c>
      <c r="C58" s="1035">
        <f t="shared" si="13"/>
        <v>-7.690000000000001E-2</v>
      </c>
      <c r="D58" s="1025">
        <f t="shared" si="14"/>
        <v>-7.690000000000001E-2</v>
      </c>
      <c r="E58" s="882">
        <f>TableB2!H56+TableB2!J56-TableB2!D56-TableB2!F56</f>
        <v>-7.690000000000001E-2</v>
      </c>
      <c r="F58" s="1025">
        <f>TableB2!I56-TableB2!E56</f>
        <v>0</v>
      </c>
      <c r="G58" s="881">
        <f t="shared" si="15"/>
        <v>0</v>
      </c>
      <c r="H58" s="882">
        <f>VLOOKUP(A58,'[3]World BOP data'!$A$3:$AD$202,10,)/1000000000</f>
        <v>0</v>
      </c>
      <c r="I58" s="1038">
        <f>VLOOKUP(A58,'[3]World BOP data'!$A$3:$AD$202,11,)/1000000000</f>
        <v>0</v>
      </c>
      <c r="J58" s="880">
        <f>IFERROR(VLOOKUP(A58,'[3]World BOP data'!$A$3:$AD$202,12,)/1000000000,0)</f>
        <v>0</v>
      </c>
      <c r="K58" s="1040">
        <f>IFERROR(VLOOKUP(A58,'[3]World BOP data'!$A$2:$AD$200,19,0)/1000000000,0)</f>
        <v>0</v>
      </c>
      <c r="L58" s="1041">
        <f>IFERROR(VLOOKUP(A58,'[3]World BOP data'!$A$3:$AD$202,16,)/1000000000,0)</f>
        <v>0</v>
      </c>
      <c r="M58" s="1026">
        <f>TableA1!B56-TableA1!M56+B58+(TableB10!I56-TableB10!R56)/1000</f>
        <v>1.2001899986900824</v>
      </c>
      <c r="N58" s="1029">
        <f t="shared" si="5"/>
        <v>0</v>
      </c>
      <c r="O58" s="1027">
        <f t="shared" si="6"/>
        <v>-6.4073188481765894E-2</v>
      </c>
      <c r="P58" s="1027">
        <f>TableB1!D58/M58</f>
        <v>0</v>
      </c>
      <c r="Q58" s="1098">
        <f t="shared" si="16"/>
        <v>-6.4073188481765894E-2</v>
      </c>
    </row>
    <row r="59" spans="1:17" ht="15.5" x14ac:dyDescent="0.35">
      <c r="A59" s="860" t="s">
        <v>274</v>
      </c>
      <c r="B59" s="1033">
        <f t="shared" si="12"/>
        <v>-8.115642455083999E-2</v>
      </c>
      <c r="C59" s="1035">
        <f t="shared" si="13"/>
        <v>-7.7692737399999989E-2</v>
      </c>
      <c r="D59" s="1025">
        <f t="shared" si="14"/>
        <v>-4.1715083799999997E-2</v>
      </c>
      <c r="E59" s="882">
        <f>TableB2!H57+TableB2!J57-TableB2!D57-TableB2!F57</f>
        <v>-4.1715083799999997E-2</v>
      </c>
      <c r="F59" s="1025">
        <f>TableB2!I57-TableB2!E57</f>
        <v>0</v>
      </c>
      <c r="G59" s="881">
        <f t="shared" si="15"/>
        <v>-3.2234636799999994E-2</v>
      </c>
      <c r="H59" s="882">
        <f>VLOOKUP(A59,'[3]World BOP data'!$A$3:$AD$202,10,)/1000000000</f>
        <v>1.0167597800000001E-2</v>
      </c>
      <c r="I59" s="1038">
        <f>VLOOKUP(A59,'[3]World BOP data'!$A$3:$AD$202,11,)/1000000000</f>
        <v>-4.2402234599999998E-2</v>
      </c>
      <c r="J59" s="880">
        <f>IFERROR(VLOOKUP(A59,'[3]World BOP data'!$A$3:$AD$202,12,)/1000000000,0)</f>
        <v>-3.7430167999999999E-3</v>
      </c>
      <c r="K59" s="1040">
        <f>IFERROR(VLOOKUP(A59,'[3]World BOP data'!$A$2:$AD$200,19,0)/1000000000,0)</f>
        <v>-3.4636871508399998E-3</v>
      </c>
      <c r="L59" s="1041">
        <f>IFERROR(VLOOKUP(A59,'[3]World BOP data'!$A$3:$AD$202,16,)/1000000000,0)</f>
        <v>0</v>
      </c>
      <c r="M59" s="1026">
        <f>TableA1!B57-TableA1!M57+B59+(TableB10!I57-TableB10!R57)/1000</f>
        <v>2.0602171613152462</v>
      </c>
      <c r="N59" s="1029">
        <f t="shared" si="5"/>
        <v>0</v>
      </c>
      <c r="O59" s="1027">
        <f t="shared" si="6"/>
        <v>-2.024790618352534E-2</v>
      </c>
      <c r="P59" s="1027">
        <f>TableB1!D59/M59</f>
        <v>0.13935180110659698</v>
      </c>
      <c r="Q59" s="1098">
        <f t="shared" si="16"/>
        <v>-3.939216994922496E-2</v>
      </c>
    </row>
    <row r="60" spans="1:17" ht="15.5" x14ac:dyDescent="0.35">
      <c r="A60" s="860" t="s">
        <v>275</v>
      </c>
      <c r="B60" s="1033">
        <f t="shared" si="12"/>
        <v>-1.141454839196719</v>
      </c>
      <c r="C60" s="1035">
        <f t="shared" si="13"/>
        <v>-1.074958339196719</v>
      </c>
      <c r="D60" s="1025">
        <f t="shared" si="14"/>
        <v>-0.73882524149671902</v>
      </c>
      <c r="E60" s="882">
        <f>TableB2!H58+TableB2!J58-TableB2!D58-TableB2!F58</f>
        <v>-0.73882524149671902</v>
      </c>
      <c r="F60" s="1025">
        <f>TableB2!I58-TableB2!E58</f>
        <v>0</v>
      </c>
      <c r="G60" s="881">
        <f t="shared" si="15"/>
        <v>0</v>
      </c>
      <c r="H60" s="882">
        <f>VLOOKUP(A60,'[3]World BOP data'!$A$3:$AD$202,10,)/1000000000</f>
        <v>0</v>
      </c>
      <c r="I60" s="1038">
        <f>VLOOKUP(A60,'[3]World BOP data'!$A$3:$AD$202,11,)/1000000000</f>
        <v>0</v>
      </c>
      <c r="J60" s="880">
        <f>IFERROR(VLOOKUP(A60,'[3]World BOP data'!$A$3:$AD$202,12,)/1000000000,0)</f>
        <v>-0.33613309769999999</v>
      </c>
      <c r="K60" s="1040">
        <f>IFERROR(VLOOKUP(A60,'[3]World BOP data'!$A$2:$AD$200,19,0)/1000000000,0)</f>
        <v>-6.64965E-2</v>
      </c>
      <c r="L60" s="1041">
        <f>IFERROR(VLOOKUP(A60,'[3]World BOP data'!$A$3:$AD$202,16,)/1000000000,0)</f>
        <v>0</v>
      </c>
      <c r="M60" s="1026">
        <f>TableA1!B58-TableA1!M58+B60+(TableB10!I58-TableB10!R58)/1000</f>
        <v>9.4812570036479258</v>
      </c>
      <c r="N60" s="1029">
        <f t="shared" si="5"/>
        <v>0</v>
      </c>
      <c r="O60" s="1027">
        <f t="shared" si="6"/>
        <v>-7.7924819590108677E-2</v>
      </c>
      <c r="P60" s="1027" t="e">
        <f>TableB1!D60/M60</f>
        <v>#N/A</v>
      </c>
      <c r="Q60" s="1098">
        <f t="shared" si="16"/>
        <v>-0.12039066536826738</v>
      </c>
    </row>
    <row r="61" spans="1:17" ht="15.5" x14ac:dyDescent="0.35">
      <c r="A61" s="860" t="s">
        <v>276</v>
      </c>
      <c r="B61" s="1033">
        <f t="shared" si="12"/>
        <v>-0.64260805649591413</v>
      </c>
      <c r="C61" s="1035">
        <f t="shared" si="13"/>
        <v>-0.64260805649591413</v>
      </c>
      <c r="D61" s="1025">
        <f t="shared" si="14"/>
        <v>-0.64260805649591413</v>
      </c>
      <c r="E61" s="882">
        <f>TableB2!H59+TableB2!J59-TableB2!D59-TableB2!F59</f>
        <v>-0.64260805649591413</v>
      </c>
      <c r="F61" s="1025">
        <f>TableB2!I59-TableB2!E59</f>
        <v>0</v>
      </c>
      <c r="G61" s="881">
        <f t="shared" si="15"/>
        <v>0</v>
      </c>
      <c r="H61" s="882">
        <f>VLOOKUP(A61,'[3]World BOP data'!$A$3:$AD$202,10,)/1000000000</f>
        <v>0</v>
      </c>
      <c r="I61" s="1038">
        <f>VLOOKUP(A61,'[3]World BOP data'!$A$3:$AD$202,11,)/1000000000</f>
        <v>0</v>
      </c>
      <c r="J61" s="880">
        <f>IFERROR(VLOOKUP(A61,'[3]World BOP data'!$A$3:$AD$202,12,)/1000000000,0)</f>
        <v>0</v>
      </c>
      <c r="K61" s="1040">
        <f>IFERROR(VLOOKUP(A61,'[3]World BOP data'!$A$2:$AD$200,19,0)/1000000000,0)</f>
        <v>0</v>
      </c>
      <c r="L61" s="1041">
        <f>IFERROR(VLOOKUP(A61,'[3]World BOP data'!$A$3:$AD$202,16,)/1000000000,0)</f>
        <v>0</v>
      </c>
      <c r="M61" s="1026">
        <f>TableA1!B59-TableA1!M59+B61+(TableB10!I59-TableB10!R59)/1000</f>
        <v>29.814439960067279</v>
      </c>
      <c r="N61" s="1029">
        <f t="shared" si="5"/>
        <v>0</v>
      </c>
      <c r="O61" s="1027">
        <f t="shared" si="6"/>
        <v>-2.1553584684354542E-2</v>
      </c>
      <c r="P61" s="1027" t="e">
        <f>TableB1!D61/M61</f>
        <v>#N/A</v>
      </c>
      <c r="Q61" s="1098">
        <f t="shared" si="16"/>
        <v>-2.1553584684354542E-2</v>
      </c>
    </row>
    <row r="62" spans="1:17" ht="15.5" x14ac:dyDescent="0.35">
      <c r="A62" s="860" t="s">
        <v>212</v>
      </c>
      <c r="B62" s="1033">
        <f t="shared" si="12"/>
        <v>-1.8957898653382528</v>
      </c>
      <c r="C62" s="1035">
        <f t="shared" si="13"/>
        <v>-1.8957898653382528</v>
      </c>
      <c r="D62" s="1025">
        <f t="shared" si="14"/>
        <v>-1.8957898653382528</v>
      </c>
      <c r="E62" s="882">
        <f>TableB2!H60+TableB2!J60-TableB2!D60-TableB2!F60</f>
        <v>-1.8957898653382528</v>
      </c>
      <c r="F62" s="1025">
        <f>TableB2!I60-TableB2!E60</f>
        <v>0</v>
      </c>
      <c r="G62" s="881">
        <f t="shared" si="15"/>
        <v>0</v>
      </c>
      <c r="H62" s="882">
        <f>VLOOKUP(A62,'[3]World BOP data'!$A$3:$AD$202,10,)/1000000000</f>
        <v>0</v>
      </c>
      <c r="I62" s="1038">
        <f>VLOOKUP(A62,'[3]World BOP data'!$A$3:$AD$202,11,)/1000000000</f>
        <v>0</v>
      </c>
      <c r="J62" s="880">
        <f>IFERROR(VLOOKUP(A62,'[3]World BOP data'!$A$3:$AD$202,12,)/1000000000,0)</f>
        <v>0</v>
      </c>
      <c r="K62" s="1040">
        <f>IFERROR(VLOOKUP(A62,'[3]World BOP data'!$A$2:$AD$200,19,0)/1000000000,0)</f>
        <v>0</v>
      </c>
      <c r="L62" s="1041">
        <f>IFERROR(VLOOKUP(A62,'[3]World BOP data'!$A$3:$AD$202,16,)/1000000000,0)</f>
        <v>0</v>
      </c>
      <c r="M62" s="1026">
        <f>TableA1!B60-TableA1!M60+B62+(TableB10!I60-TableB10!R60)/1000</f>
        <v>4.0310706226305815</v>
      </c>
      <c r="N62" s="1029">
        <f t="shared" si="5"/>
        <v>0</v>
      </c>
      <c r="O62" s="1027">
        <f t="shared" si="6"/>
        <v>-0.47029438152118136</v>
      </c>
      <c r="P62" s="1027">
        <f>TableB1!D62/M62</f>
        <v>0</v>
      </c>
      <c r="Q62" s="1098">
        <f t="shared" si="16"/>
        <v>-0.47029438152118136</v>
      </c>
    </row>
    <row r="63" spans="1:17" ht="15.5" x14ac:dyDescent="0.35">
      <c r="A63" s="860" t="s">
        <v>277</v>
      </c>
      <c r="B63" s="1033">
        <f t="shared" si="12"/>
        <v>-0.11020450537512001</v>
      </c>
      <c r="C63" s="1035">
        <f t="shared" si="13"/>
        <v>-0.10593481310000001</v>
      </c>
      <c r="D63" s="1025">
        <f t="shared" si="14"/>
        <v>-6.4989477700000006E-2</v>
      </c>
      <c r="E63" s="882">
        <f>TableB2!H61+TableB2!J61-TableB2!D61-TableB2!F61</f>
        <v>-6.4989477700000006E-2</v>
      </c>
      <c r="F63" s="1025">
        <f>TableB2!I61-TableB2!E61</f>
        <v>0</v>
      </c>
      <c r="G63" s="881">
        <f t="shared" si="15"/>
        <v>-2.4430825E-2</v>
      </c>
      <c r="H63" s="882">
        <f>VLOOKUP(A63,'[3]World BOP data'!$A$3:$AD$202,10,)/1000000000</f>
        <v>0</v>
      </c>
      <c r="I63" s="1038">
        <f>VLOOKUP(A63,'[3]World BOP data'!$A$3:$AD$202,11,)/1000000000</f>
        <v>-2.4430825E-2</v>
      </c>
      <c r="J63" s="880">
        <f>IFERROR(VLOOKUP(A63,'[3]World BOP data'!$A$3:$AD$202,12,)/1000000000,0)</f>
        <v>-1.6514510400000001E-2</v>
      </c>
      <c r="K63" s="1040">
        <f>IFERROR(VLOOKUP(A63,'[3]World BOP data'!$A$2:$AD$200,19,0)/1000000000,0)</f>
        <v>-4.26969227512E-3</v>
      </c>
      <c r="L63" s="1041">
        <f>IFERROR(VLOOKUP(A63,'[3]World BOP data'!$A$3:$AD$202,16,)/1000000000,0)</f>
        <v>0</v>
      </c>
      <c r="M63" s="1026">
        <f>TableA1!B61-TableA1!M61+B63+(TableB10!I61-TableB10!R61)/1000</f>
        <v>1.4368455753337859</v>
      </c>
      <c r="N63" s="1029">
        <f t="shared" si="5"/>
        <v>0</v>
      </c>
      <c r="O63" s="1027">
        <f t="shared" si="6"/>
        <v>-4.5230662790538674E-2</v>
      </c>
      <c r="P63" s="1027">
        <f>TableB1!D63/M63</f>
        <v>-0.10368421196925889</v>
      </c>
      <c r="Q63" s="1098">
        <f t="shared" si="16"/>
        <v>-7.6698921071959317E-2</v>
      </c>
    </row>
    <row r="64" spans="1:17" ht="15.5" x14ac:dyDescent="0.35">
      <c r="A64" s="860" t="s">
        <v>213</v>
      </c>
      <c r="B64" s="1033">
        <f t="shared" si="12"/>
        <v>-13.834507059336662</v>
      </c>
      <c r="C64" s="1035">
        <f t="shared" si="13"/>
        <v>-15.366738824636663</v>
      </c>
      <c r="D64" s="1025">
        <f t="shared" si="14"/>
        <v>-15.447398527436663</v>
      </c>
      <c r="E64" s="882">
        <f>TableB2!H62+TableB2!J62-TableB2!D62-TableB2!F62</f>
        <v>-15.447398527436663</v>
      </c>
      <c r="F64" s="1025">
        <f>TableB2!I62-TableB2!E62</f>
        <v>0</v>
      </c>
      <c r="G64" s="881">
        <f t="shared" si="15"/>
        <v>0.1605242995</v>
      </c>
      <c r="H64" s="882">
        <f>VLOOKUP(A64,'[3]World BOP data'!$A$3:$AD$202,10,)/1000000000</f>
        <v>2.6829983000000002E-2</v>
      </c>
      <c r="I64" s="1038">
        <f>VLOOKUP(A64,'[3]World BOP data'!$A$3:$AD$202,11,)/1000000000</f>
        <v>0.13369431649999999</v>
      </c>
      <c r="J64" s="880">
        <f>IFERROR(VLOOKUP(A64,'[3]World BOP data'!$A$3:$AD$202,12,)/1000000000,0)</f>
        <v>-7.9864596699999998E-2</v>
      </c>
      <c r="K64" s="1040">
        <f>IFERROR(VLOOKUP(A64,'[3]World BOP data'!$A$2:$AD$200,19,0)/1000000000,0)</f>
        <v>1.37815</v>
      </c>
      <c r="L64" s="1041">
        <f>IFERROR(VLOOKUP(A64,'[3]World BOP data'!$A$3:$AD$202,16,)/1000000000,0)</f>
        <v>0.15408176530000001</v>
      </c>
      <c r="M64" s="1026">
        <f>TableA1!B62-TableA1!M62+B64+(TableB10!I62-TableB10!R62)/1000</f>
        <v>7.333309392284173</v>
      </c>
      <c r="N64" s="1029">
        <f t="shared" si="5"/>
        <v>0</v>
      </c>
      <c r="O64" s="1027">
        <f t="shared" si="6"/>
        <v>-2.1064703125289959</v>
      </c>
      <c r="P64" s="1027">
        <f>TableB1!D64/M64</f>
        <v>-8.416926407733942E-2</v>
      </c>
      <c r="Q64" s="1098">
        <f t="shared" si="16"/>
        <v>-1.8865298488418885</v>
      </c>
    </row>
    <row r="65" spans="1:17" ht="15.5" x14ac:dyDescent="0.35">
      <c r="A65" s="860" t="s">
        <v>278</v>
      </c>
      <c r="B65" s="1033">
        <f t="shared" si="12"/>
        <v>9.3999999999999986E-3</v>
      </c>
      <c r="C65" s="1035">
        <f t="shared" si="13"/>
        <v>9.3999999999999986E-3</v>
      </c>
      <c r="D65" s="1025">
        <f t="shared" si="14"/>
        <v>9.3999999999999986E-3</v>
      </c>
      <c r="E65" s="882">
        <f>TableB2!H63+TableB2!J63-TableB2!D63-TableB2!F63</f>
        <v>9.3999999999999986E-3</v>
      </c>
      <c r="F65" s="1025">
        <f>TableB2!I63-TableB2!E63</f>
        <v>0</v>
      </c>
      <c r="G65" s="881">
        <f t="shared" si="15"/>
        <v>0</v>
      </c>
      <c r="H65" s="882" t="e">
        <f>VLOOKUP(A65,'[3]World BOP data'!$A$3:$AD$202,10,)/1000000000</f>
        <v>#N/A</v>
      </c>
      <c r="I65" s="1038" t="e">
        <f>VLOOKUP(A65,'[3]World BOP data'!$A$3:$AD$202,11,)/1000000000</f>
        <v>#N/A</v>
      </c>
      <c r="J65" s="880">
        <f>IFERROR(VLOOKUP(A65,'[3]World BOP data'!$A$3:$AD$202,12,)/1000000000,0)</f>
        <v>0</v>
      </c>
      <c r="K65" s="1040">
        <f>IFERROR(VLOOKUP(A65,'[3]World BOP data'!$A$2:$AD$200,19,0)/1000000000,0)</f>
        <v>0</v>
      </c>
      <c r="L65" s="1041">
        <f>IFERROR(VLOOKUP(A65,'[3]World BOP data'!$A$3:$AD$202,16,)/1000000000,0)</f>
        <v>0</v>
      </c>
      <c r="M65" s="1026">
        <f>TableA1!B63-TableA1!M63+B65+(TableB10!I63-TableB10!R63)/1000</f>
        <v>0.35471805944617224</v>
      </c>
      <c r="N65" s="1029">
        <f t="shared" si="5"/>
        <v>0</v>
      </c>
      <c r="O65" s="1027">
        <f t="shared" si="6"/>
        <v>2.6499919442151861E-2</v>
      </c>
      <c r="P65" s="1027" t="e">
        <f>TableB1!D65/M65</f>
        <v>#N/A</v>
      </c>
      <c r="Q65" s="1098">
        <f t="shared" si="16"/>
        <v>2.6499919442151861E-2</v>
      </c>
    </row>
    <row r="66" spans="1:17" s="1115" customFormat="1" ht="15.5" x14ac:dyDescent="0.35">
      <c r="A66" s="864" t="s">
        <v>279</v>
      </c>
      <c r="B66" s="1102">
        <f t="shared" si="12"/>
        <v>4.0091023290772432</v>
      </c>
      <c r="C66" s="1103">
        <f t="shared" si="13"/>
        <v>4.0091023290772432</v>
      </c>
      <c r="D66" s="1104">
        <f t="shared" si="14"/>
        <v>4.0091023290772432</v>
      </c>
      <c r="E66" s="1105">
        <f>TableB2!H64+TableB2!J64-TableB2!D64-TableB2!F64</f>
        <v>4.0091023290772432</v>
      </c>
      <c r="F66" s="1104">
        <f>TableB2!I64-TableB2!E64</f>
        <v>0</v>
      </c>
      <c r="G66" s="1106">
        <f t="shared" si="15"/>
        <v>0</v>
      </c>
      <c r="H66" s="1105" t="e">
        <f>VLOOKUP(A66,'[3]World BOP data'!$A$3:$AD$202,10,)/1000000000</f>
        <v>#N/A</v>
      </c>
      <c r="I66" s="1107" t="e">
        <f>VLOOKUP(A66,'[3]World BOP data'!$A$3:$AD$202,11,)/1000000000</f>
        <v>#N/A</v>
      </c>
      <c r="J66" s="1108">
        <f>IFERROR(VLOOKUP(A66,'[3]World BOP data'!$A$3:$AD$202,12,)/1000000000,0)</f>
        <v>0</v>
      </c>
      <c r="K66" s="1109">
        <f>IFERROR(VLOOKUP(A66,'[3]World BOP data'!$A$2:$AD$200,19,0)/1000000000,0)</f>
        <v>0</v>
      </c>
      <c r="L66" s="1110">
        <f>IFERROR(VLOOKUP(A66,'[3]World BOP data'!$A$3:$AD$202,16,)/1000000000,0)</f>
        <v>0</v>
      </c>
      <c r="M66" s="1111">
        <f>TableA1!B64-TableA1!M64+B66+(TableB10!I64-TableB10!R64)/1000</f>
        <v>0.79141469991593816</v>
      </c>
      <c r="N66" s="1112">
        <f t="shared" si="5"/>
        <v>0</v>
      </c>
      <c r="O66" s="1113">
        <f t="shared" si="6"/>
        <v>5.0657415505462291</v>
      </c>
      <c r="P66" s="1113" t="e">
        <f>TableB1!D66/M66</f>
        <v>#N/A</v>
      </c>
      <c r="Q66" s="1114">
        <f t="shared" si="16"/>
        <v>5.0657415505462291</v>
      </c>
    </row>
    <row r="67" spans="1:17" s="1115" customFormat="1" ht="15.5" x14ac:dyDescent="0.35">
      <c r="A67" s="1116" t="s">
        <v>291</v>
      </c>
      <c r="B67" s="1102">
        <f t="shared" si="12"/>
        <v>-16.042018175138416</v>
      </c>
      <c r="C67" s="1103">
        <f t="shared" si="13"/>
        <v>-16.042018175138416</v>
      </c>
      <c r="D67" s="1104">
        <f t="shared" si="14"/>
        <v>-16.042018175138416</v>
      </c>
      <c r="E67" s="1105">
        <f>TableB2!H65+TableB2!J65-TableB2!D65-TableB2!F65</f>
        <v>-16.042018175138416</v>
      </c>
      <c r="F67" s="1104">
        <f>TableB2!I65-TableB2!E65</f>
        <v>0</v>
      </c>
      <c r="G67" s="1106">
        <f t="shared" si="15"/>
        <v>0</v>
      </c>
      <c r="H67" s="1105" t="e">
        <f>VLOOKUP(A67,'[3]World BOP data'!$A$3:$AD$202,10,)/1000000000</f>
        <v>#N/A</v>
      </c>
      <c r="I67" s="1107" t="e">
        <f>VLOOKUP(A67,'[3]World BOP data'!$A$3:$AD$202,11,)/1000000000</f>
        <v>#N/A</v>
      </c>
      <c r="J67" s="1108">
        <f>IFERROR(VLOOKUP(A67,'[3]World BOP data'!$A$3:$AD$202,12,)/1000000000,0)</f>
        <v>0</v>
      </c>
      <c r="K67" s="1109">
        <f>IFERROR(VLOOKUP(A67,'[3]World BOP data'!$A$2:$AD$200,19,0)/1000000000,0)</f>
        <v>0</v>
      </c>
      <c r="L67" s="1110">
        <f>IFERROR(VLOOKUP(A67,'[3]World BOP data'!$A$3:$AD$202,16,)/1000000000,0)</f>
        <v>0</v>
      </c>
      <c r="M67" s="1111">
        <f>TableA1!B65-TableA1!M65+B67+(TableB10!I65-TableB10!R65)/1000</f>
        <v>3.2593377369734728</v>
      </c>
      <c r="N67" s="1112">
        <f t="shared" si="5"/>
        <v>0</v>
      </c>
      <c r="O67" s="1113">
        <f t="shared" si="6"/>
        <v>-4.9218643386231502</v>
      </c>
      <c r="P67" s="1113" t="e">
        <f>TableB1!D67/M67</f>
        <v>#N/A</v>
      </c>
      <c r="Q67" s="1114">
        <f t="shared" si="16"/>
        <v>-4.9218643386231502</v>
      </c>
    </row>
    <row r="68" spans="1:17" s="1115" customFormat="1" ht="15.5" x14ac:dyDescent="0.35">
      <c r="A68" s="864" t="s">
        <v>280</v>
      </c>
      <c r="B68" s="1102">
        <f t="shared" si="12"/>
        <v>2.2305740073400941</v>
      </c>
      <c r="C68" s="1103">
        <f t="shared" si="13"/>
        <v>2.1909483090395341</v>
      </c>
      <c r="D68" s="1104">
        <f t="shared" si="14"/>
        <v>2.1990097615395339</v>
      </c>
      <c r="E68" s="1105">
        <f>TableB2!H66+TableB2!J66-TableB2!D66-TableB2!F66</f>
        <v>2.1990097615395339</v>
      </c>
      <c r="F68" s="1104">
        <f>TableB2!I66-TableB2!E66</f>
        <v>0</v>
      </c>
      <c r="G68" s="1106">
        <f t="shared" si="15"/>
        <v>-1.2268156400000001E-2</v>
      </c>
      <c r="H68" s="1105">
        <f>VLOOKUP(A68,'[3]World BOP data'!$A$3:$AD$202,10,)/1000000000</f>
        <v>-8.2067039000000008E-3</v>
      </c>
      <c r="I68" s="1107">
        <f>VLOOKUP(A68,'[3]World BOP data'!$A$3:$AD$202,11,)/1000000000</f>
        <v>-4.0614524999999999E-3</v>
      </c>
      <c r="J68" s="1108">
        <f>IFERROR(VLOOKUP(A68,'[3]World BOP data'!$A$3:$AD$202,12,)/1000000000,0)</f>
        <v>4.2067039000000007E-3</v>
      </c>
      <c r="K68" s="1109">
        <f>IFERROR(VLOOKUP(A68,'[3]World BOP data'!$A$2:$AD$200,19,0)/1000000000,0)</f>
        <v>4.2642458100559999E-2</v>
      </c>
      <c r="L68" s="1110">
        <f>IFERROR(VLOOKUP(A68,'[3]World BOP data'!$A$3:$AD$202,16,)/1000000000,0)</f>
        <v>-3.0167597999999998E-3</v>
      </c>
      <c r="M68" s="1111">
        <f>TableA1!B66-TableA1!M66+B68+(TableB10!I66-TableB10!R66)/1000</f>
        <v>2.4748769924524794</v>
      </c>
      <c r="N68" s="1112">
        <f t="shared" si="5"/>
        <v>0</v>
      </c>
      <c r="O68" s="1113">
        <f t="shared" si="6"/>
        <v>0.88853295264603238</v>
      </c>
      <c r="P68" s="1113">
        <f>TableB1!D68/M68</f>
        <v>-0.19153144226787333</v>
      </c>
      <c r="Q68" s="1114">
        <f t="shared" si="16"/>
        <v>0.90128681713983161</v>
      </c>
    </row>
    <row r="69" spans="1:17" s="1115" customFormat="1" ht="15.5" x14ac:dyDescent="0.35">
      <c r="A69" s="864" t="s">
        <v>116</v>
      </c>
      <c r="B69" s="1102">
        <f t="shared" si="12"/>
        <v>-2.8674717586952285</v>
      </c>
      <c r="C69" s="1103">
        <f t="shared" si="13"/>
        <v>-2.9203411463952285</v>
      </c>
      <c r="D69" s="1104">
        <f t="shared" si="14"/>
        <v>-2.2882870559952284</v>
      </c>
      <c r="E69" s="1105">
        <f>TableB2!H67+TableB2!J67-TableB2!D67-TableB2!F67</f>
        <v>-2.2882870559952284</v>
      </c>
      <c r="F69" s="1104">
        <f>TableB2!I67-TableB2!E67</f>
        <v>0</v>
      </c>
      <c r="G69" s="1106">
        <f t="shared" si="15"/>
        <v>1.1075343800000026E-2</v>
      </c>
      <c r="H69" s="1105">
        <f>VLOOKUP(A69,'[3]World BOP data'!$A$3:$AD$202,10,)/1000000000</f>
        <v>0.28301673380000003</v>
      </c>
      <c r="I69" s="1107">
        <f>VLOOKUP(A69,'[3]World BOP data'!$A$3:$AD$202,11,)/1000000000</f>
        <v>-0.27194139000000001</v>
      </c>
      <c r="J69" s="1108">
        <f>IFERROR(VLOOKUP(A69,'[3]World BOP data'!$A$3:$AD$202,12,)/1000000000,0)</f>
        <v>-0.64312943420000002</v>
      </c>
      <c r="K69" s="1109">
        <f>IFERROR(VLOOKUP(A69,'[3]World BOP data'!$A$2:$AD$200,19,0)/1000000000,0)</f>
        <v>-1.04276E-2</v>
      </c>
      <c r="L69" s="1110">
        <f>IFERROR(VLOOKUP(A69,'[3]World BOP data'!$A$3:$AD$202,16,)/1000000000,0)</f>
        <v>6.3296987700000001E-2</v>
      </c>
      <c r="M69" s="1111">
        <f>TableA1!B67-TableA1!M67+B69+(TableB10!I67-TableB10!R67)/1000</f>
        <v>17.313380320371792</v>
      </c>
      <c r="N69" s="1112">
        <f t="shared" si="5"/>
        <v>0</v>
      </c>
      <c r="O69" s="1113">
        <f t="shared" si="6"/>
        <v>-0.13216870499302294</v>
      </c>
      <c r="P69" s="1113">
        <f>TableB1!D69/M69</f>
        <v>3.43661972988544E-3</v>
      </c>
      <c r="Q69" s="1114">
        <f t="shared" si="16"/>
        <v>-0.16562171601586187</v>
      </c>
    </row>
    <row r="70" spans="1:17" s="1115" customFormat="1" ht="15.5" x14ac:dyDescent="0.35">
      <c r="A70" s="864" t="s">
        <v>281</v>
      </c>
      <c r="B70" s="1102">
        <f t="shared" si="12"/>
        <v>-2.0350376390608886</v>
      </c>
      <c r="C70" s="1103">
        <f t="shared" si="13"/>
        <v>-2.0350376390608886</v>
      </c>
      <c r="D70" s="1104">
        <f t="shared" si="14"/>
        <v>-2.0350376390608886</v>
      </c>
      <c r="E70" s="1105">
        <f>TableB2!H68+TableB2!J68-TableB2!D68-TableB2!F68</f>
        <v>-2.0350376390608886</v>
      </c>
      <c r="F70" s="1104">
        <f>TableB2!I68-TableB2!E68</f>
        <v>0</v>
      </c>
      <c r="G70" s="1106">
        <f t="shared" si="15"/>
        <v>0</v>
      </c>
      <c r="H70" s="1105" t="e">
        <f>VLOOKUP(A70,'[3]World BOP data'!$A$3:$AD$202,10,)/1000000000</f>
        <v>#N/A</v>
      </c>
      <c r="I70" s="1107" t="e">
        <f>VLOOKUP(A70,'[3]World BOP data'!$A$3:$AD$202,11,)/1000000000</f>
        <v>#N/A</v>
      </c>
      <c r="J70" s="1108">
        <f>IFERROR(VLOOKUP(A70,'[3]World BOP data'!$A$3:$AD$202,12,)/1000000000,0)</f>
        <v>0</v>
      </c>
      <c r="K70" s="1109">
        <f>IFERROR(VLOOKUP(A70,'[3]World BOP data'!$A$2:$AD$200,19,0)/1000000000,0)</f>
        <v>0</v>
      </c>
      <c r="L70" s="1110">
        <f>IFERROR(VLOOKUP(A70,'[3]World BOP data'!$A$3:$AD$202,16,)/1000000000,0)</f>
        <v>0</v>
      </c>
      <c r="M70" s="1111">
        <f>TableA1!B68-TableA1!M68+B70+(TableB10!I68-TableB10!R68)/1000</f>
        <v>5.3254059595000705</v>
      </c>
      <c r="N70" s="1112">
        <f t="shared" si="5"/>
        <v>0</v>
      </c>
      <c r="O70" s="1113">
        <f t="shared" si="6"/>
        <v>-0.38213755994142662</v>
      </c>
      <c r="P70" s="1113" t="e">
        <f>TableB1!D70/M70</f>
        <v>#N/A</v>
      </c>
      <c r="Q70" s="1114">
        <f t="shared" si="16"/>
        <v>-0.38213755994142662</v>
      </c>
    </row>
    <row r="71" spans="1:17" s="1115" customFormat="1" ht="15.5" x14ac:dyDescent="0.35">
      <c r="A71" s="864" t="s">
        <v>294</v>
      </c>
      <c r="B71" s="1102">
        <f t="shared" si="12"/>
        <v>-1.52E-2</v>
      </c>
      <c r="C71" s="1103">
        <f t="shared" si="13"/>
        <v>-1.52E-2</v>
      </c>
      <c r="D71" s="1104">
        <f t="shared" si="14"/>
        <v>-1.52E-2</v>
      </c>
      <c r="E71" s="1105">
        <f>TableB2!H69+TableB2!J69-TableB2!D69-TableB2!F69</f>
        <v>-1.52E-2</v>
      </c>
      <c r="F71" s="1104">
        <f>TableB2!I69-TableB2!E69</f>
        <v>0</v>
      </c>
      <c r="G71" s="1106">
        <f t="shared" si="15"/>
        <v>0</v>
      </c>
      <c r="H71" s="1105">
        <f>VLOOKUP(A71,'[3]World BOP data'!$A$3:$AD$202,10,)/1000000000</f>
        <v>0</v>
      </c>
      <c r="I71" s="1107">
        <f>VLOOKUP(A71,'[3]World BOP data'!$A$3:$AD$202,11,)/1000000000</f>
        <v>0</v>
      </c>
      <c r="J71" s="1108">
        <f>IFERROR(VLOOKUP(A71,'[3]World BOP data'!$A$3:$AD$202,12,)/1000000000,0)</f>
        <v>0</v>
      </c>
      <c r="K71" s="1109">
        <f>IFERROR(VLOOKUP(A71,'[3]World BOP data'!$A$2:$AD$200,19,0)/1000000000,0)</f>
        <v>0</v>
      </c>
      <c r="L71" s="1110">
        <f>IFERROR(VLOOKUP(A71,'[3]World BOP data'!$A$3:$AD$202,16,)/1000000000,0)</f>
        <v>0</v>
      </c>
      <c r="M71" s="1111">
        <f>TableA1!B69-TableA1!M69+B71+(TableB10!I69-TableB10!R69)/1000</f>
        <v>0.86626234229196941</v>
      </c>
      <c r="N71" s="1112">
        <f t="shared" si="5"/>
        <v>0</v>
      </c>
      <c r="O71" s="1113">
        <f t="shared" si="6"/>
        <v>-1.7546647543033696E-2</v>
      </c>
      <c r="P71" s="1113">
        <f>TableB1!D71/M71</f>
        <v>0</v>
      </c>
      <c r="Q71" s="1114">
        <f t="shared" si="16"/>
        <v>-1.7546647543033696E-2</v>
      </c>
    </row>
    <row r="72" spans="1:17" s="1115" customFormat="1" ht="15.5" x14ac:dyDescent="0.35">
      <c r="A72" s="864" t="s">
        <v>282</v>
      </c>
      <c r="B72" s="1102">
        <f t="shared" si="12"/>
        <v>1.9626714972368675</v>
      </c>
      <c r="C72" s="1103">
        <f t="shared" si="13"/>
        <v>1.9626714972368675</v>
      </c>
      <c r="D72" s="1104">
        <f t="shared" si="14"/>
        <v>1.9626714972368675</v>
      </c>
      <c r="E72" s="1105">
        <f>TableB2!H70+TableB2!J70-TableB2!D70-TableB2!F70</f>
        <v>1.9626714972368675</v>
      </c>
      <c r="F72" s="1104">
        <f>TableB2!I70-TableB2!E70</f>
        <v>0</v>
      </c>
      <c r="G72" s="1106">
        <f t="shared" si="15"/>
        <v>0</v>
      </c>
      <c r="H72" s="1105" t="e">
        <f>VLOOKUP(A72,'[3]World BOP data'!$A$3:$AD$202,10,)/1000000000</f>
        <v>#N/A</v>
      </c>
      <c r="I72" s="1107" t="e">
        <f>VLOOKUP(A72,'[3]World BOP data'!$A$3:$AD$202,11,)/1000000000</f>
        <v>#N/A</v>
      </c>
      <c r="J72" s="1108">
        <f>IFERROR(VLOOKUP(A72,'[3]World BOP data'!$A$3:$AD$202,12,)/1000000000,0)</f>
        <v>0</v>
      </c>
      <c r="K72" s="1109">
        <f>IFERROR(VLOOKUP(A72,'[3]World BOP data'!$A$2:$AD$200,19,0)/1000000000,0)</f>
        <v>0</v>
      </c>
      <c r="L72" s="1110">
        <f>IFERROR(VLOOKUP(A72,'[3]World BOP data'!$A$3:$AD$202,16,)/1000000000,0)</f>
        <v>0</v>
      </c>
      <c r="M72" s="1111">
        <f>TableA1!B70-TableA1!M70+B72+(TableB10!I70-TableB10!R70)/1000</f>
        <v>3.7024881449618121</v>
      </c>
      <c r="N72" s="1112">
        <f t="shared" si="5"/>
        <v>0</v>
      </c>
      <c r="O72" s="1113">
        <f t="shared" si="6"/>
        <v>0.53009528198154721</v>
      </c>
      <c r="P72" s="1113" t="e">
        <f>TableB1!D72/M72</f>
        <v>#N/A</v>
      </c>
      <c r="Q72" s="1114">
        <f t="shared" si="16"/>
        <v>0.53009528198154721</v>
      </c>
    </row>
    <row r="73" spans="1:17" s="1115" customFormat="1" ht="15.5" x14ac:dyDescent="0.35">
      <c r="A73" s="864" t="s">
        <v>295</v>
      </c>
      <c r="B73" s="1102">
        <f t="shared" si="12"/>
        <v>2.7822519102711953</v>
      </c>
      <c r="C73" s="1103">
        <f t="shared" si="13"/>
        <v>2.7822519102711953</v>
      </c>
      <c r="D73" s="1104">
        <f t="shared" si="14"/>
        <v>2.7822519102711953</v>
      </c>
      <c r="E73" s="1105">
        <f>TableB2!H71+TableB2!J71-TableB2!D71-TableB2!F71</f>
        <v>2.7822519102711953</v>
      </c>
      <c r="F73" s="1104">
        <f>TableB2!I71-TableB2!E71</f>
        <v>0</v>
      </c>
      <c r="G73" s="1106">
        <f t="shared" si="15"/>
        <v>0</v>
      </c>
      <c r="H73" s="1105" t="e">
        <f>VLOOKUP(A73,'[3]World BOP data'!$A$3:$AD$202,10,)/1000000000</f>
        <v>#N/A</v>
      </c>
      <c r="I73" s="1107" t="e">
        <f>VLOOKUP(A73,'[3]World BOP data'!$A$3:$AD$202,11,)/1000000000</f>
        <v>#N/A</v>
      </c>
      <c r="J73" s="1108">
        <f>IFERROR(VLOOKUP(A73,'[3]World BOP data'!$A$3:$AD$202,12,)/1000000000,0)</f>
        <v>0</v>
      </c>
      <c r="K73" s="1109">
        <f>IFERROR(VLOOKUP(A73,'[3]World BOP data'!$A$2:$AD$200,19,0)/1000000000,0)</f>
        <v>0</v>
      </c>
      <c r="L73" s="1110">
        <f>IFERROR(VLOOKUP(A73,'[3]World BOP data'!$A$3:$AD$202,16,)/1000000000,0)</f>
        <v>0</v>
      </c>
      <c r="M73" s="1111">
        <f>TableA1!B71-TableA1!M71+B73+(TableB10!I71-TableB10!R71)/1000</f>
        <v>2.2071667262121482</v>
      </c>
      <c r="N73" s="1112">
        <f t="shared" si="5"/>
        <v>0</v>
      </c>
      <c r="O73" s="1113">
        <f t="shared" si="6"/>
        <v>1.2605535763245153</v>
      </c>
      <c r="P73" s="1113" t="e">
        <f>TableB1!D73/M73</f>
        <v>#N/A</v>
      </c>
      <c r="Q73" s="1114">
        <f t="shared" si="16"/>
        <v>1.2605535763245153</v>
      </c>
    </row>
    <row r="74" spans="1:17" s="1115" customFormat="1" ht="15.5" x14ac:dyDescent="0.35">
      <c r="A74" s="864" t="s">
        <v>220</v>
      </c>
      <c r="B74" s="1102">
        <f t="shared" si="12"/>
        <v>5.2383283872999993</v>
      </c>
      <c r="C74" s="1103">
        <f t="shared" si="13"/>
        <v>5.6101193872999993</v>
      </c>
      <c r="D74" s="1104">
        <f t="shared" si="14"/>
        <v>-15.315460612700001</v>
      </c>
      <c r="E74" s="1105">
        <f>TableB2!H72+TableB2!J72-TableB2!D72-TableB2!F72</f>
        <v>-15.315460612700001</v>
      </c>
      <c r="F74" s="1104">
        <f>TableB2!I72-TableB2!E72</f>
        <v>0</v>
      </c>
      <c r="G74" s="1106">
        <f t="shared" si="15"/>
        <v>16.1962192403</v>
      </c>
      <c r="H74" s="1105">
        <f>VLOOKUP(A74,'[3]World BOP data'!$A$3:$AD$202,10,)/1000000000</f>
        <v>6.7826281376999997</v>
      </c>
      <c r="I74" s="1107">
        <f>VLOOKUP(A74,'[3]World BOP data'!$A$3:$AD$202,11,)/1000000000</f>
        <v>9.4135911025999999</v>
      </c>
      <c r="J74" s="1108">
        <f>IFERROR(VLOOKUP(A74,'[3]World BOP data'!$A$3:$AD$202,12,)/1000000000,0)</f>
        <v>4.7293607597000005</v>
      </c>
      <c r="K74" s="1109">
        <f>IFERROR(VLOOKUP(A74,'[3]World BOP data'!$A$2:$AD$200,19,0)/1000000000,0)</f>
        <v>-0.37179099999999998</v>
      </c>
      <c r="L74" s="1110">
        <f>IFERROR(VLOOKUP(A74,'[3]World BOP data'!$A$3:$AD$202,16,)/1000000000,0)</f>
        <v>0</v>
      </c>
      <c r="M74" s="1111">
        <f>TableA1!B72-TableA1!M72+B74+(TableB10!I72-TableB10!R72)/1000</f>
        <v>275.32309900507698</v>
      </c>
      <c r="N74" s="1112">
        <f t="shared" si="5"/>
        <v>0</v>
      </c>
      <c r="O74" s="1113">
        <f t="shared" si="6"/>
        <v>-5.5627227312364309E-2</v>
      </c>
      <c r="P74" s="1113" t="e">
        <f>TableB1!D74/M74</f>
        <v>#N/A</v>
      </c>
      <c r="Q74" s="1114">
        <f t="shared" si="16"/>
        <v>1.902611297864043E-2</v>
      </c>
    </row>
    <row r="75" spans="1:17" s="1115" customFormat="1" ht="15.5" x14ac:dyDescent="0.35">
      <c r="A75" s="864" t="s">
        <v>284</v>
      </c>
      <c r="B75" s="1102">
        <f t="shared" si="12"/>
        <v>-0.57979007685009587</v>
      </c>
      <c r="C75" s="1103">
        <f t="shared" si="13"/>
        <v>-0.57979007685009587</v>
      </c>
      <c r="D75" s="1104">
        <f t="shared" si="14"/>
        <v>-0.57979007685009587</v>
      </c>
      <c r="E75" s="1105">
        <f>TableB2!H73+TableB2!J73-TableB2!D73-TableB2!F73</f>
        <v>-0.57979007685009587</v>
      </c>
      <c r="F75" s="1104">
        <f>TableB2!I73-TableB2!E73</f>
        <v>0</v>
      </c>
      <c r="G75" s="1106">
        <f t="shared" si="15"/>
        <v>0</v>
      </c>
      <c r="H75" s="1105" t="e">
        <f>VLOOKUP(A75,'[3]World BOP data'!$A$3:$AD$202,10,)/1000000000</f>
        <v>#N/A</v>
      </c>
      <c r="I75" s="1107" t="e">
        <f>VLOOKUP(A75,'[3]World BOP data'!$A$3:$AD$202,11,)/1000000000</f>
        <v>#N/A</v>
      </c>
      <c r="J75" s="1108">
        <f>IFERROR(VLOOKUP(A75,'[3]World BOP data'!$A$3:$AD$202,12,)/1000000000,0)</f>
        <v>0</v>
      </c>
      <c r="K75" s="1109">
        <f>IFERROR(VLOOKUP(A75,'[3]World BOP data'!$A$2:$AD$200,19,0)/1000000000,0)</f>
        <v>0</v>
      </c>
      <c r="L75" s="1110">
        <f>IFERROR(VLOOKUP(A75,'[3]World BOP data'!$A$3:$AD$202,16,)/1000000000,0)</f>
        <v>0</v>
      </c>
      <c r="M75" s="1111">
        <f>TableA1!B73-TableA1!M73+B75+(TableB10!I73-TableB10!R73)/1000</f>
        <v>5.9729132708255319</v>
      </c>
      <c r="N75" s="1112">
        <f t="shared" si="5"/>
        <v>0</v>
      </c>
      <c r="O75" s="1113">
        <f t="shared" si="6"/>
        <v>-9.706989714417226E-2</v>
      </c>
      <c r="P75" s="1113" t="e">
        <f>TableB1!D75/M75</f>
        <v>#N/A</v>
      </c>
      <c r="Q75" s="1114">
        <f t="shared" si="16"/>
        <v>-9.706989714417226E-2</v>
      </c>
    </row>
    <row r="76" spans="1:17" s="1115" customFormat="1" ht="15.5" x14ac:dyDescent="0.35">
      <c r="A76" s="864" t="s">
        <v>285</v>
      </c>
      <c r="B76" s="1102">
        <f t="shared" si="12"/>
        <v>-0.53632502800000004</v>
      </c>
      <c r="C76" s="1103">
        <f t="shared" si="13"/>
        <v>-0.76471102800000001</v>
      </c>
      <c r="D76" s="1104">
        <f t="shared" si="14"/>
        <v>5.1541391299999934E-2</v>
      </c>
      <c r="E76" s="1105">
        <f>TableB2!H74+TableB2!J74-TableB2!D74-TableB2!F74</f>
        <v>5.1541391299999934E-2</v>
      </c>
      <c r="F76" s="1104">
        <f>TableB2!I74-TableB2!E74</f>
        <v>0</v>
      </c>
      <c r="G76" s="1106">
        <f t="shared" si="15"/>
        <v>-3.4749963799999992E-2</v>
      </c>
      <c r="H76" s="1105">
        <f>VLOOKUP(A76,'[3]World BOP data'!$A$3:$AD$202,10,)/1000000000</f>
        <v>2.9951687500000001E-2</v>
      </c>
      <c r="I76" s="1107">
        <f>VLOOKUP(A76,'[3]World BOP data'!$A$3:$AD$202,11,)/1000000000</f>
        <v>-6.4701651299999996E-2</v>
      </c>
      <c r="J76" s="1108">
        <f>IFERROR(VLOOKUP(A76,'[3]World BOP data'!$A$3:$AD$202,12,)/1000000000,0)</f>
        <v>-0.78150245549999997</v>
      </c>
      <c r="K76" s="1109">
        <f>IFERROR(VLOOKUP(A76,'[3]World BOP data'!$A$2:$AD$200,19,0)/1000000000,0)</f>
        <v>0.22838600000000001</v>
      </c>
      <c r="L76" s="1110">
        <f>IFERROR(VLOOKUP(A76,'[3]World BOP data'!$A$3:$AD$202,16,)/1000000000,0)</f>
        <v>0</v>
      </c>
      <c r="M76" s="1111">
        <f>TableA1!B74-TableA1!M74+B76+(TableB10!I74-TableB10!R74)/1000</f>
        <v>42.955689514828869</v>
      </c>
      <c r="N76" s="1112">
        <f t="shared" si="5"/>
        <v>0</v>
      </c>
      <c r="O76" s="1113">
        <f t="shared" si="6"/>
        <v>1.1998734482473426E-3</v>
      </c>
      <c r="P76" s="1113">
        <f>TableB1!D76/M76</f>
        <v>-0.25376082534624461</v>
      </c>
      <c r="Q76" s="1114">
        <f t="shared" si="16"/>
        <v>-1.248554112522984E-2</v>
      </c>
    </row>
    <row r="77" spans="1:17" s="1115" customFormat="1" ht="15.5" x14ac:dyDescent="0.35">
      <c r="A77" s="864" t="s">
        <v>286</v>
      </c>
      <c r="B77" s="1102">
        <f t="shared" si="12"/>
        <v>1.7876512367491164</v>
      </c>
      <c r="C77" s="1103">
        <f t="shared" si="13"/>
        <v>1.7876512367491164</v>
      </c>
      <c r="D77" s="1104">
        <f t="shared" si="14"/>
        <v>1.7876512367491164</v>
      </c>
      <c r="E77" s="1105">
        <f>TableB2!H75+TableB2!J75-TableB2!D75-TableB2!F75</f>
        <v>1.7876512367491164</v>
      </c>
      <c r="F77" s="1104">
        <f>TableB2!I75-TableB2!E75</f>
        <v>0</v>
      </c>
      <c r="G77" s="1106">
        <f t="shared" si="15"/>
        <v>0</v>
      </c>
      <c r="H77" s="1105" t="e">
        <f>VLOOKUP(A77,'[3]World BOP data'!$A$3:$AD$202,10,)/1000000000</f>
        <v>#N/A</v>
      </c>
      <c r="I77" s="1107" t="e">
        <f>VLOOKUP(A77,'[3]World BOP data'!$A$3:$AD$202,11,)/1000000000</f>
        <v>#N/A</v>
      </c>
      <c r="J77" s="1108">
        <f>IFERROR(VLOOKUP(A77,'[3]World BOP data'!$A$3:$AD$202,12,)/1000000000,0)</f>
        <v>0</v>
      </c>
      <c r="K77" s="1109">
        <f>IFERROR(VLOOKUP(A77,'[3]World BOP data'!$A$2:$AD$200,19,0)/1000000000,0)</f>
        <v>0</v>
      </c>
      <c r="L77" s="1110">
        <f>IFERROR(VLOOKUP(A77,'[3]World BOP data'!$A$3:$AD$202,16,)/1000000000,0)</f>
        <v>0</v>
      </c>
      <c r="M77" s="1111">
        <f>TableA1!B75-TableA1!M75+B77+(TableB10!I75-TableB10!R75)/1000</f>
        <v>5.4987517933034953</v>
      </c>
      <c r="N77" s="1112">
        <f t="shared" ref="N77:N91" si="17">(F77)/M77</f>
        <v>0</v>
      </c>
      <c r="O77" s="1113">
        <f t="shared" ref="O77:O91" si="18">(E77)/M77</f>
        <v>0.3251012782439387</v>
      </c>
      <c r="P77" s="1113" t="e">
        <f>TableB1!D77/M77</f>
        <v>#N/A</v>
      </c>
      <c r="Q77" s="1114">
        <f t="shared" si="16"/>
        <v>0.3251012782439387</v>
      </c>
    </row>
    <row r="78" spans="1:17" s="1115" customFormat="1" ht="15.5" x14ac:dyDescent="0.35">
      <c r="A78" s="864" t="s">
        <v>287</v>
      </c>
      <c r="B78" s="1102">
        <f t="shared" si="12"/>
        <v>-3.7243811860999996</v>
      </c>
      <c r="C78" s="1103">
        <f t="shared" si="13"/>
        <v>-3.4824751860999994</v>
      </c>
      <c r="D78" s="1104">
        <f t="shared" si="14"/>
        <v>-6.3523999999999994</v>
      </c>
      <c r="E78" s="1105">
        <f>TableB2!H76+TableB2!J76-TableB2!D76-TableB2!F76</f>
        <v>-6.3523999999999994</v>
      </c>
      <c r="F78" s="1104">
        <f>TableB2!I76-TableB2!E76</f>
        <v>0</v>
      </c>
      <c r="G78" s="1106">
        <f t="shared" si="15"/>
        <v>1.6818003725000001</v>
      </c>
      <c r="H78" s="1105">
        <f>VLOOKUP(A78,'[3]World BOP data'!$A$3:$AD$202,10,)/1000000000</f>
        <v>0.56666373870000009</v>
      </c>
      <c r="I78" s="1107">
        <f>VLOOKUP(A78,'[3]World BOP data'!$A$3:$AD$202,11,)/1000000000</f>
        <v>1.1151366337999999</v>
      </c>
      <c r="J78" s="1108">
        <f>IFERROR(VLOOKUP(A78,'[3]World BOP data'!$A$3:$AD$202,12,)/1000000000,0)</f>
        <v>1.1881244414000001</v>
      </c>
      <c r="K78" s="1109">
        <f>IFERROR(VLOOKUP(A78,'[3]World BOP data'!$A$2:$AD$200,19,0)/1000000000,0)</f>
        <v>-0.24190600000000001</v>
      </c>
      <c r="L78" s="1110">
        <f>IFERROR(VLOOKUP(A78,'[3]World BOP data'!$A$3:$AD$202,16,)/1000000000,0)</f>
        <v>0</v>
      </c>
      <c r="M78" s="1111">
        <f>TableA1!B76-TableA1!M76+B78+(TableB10!I76-TableB10!R76)/1000</f>
        <v>37.088087758640761</v>
      </c>
      <c r="N78" s="1112">
        <f t="shared" si="17"/>
        <v>0</v>
      </c>
      <c r="O78" s="1113">
        <f t="shared" si="18"/>
        <v>-0.17127871464659217</v>
      </c>
      <c r="P78" s="1113" t="e">
        <f>TableB1!D78/M78</f>
        <v>#N/A</v>
      </c>
      <c r="Q78" s="1114">
        <f t="shared" si="16"/>
        <v>-0.10041987633164763</v>
      </c>
    </row>
    <row r="79" spans="1:17" s="1115" customFormat="1" ht="15.5" x14ac:dyDescent="0.35">
      <c r="A79" s="864" t="s">
        <v>301</v>
      </c>
      <c r="B79" s="1102">
        <f t="shared" si="12"/>
        <v>0.25530257497035636</v>
      </c>
      <c r="C79" s="1103">
        <f t="shared" si="13"/>
        <v>0.38682656187035641</v>
      </c>
      <c r="D79" s="1104">
        <f t="shared" si="14"/>
        <v>-9.2496091507296434</v>
      </c>
      <c r="E79" s="1105">
        <f>TableB2!H77+TableB2!J77-TableB2!D77-TableB2!F77</f>
        <v>-9.2496091507296434</v>
      </c>
      <c r="F79" s="1104">
        <f>TableB2!I77-TableB2!E77</f>
        <v>0</v>
      </c>
      <c r="G79" s="1106">
        <f t="shared" si="15"/>
        <v>9.3518768472999998</v>
      </c>
      <c r="H79" s="1105">
        <f>VLOOKUP(A79,'[3]World BOP data'!$A$3:$AD$202,10,)/1000000000</f>
        <v>8.2261775245000006</v>
      </c>
      <c r="I79" s="1107">
        <f>VLOOKUP(A79,'[3]World BOP data'!$A$3:$AD$202,11,)/1000000000</f>
        <v>1.1256993227999998</v>
      </c>
      <c r="J79" s="1108">
        <f>IFERROR(VLOOKUP(A79,'[3]World BOP data'!$A$3:$AD$202,12,)/1000000000,0)</f>
        <v>0.28455886530000002</v>
      </c>
      <c r="K79" s="1109">
        <f>IFERROR(VLOOKUP(A79,'[3]World BOP data'!$A$2:$AD$200,19,0)/1000000000,0)</f>
        <v>-3.8364299999999997E-2</v>
      </c>
      <c r="L79" s="1110">
        <f>IFERROR(VLOOKUP(A79,'[3]World BOP data'!$A$3:$AD$202,16,)/1000000000,0)</f>
        <v>-9.3159686900000011E-2</v>
      </c>
      <c r="M79" s="1111">
        <f>TableA1!B77-TableA1!M77+B79+(TableB10!I77-TableB10!R77)/1000</f>
        <v>8.0329894691828354</v>
      </c>
      <c r="N79" s="1112">
        <f t="shared" si="17"/>
        <v>0</v>
      </c>
      <c r="O79" s="1113">
        <f t="shared" si="18"/>
        <v>-1.1514529162790712</v>
      </c>
      <c r="P79" s="1113">
        <f>TableB1!D79/M79</f>
        <v>0.10228535529047368</v>
      </c>
      <c r="Q79" s="1114">
        <f t="shared" si="16"/>
        <v>3.1781763931072016E-2</v>
      </c>
    </row>
    <row r="80" spans="1:17" s="1115" customFormat="1" ht="15.5" x14ac:dyDescent="0.35">
      <c r="A80" s="864" t="s">
        <v>302</v>
      </c>
      <c r="B80" s="1102">
        <f t="shared" si="12"/>
        <v>0.28108196978038985</v>
      </c>
      <c r="C80" s="1103">
        <f t="shared" si="13"/>
        <v>0.28108196978038985</v>
      </c>
      <c r="D80" s="1104">
        <f t="shared" si="14"/>
        <v>0.28108196978038985</v>
      </c>
      <c r="E80" s="1105">
        <f>TableB2!H78+TableB2!J78-TableB2!D78-TableB2!F78</f>
        <v>0.28108196978038985</v>
      </c>
      <c r="F80" s="1104">
        <f>TableB2!I78-TableB2!E78</f>
        <v>0</v>
      </c>
      <c r="G80" s="1106">
        <f t="shared" si="15"/>
        <v>0</v>
      </c>
      <c r="H80" s="1105" t="e">
        <f>VLOOKUP(A80,'[3]World BOP data'!$A$3:$AD$202,10,)/1000000000</f>
        <v>#N/A</v>
      </c>
      <c r="I80" s="1107" t="e">
        <f>VLOOKUP(A80,'[3]World BOP data'!$A$3:$AD$202,11,)/1000000000</f>
        <v>#N/A</v>
      </c>
      <c r="J80" s="1108">
        <f>IFERROR(VLOOKUP(A80,'[3]World BOP data'!$A$3:$AD$202,12,)/1000000000,0)</f>
        <v>0</v>
      </c>
      <c r="K80" s="1109">
        <f>IFERROR(VLOOKUP(A80,'[3]World BOP data'!$A$2:$AD$200,19,0)/1000000000,0)</f>
        <v>0</v>
      </c>
      <c r="L80" s="1110">
        <f>IFERROR(VLOOKUP(A80,'[3]World BOP data'!$A$3:$AD$202,16,)/1000000000,0)</f>
        <v>0</v>
      </c>
      <c r="M80" s="1111">
        <f>TableA1!B78-TableA1!M78+B80+(TableB10!I78-TableB10!R78)/1000</f>
        <v>0.15629275994494929</v>
      </c>
      <c r="N80" s="1112">
        <f t="shared" si="17"/>
        <v>0</v>
      </c>
      <c r="O80" s="1113">
        <f t="shared" si="18"/>
        <v>1.7984324410125896</v>
      </c>
      <c r="P80" s="1113" t="e">
        <f>TableB1!D80/M80</f>
        <v>#N/A</v>
      </c>
      <c r="Q80" s="1114">
        <f t="shared" si="16"/>
        <v>1.7984324410125896</v>
      </c>
    </row>
    <row r="81" spans="1:17" ht="15.5" x14ac:dyDescent="0.35">
      <c r="A81" s="860" t="s">
        <v>296</v>
      </c>
      <c r="B81" s="1033">
        <f t="shared" si="12"/>
        <v>0</v>
      </c>
      <c r="C81" s="1035">
        <f t="shared" si="13"/>
        <v>0</v>
      </c>
      <c r="D81" s="1025">
        <f t="shared" si="14"/>
        <v>0</v>
      </c>
      <c r="E81" s="882">
        <f>TableB2!H79+TableB2!J79-TableB2!D79-TableB2!F79</f>
        <v>0</v>
      </c>
      <c r="F81" s="1025">
        <f>TableB2!I79-TableB2!E79</f>
        <v>0</v>
      </c>
      <c r="G81" s="881">
        <f t="shared" si="15"/>
        <v>0</v>
      </c>
      <c r="H81" s="882" t="e">
        <f>VLOOKUP(A81,'[3]World BOP data'!$A$3:$AD$202,10,)/1000000000</f>
        <v>#N/A</v>
      </c>
      <c r="I81" s="1038" t="e">
        <f>VLOOKUP(A81,'[3]World BOP data'!$A$3:$AD$202,11,)/1000000000</f>
        <v>#N/A</v>
      </c>
      <c r="J81" s="880">
        <f>IFERROR(VLOOKUP(A81,'[3]World BOP data'!$A$3:$AD$202,12,)/1000000000,0)</f>
        <v>0</v>
      </c>
      <c r="K81" s="1040">
        <f>IFERROR(VLOOKUP(A81,'[3]World BOP data'!$A$2:$AD$200,19,0)/1000000000,0)</f>
        <v>0</v>
      </c>
      <c r="L81" s="1041">
        <f>IFERROR(VLOOKUP(A81,'[3]World BOP data'!$A$3:$AD$202,16,)/1000000000,0)</f>
        <v>0</v>
      </c>
      <c r="M81" s="1026">
        <f>TableA1!B79-TableA1!M79+B81+(TableB10!I79-TableB10!R79)/1000</f>
        <v>5.0474669953517299</v>
      </c>
      <c r="N81" s="1029">
        <f t="shared" si="17"/>
        <v>0</v>
      </c>
      <c r="O81" s="1027">
        <f t="shared" si="18"/>
        <v>0</v>
      </c>
      <c r="P81" s="1027" t="e">
        <f>TableB1!D81/M81</f>
        <v>#N/A</v>
      </c>
      <c r="Q81" s="1098">
        <f t="shared" si="16"/>
        <v>0</v>
      </c>
    </row>
    <row r="82" spans="1:17" ht="15.5" x14ac:dyDescent="0.35">
      <c r="A82" s="860" t="s">
        <v>288</v>
      </c>
      <c r="B82" s="1033">
        <f t="shared" si="12"/>
        <v>-1.63765045E-2</v>
      </c>
      <c r="C82" s="1035">
        <f t="shared" si="13"/>
        <v>-2.1739664799999999E-2</v>
      </c>
      <c r="D82" s="1025">
        <f t="shared" si="14"/>
        <v>-3.5217877E-3</v>
      </c>
      <c r="E82" s="882">
        <f>TableB2!H80+TableB2!J80-TableB2!D80-TableB2!F80</f>
        <v>-3.5217877E-3</v>
      </c>
      <c r="F82" s="1025">
        <f>TableB2!I80-TableB2!E80</f>
        <v>0</v>
      </c>
      <c r="G82" s="881">
        <f t="shared" si="15"/>
        <v>-6.5698323999999995E-3</v>
      </c>
      <c r="H82" s="882">
        <f>VLOOKUP(A82,'[3]World BOP data'!$A$3:$AD$202,10,)/1000000000</f>
        <v>2.1564246000000003E-3</v>
      </c>
      <c r="I82" s="1038">
        <f>VLOOKUP(A82,'[3]World BOP data'!$A$3:$AD$202,11,)/1000000000</f>
        <v>-8.7262569999999994E-3</v>
      </c>
      <c r="J82" s="880">
        <f>IFERROR(VLOOKUP(A82,'[3]World BOP data'!$A$3:$AD$202,12,)/1000000000,0)</f>
        <v>-1.1648044699999999E-2</v>
      </c>
      <c r="K82" s="1040">
        <f>IFERROR(VLOOKUP(A82,'[3]World BOP data'!$A$2:$AD$200,19,0)/1000000000,0)</f>
        <v>-3.6111699999999997E-2</v>
      </c>
      <c r="L82" s="1041">
        <f>IFERROR(VLOOKUP(A82,'[3]World BOP data'!$A$3:$AD$202,16,)/1000000000,0)</f>
        <v>4.1474860299999999E-2</v>
      </c>
      <c r="M82" s="1026">
        <f>TableA1!B80-TableA1!M80+B82+(TableB10!I80-TableB10!R80)/1000</f>
        <v>0.68569080212522648</v>
      </c>
      <c r="N82" s="1029">
        <f t="shared" si="17"/>
        <v>0</v>
      </c>
      <c r="O82" s="1027">
        <f t="shared" si="18"/>
        <v>-5.1361162918980244E-3</v>
      </c>
      <c r="P82" s="1027">
        <f>TableB1!D82/M82</f>
        <v>0.12022292547092517</v>
      </c>
      <c r="Q82" s="1098">
        <f t="shared" si="16"/>
        <v>-2.3883220322108371E-2</v>
      </c>
    </row>
    <row r="83" spans="1:17" ht="15.5" x14ac:dyDescent="0.35">
      <c r="A83" s="860" t="s">
        <v>289</v>
      </c>
      <c r="B83" s="1033">
        <f t="shared" si="12"/>
        <v>0.89874964850974048</v>
      </c>
      <c r="C83" s="1035">
        <f t="shared" si="13"/>
        <v>0.90456401270000053</v>
      </c>
      <c r="D83" s="1025">
        <f t="shared" si="14"/>
        <v>-0.31856366779999967</v>
      </c>
      <c r="E83" s="882">
        <f>TableB2!H81+TableB2!J81-TableB2!D81-TableB2!F81</f>
        <v>-0.31856366779999967</v>
      </c>
      <c r="F83" s="1025">
        <f>TableB2!I81-TableB2!E81</f>
        <v>0</v>
      </c>
      <c r="G83" s="881">
        <f t="shared" si="15"/>
        <v>1.2849709337000002</v>
      </c>
      <c r="H83" s="882">
        <f>VLOOKUP(A83,'[3]World BOP data'!$A$3:$AD$202,10,)/1000000000</f>
        <v>1.2849709337000002</v>
      </c>
      <c r="I83" s="1038">
        <f>VLOOKUP(A83,'[3]World BOP data'!$A$3:$AD$202,11,)/1000000000</f>
        <v>0</v>
      </c>
      <c r="J83" s="880">
        <f>IFERROR(VLOOKUP(A83,'[3]World BOP data'!$A$3:$AD$202,12,)/1000000000,0)</f>
        <v>-6.1843253200000003E-2</v>
      </c>
      <c r="K83" s="1040">
        <f>IFERROR(VLOOKUP(A83,'[3]World BOP data'!$A$2:$AD$200,19,0)/1000000000,0)</f>
        <v>-5.8143641902599994E-3</v>
      </c>
      <c r="L83" s="1041">
        <f>IFERROR(VLOOKUP(A83,'[3]World BOP data'!$A$3:$AD$202,16,)/1000000000,0)</f>
        <v>0</v>
      </c>
      <c r="M83" s="1026">
        <f>TableA1!B81-TableA1!M81+B83+(TableB10!I81-TableB10!R81)/1000</f>
        <v>11.18036516331917</v>
      </c>
      <c r="N83" s="1029">
        <f t="shared" si="17"/>
        <v>0</v>
      </c>
      <c r="O83" s="1027">
        <f t="shared" si="18"/>
        <v>-2.849313623898006E-2</v>
      </c>
      <c r="P83" s="1027">
        <f>TableB1!D83/M83</f>
        <v>-0.11274140055241204</v>
      </c>
      <c r="Q83" s="1098">
        <f t="shared" si="16"/>
        <v>8.0386430620207422E-2</v>
      </c>
    </row>
    <row r="84" spans="1:17" ht="15.5" x14ac:dyDescent="0.35">
      <c r="A84" s="860" t="s">
        <v>297</v>
      </c>
      <c r="B84" s="1033">
        <f t="shared" si="12"/>
        <v>-0.10680721618</v>
      </c>
      <c r="C84" s="1035">
        <f t="shared" si="13"/>
        <v>-9.1717416179999997E-2</v>
      </c>
      <c r="D84" s="1025">
        <f t="shared" si="14"/>
        <v>-6.8115529979999992E-2</v>
      </c>
      <c r="E84" s="882">
        <f>TableB2!H82+TableB2!J82-TableB2!D82-TableB2!F82</f>
        <v>-6.8115529979999992E-2</v>
      </c>
      <c r="F84" s="1025">
        <f>TableB2!I82-TableB2!E82</f>
        <v>0</v>
      </c>
      <c r="G84" s="881">
        <f t="shared" si="15"/>
        <v>-5.9113074999999999E-3</v>
      </c>
      <c r="H84" s="882">
        <f>VLOOKUP(A84,'[3]World BOP data'!$A$3:$AD$202,10,)/1000000000</f>
        <v>0</v>
      </c>
      <c r="I84" s="1038">
        <f>VLOOKUP(A84,'[3]World BOP data'!$A$3:$AD$202,11,)/1000000000</f>
        <v>-5.9113074999999999E-3</v>
      </c>
      <c r="J84" s="880">
        <f>IFERROR(VLOOKUP(A84,'[3]World BOP data'!$A$3:$AD$202,12,)/1000000000,0)</f>
        <v>-1.7690578700000001E-2</v>
      </c>
      <c r="K84" s="1040">
        <f>IFERROR(VLOOKUP(A84,'[3]World BOP data'!$A$2:$AD$200,19,0)/1000000000,0)</f>
        <v>-1.50898E-2</v>
      </c>
      <c r="L84" s="1041">
        <f>IFERROR(VLOOKUP(A84,'[3]World BOP data'!$A$3:$AD$202,16,)/1000000000,0)</f>
        <v>0</v>
      </c>
      <c r="M84" s="1026">
        <f>TableA1!B82-TableA1!M82+B84+(TableB10!I82-TableB10!R82)/1000</f>
        <v>1.1574518917768675</v>
      </c>
      <c r="N84" s="1029">
        <f t="shared" si="17"/>
        <v>0</v>
      </c>
      <c r="O84" s="1027">
        <f t="shared" si="18"/>
        <v>-5.8849556049739682E-2</v>
      </c>
      <c r="P84" s="1027">
        <f>TableB1!D84/M84</f>
        <v>-0.10695740365498119</v>
      </c>
      <c r="Q84" s="1098">
        <f t="shared" si="16"/>
        <v>-9.2277888125470525E-2</v>
      </c>
    </row>
    <row r="85" spans="1:17" s="1115" customFormat="1" ht="15.5" x14ac:dyDescent="0.35">
      <c r="A85" s="864" t="s">
        <v>225</v>
      </c>
      <c r="B85" s="1102">
        <f t="shared" si="12"/>
        <v>-12.696503496503496</v>
      </c>
      <c r="C85" s="1103">
        <f>-18.156/1.43</f>
        <v>-12.696503496503496</v>
      </c>
      <c r="D85" s="1104">
        <f t="shared" si="14"/>
        <v>-45.63651204337387</v>
      </c>
      <c r="E85" s="1105">
        <f>TableB2!H83+TableB2!J83-TableB2!D83-TableB2!F83</f>
        <v>-45.63651204337387</v>
      </c>
      <c r="F85" s="1104">
        <f>TableB2!I83-TableB2!E83</f>
        <v>0</v>
      </c>
      <c r="G85" s="1106">
        <f>C85-D85-J85</f>
        <v>32.940008546870374</v>
      </c>
      <c r="H85" s="1105">
        <f>VLOOKUP(A85,'[3]World BOP data'!$A$3:$AD$202,10,)/1000000000</f>
        <v>0</v>
      </c>
      <c r="I85" s="1107">
        <f>VLOOKUP(A85,'[3]World BOP data'!$A$3:$AD$202,11,)/1000000000</f>
        <v>0</v>
      </c>
      <c r="J85" s="1108">
        <f>IFERROR(VLOOKUP(A85,'[3]World BOP data'!$A$3:$AD$202,12,)/1000000000,0)</f>
        <v>0</v>
      </c>
      <c r="K85" s="1109">
        <f>IFERROR(VLOOKUP(A85,'[3]World BOP data'!$A$2:$AD$200,19,0)/1000000000,0)</f>
        <v>0</v>
      </c>
      <c r="L85" s="1110">
        <f>IFERROR(VLOOKUP(A85,'[3]World BOP data'!$A$3:$AD$202,16,)/1000000000,0)</f>
        <v>0</v>
      </c>
      <c r="M85" s="1111">
        <f>TableA1!B83-TableA1!M83+B85+(TableB10!I83-TableB10!R83)/1000</f>
        <v>272.01336035492153</v>
      </c>
      <c r="N85" s="1112">
        <f t="shared" si="17"/>
        <v>0</v>
      </c>
      <c r="O85" s="1113">
        <f t="shared" si="18"/>
        <v>-0.16777305344056484</v>
      </c>
      <c r="P85" s="1113">
        <f>TableB1!D85/M85</f>
        <v>0.2828598088649284</v>
      </c>
      <c r="Q85" s="1114">
        <f t="shared" si="16"/>
        <v>-4.6676029000697498E-2</v>
      </c>
    </row>
    <row r="86" spans="1:17" ht="15.5" x14ac:dyDescent="0.35">
      <c r="A86" s="860" t="s">
        <v>298</v>
      </c>
      <c r="B86" s="1033">
        <f t="shared" si="12"/>
        <v>-3.0000000000000003E-4</v>
      </c>
      <c r="C86" s="1035">
        <f t="shared" si="13"/>
        <v>-3.0000000000000003E-4</v>
      </c>
      <c r="D86" s="1025">
        <f t="shared" si="14"/>
        <v>-3.0000000000000003E-4</v>
      </c>
      <c r="E86" s="882">
        <f>TableB2!H84+TableB2!J84-TableB2!D84-TableB2!F84</f>
        <v>-3.0000000000000003E-4</v>
      </c>
      <c r="F86" s="1025">
        <f>TableB2!I84-TableB2!E84</f>
        <v>0</v>
      </c>
      <c r="G86" s="881">
        <f t="shared" si="15"/>
        <v>0</v>
      </c>
      <c r="H86" s="882">
        <f>VLOOKUP(A86,'[3]World BOP data'!$A$3:$AD$202,10,)/1000000000</f>
        <v>0</v>
      </c>
      <c r="I86" s="1038">
        <f>VLOOKUP(A86,'[3]World BOP data'!$A$3:$AD$202,11,)/1000000000</f>
        <v>0</v>
      </c>
      <c r="J86" s="880">
        <f>IFERROR(VLOOKUP(A86,'[3]World BOP data'!$A$3:$AD$202,12,)/1000000000,0)</f>
        <v>0</v>
      </c>
      <c r="K86" s="1040">
        <f>IFERROR(VLOOKUP(A86,'[3]World BOP data'!$A$2:$AD$200,19,0)/1000000000,0)</f>
        <v>0</v>
      </c>
      <c r="L86" s="1041">
        <f>IFERROR(VLOOKUP(A86,'[3]World BOP data'!$A$3:$AD$202,16,)/1000000000,0)</f>
        <v>0</v>
      </c>
      <c r="M86" s="1026">
        <f>TableA1!B84-TableA1!M84+B86+(TableB10!I84-TableB10!R84)/1000</f>
        <v>0.77231708647206965</v>
      </c>
      <c r="N86" s="1029">
        <f t="shared" si="17"/>
        <v>0</v>
      </c>
      <c r="O86" s="1027">
        <f t="shared" si="18"/>
        <v>-3.8844149023090313E-4</v>
      </c>
      <c r="P86" s="1027">
        <f>TableB1!D86/M86</f>
        <v>0</v>
      </c>
      <c r="Q86" s="1098">
        <f t="shared" si="16"/>
        <v>-3.8844149023090313E-4</v>
      </c>
    </row>
    <row r="87" spans="1:17" ht="15.5" x14ac:dyDescent="0.35">
      <c r="A87" s="860" t="s">
        <v>299</v>
      </c>
      <c r="B87" s="1033">
        <f t="shared" si="12"/>
        <v>-6.9400000000000003E-2</v>
      </c>
      <c r="C87" s="1035">
        <f t="shared" si="13"/>
        <v>-6.9400000000000003E-2</v>
      </c>
      <c r="D87" s="1025">
        <f t="shared" si="14"/>
        <v>-6.9400000000000003E-2</v>
      </c>
      <c r="E87" s="882">
        <f>TableB2!H85+TableB2!J85-TableB2!D85-TableB2!F85</f>
        <v>-6.9400000000000003E-2</v>
      </c>
      <c r="F87" s="1025">
        <f>TableB2!I85-TableB2!E85</f>
        <v>0</v>
      </c>
      <c r="G87" s="881">
        <f t="shared" si="15"/>
        <v>0</v>
      </c>
      <c r="H87" s="882">
        <f>VLOOKUP(A87,'[3]World BOP data'!$A$3:$AD$202,10,)/1000000000</f>
        <v>0</v>
      </c>
      <c r="I87" s="1038">
        <f>VLOOKUP(A87,'[3]World BOP data'!$A$3:$AD$202,11,)/1000000000</f>
        <v>0</v>
      </c>
      <c r="J87" s="880">
        <f>IFERROR(VLOOKUP(A87,'[3]World BOP data'!$A$3:$AD$202,12,)/1000000000,0)</f>
        <v>0</v>
      </c>
      <c r="K87" s="1040">
        <f>IFERROR(VLOOKUP(A87,'[3]World BOP data'!$A$2:$AD$200,19,0)/1000000000,0)</f>
        <v>0</v>
      </c>
      <c r="L87" s="1041">
        <f>IFERROR(VLOOKUP(A87,'[3]World BOP data'!$A$3:$AD$202,16,)/1000000000,0)</f>
        <v>0</v>
      </c>
      <c r="M87" s="1026">
        <f>TableA1!B85-TableA1!M85+B87+(TableB10!I85-TableB10!R85)/1000</f>
        <v>1.4501713679519095</v>
      </c>
      <c r="N87" s="1029">
        <f t="shared" si="17"/>
        <v>0</v>
      </c>
      <c r="O87" s="1027">
        <f t="shared" si="18"/>
        <v>-4.785641306517744E-2</v>
      </c>
      <c r="P87" s="1027">
        <f>TableB1!D87/M87</f>
        <v>0</v>
      </c>
      <c r="Q87" s="1098">
        <f t="shared" si="16"/>
        <v>-4.785641306517744E-2</v>
      </c>
    </row>
    <row r="88" spans="1:17" ht="15.5" x14ac:dyDescent="0.35">
      <c r="A88" s="860" t="s">
        <v>322</v>
      </c>
      <c r="B88" s="1033">
        <f t="shared" si="12"/>
        <v>-1.6300000000000002E-2</v>
      </c>
      <c r="C88" s="1035">
        <f t="shared" si="13"/>
        <v>-1.6300000000000002E-2</v>
      </c>
      <c r="D88" s="1025">
        <f t="shared" si="14"/>
        <v>-1.6300000000000002E-2</v>
      </c>
      <c r="E88" s="882">
        <f>TableB2!H86+TableB2!J86-TableB2!D86-TableB2!F86</f>
        <v>-1.6300000000000002E-2</v>
      </c>
      <c r="F88" s="1025">
        <f>TableB2!I86-TableB2!E86</f>
        <v>0</v>
      </c>
      <c r="G88" s="881">
        <f t="shared" si="15"/>
        <v>0</v>
      </c>
      <c r="H88" s="882">
        <f>VLOOKUP(A88,'[3]World BOP data'!$A$3:$AD$202,10,)/1000000000</f>
        <v>0</v>
      </c>
      <c r="I88" s="1038">
        <f>VLOOKUP(A88,'[3]World BOP data'!$A$3:$AD$202,11,)/1000000000</f>
        <v>0</v>
      </c>
      <c r="J88" s="880">
        <f>IFERROR(VLOOKUP(A88,'[3]World BOP data'!$A$3:$AD$202,12,)/1000000000,0)</f>
        <v>0</v>
      </c>
      <c r="K88" s="1040">
        <f>IFERROR(VLOOKUP(A88,'[3]World BOP data'!$A$2:$AD$200,19,0)/1000000000,0)</f>
        <v>0</v>
      </c>
      <c r="L88" s="1041">
        <f>IFERROR(VLOOKUP(A88,'[3]World BOP data'!$A$3:$AD$202,16,)/1000000000,0)</f>
        <v>0</v>
      </c>
      <c r="M88" s="1026">
        <f>TableA1!B86-TableA1!M86+B88+(TableB10!I86-TableB10!R86)/1000</f>
        <v>0.66409012774462228</v>
      </c>
      <c r="N88" s="1029">
        <f t="shared" si="17"/>
        <v>0</v>
      </c>
      <c r="O88" s="1027">
        <f t="shared" si="18"/>
        <v>-2.454486118527004E-2</v>
      </c>
      <c r="P88" s="1027">
        <f>TableB1!D88/M88</f>
        <v>0</v>
      </c>
      <c r="Q88" s="1098">
        <f t="shared" si="16"/>
        <v>-2.454486118527004E-2</v>
      </c>
    </row>
    <row r="89" spans="1:17" ht="15.5" x14ac:dyDescent="0.35">
      <c r="A89" s="860" t="s">
        <v>300</v>
      </c>
      <c r="B89" s="1033">
        <f t="shared" si="12"/>
        <v>0</v>
      </c>
      <c r="C89" s="1035">
        <f t="shared" si="13"/>
        <v>0</v>
      </c>
      <c r="D89" s="1025">
        <f t="shared" si="14"/>
        <v>0</v>
      </c>
      <c r="E89" s="882">
        <f>TableB2!H87+TableB2!J87-TableB2!D87-TableB2!F87</f>
        <v>0</v>
      </c>
      <c r="F89" s="1025">
        <f>TableB2!I87-TableB2!E87</f>
        <v>0</v>
      </c>
      <c r="G89" s="881">
        <f t="shared" si="15"/>
        <v>0</v>
      </c>
      <c r="H89" s="882" t="e">
        <f>VLOOKUP(A89,'[3]World BOP data'!$A$3:$AD$202,10,)/1000000000</f>
        <v>#N/A</v>
      </c>
      <c r="I89" s="1038" t="e">
        <f>VLOOKUP(A89,'[3]World BOP data'!$A$3:$AD$202,11,)/1000000000</f>
        <v>#N/A</v>
      </c>
      <c r="J89" s="880">
        <f>IFERROR(VLOOKUP(A89,'[3]World BOP data'!$A$3:$AD$202,12,)/1000000000,0)</f>
        <v>0</v>
      </c>
      <c r="K89" s="1040">
        <f>IFERROR(VLOOKUP(A89,'[3]World BOP data'!$A$2:$AD$200,19,0)/1000000000,0)</f>
        <v>0</v>
      </c>
      <c r="L89" s="1041">
        <f>IFERROR(VLOOKUP(A89,'[3]World BOP data'!$A$3:$AD$202,16,)/1000000000,0)</f>
        <v>0</v>
      </c>
      <c r="M89" s="1026">
        <f>TableA1!B87-TableA1!M87+B89+(TableB10!I87-TableB10!R87)/1000</f>
        <v>0.55574911235330438</v>
      </c>
      <c r="N89" s="1029">
        <f t="shared" si="17"/>
        <v>0</v>
      </c>
      <c r="O89" s="1027">
        <f t="shared" si="18"/>
        <v>0</v>
      </c>
      <c r="P89" s="1027" t="e">
        <f>TableB1!D89/M89</f>
        <v>#N/A</v>
      </c>
      <c r="Q89" s="1098">
        <f t="shared" si="16"/>
        <v>0</v>
      </c>
    </row>
    <row r="90" spans="1:17" ht="15.5" x14ac:dyDescent="0.35">
      <c r="A90" s="860" t="s">
        <v>210</v>
      </c>
      <c r="B90" s="1033">
        <f t="shared" si="12"/>
        <v>-4.1054818939811026</v>
      </c>
      <c r="C90" s="1035">
        <f t="shared" si="13"/>
        <v>-4.1896818939811027</v>
      </c>
      <c r="D90" s="1025">
        <f t="shared" si="14"/>
        <v>-3.352281893981103</v>
      </c>
      <c r="E90" s="882">
        <f>TableB2!H88+TableB2!J88-TableB2!D88-TableB2!F88</f>
        <v>-3.352281893981103</v>
      </c>
      <c r="F90" s="1025">
        <f>TableB2!I88-TableB2!E88</f>
        <v>0</v>
      </c>
      <c r="G90" s="881">
        <f t="shared" si="15"/>
        <v>-0.45519999999999999</v>
      </c>
      <c r="H90" s="882">
        <f>VLOOKUP(A90,'[3]World BOP data'!$A$3:$AD$202,10,)/1000000000</f>
        <v>5.3E-3</v>
      </c>
      <c r="I90" s="1038">
        <f>VLOOKUP(A90,'[3]World BOP data'!$A$3:$AD$202,11,)/1000000000</f>
        <v>-0.46050000000000002</v>
      </c>
      <c r="J90" s="880">
        <f>IFERROR(VLOOKUP(A90,'[3]World BOP data'!$A$3:$AD$202,12,)/1000000000,0)</f>
        <v>-0.38219999999999998</v>
      </c>
      <c r="K90" s="1040">
        <f>IFERROR(VLOOKUP(A90,'[3]World BOP data'!$A$2:$AD$200,19,0)/1000000000,0)</f>
        <v>8.4199999999999997E-2</v>
      </c>
      <c r="L90" s="1041">
        <f>IFERROR(VLOOKUP(A90,'[3]World BOP data'!$A$3:$AD$202,16,)/1000000000,0)</f>
        <v>0</v>
      </c>
      <c r="M90" s="1026">
        <f>TableA1!B88-TableA1!M88+B90+(TableB10!I88-TableB10!R88)/1000</f>
        <v>41.192120219217557</v>
      </c>
      <c r="N90" s="1029">
        <f t="shared" si="17"/>
        <v>0</v>
      </c>
      <c r="O90" s="1027">
        <f t="shared" si="18"/>
        <v>-8.138163017928722E-2</v>
      </c>
      <c r="P90" s="1027">
        <f>TableB1!D90/M90</f>
        <v>2.3074801562570666E-2</v>
      </c>
      <c r="Q90" s="1098">
        <f t="shared" si="16"/>
        <v>-9.9666680717875558E-2</v>
      </c>
    </row>
    <row r="91" spans="1:17" ht="16" thickBot="1" x14ac:dyDescent="0.4">
      <c r="A91" s="1077" t="s">
        <v>290</v>
      </c>
      <c r="B91" s="1078">
        <f t="shared" si="12"/>
        <v>-34.773400000000002</v>
      </c>
      <c r="C91" s="1079">
        <f t="shared" si="13"/>
        <v>-34.773400000000002</v>
      </c>
      <c r="D91" s="1080">
        <f t="shared" si="14"/>
        <v>-34.773400000000002</v>
      </c>
      <c r="E91" s="1081">
        <f>TableB2!H89+TableB2!J89-(TableB2!D89+TableB2!F89)</f>
        <v>-34.773400000000002</v>
      </c>
      <c r="F91" s="1080">
        <f>TableB2!I89-TableB2!E89</f>
        <v>0</v>
      </c>
      <c r="G91" s="1031">
        <f t="shared" si="15"/>
        <v>0</v>
      </c>
      <c r="H91" s="1081" t="e">
        <f>VLOOKUP(A91,'[3]World BOP data'!$A$3:$AD$202,10,)/1000000000</f>
        <v>#N/A</v>
      </c>
      <c r="I91" s="1082" t="e">
        <f>VLOOKUP(A91,'[3]World BOP data'!$A$3:$AD$202,11,)/1000000000</f>
        <v>#N/A</v>
      </c>
      <c r="J91" s="1083">
        <f>IFERROR(VLOOKUP(A91,'[3]World BOP data'!$A$3:$AD$202,12,)/1000000000,0)</f>
        <v>0</v>
      </c>
      <c r="K91" s="1084">
        <f>IFERROR(VLOOKUP(A91,'[3]World BOP data'!$A$2:$AD$200,19,0)/1000000000,0)</f>
        <v>0</v>
      </c>
      <c r="L91" s="1085">
        <f>IFERROR(VLOOKUP(A91,'[3]World BOP data'!$A$3:$AD$202,16,)/1000000000,0)</f>
        <v>0</v>
      </c>
      <c r="M91" s="1086">
        <f>TableA1!B89-TableA1!M89+B91+(TableB10!I89-TableB10!R89)/1000</f>
        <v>60.500361133885896</v>
      </c>
      <c r="N91" s="1087">
        <f t="shared" si="17"/>
        <v>0</v>
      </c>
      <c r="O91" s="1088">
        <f t="shared" si="18"/>
        <v>-0.5747635112961933</v>
      </c>
      <c r="P91" s="1088">
        <f>TableB1!D91/M91</f>
        <v>0.41030333595970087</v>
      </c>
      <c r="Q91" s="1099">
        <f t="shared" si="16"/>
        <v>-0.5747635112961933</v>
      </c>
    </row>
    <row r="92" spans="1:17" ht="15" thickTop="1" x14ac:dyDescent="0.35"/>
  </sheetData>
  <mergeCells count="19">
    <mergeCell ref="A4:P4"/>
    <mergeCell ref="D9:D11"/>
    <mergeCell ref="E10:E11"/>
    <mergeCell ref="F10:F11"/>
    <mergeCell ref="B7:M7"/>
    <mergeCell ref="N8:N11"/>
    <mergeCell ref="G9:G11"/>
    <mergeCell ref="H10:H11"/>
    <mergeCell ref="I10:I11"/>
    <mergeCell ref="J9:J11"/>
    <mergeCell ref="K8:K11"/>
    <mergeCell ref="L8:L11"/>
    <mergeCell ref="M8:M11"/>
    <mergeCell ref="B8:B11"/>
    <mergeCell ref="C8:C11"/>
    <mergeCell ref="Q8:Q11"/>
    <mergeCell ref="N7:Q7"/>
    <mergeCell ref="O8:O11"/>
    <mergeCell ref="P8:P11"/>
  </mergeCells>
  <phoneticPr fontId="62" type="noConversion"/>
  <conditionalFormatting sqref="D13:F46 P44:P46 O44:O91 J55:N55 J13:P43 J44:N47 D12:P12 G13:I91 J48:M54 J56:M91">
    <cfRule type="cellIs" dxfId="13" priority="29" operator="greaterThan">
      <formula>-999999999999999000</formula>
    </cfRule>
  </conditionalFormatting>
  <conditionalFormatting sqref="C12:C46">
    <cfRule type="cellIs" dxfId="12" priority="28" operator="greaterThan">
      <formula>-999999999999999000</formula>
    </cfRule>
  </conditionalFormatting>
  <conditionalFormatting sqref="D91:F91 D56:D90">
    <cfRule type="cellIs" dxfId="11" priority="19" operator="greaterThan">
      <formula>-999999999999999000</formula>
    </cfRule>
  </conditionalFormatting>
  <conditionalFormatting sqref="C56:C91">
    <cfRule type="cellIs" dxfId="10" priority="15" operator="greaterThan">
      <formula>-999999999999999000</formula>
    </cfRule>
  </conditionalFormatting>
  <conditionalFormatting sqref="D48:F54">
    <cfRule type="cellIs" dxfId="9" priority="20" operator="greaterThan">
      <formula>-999999999999999000</formula>
    </cfRule>
  </conditionalFormatting>
  <conditionalFormatting sqref="B12:B46">
    <cfRule type="cellIs" dxfId="8" priority="14" operator="greaterThan">
      <formula>-999999999999999000</formula>
    </cfRule>
  </conditionalFormatting>
  <conditionalFormatting sqref="C48:C54">
    <cfRule type="cellIs" dxfId="7" priority="16" operator="greaterThan">
      <formula>-999999999999999000</formula>
    </cfRule>
  </conditionalFormatting>
  <conditionalFormatting sqref="B56:B91">
    <cfRule type="cellIs" dxfId="6" priority="10" operator="greaterThan">
      <formula>-999999999999999000</formula>
    </cfRule>
  </conditionalFormatting>
  <conditionalFormatting sqref="B48:B54">
    <cfRule type="cellIs" dxfId="5" priority="11" operator="greaterThan">
      <formula>-999999999999999000</formula>
    </cfRule>
  </conditionalFormatting>
  <conditionalFormatting sqref="E56:F90">
    <cfRule type="cellIs" dxfId="4" priority="7" operator="greaterThan">
      <formula>-999999999999999000</formula>
    </cfRule>
  </conditionalFormatting>
  <conditionalFormatting sqref="N48:N54 P48:P54">
    <cfRule type="cellIs" dxfId="3" priority="5" operator="greaterThan">
      <formula>-999999999999999000</formula>
    </cfRule>
  </conditionalFormatting>
  <conditionalFormatting sqref="N56:N91">
    <cfRule type="cellIs" dxfId="2" priority="4" operator="greaterThan">
      <formula>-999999999999999000</formula>
    </cfRule>
  </conditionalFormatting>
  <conditionalFormatting sqref="P56:P91">
    <cfRule type="cellIs" dxfId="1" priority="1" operator="greaterThan">
      <formula>-999999999999999000</formula>
    </cfRule>
  </conditionalFormatting>
  <hyperlinks>
    <hyperlink ref="A48" r:id="rId1" display="  Brazil" xr:uid="{00000000-0004-0000-1000-000000000000}"/>
    <hyperlink ref="A54" r:id="rId2" tooltip="Click once to display linked information. Click and hold to select this cell." display="  South Africa" xr:uid="{00000000-0004-0000-1000-000001000000}"/>
    <hyperlink ref="A53" r:id="rId3" tooltip="Click once to display linked information. Click and hold to select this cell." display="  Russia" xr:uid="{00000000-0004-0000-1000-000002000000}"/>
    <hyperlink ref="A52" r:id="rId4" tooltip="Click once to display linked information. Click and hold to select this cell." display="  India" xr:uid="{00000000-0004-0000-1000-000003000000}"/>
  </hyperlinks>
  <pageMargins left="0.7" right="0.7" top="0.75" bottom="0.75" header="0.3" footer="0.3"/>
  <pageSetup paperSize="9" scale="39" fitToHeight="0" orientation="portrait"/>
  <extLst>
    <ext xmlns:mx="http://schemas.microsoft.com/office/mac/excel/2008/main" uri="{64002731-A6B0-56B0-2670-7721B7C09600}">
      <mx:PLV Mode="0" OnePage="0" WScale="10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2:X97"/>
  <sheetViews>
    <sheetView workbookViewId="0">
      <pane xSplit="2" ySplit="9" topLeftCell="C13" activePane="bottomRight" state="frozen"/>
      <selection activeCell="K93" sqref="B4:K93"/>
      <selection pane="topRight" activeCell="K93" sqref="B4:K93"/>
      <selection pane="bottomLeft" activeCell="K93" sqref="B4:K93"/>
      <selection pane="bottomRight" activeCell="S19" sqref="S19"/>
    </sheetView>
  </sheetViews>
  <sheetFormatPr baseColWidth="10" defaultColWidth="10.81640625" defaultRowHeight="15.5" x14ac:dyDescent="0.35"/>
  <cols>
    <col min="1" max="1" width="10.81640625" style="1" hidden="1" customWidth="1"/>
    <col min="2" max="2" width="16.6328125" style="1" customWidth="1"/>
    <col min="3" max="3" width="12.453125" style="1" customWidth="1"/>
    <col min="4" max="4" width="11.81640625" style="1" customWidth="1"/>
    <col min="5" max="6" width="11.36328125" style="1" customWidth="1"/>
    <col min="7" max="7" width="11.81640625" style="1" customWidth="1"/>
    <col min="8" max="10" width="11.36328125" style="1" customWidth="1"/>
    <col min="11" max="11" width="15.1796875" style="1" customWidth="1"/>
    <col min="12" max="16" width="11.81640625" style="1" customWidth="1"/>
    <col min="17" max="18" width="10.81640625" style="1"/>
    <col min="19" max="21" width="10.81640625" style="41"/>
    <col min="22" max="22" width="10.81640625" style="1066"/>
    <col min="23" max="24" width="10.81640625" style="41"/>
    <col min="25" max="16384" width="10.81640625" style="1"/>
  </cols>
  <sheetData>
    <row r="2" spans="2:24" ht="16" thickBot="1" x14ac:dyDescent="0.4"/>
    <row r="3" spans="2:24" ht="32.25" customHeight="1" thickTop="1" x14ac:dyDescent="0.35">
      <c r="B3" s="2048" t="s">
        <v>159</v>
      </c>
      <c r="C3" s="2049"/>
      <c r="D3" s="2049"/>
      <c r="E3" s="2049"/>
      <c r="F3" s="2049"/>
      <c r="G3" s="2049"/>
      <c r="H3" s="2049"/>
      <c r="I3" s="2049"/>
      <c r="J3" s="2049"/>
      <c r="K3" s="2049"/>
      <c r="L3" s="2049"/>
      <c r="M3" s="2049"/>
      <c r="N3" s="2049"/>
      <c r="O3" s="2049"/>
      <c r="P3" s="2050"/>
    </row>
    <row r="4" spans="2:24" ht="12" customHeight="1" x14ac:dyDescent="0.35">
      <c r="B4" s="11"/>
      <c r="C4" s="1022"/>
      <c r="D4" s="1022"/>
      <c r="E4" s="1022"/>
      <c r="F4" s="1022"/>
      <c r="G4" s="1022"/>
      <c r="H4" s="1022"/>
      <c r="I4" s="1022"/>
      <c r="J4" s="1022"/>
      <c r="K4" s="1022"/>
      <c r="L4" s="1022"/>
      <c r="M4" s="1022"/>
      <c r="N4" s="1022"/>
      <c r="O4" s="28"/>
      <c r="P4" s="34"/>
    </row>
    <row r="5" spans="2:24" ht="16" thickBot="1" x14ac:dyDescent="0.4">
      <c r="B5" s="13"/>
      <c r="C5" s="10" t="s">
        <v>20</v>
      </c>
      <c r="D5" s="10" t="s">
        <v>21</v>
      </c>
      <c r="E5" s="10" t="s">
        <v>22</v>
      </c>
      <c r="F5" s="10" t="s">
        <v>23</v>
      </c>
      <c r="G5" s="10" t="s">
        <v>24</v>
      </c>
      <c r="H5" s="10" t="s">
        <v>25</v>
      </c>
      <c r="I5" s="10" t="s">
        <v>26</v>
      </c>
      <c r="J5" s="10" t="s">
        <v>33</v>
      </c>
      <c r="K5" s="10" t="s">
        <v>34</v>
      </c>
      <c r="L5" s="10" t="s">
        <v>37</v>
      </c>
      <c r="M5" s="10" t="s">
        <v>105</v>
      </c>
      <c r="N5" s="10" t="s">
        <v>138</v>
      </c>
      <c r="O5" s="10" t="s">
        <v>139</v>
      </c>
      <c r="P5" s="14" t="s">
        <v>140</v>
      </c>
    </row>
    <row r="6" spans="2:24" ht="21" customHeight="1" x14ac:dyDescent="0.35">
      <c r="B6" s="13"/>
      <c r="C6" s="2310" t="s">
        <v>53</v>
      </c>
      <c r="D6" s="2311"/>
      <c r="E6" s="2311"/>
      <c r="F6" s="2311"/>
      <c r="G6" s="2311"/>
      <c r="H6" s="2311"/>
      <c r="I6" s="2311"/>
      <c r="J6" s="2311"/>
      <c r="K6" s="2311"/>
      <c r="L6" s="2311"/>
      <c r="M6" s="2311"/>
      <c r="N6" s="2311"/>
      <c r="O6" s="2311"/>
      <c r="P6" s="2312"/>
    </row>
    <row r="7" spans="2:24" ht="21" customHeight="1" x14ac:dyDescent="0.35">
      <c r="B7" s="13"/>
      <c r="C7" s="2230" t="s">
        <v>154</v>
      </c>
      <c r="D7" s="2231"/>
      <c r="E7" s="2231"/>
      <c r="F7" s="2231"/>
      <c r="G7" s="2231"/>
      <c r="H7" s="2231"/>
      <c r="I7" s="2231"/>
      <c r="J7" s="2232"/>
      <c r="K7" s="2231" t="s">
        <v>155</v>
      </c>
      <c r="L7" s="2231"/>
      <c r="M7" s="2231"/>
      <c r="N7" s="2231"/>
      <c r="O7" s="2231"/>
      <c r="P7" s="2315"/>
    </row>
    <row r="8" spans="2:24" ht="85" customHeight="1" x14ac:dyDescent="0.35">
      <c r="B8" s="13"/>
      <c r="C8" s="2182" t="s">
        <v>150</v>
      </c>
      <c r="D8" s="1717" t="s">
        <v>152</v>
      </c>
      <c r="E8" s="1718" t="s">
        <v>153</v>
      </c>
      <c r="F8" s="1718" t="s">
        <v>51</v>
      </c>
      <c r="G8" s="2152" t="s">
        <v>151</v>
      </c>
      <c r="H8" s="1718" t="s">
        <v>152</v>
      </c>
      <c r="I8" s="1718" t="s">
        <v>153</v>
      </c>
      <c r="J8" s="1718" t="s">
        <v>51</v>
      </c>
      <c r="K8" s="2152" t="s">
        <v>150</v>
      </c>
      <c r="L8" s="1719" t="s">
        <v>156</v>
      </c>
      <c r="M8" s="1719" t="s">
        <v>157</v>
      </c>
      <c r="N8" s="2152" t="s">
        <v>151</v>
      </c>
      <c r="O8" s="1719" t="s">
        <v>156</v>
      </c>
      <c r="P8" s="96" t="s">
        <v>157</v>
      </c>
    </row>
    <row r="9" spans="2:24" ht="33" customHeight="1" x14ac:dyDescent="0.35">
      <c r="B9" s="13"/>
      <c r="C9" s="2313"/>
      <c r="D9" s="1765"/>
      <c r="E9" s="1766"/>
      <c r="F9" s="1766"/>
      <c r="G9" s="2314"/>
      <c r="H9" s="1766"/>
      <c r="I9" s="1766"/>
      <c r="J9" s="1766"/>
      <c r="K9" s="2314"/>
      <c r="L9" s="1767"/>
      <c r="M9" s="1767"/>
      <c r="N9" s="2314"/>
      <c r="O9" s="1767"/>
      <c r="P9" s="1768"/>
      <c r="S9" s="41" t="s">
        <v>147</v>
      </c>
    </row>
    <row r="10" spans="2:24" x14ac:dyDescent="0.35">
      <c r="B10" s="71" t="s">
        <v>54</v>
      </c>
      <c r="C10" s="892">
        <f>+VLOOKUP(TableB2!B10,[3]Allincome!$A$12:$O$45,10,0)/1000</f>
        <v>23.973251183409999</v>
      </c>
      <c r="D10" s="893">
        <f>+VLOOKUP(TableB2!B10,[3]Div!$A$12:$O$45,10,0)/1000</f>
        <v>8.7955518821850003</v>
      </c>
      <c r="E10" s="894">
        <f>+VLOOKUP(TableB2!B10,[3]Int!$A$12:$O$45,10,0)/1000</f>
        <v>4.0739349312495001</v>
      </c>
      <c r="F10" s="894">
        <f>+VLOOKUP(TableB2!$B10,[3]Retained!$A$12:$O$46,10,0)/1000</f>
        <v>11.103764369975</v>
      </c>
      <c r="G10" s="394">
        <f>+VLOOKUP(TableB2!B10,[3]Allincome!$A$12:$O$45,13,0)/1000</f>
        <v>13.385678863927</v>
      </c>
      <c r="H10" s="889">
        <f>+VLOOKUP(TableB2!B10,[3]Div!$A$12:$O$45,13,0)/1000</f>
        <v>9.1652265384326004</v>
      </c>
      <c r="I10" s="890">
        <f>+VLOOKUP(TableB2!B10,[3]Int!$A$12:$O$45,13,0)/1000</f>
        <v>0.21564354947780001</v>
      </c>
      <c r="J10" s="894">
        <f>+VLOOKUP(TableB2!$B10,[3]Retained!$A$12:$O$46,13,0)/1000</f>
        <v>4.0048087760162003</v>
      </c>
      <c r="K10" s="306">
        <f>+VLOOKUP(TableB2!$B10,[3]Total!$A$10:$O$62,10,0)/1000</f>
        <v>535.93336742895008</v>
      </c>
      <c r="L10" s="8">
        <f>+VLOOKUP(TableB2!$B10,[3]Equity!$A$10:$O$62,10,0)/1000</f>
        <v>388.58698034630999</v>
      </c>
      <c r="M10" s="8">
        <f>+VLOOKUP(TableB2!$B10,[3]Debt!$A$10:$O$62,10,0)/1000</f>
        <v>147.34638708263</v>
      </c>
      <c r="N10" s="306">
        <f>+VLOOKUP(TableB2!$B10,[3]Total!$A$10:$O$62,13,0)/1000</f>
        <v>390.27763571271998</v>
      </c>
      <c r="O10" s="8">
        <f>+VLOOKUP(TableB2!$B10,[3]Equity!$A$10:$O$62,13,0)/1000</f>
        <v>392.86257032220004</v>
      </c>
      <c r="P10" s="35">
        <f>+VLOOKUP(TableB2!$B10,[3]Debt!$A$10:$O$62,13,0)/1000</f>
        <v>-2.5849346094835002</v>
      </c>
      <c r="S10" s="1067">
        <f>C10-D10-E10-F10</f>
        <v>4.9915627187147038E-13</v>
      </c>
      <c r="T10" s="1067">
        <f>G10-H10-I10-J10</f>
        <v>3.9879211044535623E-13</v>
      </c>
      <c r="U10" s="1067">
        <f>G10-C10-(TableB3!B10-TableB4!B10)</f>
        <v>5.3347358929999089E-2</v>
      </c>
      <c r="V10" s="1068">
        <f>G10-C10-TableB1!G12</f>
        <v>0</v>
      </c>
      <c r="W10" s="594">
        <f>K10-L10-M10</f>
        <v>1.0089706847793423E-11</v>
      </c>
      <c r="X10" s="594">
        <f>N10-O10-P10</f>
        <v>3.4421354655478353E-12</v>
      </c>
    </row>
    <row r="11" spans="2:24" x14ac:dyDescent="0.35">
      <c r="B11" s="13" t="s">
        <v>55</v>
      </c>
      <c r="C11" s="892">
        <f>+VLOOKUP(TableB2!B11,[3]Allincome!$A$12:$O$45,10,0)/1000</f>
        <v>0.60676650027732004</v>
      </c>
      <c r="D11" s="893">
        <f>+VLOOKUP(TableB2!B11,[3]Div!$A$12:$O$45,10,0)/1000</f>
        <v>8.8086522462561998</v>
      </c>
      <c r="E11" s="894">
        <f>+VLOOKUP(TableB2!B11,[3]Int!$A$12:$O$45,10,0)/1000</f>
        <v>0.56572379367719994</v>
      </c>
      <c r="F11" s="894">
        <f>+VLOOKUP(TableB2!$B11,[3]Retained!$A$12:$O$46,10,0)/1000</f>
        <v>-8.7676095396560996</v>
      </c>
      <c r="G11" s="394">
        <f>+VLOOKUP(TableB2!B11,[3]Allincome!$A$12:$O$45,13,0)/1000</f>
        <v>1.6971713810316</v>
      </c>
      <c r="H11" s="889">
        <f>+VLOOKUP(TableB2!B11,[3]Div!$A$12:$O$45,13,0)/1000</f>
        <v>10.214087631725</v>
      </c>
      <c r="I11" s="890">
        <f>+VLOOKUP(TableB2!B11,[3]Int!$A$12:$O$45,13,0)/1000</f>
        <v>0.50027731558513999</v>
      </c>
      <c r="J11" s="894">
        <f>+VLOOKUP(TableB2!$B11,[3]Retained!$A$12:$O$46,13,0)/1000</f>
        <v>-9.0171935662783991</v>
      </c>
      <c r="K11" s="306">
        <f>+VLOOKUP(TableB2!$B11,[3]Total!$A$10:$O$62,10,0)/1000</f>
        <v>243.40337506805</v>
      </c>
      <c r="L11" s="8">
        <f>+VLOOKUP(TableB2!$B11,[3]Equity!$A$10:$O$62,10,0)/1000</f>
        <v>235.68209036472999</v>
      </c>
      <c r="M11" s="8">
        <f>+VLOOKUP(TableB2!$B11,[3]Debt!$A$10:$O$62,10,0)/1000</f>
        <v>7.7212847033205998</v>
      </c>
      <c r="N11" s="306">
        <f>+VLOOKUP(TableB2!$B11,[3]Total!$A$10:$O$62,13,0)/1000</f>
        <v>291.06804572673002</v>
      </c>
      <c r="O11" s="8">
        <f>+VLOOKUP(TableB2!$B11,[3]Equity!$A$10:$O$62,13,0)/1000</f>
        <v>262.63908546543001</v>
      </c>
      <c r="P11" s="35">
        <f>+VLOOKUP(TableB2!$B11,[3]Debt!$A$10:$O$62,13,0)/1000</f>
        <v>28.428960261296002</v>
      </c>
      <c r="S11" s="1067">
        <f t="shared" ref="S11:S44" si="0">C11-D11-E11-F11</f>
        <v>1.9539925233402755E-14</v>
      </c>
      <c r="T11" s="1067">
        <f t="shared" ref="T11:T44" si="1">G11-H11-I11-J11</f>
        <v>-1.4210854715202004E-13</v>
      </c>
      <c r="U11" s="1067">
        <f>G11-C11-(TableB3!B11-TableB4!B11)</f>
        <v>-1.1092623405202229E-3</v>
      </c>
      <c r="V11" s="1068">
        <f>G11-C11-TableB1!G13</f>
        <v>0</v>
      </c>
      <c r="W11" s="594">
        <f t="shared" ref="W11:W74" si="2">K11-L11-M11</f>
        <v>-5.9063864910058328E-13</v>
      </c>
      <c r="X11" s="594">
        <f t="shared" ref="X11:X74" si="3">N11-O11-P11</f>
        <v>4.0039083160081645E-12</v>
      </c>
    </row>
    <row r="12" spans="2:24" x14ac:dyDescent="0.35">
      <c r="B12" s="13" t="s">
        <v>2</v>
      </c>
      <c r="C12" s="892">
        <f>+VLOOKUP(TableB2!B12,[3]Allincome!$A$12:$O$45,10,0)/1000</f>
        <v>20.735440931779998</v>
      </c>
      <c r="D12" s="889">
        <f>+VLOOKUP(TableB2!B12,[3]Div!$A$12:$O$45,10,0)/1000</f>
        <v>25.354409317803999</v>
      </c>
      <c r="E12" s="894">
        <f>+VLOOKUP(TableB2!B12,[3]Int!$A$12:$O$45,10,0)/1000</f>
        <v>-3.8103161397670999</v>
      </c>
      <c r="F12" s="894">
        <f>+VLOOKUP(TableB2!$B12,[3]Retained!$A$12:$O$46,10,0)/1000</f>
        <v>-0.80865224625623999</v>
      </c>
      <c r="G12" s="394">
        <f>+VLOOKUP(TableB2!B12,[3]Allincome!$A$12:$O$45,13,0)/1000</f>
        <v>13.924570160843</v>
      </c>
      <c r="H12" s="889">
        <f>+VLOOKUP(TableB2!B12,[3]Div!$A$12:$O$45,13,0)/1000</f>
        <v>13.474209650582001</v>
      </c>
      <c r="I12" s="890">
        <f>+VLOOKUP(TableB2!B12,[3]Int!$A$12:$O$45,13,0)/1000</f>
        <v>2.0066555740432999</v>
      </c>
      <c r="J12" s="894">
        <f>+VLOOKUP(TableB2!$B12,[3]Retained!$A$12:$O$46,13,0)/1000</f>
        <v>-1.5562950637826001</v>
      </c>
      <c r="K12" s="306">
        <f>+VLOOKUP(TableB2!$B12,[3]Total!$A$10:$O$62,10,0)/1000</f>
        <v>551.77354382144995</v>
      </c>
      <c r="L12" s="8">
        <f>+VLOOKUP(TableB2!$B12,[3]Equity!$A$10:$O$62,10,0)/1000</f>
        <v>703.18889493740005</v>
      </c>
      <c r="M12" s="8">
        <f>+VLOOKUP(TableB2!$B12,[3]Debt!$A$10:$O$62,10,0)/1000</f>
        <v>-151.41535111595002</v>
      </c>
      <c r="N12" s="306">
        <f>+VLOOKUP(TableB2!$B12,[3]Total!$A$10:$O$62,13,0)/1000</f>
        <v>610.21121393575993</v>
      </c>
      <c r="O12" s="8">
        <f>+VLOOKUP(TableB2!$B12,[3]Equity!$A$10:$O$62,13,0)/1000</f>
        <v>569.14207947740999</v>
      </c>
      <c r="P12" s="35">
        <f>+VLOOKUP(TableB2!$B12,[3]Debt!$A$10:$O$62,13,0)/1000</f>
        <v>41.069134458355997</v>
      </c>
      <c r="S12" s="1067">
        <f t="shared" si="0"/>
        <v>-6.610267888618182E-13</v>
      </c>
      <c r="T12" s="1067">
        <f t="shared" si="1"/>
        <v>2.9976021664879227E-13</v>
      </c>
      <c r="U12" s="1068">
        <f>G12-C12-(TableB3!B12-TableB4!B12)</f>
        <v>-3.3277870219947658E-3</v>
      </c>
      <c r="V12" s="1068">
        <f>G12-C12-TableB1!G14</f>
        <v>0</v>
      </c>
      <c r="W12" s="594">
        <f t="shared" si="2"/>
        <v>0</v>
      </c>
      <c r="X12" s="594">
        <f t="shared" si="3"/>
        <v>-6.0609295360336546E-12</v>
      </c>
    </row>
    <row r="13" spans="2:24" x14ac:dyDescent="0.35">
      <c r="B13" s="13" t="s">
        <v>56</v>
      </c>
      <c r="C13" s="892">
        <f>+VLOOKUP(TableB2!B13,[3]Allincome!$A$12:$O$45,10,0)/1000</f>
        <v>34.465305483846002</v>
      </c>
      <c r="D13" s="889">
        <f>+VLOOKUP(TableB2!B13,[3]Div!$A$12:$O$45,10,0)/1000</f>
        <v>17.312837362122</v>
      </c>
      <c r="E13" s="894">
        <f>+VLOOKUP(TableB2!B13,[3]Int!$A$12:$O$45,10,0)/1000</f>
        <v>3.7753266056481003</v>
      </c>
      <c r="F13" s="894">
        <f>+VLOOKUP(TableB2!$B13,[3]Retained!$A$12:$O$46,10,0)/1000</f>
        <v>13.377923805054001</v>
      </c>
      <c r="G13" s="394">
        <f>+VLOOKUP(TableB2!B13,[3]Allincome!$A$12:$O$45,13,0)/1000</f>
        <v>40.014081201595999</v>
      </c>
      <c r="H13" s="889">
        <f>+VLOOKUP(TableB2!B13,[3]Div!$A$12:$O$45,13,0)/1000</f>
        <v>12.971133536728001</v>
      </c>
      <c r="I13" s="890">
        <f>+VLOOKUP(TableB2!B13,[3]Int!$A$12:$O$45,13,0)/1000</f>
        <v>3.9599468043494999</v>
      </c>
      <c r="J13" s="894">
        <f>+VLOOKUP(TableB2!$B13,[3]Retained!$A$12:$O$46,13,0)/1000</f>
        <v>23.083783149495002</v>
      </c>
      <c r="K13" s="306">
        <f>+VLOOKUP(TableB2!$B13,[3]Total!$A$10:$O$62,10,0)/1000</f>
        <v>796.65101156068999</v>
      </c>
      <c r="L13" s="8">
        <f>+VLOOKUP(TableB2!$B13,[3]Equity!$A$10:$O$62,10,0)/1000</f>
        <v>684.49277456646996</v>
      </c>
      <c r="M13" s="8">
        <f>+VLOOKUP(TableB2!$B13,[3]Debt!$A$10:$O$62,10,0)/1000</f>
        <v>112.15823699422</v>
      </c>
      <c r="N13" s="306">
        <f>+VLOOKUP(TableB2!$B13,[3]Total!$A$10:$O$62,13,0)/1000</f>
        <v>1097.0534682081</v>
      </c>
      <c r="O13" s="8">
        <f>+VLOOKUP(TableB2!$B13,[3]Equity!$A$10:$O$62,13,0)/1000</f>
        <v>1032.6654624277</v>
      </c>
      <c r="P13" s="35">
        <f>+VLOOKUP(TableB2!$B13,[3]Debt!$A$10:$O$62,13,0)/1000</f>
        <v>64.388005780347001</v>
      </c>
      <c r="S13" s="1067">
        <f t="shared" si="0"/>
        <v>-7.822889780992881E-4</v>
      </c>
      <c r="T13" s="1067">
        <f t="shared" si="1"/>
        <v>-7.822889765023433E-4</v>
      </c>
      <c r="U13" s="1068">
        <f>G13-C13-(TableB3!B13-TableB4!B13)</f>
        <v>5.5487757177499972</v>
      </c>
      <c r="V13" s="1068">
        <f>G13-C13-TableB1!G15</f>
        <v>0</v>
      </c>
      <c r="W13" s="594">
        <f t="shared" si="2"/>
        <v>0</v>
      </c>
      <c r="X13" s="594">
        <f t="shared" si="3"/>
        <v>5.290701210469706E-11</v>
      </c>
    </row>
    <row r="14" spans="2:24" x14ac:dyDescent="0.35">
      <c r="B14" s="13" t="s">
        <v>57</v>
      </c>
      <c r="C14" s="892">
        <f>+VLOOKUP(TableB2!B14,[3]Allincome!$A$12:$O$45,10,0)/1000</f>
        <v>10.233519814927</v>
      </c>
      <c r="D14" s="889">
        <f>+VLOOKUP(TableB2!B14,[3]Div!$A$12:$O$45,10,0)/1000</f>
        <v>4.5824140671539997</v>
      </c>
      <c r="E14" s="894">
        <f>+VLOOKUP(TableB2!B14,[3]Int!$A$12:$O$45,10,0)/1000</f>
        <v>1.9709003885879</v>
      </c>
      <c r="F14" s="894">
        <f>+VLOOKUP(TableB2!$B14,[3]Retained!$A$12:$O$46,10,0)/1000</f>
        <v>3.6802053591849999</v>
      </c>
      <c r="G14" s="394">
        <f>+VLOOKUP(TableB2!B14,[3]Allincome!$A$12:$O$45,13,0)/1000</f>
        <v>3.8826249462322</v>
      </c>
      <c r="H14" s="889">
        <f>+VLOOKUP(TableB2!B14,[3]Div!$A$12:$O$45,13,0)/1000</f>
        <v>0.68380616694661001</v>
      </c>
      <c r="I14" s="890">
        <f>+VLOOKUP(TableB2!B14,[3]Int!$A$12:$O$45,13,0)/1000</f>
        <v>0.33348759985735998</v>
      </c>
      <c r="J14" s="894">
        <f>+VLOOKUP(TableB2!$B14,[3]Retained!$A$12:$O$46,13,0)/1000</f>
        <v>2.8653311794281997</v>
      </c>
      <c r="K14" s="306">
        <f>+VLOOKUP(TableB2!$B14,[3]Total!$A$10:$O$62,10,0)/1000</f>
        <v>231.58496436983998</v>
      </c>
      <c r="L14" s="8">
        <f>+VLOOKUP(TableB2!$B14,[3]Equity!$A$10:$O$62,10,0)/1000</f>
        <v>183.38203592317998</v>
      </c>
      <c r="M14" s="8">
        <f>+VLOOKUP(TableB2!$B14,[3]Debt!$A$10:$O$62,10,0)/1000</f>
        <v>48.202928446657999</v>
      </c>
      <c r="N14" s="306">
        <f>+VLOOKUP(TableB2!$B14,[3]Total!$A$10:$O$62,13,0)/1000</f>
        <v>111.38991119887</v>
      </c>
      <c r="O14" s="8">
        <f>+VLOOKUP(TableB2!$B14,[3]Equity!$A$10:$O$62,13,0)/1000</f>
        <v>82.228797243963001</v>
      </c>
      <c r="P14" s="35">
        <f>+VLOOKUP(TableB2!$B14,[3]Debt!$A$10:$O$62,13,0)/1000</f>
        <v>29.161113954909002</v>
      </c>
      <c r="S14" s="1067">
        <f t="shared" si="0"/>
        <v>1.0036416142611415E-13</v>
      </c>
      <c r="T14" s="1067">
        <f t="shared" si="1"/>
        <v>3.0198066269804258E-14</v>
      </c>
      <c r="U14" s="1068">
        <f>G14-C14-(TableB3!B14-TableB4!B14)</f>
        <v>0</v>
      </c>
      <c r="V14" s="1068">
        <f>G14-C14-TableB1!G16</f>
        <v>0</v>
      </c>
      <c r="W14" s="594">
        <f t="shared" si="2"/>
        <v>1.9966250874858815E-12</v>
      </c>
      <c r="X14" s="594">
        <f t="shared" si="3"/>
        <v>-2.007283228522283E-12</v>
      </c>
    </row>
    <row r="15" spans="2:24" x14ac:dyDescent="0.35">
      <c r="B15" s="13" t="s">
        <v>58</v>
      </c>
      <c r="C15" s="892">
        <f>+VLOOKUP(TableB2!B15,[3]Allincome!$A$12:$O$45,10,0)/1000</f>
        <v>14.473508721994</v>
      </c>
      <c r="D15" s="889">
        <f>+VLOOKUP(TableB2!B15,[3]Div!$A$12:$O$45,10,0)/1000</f>
        <v>10.907534664335</v>
      </c>
      <c r="E15" s="894">
        <f>+VLOOKUP(TableB2!B15,[3]Int!$A$12:$O$45,10,0)/1000</f>
        <v>0.47867279307119998</v>
      </c>
      <c r="F15" s="894">
        <f>+VLOOKUP(TableB2!$B15,[3]Retained!$A$12:$O$46,10,0)/1000</f>
        <v>3.0872606026104998</v>
      </c>
      <c r="G15" s="394">
        <f>+VLOOKUP(TableB2!B15,[3]Allincome!$A$12:$O$45,13,0)/1000</f>
        <v>1.8608953767331999</v>
      </c>
      <c r="H15" s="889">
        <f>+VLOOKUP(TableB2!B15,[3]Div!$A$12:$O$45,13,0)/1000</f>
        <v>0.88073842150204995</v>
      </c>
      <c r="I15" s="890">
        <f>+VLOOKUP(TableB2!B15,[3]Int!$A$12:$O$45,13,0)/1000</f>
        <v>7.3191558573578001E-3</v>
      </c>
      <c r="J15" s="894">
        <f>+VLOOKUP(TableB2!$B15,[3]Retained!$A$12:$O$46,13,0)/1000</f>
        <v>0.97279713739681994</v>
      </c>
      <c r="K15" s="306">
        <f>+VLOOKUP(TableB2!$B15,[3]Total!$A$10:$O$62,10,0)/1000</f>
        <v>116.62781985175999</v>
      </c>
      <c r="L15" s="8">
        <f>+VLOOKUP(TableB2!$B15,[3]Equity!$A$10:$O$62,10,0)/1000</f>
        <v>109.47792458911</v>
      </c>
      <c r="M15" s="8">
        <f>+VLOOKUP(TableB2!$B15,[3]Debt!$A$10:$O$62,10,0)/1000</f>
        <v>7.1498952626490002</v>
      </c>
      <c r="N15" s="306">
        <f>+VLOOKUP(TableB2!$B15,[3]Total!$A$10:$O$62,13,0)/1000</f>
        <v>18.591363196906002</v>
      </c>
      <c r="O15" s="8">
        <f>+VLOOKUP(TableB2!$B15,[3]Equity!$A$10:$O$62,13,0)/1000</f>
        <v>17.725950692877998</v>
      </c>
      <c r="P15" s="35">
        <f>+VLOOKUP(TableB2!$B15,[3]Debt!$A$10:$O$62,13,0)/1000</f>
        <v>0.86541250402836001</v>
      </c>
      <c r="S15" s="1067">
        <f t="shared" si="0"/>
        <v>4.066197730034915E-5</v>
      </c>
      <c r="T15" s="1067">
        <f t="shared" si="1"/>
        <v>4.0661976972278246E-5</v>
      </c>
      <c r="U15" s="1068">
        <f>G15-C15-(TableB3!B15-TableB4!B15)</f>
        <v>-8.1323953798673188E-5</v>
      </c>
      <c r="V15" s="1068">
        <f>G15-C15-TableB1!G17</f>
        <v>0</v>
      </c>
      <c r="W15" s="594">
        <f t="shared" si="2"/>
        <v>9.9120711638533976E-13</v>
      </c>
      <c r="X15" s="594">
        <f t="shared" si="3"/>
        <v>-3.5571545708990016E-13</v>
      </c>
    </row>
    <row r="16" spans="2:24" x14ac:dyDescent="0.35">
      <c r="B16" s="13" t="s">
        <v>59</v>
      </c>
      <c r="C16" s="892">
        <f>+VLOOKUP(TableB2!B16,[3]Allincome!$A$12:$O$45,10,0)/1000</f>
        <v>5.3098700449044003</v>
      </c>
      <c r="D16" s="889">
        <f>+VLOOKUP(TableB2!B16,[3]Div!$A$12:$O$45,10,0)/1000</f>
        <v>5.2588693609302002</v>
      </c>
      <c r="E16" s="894">
        <f>+VLOOKUP(TableB2!B16,[3]Int!$A$12:$O$45,10,0)/1000</f>
        <v>0.27121063431171</v>
      </c>
      <c r="F16" s="894">
        <f>+VLOOKUP(TableB2!$B16,[3]Retained!$A$12:$O$46,10,0)/1000</f>
        <v>-0.22065602045975002</v>
      </c>
      <c r="G16" s="394">
        <f>+VLOOKUP(TableB2!B16,[3]Allincome!$A$12:$O$45,13,0)/1000</f>
        <v>12.90926933714</v>
      </c>
      <c r="H16" s="889">
        <f>+VLOOKUP(TableB2!B16,[3]Div!$A$12:$O$45,13,0)/1000</f>
        <v>10.532310345853</v>
      </c>
      <c r="I16" s="890">
        <f>+VLOOKUP(TableB2!B16,[3]Int!$A$12:$O$45,13,0)/1000</f>
        <v>0.98269247925774006</v>
      </c>
      <c r="J16" s="894">
        <f>+VLOOKUP(TableB2!$B16,[3]Retained!$A$12:$O$46,13,0)/1000</f>
        <v>1.3944152020698</v>
      </c>
      <c r="K16" s="306">
        <f>+VLOOKUP(TableB2!$B16,[3]Total!$A$10:$O$62,10,0)/1000</f>
        <v>112.89399707174</v>
      </c>
      <c r="L16" s="8">
        <f>+VLOOKUP(TableB2!$B16,[3]Equity!$A$10:$O$62,10,0)/1000</f>
        <v>99.993118594435998</v>
      </c>
      <c r="M16" s="8">
        <f>+VLOOKUP(TableB2!$B16,[3]Debt!$A$10:$O$62,10,0)/1000</f>
        <v>12.900878477306</v>
      </c>
      <c r="N16" s="306">
        <f>+VLOOKUP(TableB2!$B16,[3]Total!$A$10:$O$62,13,0)/1000</f>
        <v>189.33352855051001</v>
      </c>
      <c r="O16" s="8">
        <f>+VLOOKUP(TableB2!$B16,[3]Equity!$A$10:$O$62,13,0)/1000</f>
        <v>165.26500732064</v>
      </c>
      <c r="P16" s="35">
        <f>+VLOOKUP(TableB2!$B16,[3]Debt!$A$10:$O$62,13,0)/1000</f>
        <v>24.068521229868001</v>
      </c>
      <c r="S16" s="1067">
        <f t="shared" si="0"/>
        <v>4.4607012224012754E-4</v>
      </c>
      <c r="T16" s="1067">
        <f t="shared" si="1"/>
        <v>-1.4869004054074431E-4</v>
      </c>
      <c r="U16" s="1068">
        <f>G16-C16-(TableB3!B16-TableB4!B16)</f>
        <v>-1.4869004100148686E-4</v>
      </c>
      <c r="V16" s="1068">
        <f>G16-C16-TableB1!G18</f>
        <v>0</v>
      </c>
      <c r="W16" s="594">
        <f t="shared" si="2"/>
        <v>-1.9948487306464813E-12</v>
      </c>
      <c r="X16" s="594">
        <f t="shared" si="3"/>
        <v>2.014388655879884E-12</v>
      </c>
    </row>
    <row r="17" spans="2:24" x14ac:dyDescent="0.35">
      <c r="B17" s="13" t="s">
        <v>60</v>
      </c>
      <c r="C17" s="892">
        <f>+VLOOKUP(TableB2!B17,[3]Allincome!$A$12:$O$45,10,0)/1000</f>
        <v>1.3219900166389</v>
      </c>
      <c r="D17" s="889">
        <f>+VLOOKUP(TableB2!B17,[3]Div!$A$12:$O$45,10,0)/1000</f>
        <v>0.72318469217970005</v>
      </c>
      <c r="E17" s="894">
        <f>+VLOOKUP(TableB2!B17,[3]Int!$A$12:$O$45,10,0)/1000</f>
        <v>1.4843039378812999E-2</v>
      </c>
      <c r="F17" s="894">
        <f>+VLOOKUP(TableB2!$B17,[3]Retained!$A$12:$O$46,10,0)/1000</f>
        <v>0.58396228508042003</v>
      </c>
      <c r="G17" s="394">
        <f>+VLOOKUP(TableB2!B17,[3]Allincome!$A$12:$O$45,13,0)/1000</f>
        <v>0.33427731558514001</v>
      </c>
      <c r="H17" s="889">
        <f>+VLOOKUP(TableB2!B17,[3]Div!$A$12:$O$45,13,0)/1000</f>
        <v>0.24203549639490002</v>
      </c>
      <c r="I17" s="890">
        <f>+VLOOKUP(TableB2!B17,[3]Int!$A$12:$O$45,13,0)/1000</f>
        <v>5.3684969495285999E-2</v>
      </c>
      <c r="J17" s="894">
        <f>+VLOOKUP(TableB2!$B17,[3]Retained!$A$12:$O$46,13,0)/1000</f>
        <v>3.8556849694953002E-2</v>
      </c>
      <c r="K17" s="306">
        <f>+VLOOKUP(TableB2!$B17,[3]Total!$A$10:$O$62,10,0)/1000</f>
        <v>18.862318998367002</v>
      </c>
      <c r="L17" s="8">
        <f>+VLOOKUP(TableB2!$B17,[3]Equity!$A$10:$O$62,10,0)/1000</f>
        <v>18.073254218835</v>
      </c>
      <c r="M17" s="8">
        <f>+VLOOKUP(TableB2!$B17,[3]Debt!$A$10:$O$62,10,0)/1000</f>
        <v>0.78906477953185006</v>
      </c>
      <c r="N17" s="306">
        <f>+VLOOKUP(TableB2!$B17,[3]Total!$A$10:$O$62,13,0)/1000</f>
        <v>6.2183745236799002</v>
      </c>
      <c r="O17" s="8">
        <f>+VLOOKUP(TableB2!$B17,[3]Equity!$A$10:$O$62,13,0)/1000</f>
        <v>4.3978943930321002</v>
      </c>
      <c r="P17" s="35">
        <f>+VLOOKUP(TableB2!$B17,[3]Debt!$A$10:$O$62,13,0)/1000</f>
        <v>1.8204801306478</v>
      </c>
      <c r="S17" s="1067">
        <f t="shared" si="0"/>
        <v>-3.3084646133829665E-14</v>
      </c>
      <c r="T17" s="1067">
        <f t="shared" si="1"/>
        <v>9.9226182825873366E-16</v>
      </c>
      <c r="U17" s="1068">
        <f>G17-C17-(TableB3!B17-TableB4!B17)</f>
        <v>-2.728785357701824E-4</v>
      </c>
      <c r="V17" s="1068">
        <f>G17-C17-TableB1!G19</f>
        <v>0</v>
      </c>
      <c r="W17" s="594">
        <f t="shared" si="2"/>
        <v>1.5132339825640884E-13</v>
      </c>
      <c r="X17" s="594">
        <f t="shared" si="3"/>
        <v>0</v>
      </c>
    </row>
    <row r="18" spans="2:24" x14ac:dyDescent="0.35">
      <c r="B18" s="13" t="s">
        <v>61</v>
      </c>
      <c r="C18" s="892">
        <f>+VLOOKUP(TableB2!B18,[3]Allincome!$A$12:$O$45,10,0)/1000</f>
        <v>4.0898502495839999</v>
      </c>
      <c r="D18" s="889">
        <f>+VLOOKUP(TableB2!B18,[3]Div!$A$12:$O$45,10,0)/1000</f>
        <v>5.4220743205768001</v>
      </c>
      <c r="E18" s="894">
        <f>+VLOOKUP(TableB2!B18,[3]Int!$A$12:$O$45,10,0)/1000</f>
        <v>0.69661674986134003</v>
      </c>
      <c r="F18" s="894">
        <f>+VLOOKUP(TableB2!$B18,[3]Retained!$A$12:$O$46,10,0)/1000</f>
        <v>-2.0288408208541</v>
      </c>
      <c r="G18" s="394">
        <f>+VLOOKUP(TableB2!B18,[3]Allincome!$A$12:$O$45,13,0)/1000</f>
        <v>7.3721575152524004</v>
      </c>
      <c r="H18" s="889">
        <f>+VLOOKUP(TableB2!B18,[3]Div!$A$12:$O$45,13,0)/1000</f>
        <v>10.647809206877</v>
      </c>
      <c r="I18" s="890">
        <f>+VLOOKUP(TableB2!B18,[3]Int!$A$12:$O$45,13,0)/1000</f>
        <v>0.43261231281198004</v>
      </c>
      <c r="J18" s="894">
        <f>+VLOOKUP(TableB2!$B18,[3]Retained!$A$12:$O$46,13,0)/1000</f>
        <v>-3.7082640044369999</v>
      </c>
      <c r="K18" s="306">
        <f>+VLOOKUP(TableB2!$B18,[3]Total!$A$10:$O$62,10,0)/1000</f>
        <v>81.626565051715005</v>
      </c>
      <c r="L18" s="8">
        <f>+VLOOKUP(TableB2!$B18,[3]Equity!$A$10:$O$62,10,0)/1000</f>
        <v>66.060968971149009</v>
      </c>
      <c r="M18" s="8">
        <f>+VLOOKUP(TableB2!$B18,[3]Debt!$A$10:$O$62,10,0)/1000</f>
        <v>15.565596080565999</v>
      </c>
      <c r="N18" s="306">
        <f>+VLOOKUP(TableB2!$B18,[3]Total!$A$10:$O$62,13,0)/1000</f>
        <v>94.545454545455001</v>
      </c>
      <c r="O18" s="8">
        <f>+VLOOKUP(TableB2!$B18,[3]Equity!$A$10:$O$62,13,0)/1000</f>
        <v>107.05280348394001</v>
      </c>
      <c r="P18" s="35">
        <f>+VLOOKUP(TableB2!$B18,[3]Debt!$A$10:$O$62,13,0)/1000</f>
        <v>-12.507348938487</v>
      </c>
      <c r="S18" s="1067">
        <f t="shared" si="0"/>
        <v>-3.9968028886505635E-14</v>
      </c>
      <c r="T18" s="1067">
        <f t="shared" si="1"/>
        <v>4.205524817280093E-13</v>
      </c>
      <c r="U18" s="1068">
        <f>G18-C18-(TableB3!B18-TableB4!B18)</f>
        <v>1.0036416142611415E-13</v>
      </c>
      <c r="V18" s="1068">
        <f>G18-C18-TableB1!G20</f>
        <v>0</v>
      </c>
      <c r="W18" s="594">
        <f t="shared" si="2"/>
        <v>0</v>
      </c>
      <c r="X18" s="594">
        <f t="shared" si="3"/>
        <v>1.9912960169676808E-12</v>
      </c>
    </row>
    <row r="19" spans="2:24" x14ac:dyDescent="0.35">
      <c r="B19" s="13" t="s">
        <v>48</v>
      </c>
      <c r="C19" s="892">
        <f>+VLOOKUP(TableB2!B19,[3]Allincome!$A$12:$O$45,10,0)/1000</f>
        <v>25.964458011464</v>
      </c>
      <c r="D19" s="889">
        <f>+VLOOKUP(TableB2!B19,[3]Div!$A$12:$O$45,10,0)/1000</f>
        <v>15.593480865224999</v>
      </c>
      <c r="E19" s="894">
        <f>+VLOOKUP(TableB2!B19,[3]Int!$A$12:$O$45,10,0)/1000</f>
        <v>2.8098090929952</v>
      </c>
      <c r="F19" s="894">
        <f>+VLOOKUP(TableB2!$B19,[3]Retained!$A$12:$O$46,10,0)/1000</f>
        <v>7.5611680532446002</v>
      </c>
      <c r="G19" s="394">
        <f>+VLOOKUP(TableB2!B19,[3]Allincome!$A$12:$O$45,13,0)/1000</f>
        <v>70.780429129601998</v>
      </c>
      <c r="H19" s="889">
        <f>+VLOOKUP(TableB2!B19,[3]Div!$A$12:$O$45,13,0)/1000</f>
        <v>64.215373266778002</v>
      </c>
      <c r="I19" s="890">
        <f>+VLOOKUP(TableB2!B19,[3]Int!$A$12:$O$45,13,0)/1000</f>
        <v>2.0962161512319</v>
      </c>
      <c r="J19" s="894">
        <f>+VLOOKUP(TableB2!$B19,[3]Retained!$A$12:$O$46,13,0)/1000</f>
        <v>4.4688397115917997</v>
      </c>
      <c r="K19" s="306">
        <f>+VLOOKUP(TableB2!$B19,[3]Total!$A$10:$O$62,10,0)/1000</f>
        <v>688.35512451670002</v>
      </c>
      <c r="L19" s="8">
        <f>+VLOOKUP(TableB2!$B19,[3]Equity!$A$10:$O$62,10,0)/1000</f>
        <v>627.55858206655</v>
      </c>
      <c r="M19" s="8">
        <f>+VLOOKUP(TableB2!$B19,[3]Debt!$A$10:$O$62,10,0)/1000</f>
        <v>60.796542450151001</v>
      </c>
      <c r="N19" s="306">
        <f>+VLOOKUP(TableB2!$B19,[3]Total!$A$10:$O$62,13,0)/1000</f>
        <v>1254.2751858124</v>
      </c>
      <c r="O19" s="8">
        <f>+VLOOKUP(TableB2!$B19,[3]Equity!$A$10:$O$62,13,0)/1000</f>
        <v>1171.7563896738</v>
      </c>
      <c r="P19" s="35">
        <f>+VLOOKUP(TableB2!$B19,[3]Debt!$A$10:$O$62,13,0)/1000</f>
        <v>82.518796138552005</v>
      </c>
      <c r="S19" s="1067">
        <f t="shared" si="0"/>
        <v>-7.9936057773011271E-13</v>
      </c>
      <c r="T19" s="1067">
        <f t="shared" si="1"/>
        <v>2.9665159217984183E-13</v>
      </c>
      <c r="U19" s="1068">
        <f>G19-C19-(TableB3!B19-TableB4!B19)</f>
        <v>9.9475983006414026E-13</v>
      </c>
      <c r="V19" s="1068">
        <f>G19-C19-TableB1!G21</f>
        <v>0</v>
      </c>
      <c r="W19" s="594">
        <f t="shared" si="2"/>
        <v>-9.8765440270653926E-13</v>
      </c>
      <c r="X19" s="594">
        <f t="shared" si="3"/>
        <v>4.8004267227952369E-11</v>
      </c>
    </row>
    <row r="20" spans="2:24" x14ac:dyDescent="0.35">
      <c r="B20" s="13" t="s">
        <v>62</v>
      </c>
      <c r="C20" s="892">
        <f>+VLOOKUP(TableB2!B20,[3]Allincome!$A$12:$O$45,10,0)/1000</f>
        <v>33.633943427620999</v>
      </c>
      <c r="D20" s="889">
        <f>+VLOOKUP(TableB2!B20,[3]Div!$A$12:$O$45,10,0)/1000</f>
        <v>21.960066555739999</v>
      </c>
      <c r="E20" s="894">
        <f>+VLOOKUP(TableB2!B20,[3]Int!$A$12:$O$45,10,0)/1000</f>
        <v>6.8208541320021991</v>
      </c>
      <c r="F20" s="894">
        <f>+VLOOKUP(TableB2!$B20,[3]Retained!$A$12:$O$46,10,0)/1000</f>
        <v>4.8530227398779999</v>
      </c>
      <c r="G20" s="394">
        <f>+VLOOKUP(TableB2!B20,[3]Allincome!$A$12:$O$45,13,0)/1000</f>
        <v>74.201885745978998</v>
      </c>
      <c r="H20" s="889">
        <f>+VLOOKUP(TableB2!B20,[3]Div!$A$12:$O$45,13,0)/1000</f>
        <v>65.433166943982002</v>
      </c>
      <c r="I20" s="890">
        <f>+VLOOKUP(TableB2!B20,[3]Int!$A$12:$O$45,13,0)/1000</f>
        <v>-2.0033277870216</v>
      </c>
      <c r="J20" s="894">
        <f>+VLOOKUP(TableB2!$B20,[3]Retained!$A$12:$O$46,13,0)/1000</f>
        <v>10.772046589018</v>
      </c>
      <c r="K20" s="306">
        <f>+VLOOKUP(TableB2!$B20,[3]Total!$A$10:$O$62,10,0)/1000</f>
        <v>789.22808927598999</v>
      </c>
      <c r="L20" s="8">
        <f>+VLOOKUP(TableB2!$B20,[3]Equity!$A$10:$O$62,10,0)/1000</f>
        <v>587.67882416983991</v>
      </c>
      <c r="M20" s="8">
        <f>+VLOOKUP(TableB2!$B20,[3]Debt!$A$10:$O$62,10,0)/1000</f>
        <v>201.54926510615002</v>
      </c>
      <c r="N20" s="306">
        <f>+VLOOKUP(TableB2!$B20,[3]Total!$A$10:$O$62,13,0)/1000</f>
        <v>1342.4496461622</v>
      </c>
      <c r="O20" s="8">
        <f>+VLOOKUP(TableB2!$B20,[3]Equity!$A$10:$O$62,13,0)/1000</f>
        <v>1436.3777898748001</v>
      </c>
      <c r="P20" s="35">
        <f>+VLOOKUP(TableB2!$B20,[3]Debt!$A$10:$O$62,13,0)/1000</f>
        <v>-93.928143712574993</v>
      </c>
      <c r="S20" s="1067">
        <f t="shared" si="0"/>
        <v>8.0024875614981283E-13</v>
      </c>
      <c r="T20" s="1067">
        <f t="shared" si="1"/>
        <v>5.9685589803848416E-13</v>
      </c>
      <c r="U20" s="1068">
        <f>G20-C20-(TableB3!B20-TableB4!B20)</f>
        <v>-1.109262341003614E-3</v>
      </c>
      <c r="V20" s="1068">
        <f>G20-C20-TableB1!G22</f>
        <v>0</v>
      </c>
      <c r="W20" s="594">
        <f t="shared" si="2"/>
        <v>0</v>
      </c>
      <c r="X20" s="594">
        <f t="shared" si="3"/>
        <v>-2.5110580281761941E-11</v>
      </c>
    </row>
    <row r="21" spans="2:24" x14ac:dyDescent="0.35">
      <c r="B21" s="13" t="s">
        <v>63</v>
      </c>
      <c r="C21" s="892">
        <f>+VLOOKUP(TableB2!B21,[3]Allincome!$A$12:$O$45,10,0)/1000</f>
        <v>1.1568235296728</v>
      </c>
      <c r="D21" s="889">
        <f>+VLOOKUP(TableB2!B21,[3]Div!$A$12:$O$45,10,0)/1000</f>
        <v>0.62594856905157992</v>
      </c>
      <c r="E21" s="894">
        <f>+VLOOKUP(TableB2!B21,[3]Int!$A$12:$O$45,10,0)/1000</f>
        <v>6.4186108707708994E-2</v>
      </c>
      <c r="F21" s="894">
        <f>+VLOOKUP(TableB2!$B21,[3]Retained!$A$12:$O$46,10,0)/1000</f>
        <v>0.46668885191347997</v>
      </c>
      <c r="G21" s="394">
        <f>+VLOOKUP(TableB2!B21,[3]Allincome!$A$12:$O$45,13,0)/1000</f>
        <v>1.8014650027732</v>
      </c>
      <c r="H21" s="889">
        <f>+VLOOKUP(TableB2!B21,[3]Div!$A$12:$O$45,13,0)/1000</f>
        <v>0.24941714475873999</v>
      </c>
      <c r="I21" s="890">
        <f>+VLOOKUP(TableB2!B21,[3]Int!$A$12:$O$45,13,0)/1000</f>
        <v>3.5620011092623001E-3</v>
      </c>
      <c r="J21" s="894">
        <f>+VLOOKUP(TableB2!$B21,[3]Retained!$A$12:$O$46,13,0)/1000</f>
        <v>1.5484858569052</v>
      </c>
      <c r="K21" s="306">
        <f>+VLOOKUP(TableB2!$B21,[3]Total!$A$10:$O$62,10,0)/1000</f>
        <v>26.950778184268003</v>
      </c>
      <c r="L21" s="8">
        <f>+VLOOKUP(TableB2!$B21,[3]Equity!$A$10:$O$62,10,0)/1000</f>
        <v>19.553694940935998</v>
      </c>
      <c r="M21" s="8">
        <f>+VLOOKUP(TableB2!$B21,[3]Debt!$A$10:$O$62,10,0)/1000</f>
        <v>7.3970832433315001</v>
      </c>
      <c r="N21" s="306">
        <f>+VLOOKUP(TableB2!$B21,[3]Total!$A$10:$O$62,13,0)/1000</f>
        <v>27.287786076330999</v>
      </c>
      <c r="O21" s="8">
        <f>+VLOOKUP(TableB2!$B21,[3]Equity!$A$10:$O$62,13,0)/1000</f>
        <v>25.277765105181999</v>
      </c>
      <c r="P21" s="35">
        <f>+VLOOKUP(TableB2!$B21,[3]Debt!$A$10:$O$62,13,0)/1000</f>
        <v>2.0100209711486001</v>
      </c>
      <c r="S21" s="1067">
        <f t="shared" si="0"/>
        <v>3.1086244689504383E-14</v>
      </c>
      <c r="T21" s="1067">
        <f t="shared" si="1"/>
        <v>-2.4424906541753444E-15</v>
      </c>
      <c r="U21" s="1068">
        <f>G21-C21-(TableB3!B21-TableB4!B21)</f>
        <v>0</v>
      </c>
      <c r="V21" s="1068">
        <f>G21-C21-TableB1!G23</f>
        <v>0</v>
      </c>
      <c r="W21" s="594">
        <f t="shared" si="2"/>
        <v>5.0537352080937126E-13</v>
      </c>
      <c r="X21" s="594">
        <f t="shared" si="3"/>
        <v>4.0012437807490642E-13</v>
      </c>
    </row>
    <row r="22" spans="2:24" x14ac:dyDescent="0.35">
      <c r="B22" s="13" t="s">
        <v>64</v>
      </c>
      <c r="C22" s="892">
        <f>+VLOOKUP(TableB2!B22,[3]Allincome!$A$12:$O$45,10,0)/1000</f>
        <v>11.620257265557001</v>
      </c>
      <c r="D22" s="889">
        <f>+VLOOKUP(TableB2!B22,[3]Div!$A$12:$O$45,10,0)/1000</f>
        <v>6.0308644132753999</v>
      </c>
      <c r="E22" s="894">
        <f>+VLOOKUP(TableB2!B22,[3]Int!$A$12:$O$45,10,0)/1000</f>
        <v>-0.10981389643044</v>
      </c>
      <c r="F22" s="894">
        <f>+VLOOKUP(TableB2!$B22,[3]Retained!$A$12:$O$46,10,0)/1000</f>
        <v>5.6992067487124007</v>
      </c>
      <c r="G22" s="394">
        <f>+VLOOKUP(TableB2!B22,[3]Allincome!$A$12:$O$45,13,0)/1000</f>
        <v>3.9436663646066998</v>
      </c>
      <c r="H22" s="889">
        <f>+VLOOKUP(TableB2!B22,[3]Div!$A$12:$O$45,13,0)/1000</f>
        <v>1.1560207561767</v>
      </c>
      <c r="I22" s="890">
        <f>+VLOOKUP(TableB2!B22,[3]Int!$A$12:$O$45,13,0)/1000</f>
        <v>-3.8871447810482997E-2</v>
      </c>
      <c r="J22" s="894">
        <f>+VLOOKUP(TableB2!$B22,[3]Retained!$A$12:$O$46,13,0)/1000</f>
        <v>2.8265170562405002</v>
      </c>
      <c r="K22" s="306">
        <f>+VLOOKUP(TableB2!$B22,[3]Total!$A$10:$O$62,10,0)/1000</f>
        <v>196.81426367442</v>
      </c>
      <c r="L22" s="8">
        <f>+VLOOKUP(TableB2!$B22,[3]Equity!$A$10:$O$62,10,0)/1000</f>
        <v>197.45931901057</v>
      </c>
      <c r="M22" s="8">
        <f>+VLOOKUP(TableB2!$B22,[3]Debt!$A$10:$O$62,10,0)/1000</f>
        <v>-0.64505533614764998</v>
      </c>
      <c r="N22" s="306">
        <f>+VLOOKUP(TableB2!$B22,[3]Total!$A$10:$O$62,13,0)/1000</f>
        <v>146.76073879217</v>
      </c>
      <c r="O22" s="8">
        <f>+VLOOKUP(TableB2!$B22,[3]Equity!$A$10:$O$62,13,0)/1000</f>
        <v>146.40758730419</v>
      </c>
      <c r="P22" s="35">
        <f>+VLOOKUP(TableB2!$B22,[3]Debt!$A$10:$O$62,13,0)/1000</f>
        <v>0.35315148798102003</v>
      </c>
      <c r="S22" s="1067">
        <f t="shared" si="0"/>
        <v>-3.5971225997855072E-13</v>
      </c>
      <c r="T22" s="1067">
        <f t="shared" si="1"/>
        <v>-1.7319479184152442E-14</v>
      </c>
      <c r="U22" s="1068">
        <f>G22-C22-(TableB3!B22-TableB4!B22)</f>
        <v>7.1632983988934029E-9</v>
      </c>
      <c r="V22" s="1068">
        <f>G22-C22-TableB1!G24</f>
        <v>0</v>
      </c>
      <c r="W22" s="594">
        <f t="shared" si="2"/>
        <v>-2.344235916496018E-12</v>
      </c>
      <c r="X22" s="594">
        <f t="shared" si="3"/>
        <v>-1.0200729150255938E-12</v>
      </c>
    </row>
    <row r="23" spans="2:24" x14ac:dyDescent="0.35">
      <c r="B23" s="13" t="s">
        <v>65</v>
      </c>
      <c r="C23" s="892">
        <f>+VLOOKUP(TableB2!B23,[3]Allincome!$A$12:$O$45,10,0)/1000</f>
        <v>3.6703132238177998E-2</v>
      </c>
      <c r="D23" s="889">
        <f>+VLOOKUP(TableB2!B23,[3]Div!$A$12:$O$45,10,0)/1000</f>
        <v>2.2275108968346998E-2</v>
      </c>
      <c r="E23" s="894">
        <f>+VLOOKUP(TableB2!B23,[3]Int!$A$12:$O$45,10,0)/1000</f>
        <v>0.10725866799700999</v>
      </c>
      <c r="F23" s="894">
        <f>+VLOOKUP(TableB2!$B23,[3]Retained!$A$12:$O$46,10,0)/1000</f>
        <v>-9.2830644727175005E-2</v>
      </c>
      <c r="G23" s="394">
        <f>+VLOOKUP(TableB2!B23,[3]Allincome!$A$12:$O$45,13,0)/1000</f>
        <v>0.29035733429571003</v>
      </c>
      <c r="H23" s="889">
        <f>+VLOOKUP(TableB2!B23,[3]Div!$A$12:$O$45,13,0)/1000</f>
        <v>5.5285940979301E-2</v>
      </c>
      <c r="I23" s="890">
        <f>+VLOOKUP(TableB2!B23,[3]Int!$A$12:$O$45,13,0)/1000</f>
        <v>0.12703180761220001</v>
      </c>
      <c r="J23" s="894">
        <f>+VLOOKUP(TableB2!$B23,[3]Retained!$A$12:$O$46,13,0)/1000</f>
        <v>0.1080395857042</v>
      </c>
      <c r="K23" s="306">
        <f>+VLOOKUP(TableB2!$B23,[3]Total!$A$10:$O$62,10,0)/1000</f>
        <v>11.293364683512999</v>
      </c>
      <c r="L23" s="8">
        <f>+VLOOKUP(TableB2!$B23,[3]Equity!$A$10:$O$62,10,0)/1000</f>
        <v>7.6595321085980004</v>
      </c>
      <c r="M23" s="8">
        <f>+VLOOKUP(TableB2!$B23,[3]Debt!$A$10:$O$62,10,0)/1000</f>
        <v>3.6338325749151998</v>
      </c>
      <c r="N23" s="306">
        <f>+VLOOKUP(TableB2!$B23,[3]Total!$A$10:$O$62,13,0)/1000</f>
        <v>11.078872659058002</v>
      </c>
      <c r="O23" s="8">
        <f>+VLOOKUP(TableB2!$B23,[3]Equity!$A$10:$O$62,13,0)/1000</f>
        <v>8.0560059078677995</v>
      </c>
      <c r="P23" s="35">
        <f>+VLOOKUP(TableB2!$B23,[3]Debt!$A$10:$O$62,13,0)/1000</f>
        <v>3.0228667511897003</v>
      </c>
      <c r="S23" s="1067">
        <f t="shared" si="0"/>
        <v>-3.9829251008427491E-15</v>
      </c>
      <c r="T23" s="1067">
        <f t="shared" si="1"/>
        <v>9.0205620750793969E-15</v>
      </c>
      <c r="U23" s="1068">
        <f>G23-C23-(TableB3!B23-TableB4!B23)</f>
        <v>2.0539125955565396E-15</v>
      </c>
      <c r="V23" s="1068">
        <f>G23-C23-TableB1!G25</f>
        <v>0</v>
      </c>
      <c r="W23" s="594">
        <f t="shared" si="2"/>
        <v>-2.007283228522283E-13</v>
      </c>
      <c r="X23" s="594">
        <f t="shared" si="3"/>
        <v>5.0182080713057076E-13</v>
      </c>
    </row>
    <row r="24" spans="2:24" x14ac:dyDescent="0.35">
      <c r="B24" s="13" t="s">
        <v>19</v>
      </c>
      <c r="C24" s="892">
        <f>+VLOOKUP(TableB2!B24,[3]Allincome!$A$12:$O$45,10,0)/1000</f>
        <v>64.704381586245006</v>
      </c>
      <c r="D24" s="889">
        <f>+VLOOKUP(TableB2!B24,[3]Div!$A$12:$O$45,10,0)/1000</f>
        <v>17.189129229062999</v>
      </c>
      <c r="E24" s="894">
        <f>+VLOOKUP(TableB2!B24,[3]Int!$A$12:$O$45,10,0)/1000</f>
        <v>0.92734331669439996</v>
      </c>
      <c r="F24" s="894">
        <f>+VLOOKUP(TableB2!$B24,[3]Retained!$A$12:$O$46,10,0)/1000</f>
        <v>46.587909040488</v>
      </c>
      <c r="G24" s="394">
        <f>+VLOOKUP(TableB2!B24,[3]Allincome!$A$12:$O$45,13,0)/1000</f>
        <v>11.764836383805001</v>
      </c>
      <c r="H24" s="889">
        <f>+VLOOKUP(TableB2!B24,[3]Div!$A$12:$O$45,13,0)/1000</f>
        <v>1.6195230171935999</v>
      </c>
      <c r="I24" s="890">
        <f>+VLOOKUP(TableB2!B24,[3]Int!$A$12:$O$45,13,0)/1000</f>
        <v>-1.5707154742097</v>
      </c>
      <c r="J24" s="894">
        <f>+VLOOKUP(TableB2!$B24,[3]Retained!$A$12:$O$46,13,0)/1000</f>
        <v>11.716028840821</v>
      </c>
      <c r="K24" s="306">
        <f>+VLOOKUP(TableB2!$B24,[3]Total!$A$10:$O$62,10,0)/1000</f>
        <v>888.22101252041</v>
      </c>
      <c r="L24" s="8">
        <f>+VLOOKUP(TableB2!$B24,[3]Equity!$A$10:$O$62,10,0)/1000</f>
        <v>642.85356559607999</v>
      </c>
      <c r="M24" s="8">
        <f>+VLOOKUP(TableB2!$B24,[3]Debt!$A$10:$O$62,10,0)/1000</f>
        <v>245.36744692433001</v>
      </c>
      <c r="N24" s="306">
        <f>+VLOOKUP(TableB2!$B24,[3]Total!$A$10:$O$62,13,0)/1000</f>
        <v>909.66793685357004</v>
      </c>
      <c r="O24" s="8">
        <f>+VLOOKUP(TableB2!$B24,[3]Equity!$A$10:$O$62,13,0)/1000</f>
        <v>816.48775176918991</v>
      </c>
      <c r="P24" s="35">
        <f>+VLOOKUP(TableB2!$B24,[3]Debt!$A$10:$O$62,13,0)/1000</f>
        <v>93.180185084376987</v>
      </c>
      <c r="S24" s="1067">
        <f t="shared" si="0"/>
        <v>-3.907985046680551E-13</v>
      </c>
      <c r="T24" s="1067">
        <f t="shared" si="1"/>
        <v>1.0125233984581428E-13</v>
      </c>
      <c r="U24" s="1068">
        <f>G24-C24-(TableB3!B24-TableB4!B24)</f>
        <v>2.2185246819930171E-3</v>
      </c>
      <c r="V24" s="1068">
        <f>G24-C24-TableB1!G26</f>
        <v>0</v>
      </c>
      <c r="W24" s="594">
        <f t="shared" si="2"/>
        <v>0</v>
      </c>
      <c r="X24" s="594">
        <f t="shared" si="3"/>
        <v>3.1405988920596428E-12</v>
      </c>
    </row>
    <row r="25" spans="2:24" x14ac:dyDescent="0.35">
      <c r="B25" s="31" t="s">
        <v>95</v>
      </c>
      <c r="C25" s="892">
        <f>+TableB10!$E$25/1000</f>
        <v>5.0199999999999996</v>
      </c>
      <c r="D25" s="889">
        <f>H25-'[3]World BOP data'!$G$91/1000000000</f>
        <v>1.1495</v>
      </c>
      <c r="E25" s="894">
        <f>+C25-D25-F25</f>
        <v>0.15850000000000009</v>
      </c>
      <c r="F25" s="894">
        <f>+J25-'[3]World BOP data'!$H$91/1000000000</f>
        <v>3.7119999999999997</v>
      </c>
      <c r="G25" s="394">
        <f>+TableB10!$N$25/1000</f>
        <v>6.4</v>
      </c>
      <c r="H25" s="889">
        <f>+'[3]IMF balance of payment all'!$F$92/1000000000</f>
        <v>1.7479</v>
      </c>
      <c r="I25" s="890">
        <f>+G25-H25-J25</f>
        <v>0.18410000000000082</v>
      </c>
      <c r="J25" s="890">
        <f>+'[3]IMF balance of payment all'!$G$92/1000000000</f>
        <v>4.468</v>
      </c>
      <c r="K25" s="306">
        <f>IF(VLOOKUP(B25,[3]CDIS_discrepancies_in_stocks!$A$3:$M$246,6,0)&gt;0,VLOOKUP(B25,[3]CDIS_discrepancies_in_stocks!$A$3:$M$246,6,0)/1000000000,VLOOKUP(B25,[3]CDIS_discrepancies_in_stocks!$A$3:$M$246,7,0)/1000000000)</f>
        <v>29.5</v>
      </c>
      <c r="L25" s="8">
        <f>IF(VLOOKUP($B25,[3]CDIS_discrepancies_in_stocks!$A$3:$M$246,8,0)&gt;0,VLOOKUP($B25,[3]CDIS_discrepancies_in_stocks!$A$3:$M$246,8,0)/1000000000,VLOOKUP($B25,[3]CDIS_discrepancies_in_stocks!$A$3:$M$246,9,0)/1000000000)</f>
        <v>17.7</v>
      </c>
      <c r="M25" s="8">
        <f>+K25-L25</f>
        <v>11.8</v>
      </c>
      <c r="N25" s="306">
        <f>IF(VLOOKUP(B25,[3]CDIS_discrepancies_in_stocks!$A$3:$M$246,2,0)&gt;0,VLOOKUP(B25,[3]CDIS_discrepancies_in_stocks!$A$3:$M$246,2,0)/1000000000,VLOOKUP(B25,[3]CDIS_discrepancies_in_stocks!$A$3:$M$246,3,0)/1000000000)</f>
        <v>17</v>
      </c>
      <c r="O25" s="8">
        <f>IF(VLOOKUP($B25,[3]CDIS_discrepancies_in_stocks!$A$3:$M$246,4,0)&gt;0,VLOOKUP($B25,[3]CDIS_discrepancies_in_stocks!$A$3:$M$246,4,0)/1000000000,VLOOKUP($B25,[3]CDIS_discrepancies_in_stocks!$A$3:$M$246,5,0)/1000000000)</f>
        <v>12.8</v>
      </c>
      <c r="P25" s="35">
        <f>+N25-O25</f>
        <v>4.1999999999999993</v>
      </c>
      <c r="S25" s="1067"/>
      <c r="T25" s="1067"/>
      <c r="U25" s="1068">
        <f>G25-C25-(TableB3!B25-TableB4!B25)</f>
        <v>1.3800000000000008</v>
      </c>
      <c r="V25" s="1068">
        <f>G25-C25-TableB1!G27</f>
        <v>0</v>
      </c>
      <c r="W25" s="594">
        <f t="shared" si="2"/>
        <v>0</v>
      </c>
      <c r="X25" s="594">
        <f t="shared" si="3"/>
        <v>0</v>
      </c>
    </row>
    <row r="26" spans="2:24" x14ac:dyDescent="0.35">
      <c r="B26" s="13" t="s">
        <v>66</v>
      </c>
      <c r="C26" s="892">
        <f>+VLOOKUP(TableB2!B26,[3]Allincome!$A$12:$O$45,10,0)/1000</f>
        <v>11.685326677758999</v>
      </c>
      <c r="D26" s="889">
        <f>+VLOOKUP(TableB2!B26,[3]Div!$A$12:$O$45,10,0)/1000</f>
        <v>3.4079789240155001</v>
      </c>
      <c r="E26" s="894">
        <f>+VLOOKUP(TableB2!B26,[3]Int!$A$12:$O$45,10,0)/1000</f>
        <v>0.80985579589572998</v>
      </c>
      <c r="F26" s="894">
        <f>+VLOOKUP(TableB2!$B26,[3]Retained!$A$12:$O$46,10,0)/1000</f>
        <v>7.4674919578479999</v>
      </c>
      <c r="G26" s="394">
        <f>+VLOOKUP(TableB2!B26,[3]Allincome!$A$12:$O$45,13,0)/1000</f>
        <v>12.171589572934002</v>
      </c>
      <c r="H26" s="889">
        <f>+VLOOKUP(TableB2!B26,[3]Div!$A$12:$O$45,13,0)/1000</f>
        <v>15.558739877980999</v>
      </c>
      <c r="I26" s="890">
        <f>+VLOOKUP(TableB2!B26,[3]Int!$A$12:$O$45,13,0)/1000</f>
        <v>-0.30271991125901004</v>
      </c>
      <c r="J26" s="894">
        <f>+VLOOKUP(TableB2!$B26,[3]Retained!$A$12:$O$46,13,0)/1000</f>
        <v>-3.0844303937881001</v>
      </c>
      <c r="K26" s="306">
        <f>+VLOOKUP(TableB2!$B26,[3]Total!$A$10:$O$62,10,0)/1000</f>
        <v>340.51513445835997</v>
      </c>
      <c r="L26" s="8">
        <f>+VLOOKUP(TableB2!$B26,[3]Equity!$A$10:$O$62,10,0)/1000</f>
        <v>306.00955144257</v>
      </c>
      <c r="M26" s="8">
        <f>+VLOOKUP(TableB2!$B26,[3]Debt!$A$10:$O$62,10,0)/1000</f>
        <v>34.505583015787003</v>
      </c>
      <c r="N26" s="306">
        <f>+VLOOKUP(TableB2!$B26,[3]Total!$A$10:$O$62,13,0)/1000</f>
        <v>468.36628415894995</v>
      </c>
      <c r="O26" s="8">
        <f>+VLOOKUP(TableB2!$B26,[3]Equity!$A$10:$O$62,13,0)/1000</f>
        <v>465.26560805661001</v>
      </c>
      <c r="P26" s="35">
        <f>+VLOOKUP(TableB2!$B26,[3]Debt!$A$10:$O$62,13,0)/1000</f>
        <v>3.1006761023407998</v>
      </c>
      <c r="S26" s="1067">
        <f t="shared" si="0"/>
        <v>-2.3181456754173269E-13</v>
      </c>
      <c r="T26" s="1067">
        <f t="shared" si="1"/>
        <v>1.127986593019159E-13</v>
      </c>
      <c r="U26" s="1068">
        <f>G26-C26-(TableB3!B26-TableB4!B26)</f>
        <v>1.0036416142611415E-12</v>
      </c>
      <c r="V26" s="1068">
        <f>G26-C26-TableB1!G28</f>
        <v>0</v>
      </c>
      <c r="W26" s="594">
        <f t="shared" si="2"/>
        <v>2.9629632081196178E-12</v>
      </c>
      <c r="X26" s="594">
        <f t="shared" si="3"/>
        <v>-8.5353946133182035E-13</v>
      </c>
    </row>
    <row r="27" spans="2:24" x14ac:dyDescent="0.35">
      <c r="B27" s="1042" t="s">
        <v>67</v>
      </c>
      <c r="C27" s="900">
        <f>TableB4!B27</f>
        <v>24.191275703023997</v>
      </c>
      <c r="D27" s="901">
        <f>TableB4!C27</f>
        <v>12.265056118767999</v>
      </c>
      <c r="E27" s="902">
        <f>TableB4!H27</f>
        <v>0.50577551005228993</v>
      </c>
      <c r="F27" s="902">
        <f>TableB4!M27</f>
        <v>11.420444074204001</v>
      </c>
      <c r="G27" s="903">
        <f>TableB3!B27</f>
        <v>94.342008375046987</v>
      </c>
      <c r="H27" s="901">
        <f>TableB3!C27</f>
        <v>49.686658848633002</v>
      </c>
      <c r="I27" s="904">
        <f>TableB3!H27</f>
        <v>1.3660897354844002</v>
      </c>
      <c r="J27" s="902">
        <f>TableB3!M27</f>
        <v>43.290086221502001</v>
      </c>
      <c r="K27" s="306">
        <f>+VLOOKUP(TableB2!$B27,[3]Total!$A$10:$O$62,7,0)/1000</f>
        <v>205.56016597510001</v>
      </c>
      <c r="L27" s="905">
        <f>+VLOOKUP(TableB2!$B27,[3]Equity!$A$10:$O$62,7,0)/1000</f>
        <v>176.20746887966999</v>
      </c>
      <c r="M27" s="905">
        <f>+VLOOKUP(TableB2!$B27,[3]Debt!$A$10:$O$62,7,0)/1000</f>
        <v>29.352697095436</v>
      </c>
      <c r="N27" s="306">
        <f>+VLOOKUP(TableB2!$B27,[3]Total!$A$10:$O$62,4,0)/1000</f>
        <v>1260.1825726141001</v>
      </c>
      <c r="O27" s="905">
        <f>+VLOOKUP(TableB2!$B27,[3]Equity!$A$10:$O$62,4,0)/1000</f>
        <v>1148.2074688796999</v>
      </c>
      <c r="P27" s="1043">
        <f>+VLOOKUP(TableB2!$B27,[3]Debt!$A$10:$O$62,4,0)/1000</f>
        <v>111.97510373444</v>
      </c>
      <c r="Q27" s="319"/>
      <c r="S27" s="1067">
        <f t="shared" si="0"/>
        <v>-2.9309887850104133E-13</v>
      </c>
      <c r="T27" s="1067">
        <f t="shared" si="1"/>
        <v>-8.2643057241682527E-4</v>
      </c>
      <c r="U27" s="1068">
        <f>G27-C27-(TableB3!B27-TableB4!B27)</f>
        <v>0</v>
      </c>
      <c r="V27" s="1068">
        <f>G27-C27-TableB1!G29</f>
        <v>0</v>
      </c>
      <c r="W27" s="594">
        <f t="shared" si="2"/>
        <v>-5.9827698351000436E-12</v>
      </c>
      <c r="X27" s="594">
        <f t="shared" si="3"/>
        <v>-3.986144747614162E-11</v>
      </c>
    </row>
    <row r="28" spans="2:24" x14ac:dyDescent="0.35">
      <c r="B28" s="13" t="s">
        <v>68</v>
      </c>
      <c r="C28" s="892">
        <f>+VLOOKUP(TableB2!B28,[3]Allincome!$A$12:$O$45,10,0)/1000</f>
        <v>2.2611056400176999</v>
      </c>
      <c r="D28" s="889">
        <f>+VLOOKUP(TableB2!B28,[3]Div!$A$12:$O$45,10,0)/1000</f>
        <v>0.68829151943462996</v>
      </c>
      <c r="E28" s="894">
        <f>+VLOOKUP(TableB2!B28,[3]Int!$A$12:$O$45,10,0)/1000</f>
        <v>0.17891077738516001</v>
      </c>
      <c r="F28" s="894">
        <f>+VLOOKUP(TableB2!$B28,[3]Retained!$A$12:$O$46,10,0)/1000</f>
        <v>1.3939033431979</v>
      </c>
      <c r="G28" s="394">
        <f>+VLOOKUP(TableB2!B28,[3]Allincome!$A$12:$O$45,13,0)/1000</f>
        <v>-0.123834732</v>
      </c>
      <c r="H28" s="889">
        <f>+VLOOKUP(TableB2!B28,[3]Div!$A$12:$O$45,13,0)/1000</f>
        <v>3.7789467299999999</v>
      </c>
      <c r="I28" s="890">
        <f>+VLOOKUP(TableB2!B28,[3]Int!$A$12:$O$45,13,0)/1000</f>
        <v>0.42332999999999998</v>
      </c>
      <c r="J28" s="894">
        <f>+VLOOKUP(TableB2!$B28,[3]Retained!$A$12:$O$46,13,0)/1000</f>
        <v>-4.3261114620000001</v>
      </c>
      <c r="K28" s="306">
        <f>+VLOOKUP(TableB2!$B28,[3]Total!$A$10:$O$62,10,0)/1000</f>
        <v>169.65899999999999</v>
      </c>
      <c r="L28" s="8">
        <f>+VLOOKUP(TableB2!$B28,[3]Equity!$A$10:$O$62,10,0)/1000</f>
        <v>161.56899999999999</v>
      </c>
      <c r="M28" s="8">
        <f>+VLOOKUP(TableB2!$B28,[3]Debt!$A$10:$O$62,10,0)/1000</f>
        <v>8.09</v>
      </c>
      <c r="N28" s="306">
        <f>+VLOOKUP(TableB2!$B28,[3]Total!$A$10:$O$62,13,0)/1000</f>
        <v>276.15319290000002</v>
      </c>
      <c r="O28" s="8">
        <f>+VLOOKUP(TableB2!$B28,[3]Equity!$A$10:$O$62,13,0)/1000</f>
        <v>237.2694137</v>
      </c>
      <c r="P28" s="35">
        <f>+VLOOKUP(TableB2!$B28,[3]Debt!$A$10:$O$62,13,0)/1000</f>
        <v>38.883779260000004</v>
      </c>
      <c r="S28" s="1067">
        <f t="shared" si="0"/>
        <v>9.9920072216264089E-15</v>
      </c>
      <c r="T28" s="1067">
        <f t="shared" si="1"/>
        <v>0</v>
      </c>
      <c r="U28" s="1068">
        <f>G28-C28-(TableB3!B28-TableB4!B28)</f>
        <v>-2.577140372017698</v>
      </c>
      <c r="V28" s="1068">
        <f>G28-C28-TableB1!G30</f>
        <v>0</v>
      </c>
      <c r="W28" s="594">
        <f t="shared" si="2"/>
        <v>0</v>
      </c>
      <c r="X28" s="594">
        <f t="shared" si="3"/>
        <v>-5.9999983648140187E-8</v>
      </c>
    </row>
    <row r="29" spans="2:24" x14ac:dyDescent="0.35">
      <c r="B29" s="13" t="s">
        <v>69</v>
      </c>
      <c r="C29" s="892">
        <f>+VLOOKUP(TableB2!B29,[3]Allincome!$A$12:$O$45,10,0)/1000</f>
        <v>1.1514143094842</v>
      </c>
      <c r="D29" s="889">
        <f>+VLOOKUP(TableB2!B29,[3]Div!$A$12:$O$45,10,0)/1000</f>
        <v>0.62229617304493001</v>
      </c>
      <c r="E29" s="894">
        <f>+VLOOKUP(TableB2!B29,[3]Int!$A$12:$O$45,10,0)/1000</f>
        <v>5.3244592346090004E-2</v>
      </c>
      <c r="F29" s="894">
        <f>+VLOOKUP(TableB2!$B29,[3]Retained!$A$12:$O$46,10,0)/1000</f>
        <v>0.47587354409318</v>
      </c>
      <c r="G29" s="394">
        <f>+VLOOKUP(TableB2!B29,[3]Allincome!$A$12:$O$45,13,0)/1000</f>
        <v>0.15307820299501002</v>
      </c>
      <c r="H29" s="889">
        <f>+VLOOKUP(TableB2!B29,[3]Div!$A$12:$O$45,13,0)/1000</f>
        <v>8.7631724902939995E-2</v>
      </c>
      <c r="I29" s="890">
        <f>+VLOOKUP(TableB2!B29,[3]Int!$A$12:$O$45,13,0)/1000</f>
        <v>6.6555740432611993E-3</v>
      </c>
      <c r="J29" s="894">
        <f>+VLOOKUP(TableB2!$B29,[3]Retained!$A$12:$O$46,13,0)/1000</f>
        <v>5.8790904048808004E-2</v>
      </c>
      <c r="K29" s="306">
        <f>+VLOOKUP(TableB2!$B29,[3]Total!$A$10:$O$62,10,0)/1000</f>
        <v>14.74251497006</v>
      </c>
      <c r="L29" s="8">
        <f>+VLOOKUP(TableB2!$B29,[3]Equity!$A$10:$O$62,10,0)/1000</f>
        <v>11.890038105606999</v>
      </c>
      <c r="M29" s="8">
        <f>+VLOOKUP(TableB2!$B29,[3]Debt!$A$10:$O$62,10,0)/1000</f>
        <v>2.8524768644528997</v>
      </c>
      <c r="N29" s="306">
        <f>+VLOOKUP(TableB2!$B29,[3]Total!$A$10:$O$62,13,0)/1000</f>
        <v>1.4240609689710999</v>
      </c>
      <c r="O29" s="8">
        <f>+VLOOKUP(TableB2!$B29,[3]Equity!$A$10:$O$62,13,0)/1000</f>
        <v>1.0223189983669001</v>
      </c>
      <c r="P29" s="35">
        <f>+VLOOKUP(TableB2!$B29,[3]Debt!$A$10:$O$62,13,0)/1000</f>
        <v>0.40174197060424999</v>
      </c>
      <c r="S29" s="1067">
        <f t="shared" si="0"/>
        <v>0</v>
      </c>
      <c r="T29" s="1067">
        <f t="shared" si="1"/>
        <v>8.1878948066105295E-16</v>
      </c>
      <c r="U29" s="1068">
        <f>G29-C29-(TableB3!B29-TableB4!B29)</f>
        <v>-2.2185246811400328E-3</v>
      </c>
      <c r="V29" s="1068">
        <f>G29-C29-TableB1!G31</f>
        <v>0</v>
      </c>
      <c r="W29" s="594">
        <f t="shared" si="2"/>
        <v>1.0125233984581428E-13</v>
      </c>
      <c r="X29" s="594">
        <f t="shared" si="3"/>
        <v>-5.0182080713057076E-14</v>
      </c>
    </row>
    <row r="30" spans="2:24" x14ac:dyDescent="0.35">
      <c r="B30" s="13" t="s">
        <v>70</v>
      </c>
      <c r="C30" s="892">
        <f>+VLOOKUP(TableB2!B30,[3]Allincome!$A$12:$O$45,10,0)/1000</f>
        <v>64.729894620077999</v>
      </c>
      <c r="D30" s="889">
        <f>+VLOOKUP(TableB2!B30,[3]Div!$A$12:$O$45,10,0)/1000</f>
        <v>54.794231835829002</v>
      </c>
      <c r="E30" s="894">
        <f>+VLOOKUP(TableB2!B30,[3]Int!$A$12:$O$45,10,0)/1000</f>
        <v>1.6217415418747001</v>
      </c>
      <c r="F30" s="894">
        <f>+VLOOKUP(TableB2!$B30,[3]Retained!$A$12:$O$46,10,0)/1000</f>
        <v>8.3139212423738016</v>
      </c>
      <c r="G30" s="394">
        <f>+VLOOKUP(TableB2!B30,[3]Allincome!$A$12:$O$45,13,0)/1000</f>
        <v>90.370493621742</v>
      </c>
      <c r="H30" s="889">
        <f>+VLOOKUP(TableB2!B30,[3]Div!$A$12:$O$45,13,0)/1000</f>
        <v>77.974486966168001</v>
      </c>
      <c r="I30" s="890">
        <f>+VLOOKUP(TableB2!B30,[3]Int!$A$12:$O$45,13,0)/1000</f>
        <v>16.733222407099003</v>
      </c>
      <c r="J30" s="894">
        <f>+VLOOKUP(TableB2!$B30,[3]Retained!$A$12:$O$46,13,0)/1000</f>
        <v>-4.3372157515251999</v>
      </c>
      <c r="K30" s="306">
        <f>+VLOOKUP(TableB2!$B30,[3]Total!$A$10:$O$62,10,0)/1000</f>
        <v>3669.8345127926</v>
      </c>
      <c r="L30" s="8">
        <f>+VLOOKUP(TableB2!$B30,[3]Equity!$A$10:$O$62,10,0)/1000</f>
        <v>3345.5405552531001</v>
      </c>
      <c r="M30" s="8">
        <f>+VLOOKUP(TableB2!$B30,[3]Debt!$A$10:$O$62,10,0)/1000</f>
        <v>324.29395753947</v>
      </c>
      <c r="N30" s="306">
        <f>+VLOOKUP(TableB2!$B30,[3]Total!$A$10:$O$62,13,0)/1000</f>
        <v>4383.9096352749002</v>
      </c>
      <c r="O30" s="8">
        <f>+VLOOKUP(TableB2!$B30,[3]Equity!$A$10:$O$62,13,0)/1000</f>
        <v>4126.2917800761998</v>
      </c>
      <c r="P30" s="35">
        <f>+VLOOKUP(TableB2!$B30,[3]Debt!$A$10:$O$62,13,0)/1000</f>
        <v>257.61785519868999</v>
      </c>
      <c r="S30" s="1067">
        <f t="shared" si="0"/>
        <v>4.9560355819266988E-13</v>
      </c>
      <c r="T30" s="1067">
        <f t="shared" si="1"/>
        <v>1.9539925233402755E-13</v>
      </c>
      <c r="U30" s="1068">
        <f>G30-C30-(TableB3!B30-TableB4!B30)</f>
        <v>4.007461029686965E-12</v>
      </c>
      <c r="V30" s="1068">
        <f>G30-C30-TableB1!G32</f>
        <v>0</v>
      </c>
      <c r="W30" s="594">
        <f t="shared" si="2"/>
        <v>2.9842794901924208E-11</v>
      </c>
      <c r="X30" s="594">
        <f t="shared" si="3"/>
        <v>1.0459189070388675E-11</v>
      </c>
    </row>
    <row r="31" spans="2:24" x14ac:dyDescent="0.35">
      <c r="B31" s="13" t="s">
        <v>71</v>
      </c>
      <c r="C31" s="892">
        <f>+TableB10!$E$31/1000</f>
        <v>16.3</v>
      </c>
      <c r="D31" s="889">
        <f>H31-'[3]World BOP data'!$G$121/1000000000</f>
        <v>5.4101154658999997</v>
      </c>
      <c r="E31" s="890">
        <f>+C31-D31-F31</f>
        <v>0.151843042200003</v>
      </c>
      <c r="F31" s="1021">
        <f>+J31-'[3]World BOP data'!$H$121/1000000000</f>
        <v>10.738041491899999</v>
      </c>
      <c r="G31" s="394">
        <f>+TableB10!$N$31/1000</f>
        <v>4.55</v>
      </c>
      <c r="H31" s="889">
        <f>+'[3]IMF balance of payment all'!$F$122/1000000000</f>
        <v>1.7385203</v>
      </c>
      <c r="I31" s="890">
        <f>+G31-H31-J31</f>
        <v>0.55294680999999946</v>
      </c>
      <c r="J31" s="890">
        <f>+'[3]IMF balance of payment all'!$G$122/1000000000</f>
        <v>2.2585328900000001</v>
      </c>
      <c r="K31" s="306">
        <f>IF(VLOOKUP(B31,[3]CDIS_discrepancies_in_stocks!$A$3:$M$246,6,0)&gt;0,VLOOKUP(B31,[3]CDIS_discrepancies_in_stocks!$A$3:$M$246,6,0)/1000000000,VLOOKUP(B31,[3]CDIS_discrepancies_in_stocks!$A$3:$M$246,7,0)/1000000000)</f>
        <v>509</v>
      </c>
      <c r="L31" s="8">
        <f>IF(VLOOKUP($B31,[3]CDIS_discrepancies_in_stocks!$A$3:$M$246,8,0)&gt;0,VLOOKUP($B31,[3]CDIS_discrepancies_in_stocks!$A$3:$M$246,8,0)/1000000000,VLOOKUP($B31,[3]CDIS_discrepancies_in_stocks!$A$3:$M$246,9,0)/1000000000)</f>
        <v>398</v>
      </c>
      <c r="M31" s="8">
        <f>+K31-L31</f>
        <v>111</v>
      </c>
      <c r="N31" s="306">
        <f>IF(VLOOKUP(B31,[3]CDIS_discrepancies_in_stocks!$A$3:$M$246,2,0)&gt;0,VLOOKUP(B31,[3]CDIS_discrepancies_in_stocks!$A$3:$M$246,2,0)/1000000000,VLOOKUP(B31,[3]CDIS_discrepancies_in_stocks!$A$3:$M$246,3,0)/1000000000)</f>
        <v>146</v>
      </c>
      <c r="O31" s="8">
        <f>IF(VLOOKUP($B31,[3]CDIS_discrepancies_in_stocks!$A$3:$M$246,4,0)&gt;0,VLOOKUP($B31,[3]CDIS_discrepancies_in_stocks!$A$3:$M$246,4,0)/1000000000,VLOOKUP($B31,[3]CDIS_discrepancies_in_stocks!$A$3:$M$246,5,0)/1000000000)</f>
        <v>135</v>
      </c>
      <c r="P31" s="35">
        <f>+N31-O31</f>
        <v>11</v>
      </c>
      <c r="S31" s="1067">
        <f t="shared" si="0"/>
        <v>0</v>
      </c>
      <c r="T31" s="1067">
        <f t="shared" si="1"/>
        <v>0</v>
      </c>
      <c r="U31" s="1068">
        <f>G31-C31-(TableB3!B31-TableB4!B31)</f>
        <v>-11.75</v>
      </c>
      <c r="V31" s="1068">
        <f>G31-C31-TableB1!G33</f>
        <v>0</v>
      </c>
      <c r="W31" s="594">
        <f t="shared" si="2"/>
        <v>0</v>
      </c>
      <c r="X31" s="594">
        <f t="shared" si="3"/>
        <v>0</v>
      </c>
    </row>
    <row r="32" spans="2:24" x14ac:dyDescent="0.35">
      <c r="B32" s="13" t="s">
        <v>72</v>
      </c>
      <c r="C32" s="892">
        <f>+VLOOKUP(TableB2!B32,[3]Allincome!$A$12:$O$45,10,0)/1000</f>
        <v>181.21020521353</v>
      </c>
      <c r="D32" s="889">
        <f>+VLOOKUP(TableB2!B32,[3]Div!$A$12:$O$45,10,0)/1000</f>
        <v>118.95507487521</v>
      </c>
      <c r="E32" s="890">
        <f>+VLOOKUP(TableB2!B32,[3]Int!$A$12:$O$45,10,0)/1000</f>
        <v>20.098724348308</v>
      </c>
      <c r="F32" s="894">
        <f>+VLOOKUP(TableB2!$B32,[3]Retained!$A$12:$O$46,10,0)/1000</f>
        <v>42.155296727676003</v>
      </c>
      <c r="G32" s="394">
        <f>+VLOOKUP(TableB2!B32,[3]Allincome!$A$12:$O$45,13,0)/1000</f>
        <v>213.43760399333999</v>
      </c>
      <c r="H32" s="889">
        <f>+VLOOKUP(TableB2!B32,[3]Div!$A$12:$O$45,13,0)/1000</f>
        <v>172.83638380477001</v>
      </c>
      <c r="I32" s="890">
        <f>+VLOOKUP(TableB2!B32,[3]Int!$A$12:$O$45,13,0)/1000</f>
        <v>41.328896283970998</v>
      </c>
      <c r="J32" s="894">
        <f>+VLOOKUP(TableB2!$B32,[3]Retained!$A$12:$O$46,13,0)/1000</f>
        <v>-0.72767609539655997</v>
      </c>
      <c r="K32" s="306">
        <f>+VLOOKUP(TableB2!$B32,[3]Total!$A$10:$O$62,10,0)/1000</f>
        <v>4020.7969515514001</v>
      </c>
      <c r="L32" s="8">
        <f>+VLOOKUP(TableB2!$B32,[3]Equity!$A$10:$O$62,10,0)/1000</f>
        <v>3033.1836690256</v>
      </c>
      <c r="M32" s="8">
        <f>+VLOOKUP(TableB2!$B32,[3]Debt!$A$10:$O$62,10,0)/1000</f>
        <v>987.61328252585997</v>
      </c>
      <c r="N32" s="306">
        <f>+VLOOKUP(TableB2!$B32,[3]Total!$A$10:$O$62,13,0)/1000</f>
        <v>4936.9571039739003</v>
      </c>
      <c r="O32" s="8">
        <f>+VLOOKUP(TableB2!$B32,[3]Equity!$A$10:$O$62,13,0)/1000</f>
        <v>3645.9225911813</v>
      </c>
      <c r="P32" s="35">
        <f>+VLOOKUP(TableB2!$B32,[3]Debt!$A$10:$O$62,13,0)/1000</f>
        <v>1291.0345127926</v>
      </c>
      <c r="S32" s="1067">
        <f t="shared" si="0"/>
        <v>1.1092623360013931E-3</v>
      </c>
      <c r="T32" s="1067">
        <f t="shared" si="1"/>
        <v>-4.4557690870306033E-12</v>
      </c>
      <c r="U32" s="1068">
        <f>G32-C32-(TableB3!B32-TableB4!B32)</f>
        <v>-3.3277870002734744E-4</v>
      </c>
      <c r="V32" s="1068">
        <f>G32-C32-TableB1!G34</f>
        <v>0</v>
      </c>
      <c r="W32" s="594">
        <f t="shared" si="2"/>
        <v>-5.9912963479291648E-11</v>
      </c>
      <c r="X32" s="594">
        <f t="shared" si="3"/>
        <v>0</v>
      </c>
    </row>
    <row r="33" spans="1:24" x14ac:dyDescent="0.35">
      <c r="B33" s="13" t="s">
        <v>73</v>
      </c>
      <c r="C33" s="892">
        <f>+VLOOKUP(TableB2!B33,[3]Allincome!$A$12:$O$45,10,0)/1000</f>
        <v>5.8876028447914992</v>
      </c>
      <c r="D33" s="889">
        <f>+VLOOKUP(TableB2!B33,[3]Div!$A$12:$O$45,10,0)/1000</f>
        <v>4.2455724445684</v>
      </c>
      <c r="E33" s="894">
        <f>+VLOOKUP(TableB2!B33,[3]Int!$A$12:$O$45,10,0)/1000</f>
        <v>0.64286710361176991</v>
      </c>
      <c r="F33" s="894">
        <f>+VLOOKUP(TableB2!$B33,[3]Retained!$A$12:$O$46,10,0)/1000</f>
        <v>0.99846604378747994</v>
      </c>
      <c r="G33" s="394">
        <f>+VLOOKUP(TableB2!B33,[3]Allincome!$A$12:$O$45,13,0)/1000</f>
        <v>0.51108631989960007</v>
      </c>
      <c r="H33" s="889">
        <f>+VLOOKUP(TableB2!B33,[3]Div!$A$12:$O$45,13,0)/1000</f>
        <v>0.50760005578022993</v>
      </c>
      <c r="I33" s="890">
        <f>+VLOOKUP(TableB2!B33,[3]Int!$A$12:$O$45,13,0)/1000</f>
        <v>1.5339562125227E-2</v>
      </c>
      <c r="J33" s="894">
        <f>+VLOOKUP(TableB2!$B33,[3]Retained!$A$12:$O$46,13,0)/1000</f>
        <v>-1.3247803653605001E-2</v>
      </c>
      <c r="K33" s="306">
        <f>+VLOOKUP(TableB2!$B33,[3]Total!$A$10:$O$62,10,0)/1000</f>
        <v>66.604807231390993</v>
      </c>
      <c r="L33" s="8">
        <f>+VLOOKUP(TableB2!$B33,[3]Equity!$A$10:$O$62,10,0)/1000</f>
        <v>44.933917688146003</v>
      </c>
      <c r="M33" s="8">
        <f>+VLOOKUP(TableB2!$B33,[3]Debt!$A$10:$O$62,10,0)/1000</f>
        <v>21.670889543245</v>
      </c>
      <c r="N33" s="306">
        <f>+VLOOKUP(TableB2!$B33,[3]Total!$A$10:$O$62,13,0)/1000</f>
        <v>17.025953571184001</v>
      </c>
      <c r="O33" s="8">
        <f>+VLOOKUP(TableB2!$B33,[3]Equity!$A$10:$O$62,13,0)/1000</f>
        <v>13.527357392317001</v>
      </c>
      <c r="P33" s="35">
        <f>+VLOOKUP(TableB2!$B33,[3]Debt!$A$10:$O$62,13,0)/1000</f>
        <v>3.4985961788674</v>
      </c>
      <c r="S33" s="1067">
        <f t="shared" si="0"/>
        <v>6.9725282384935916E-4</v>
      </c>
      <c r="T33" s="1067">
        <f t="shared" si="1"/>
        <v>1.3945056477481423E-3</v>
      </c>
      <c r="U33" s="1067">
        <f>G33-C33-(TableB3!B33-TableB4!B33)</f>
        <v>-6.9725282387977927E-4</v>
      </c>
      <c r="V33" s="1068">
        <f>G33-C33-TableB1!G35</f>
        <v>0</v>
      </c>
      <c r="W33" s="594">
        <f t="shared" si="2"/>
        <v>0</v>
      </c>
      <c r="X33" s="594">
        <f t="shared" si="3"/>
        <v>-3.9968028886505635E-13</v>
      </c>
    </row>
    <row r="34" spans="1:24" x14ac:dyDescent="0.35">
      <c r="B34" s="15" t="s">
        <v>74</v>
      </c>
      <c r="C34" s="892">
        <f>+VLOOKUP(TableB2!B34,[3]Allincome!$A$12:$O$45,10,0)/1000</f>
        <v>6.0380938209143995</v>
      </c>
      <c r="D34" s="889">
        <f>+VLOOKUP(TableB2!B34,[3]Div!$A$12:$O$45,10,0)/1000</f>
        <v>5.170070557891</v>
      </c>
      <c r="E34" s="894">
        <f>+VLOOKUP(TableB2!B34,[3]Int!$A$12:$O$45,10,0)/1000</f>
        <v>2.1895266793150001</v>
      </c>
      <c r="F34" s="894">
        <f>+VLOOKUP(TableB2!$B34,[3]Retained!$A$12:$O$46,10,0)/1000</f>
        <v>-1.3215034162916</v>
      </c>
      <c r="G34" s="394">
        <f>+VLOOKUP(TableB2!B34,[3]Allincome!$A$12:$O$45,13,0)/1000</f>
        <v>9.0784073013156998</v>
      </c>
      <c r="H34" s="889">
        <f>+VLOOKUP(TableB2!B34,[3]Div!$A$12:$O$45,13,0)/1000</f>
        <v>7.1363912552856004</v>
      </c>
      <c r="I34" s="890">
        <f>+VLOOKUP(TableB2!B34,[3]Int!$A$12:$O$45,13,0)/1000</f>
        <v>0.45112409012561999</v>
      </c>
      <c r="J34" s="894">
        <f>+VLOOKUP(TableB2!$B34,[3]Retained!$A$12:$O$46,13,0)/1000</f>
        <v>1.4907679525811</v>
      </c>
      <c r="K34" s="306">
        <f>+VLOOKUP(TableB2!$B34,[3]Total!$A$10:$O$62,10,0)/1000</f>
        <v>149.47309875142</v>
      </c>
      <c r="L34" s="8">
        <f>+VLOOKUP(TableB2!$B34,[3]Equity!$A$10:$O$62,10,0)/1000</f>
        <v>99.822701475595991</v>
      </c>
      <c r="M34" s="8">
        <f>+VLOOKUP(TableB2!$B34,[3]Debt!$A$10:$O$62,10,0)/1000</f>
        <v>49.650397275823003</v>
      </c>
      <c r="N34" s="306">
        <f>+VLOOKUP(TableB2!$B34,[3]Total!$A$10:$O$62,13,0)/1000</f>
        <v>174.38751418842</v>
      </c>
      <c r="O34" s="8">
        <f>+VLOOKUP(TableB2!$B34,[3]Equity!$A$10:$O$62,13,0)/1000</f>
        <v>178.80885357547999</v>
      </c>
      <c r="P34" s="35">
        <f>+VLOOKUP(TableB2!$B34,[3]Debt!$A$10:$O$62,13,0)/1000</f>
        <v>-4.4213393870602005</v>
      </c>
      <c r="S34" s="1067">
        <f t="shared" si="0"/>
        <v>0</v>
      </c>
      <c r="T34" s="1067">
        <f t="shared" si="1"/>
        <v>1.2400332337958453E-4</v>
      </c>
      <c r="U34" s="1067">
        <f>G34-C34-(TableB3!B34-TableB4!B34)</f>
        <v>1.0230274171352018</v>
      </c>
      <c r="V34" s="1068">
        <f>G34-C34-TableB1!G36</f>
        <v>0</v>
      </c>
      <c r="W34" s="594">
        <f t="shared" si="2"/>
        <v>1.0018652574217413E-12</v>
      </c>
      <c r="X34" s="594">
        <f t="shared" si="3"/>
        <v>2.1316282072803006E-13</v>
      </c>
    </row>
    <row r="35" spans="1:24" x14ac:dyDescent="0.35">
      <c r="B35" s="13" t="s">
        <v>75</v>
      </c>
      <c r="C35" s="892">
        <f>+VLOOKUP(TableB2!B35,[3]Allincome!$A$12:$O$45,10,0)/1000</f>
        <v>18.178345976340999</v>
      </c>
      <c r="D35" s="889">
        <f>+VLOOKUP(TableB2!B35,[3]Div!$A$12:$O$45,10,0)/1000</f>
        <v>7.9880112460876997</v>
      </c>
      <c r="E35" s="894">
        <f>+VLOOKUP(TableB2!B35,[3]Int!$A$12:$O$45,10,0)/1000</f>
        <v>2.1004721234948001</v>
      </c>
      <c r="F35" s="894">
        <f>+VLOOKUP(TableB2!$B35,[3]Retained!$A$12:$O$46,10,0)/1000</f>
        <v>8.0898626067583006</v>
      </c>
      <c r="G35" s="394">
        <f>+VLOOKUP(TableB2!B35,[3]Allincome!$A$12:$O$45,13,0)/1000</f>
        <v>0.71903347302530007</v>
      </c>
      <c r="H35" s="889">
        <f>+VLOOKUP(TableB2!B35,[3]Div!$A$12:$O$45,13,0)/1000</f>
        <v>0.69948543843827993</v>
      </c>
      <c r="I35" s="890">
        <f>+VLOOKUP(TableB2!B35,[3]Int!$A$12:$O$45,13,0)/1000</f>
        <v>3.7398546496207E-3</v>
      </c>
      <c r="J35" s="894">
        <f>+VLOOKUP(TableB2!$B35,[3]Retained!$A$12:$O$46,13,0)/1000</f>
        <v>1.5808179937404E-2</v>
      </c>
      <c r="K35" s="306">
        <f>+VLOOKUP(TableB2!$B35,[3]Total!$A$10:$O$62,10,0)/1000</f>
        <v>185.17692445719999</v>
      </c>
      <c r="L35" s="8">
        <f>+VLOOKUP(TableB2!$B35,[3]Equity!$A$10:$O$62,10,0)/1000</f>
        <v>139.13101432929</v>
      </c>
      <c r="M35" s="8">
        <f>+VLOOKUP(TableB2!$B35,[3]Debt!$A$10:$O$62,10,0)/1000</f>
        <v>46.045910127912997</v>
      </c>
      <c r="N35" s="306">
        <f>+VLOOKUP(TableB2!$B35,[3]Total!$A$10:$O$62,13,0)/1000</f>
        <v>23.588628848273999</v>
      </c>
      <c r="O35" s="8">
        <f>+VLOOKUP(TableB2!$B35,[3]Equity!$A$10:$O$62,13,0)/1000</f>
        <v>25.205070364769</v>
      </c>
      <c r="P35" s="35">
        <f>+VLOOKUP(TableB2!$B35,[3]Debt!$A$10:$O$62,13,0)/1000</f>
        <v>-1.6164415164953001</v>
      </c>
      <c r="S35" s="1067">
        <f t="shared" si="0"/>
        <v>1.9895196601282805E-13</v>
      </c>
      <c r="T35" s="1067">
        <f t="shared" si="1"/>
        <v>-4.5519144009631418E-15</v>
      </c>
      <c r="U35" s="1067">
        <f>G35-C35-(TableB3!B35-TableB4!B35)</f>
        <v>-1.0302869668521453E-13</v>
      </c>
      <c r="V35" s="1068">
        <f>G35-C35-TableB1!G37</f>
        <v>0</v>
      </c>
      <c r="W35" s="594">
        <f t="shared" si="2"/>
        <v>-3.0055957722652238E-12</v>
      </c>
      <c r="X35" s="594">
        <f t="shared" si="3"/>
        <v>2.9864999362416711E-13</v>
      </c>
    </row>
    <row r="36" spans="1:24" x14ac:dyDescent="0.35">
      <c r="B36" s="13" t="s">
        <v>76</v>
      </c>
      <c r="C36" s="892">
        <f>+VLOOKUP(TableB2!B36,[3]Allincome!$A$12:$O$45,10,0)/1000</f>
        <v>4.8574597892401998</v>
      </c>
      <c r="D36" s="889">
        <f>+VLOOKUP(TableB2!B36,[3]Div!$A$12:$O$45,10,0)/1000</f>
        <v>3.1136993899057002</v>
      </c>
      <c r="E36" s="894">
        <f>+VLOOKUP(TableB2!B36,[3]Int!$A$12:$O$45,10,0)/1000</f>
        <v>0.75873544093178003</v>
      </c>
      <c r="F36" s="894">
        <f>+VLOOKUP(TableB2!$B36,[3]Retained!$A$12:$O$46,10,0)/1000</f>
        <v>0.98502495840266002</v>
      </c>
      <c r="G36" s="394">
        <f>+VLOOKUP(TableB2!B36,[3]Allincome!$A$12:$O$45,13,0)/1000</f>
        <v>1.9123682750971001</v>
      </c>
      <c r="H36" s="889">
        <f>+VLOOKUP(TableB2!B36,[3]Div!$A$12:$O$45,13,0)/1000</f>
        <v>1.3255684969495001</v>
      </c>
      <c r="I36" s="890">
        <f>+VLOOKUP(TableB2!B36,[3]Int!$A$12:$O$45,13,0)/1000</f>
        <v>-0.12534664448141999</v>
      </c>
      <c r="J36" s="894">
        <f>+VLOOKUP(TableB2!$B36,[3]Retained!$A$12:$O$46,13,0)/1000</f>
        <v>0.71214642262895</v>
      </c>
      <c r="K36" s="306">
        <f>+VLOOKUP(TableB2!$B36,[3]Total!$A$10:$O$62,10,0)/1000</f>
        <v>117.18018508438</v>
      </c>
      <c r="L36" s="8">
        <f>+VLOOKUP(TableB2!$B36,[3]Equity!$A$10:$O$62,10,0)/1000</f>
        <v>104.49319542733001</v>
      </c>
      <c r="M36" s="8">
        <f>+VLOOKUP(TableB2!$B36,[3]Debt!$A$10:$O$62,10,0)/1000</f>
        <v>12.686989657050001</v>
      </c>
      <c r="N36" s="306">
        <f>+VLOOKUP(TableB2!$B36,[3]Total!$A$10:$O$62,13,0)/1000</f>
        <v>56.708764289603003</v>
      </c>
      <c r="O36" s="8">
        <f>+VLOOKUP(TableB2!$B36,[3]Equity!$A$10:$O$62,13,0)/1000</f>
        <v>61.250952640173999</v>
      </c>
      <c r="P36" s="35">
        <f>+VLOOKUP(TableB2!$B36,[3]Debt!$A$10:$O$62,13,0)/1000</f>
        <v>-4.5421883505715996</v>
      </c>
      <c r="S36" s="1067">
        <f t="shared" si="0"/>
        <v>5.9618976422370906E-14</v>
      </c>
      <c r="T36" s="1067">
        <f t="shared" si="1"/>
        <v>6.9944050551384862E-14</v>
      </c>
      <c r="U36" s="1067">
        <f>G36-C36-(TableB3!B36-TableB4!B36)</f>
        <v>1.109262340600381E-3</v>
      </c>
      <c r="V36" s="1068">
        <f>G36-C36-TableB1!G38</f>
        <v>0</v>
      </c>
      <c r="W36" s="594">
        <f t="shared" si="2"/>
        <v>0</v>
      </c>
      <c r="X36" s="594">
        <f t="shared" si="3"/>
        <v>6.0396132539608516E-13</v>
      </c>
    </row>
    <row r="37" spans="1:24" x14ac:dyDescent="0.35">
      <c r="B37" s="13" t="s">
        <v>77</v>
      </c>
      <c r="C37" s="892">
        <f>+VLOOKUP(TableB2!B37,[3]Allincome!$A$12:$O$45,10,0)/1000</f>
        <v>4.4209847509705993</v>
      </c>
      <c r="D37" s="889">
        <f>+VLOOKUP(TableB2!B37,[3]Div!$A$12:$O$45,10,0)/1000</f>
        <v>3.3260375463117002</v>
      </c>
      <c r="E37" s="894">
        <f>+VLOOKUP(TableB2!B37,[3]Int!$A$12:$O$45,10,0)/1000</f>
        <v>0.30803216860788002</v>
      </c>
      <c r="F37" s="894">
        <f>+VLOOKUP(TableB2!$B37,[3]Retained!$A$12:$O$46,10,0)/1000</f>
        <v>0.78691503605103008</v>
      </c>
      <c r="G37" s="394">
        <f>+VLOOKUP(TableB2!B37,[3]Allincome!$A$12:$O$45,13,0)/1000</f>
        <v>0.35041336661119998</v>
      </c>
      <c r="H37" s="889">
        <f>+VLOOKUP(TableB2!B37,[3]Div!$A$12:$O$45,13,0)/1000</f>
        <v>0.30484747642818</v>
      </c>
      <c r="I37" s="890">
        <f>+VLOOKUP(TableB2!B37,[3]Int!$A$12:$O$45,13,0)/1000</f>
        <v>1.5254575707155001E-2</v>
      </c>
      <c r="J37" s="894">
        <f>+VLOOKUP(TableB2!$B37,[3]Retained!$A$12:$O$46,13,0)/1000</f>
        <v>3.0311314475873999E-2</v>
      </c>
      <c r="K37" s="306">
        <f>+VLOOKUP(TableB2!$B37,[3]Total!$A$10:$O$62,10,0)/1000</f>
        <v>46.015734349482997</v>
      </c>
      <c r="L37" s="8">
        <f>+VLOOKUP(TableB2!$B37,[3]Equity!$A$10:$O$62,10,0)/1000</f>
        <v>39.104869896570001</v>
      </c>
      <c r="M37" s="8">
        <f>+VLOOKUP(TableB2!$B37,[3]Debt!$A$10:$O$62,10,0)/1000</f>
        <v>6.9108644529124001</v>
      </c>
      <c r="N37" s="306">
        <f>+VLOOKUP(TableB2!$B37,[3]Total!$A$10:$O$62,13,0)/1000</f>
        <v>2.4622449646161999</v>
      </c>
      <c r="O37" s="8">
        <f>+VLOOKUP(TableB2!$B37,[3]Equity!$A$10:$O$62,13,0)/1000</f>
        <v>1.8875068045727001</v>
      </c>
      <c r="P37" s="35">
        <f>+VLOOKUP(TableB2!$B37,[3]Debt!$A$10:$O$62,13,0)/1000</f>
        <v>0.57473816004355005</v>
      </c>
      <c r="S37" s="1067">
        <f t="shared" si="0"/>
        <v>-1.099120794378905E-14</v>
      </c>
      <c r="T37" s="1067">
        <f t="shared" si="1"/>
        <v>-9.0136231811754897E-15</v>
      </c>
      <c r="U37" s="1067">
        <f>G37-C37-(TableB3!B37-TableB4!B37)</f>
        <v>2.042810365310288E-14</v>
      </c>
      <c r="V37" s="1068">
        <f>G37-C37-TableB1!G39</f>
        <v>0</v>
      </c>
      <c r="W37" s="594">
        <f t="shared" si="2"/>
        <v>5.9596771961878403E-13</v>
      </c>
      <c r="X37" s="594">
        <f t="shared" si="3"/>
        <v>-5.0293103015519591E-14</v>
      </c>
    </row>
    <row r="38" spans="1:24" x14ac:dyDescent="0.35">
      <c r="B38" s="15" t="s">
        <v>78</v>
      </c>
      <c r="C38" s="892">
        <f>+VLOOKUP(TableB2!B38,[3]Allincome!$A$12:$O$45,10,0)/1000</f>
        <v>1.0781763727120999</v>
      </c>
      <c r="D38" s="889">
        <f>+VLOOKUP(TableB2!B38,[3]Div!$A$12:$O$45,10,0)/1000</f>
        <v>0.53209095951191998</v>
      </c>
      <c r="E38" s="894">
        <f>+VLOOKUP(TableB2!B38,[3]Int!$A$12:$O$45,10,0)/1000</f>
        <v>5.6714364947310004E-2</v>
      </c>
      <c r="F38" s="894">
        <f>+VLOOKUP(TableB2!$B38,[3]Retained!$A$12:$O$46,10,0)/1000</f>
        <v>0.48937104825291</v>
      </c>
      <c r="G38" s="394">
        <f>+VLOOKUP(TableB2!B38,[3]Allincome!$A$12:$O$45,13,0)/1000</f>
        <v>5.5168053244592001E-2</v>
      </c>
      <c r="H38" s="889">
        <f>+VLOOKUP(TableB2!B38,[3]Div!$A$12:$O$45,13,0)/1000</f>
        <v>9.5288962839711999E-2</v>
      </c>
      <c r="I38" s="890">
        <f>+VLOOKUP(TableB2!B38,[3]Int!$A$12:$O$45,13,0)/1000</f>
        <v>3.3369938990571002E-2</v>
      </c>
      <c r="J38" s="894">
        <f>+VLOOKUP(TableB2!$B38,[3]Retained!$A$12:$O$46,13,0)/1000</f>
        <v>-7.3490848585690993E-2</v>
      </c>
      <c r="K38" s="306">
        <f>+VLOOKUP(TableB2!$B38,[3]Total!$A$10:$O$62,10,0)/1000</f>
        <v>12.642377789874999</v>
      </c>
      <c r="L38" s="8">
        <f>+VLOOKUP(TableB2!$B38,[3]Equity!$A$10:$O$62,10,0)/1000</f>
        <v>10.673601524223999</v>
      </c>
      <c r="M38" s="8">
        <f>+VLOOKUP(TableB2!$B38,[3]Debt!$A$10:$O$62,10,0)/1000</f>
        <v>1.9687762656504999</v>
      </c>
      <c r="N38" s="306">
        <f>+VLOOKUP(TableB2!$B38,[3]Total!$A$10:$O$62,13,0)/1000</f>
        <v>5.9971965160587999</v>
      </c>
      <c r="O38" s="8">
        <f>+VLOOKUP(TableB2!$B38,[3]Equity!$A$10:$O$62,13,0)/1000</f>
        <v>4.3100827436036999</v>
      </c>
      <c r="P38" s="35">
        <f>+VLOOKUP(TableB2!$B38,[3]Debt!$A$10:$O$62,13,0)/1000</f>
        <v>1.6871137724551</v>
      </c>
      <c r="S38" s="1067">
        <f t="shared" si="0"/>
        <v>-4.0134562340199409E-14</v>
      </c>
      <c r="T38" s="1067">
        <f t="shared" si="1"/>
        <v>0</v>
      </c>
      <c r="U38" s="1067">
        <f>G38-C38-(TableB3!B38-TableB4!B38)</f>
        <v>-2.2185246377759427E-6</v>
      </c>
      <c r="V38" s="1068">
        <f>G38-C38-TableB1!G40</f>
        <v>0</v>
      </c>
      <c r="W38" s="594">
        <f t="shared" si="2"/>
        <v>5.0004445029117051E-13</v>
      </c>
      <c r="X38" s="594">
        <f t="shared" si="3"/>
        <v>0</v>
      </c>
    </row>
    <row r="39" spans="1:24" x14ac:dyDescent="0.35">
      <c r="B39" s="13" t="s">
        <v>79</v>
      </c>
      <c r="C39" s="892">
        <f>+VLOOKUP(TableB2!B39,[3]Allincome!$A$12:$O$45,10,0)/1000</f>
        <v>21.338879645035998</v>
      </c>
      <c r="D39" s="901">
        <f>C39-E39-F39</f>
        <v>12.759955629506329</v>
      </c>
      <c r="E39" s="902">
        <f>+VLOOKUP(TableB2!B39,[3]Int!$A$12:$O$45,10,0)/1000</f>
        <v>3.1103716028840998</v>
      </c>
      <c r="F39" s="904">
        <f>0.3*(C39-E39)</f>
        <v>5.4685524126455691</v>
      </c>
      <c r="G39" s="903">
        <f>+VLOOKUP(TableB2!B39,[3]Allincome!$A$12:$O$45,13,0)/1000</f>
        <v>30.208541320022</v>
      </c>
      <c r="H39" s="901">
        <f>G39-I39-J39</f>
        <v>22.06999445368816</v>
      </c>
      <c r="I39" s="904">
        <f>+VLOOKUP(TableB2!B39,[3]Int!$A$12:$O$45,13,0)/1000</f>
        <v>-1.3200221852468002</v>
      </c>
      <c r="J39" s="904">
        <f>0.3*(G39-I39)</f>
        <v>9.4585690515806391</v>
      </c>
      <c r="K39" s="306">
        <f>+VLOOKUP(TableB2!$B39,[3]Total!$A$10:$O$62,10,0)/1000</f>
        <v>543.89874795863</v>
      </c>
      <c r="L39" s="8">
        <f>+VLOOKUP(TableB2!$B39,[3]Equity!$A$10:$O$62,10,0)/1000</f>
        <v>450.21556886228001</v>
      </c>
      <c r="M39" s="8">
        <f>+VLOOKUP(TableB2!$B39,[3]Debt!$A$10:$O$62,10,0)/1000</f>
        <v>93.683179096352987</v>
      </c>
      <c r="N39" s="306">
        <f>+VLOOKUP(TableB2!$B39,[3]Total!$A$10:$O$62,13,0)/1000</f>
        <v>492.51388132824997</v>
      </c>
      <c r="O39" s="8">
        <f>+VLOOKUP(TableB2!$B39,[3]Equity!$A$10:$O$62,13,0)/1000</f>
        <v>532.58464888405001</v>
      </c>
      <c r="P39" s="35">
        <f>+VLOOKUP(TableB2!$B39,[3]Debt!$A$10:$O$62,13,0)/1000</f>
        <v>-40.069678824169998</v>
      </c>
      <c r="S39" s="1067">
        <f t="shared" si="0"/>
        <v>0</v>
      </c>
      <c r="T39" s="1067">
        <f t="shared" si="1"/>
        <v>0</v>
      </c>
      <c r="U39" s="1067">
        <f>G39-C39-(TableB3!B39-TableB4!B39)</f>
        <v>1.109262339998196E-3</v>
      </c>
      <c r="V39" s="1068">
        <f>G39-C39-TableB1!G41</f>
        <v>0</v>
      </c>
      <c r="W39" s="594">
        <f t="shared" si="2"/>
        <v>-2.9984903449076228E-12</v>
      </c>
      <c r="X39" s="594">
        <f t="shared" si="3"/>
        <v>-1.0887316300483008E-3</v>
      </c>
    </row>
    <row r="40" spans="1:24" x14ac:dyDescent="0.35">
      <c r="B40" s="13" t="s">
        <v>80</v>
      </c>
      <c r="C40" s="892">
        <f>+VLOOKUP(TableB2!B40,[3]Allincome!$A$12:$O$45,10,0)/1000</f>
        <v>20.771594319813001</v>
      </c>
      <c r="D40" s="901">
        <f>+VLOOKUP(TableB2!B40,[3]Div!$A$12:$O$45,10,0)/1000</f>
        <v>13.67563142847</v>
      </c>
      <c r="E40" s="902">
        <f>+VLOOKUP(TableB2!B40,[3]Int!$A$12:$O$45,10,0)/1000</f>
        <v>1.6201819842692</v>
      </c>
      <c r="F40" s="902">
        <f>+VLOOKUP(TableB2!$B40,[3]Retained!$A$12:$O$46,10,0)/1000</f>
        <v>5.4757809070740997</v>
      </c>
      <c r="G40" s="903">
        <f>+VLOOKUP(TableB2!B40,[3]Allincome!$A$12:$O$45,13,0)/1000</f>
        <v>28.633219840319001</v>
      </c>
      <c r="H40" s="901">
        <f>+VLOOKUP(TableB2!B40,[3]Div!$A$12:$O$45,13,0)/1000</f>
        <v>20.092415740334001</v>
      </c>
      <c r="I40" s="904">
        <f>+VLOOKUP(TableB2!B40,[3]Int!$A$12:$O$45,13,0)/1000</f>
        <v>1.4676189007390998</v>
      </c>
      <c r="J40" s="902">
        <f>+VLOOKUP(TableB2!$B40,[3]Retained!$A$12:$O$46,13,0)/1000</f>
        <v>7.0730665654325007</v>
      </c>
      <c r="K40" s="306">
        <f>+VLOOKUP(TableB2!$B40,[3]Total!$A$10:$O$62,10,0)/1000</f>
        <v>302.68955549237</v>
      </c>
      <c r="L40" s="8">
        <f>+VLOOKUP(TableB2!$B40,[3]Equity!$A$10:$O$62,10,0)/1000</f>
        <v>244.29817078950001</v>
      </c>
      <c r="M40" s="8">
        <f>+VLOOKUP(TableB2!$B40,[3]Debt!$A$10:$O$62,10,0)/1000</f>
        <v>58.391384702871996</v>
      </c>
      <c r="N40" s="306">
        <f>+VLOOKUP(TableB2!$B40,[3]Total!$A$10:$O$62,13,0)/1000</f>
        <v>374.40183394938998</v>
      </c>
      <c r="O40" s="8">
        <f>+VLOOKUP(TableB2!$B40,[3]Equity!$A$10:$O$62,13,0)/1000</f>
        <v>344.20576248697</v>
      </c>
      <c r="P40" s="35">
        <f>+VLOOKUP(TableB2!$B40,[3]Debt!$A$10:$O$62,13,0)/1000</f>
        <v>30.196071462421003</v>
      </c>
      <c r="S40" s="1067">
        <f t="shared" si="0"/>
        <v>-2.9842794901924208E-13</v>
      </c>
      <c r="T40" s="1067">
        <f t="shared" si="1"/>
        <v>1.1863381339871637E-4</v>
      </c>
      <c r="U40" s="1067">
        <f>G40-C40-(TableB3!B40-TableB4!B40)</f>
        <v>0</v>
      </c>
      <c r="V40" s="1068">
        <f>G40-C40-TableB1!G42</f>
        <v>0</v>
      </c>
      <c r="W40" s="594">
        <f t="shared" si="2"/>
        <v>-1.9966250874858815E-12</v>
      </c>
      <c r="X40" s="594">
        <f t="shared" si="3"/>
        <v>-1.0231815394945443E-12</v>
      </c>
    </row>
    <row r="41" spans="1:24" x14ac:dyDescent="0.35">
      <c r="B41" s="13" t="s">
        <v>1</v>
      </c>
      <c r="C41" s="892">
        <f>+VLOOKUP(TableB2!B41,[3]Allincome!$A$12:$O$45,10,0)/1000</f>
        <v>60.637403417950004</v>
      </c>
      <c r="D41" s="901">
        <f>+VLOOKUP(TableB2!B41,[3]Div!$A$12:$O$45,10,0)/1000</f>
        <v>42.610408115972</v>
      </c>
      <c r="E41" s="902">
        <f>+VLOOKUP(TableB2!B41,[3]Int!$A$12:$O$45,10,0)/1000</f>
        <v>1.2316350712808</v>
      </c>
      <c r="F41" s="902">
        <f>+VLOOKUP(TableB2!$B41,[3]Retained!$A$12:$O$46,10,0)/1000</f>
        <v>16.795360230697</v>
      </c>
      <c r="G41" s="903">
        <f>+VLOOKUP(TableB2!B41,[3]Allincome!$A$12:$O$45,13,0)/1000</f>
        <v>91.005563908596997</v>
      </c>
      <c r="H41" s="901">
        <f>+VLOOKUP(TableB2!B41,[3]Div!$A$12:$O$45,13,0)/1000</f>
        <v>55.682380988169001</v>
      </c>
      <c r="I41" s="904">
        <f>+VLOOKUP(TableB2!B41,[3]Int!$A$12:$O$45,13,0)/1000</f>
        <v>4.7816502593498003</v>
      </c>
      <c r="J41" s="902">
        <f>+VLOOKUP(TableB2!$B41,[3]Retained!$A$12:$O$46,13,0)/1000</f>
        <v>30.541532661079</v>
      </c>
      <c r="K41" s="306">
        <f>+VLOOKUP(TableB2!$B41,[3]Total!$A$10:$O$62,10,0)/1000</f>
        <v>886.72579101573001</v>
      </c>
      <c r="L41" s="8">
        <f>+VLOOKUP(TableB2!$B41,[3]Equity!$A$10:$O$62,10,0)/1000</f>
        <v>864.70592575345006</v>
      </c>
      <c r="M41" s="8">
        <f>+VLOOKUP(TableB2!$B41,[3]Debt!$A$10:$O$62,10,0)/1000</f>
        <v>22.019865262281002</v>
      </c>
      <c r="N41" s="306">
        <f>+VLOOKUP(TableB2!$B41,[3]Total!$A$10:$O$62,13,0)/1000</f>
        <v>1136.6492673456</v>
      </c>
      <c r="O41" s="8">
        <f>+VLOOKUP(TableB2!$B41,[3]Equity!$A$10:$O$62,13,0)/1000</f>
        <v>1013.7179756682</v>
      </c>
      <c r="P41" s="35">
        <f>+VLOOKUP(TableB2!$B41,[3]Debt!$A$10:$O$62,13,0)/1000</f>
        <v>122.93129167743</v>
      </c>
      <c r="S41" s="1067">
        <f t="shared" si="0"/>
        <v>2.0605739337042905E-13</v>
      </c>
      <c r="T41" s="1067">
        <f t="shared" si="1"/>
        <v>-8.0291329140891321E-13</v>
      </c>
      <c r="U41" s="1067">
        <f>G41-C41-(TableB3!B41-TableB4!B41)</f>
        <v>-3.117530006591096E-6</v>
      </c>
      <c r="V41" s="1068">
        <f>G41-C41-TableB1!G43</f>
        <v>0</v>
      </c>
      <c r="W41" s="594">
        <f t="shared" si="2"/>
        <v>-1.0516032489249483E-12</v>
      </c>
      <c r="X41" s="594">
        <f t="shared" si="3"/>
        <v>-2.9942270884930622E-11</v>
      </c>
    </row>
    <row r="42" spans="1:24" x14ac:dyDescent="0.35">
      <c r="B42" s="13" t="s">
        <v>81</v>
      </c>
      <c r="C42" s="892">
        <f>+VLOOKUP(TableB2!B42,[3]Allincome!$A$12:$O$45,10,0)/1000</f>
        <v>3.5422699999999998</v>
      </c>
      <c r="D42" s="901">
        <f>+VLOOKUP(TableB2!B42,[3]Div!$A$12:$O$45,10,0)/1000</f>
        <v>3.0356700000000001</v>
      </c>
      <c r="E42" s="902">
        <f>+VLOOKUP(TableB2!B42,[3]Int!$A$12:$O$45,10,0)/1000</f>
        <v>0.14249000000000001</v>
      </c>
      <c r="F42" s="902">
        <f>+VLOOKUP(TableB2!$B42,[3]Retained!$A$12:$O$46,10,0)/1000</f>
        <v>0.36410999999999999</v>
      </c>
      <c r="G42" s="903">
        <f>+VLOOKUP(TableB2!B42,[3]Allincome!$A$12:$O$45,13,0)/1000</f>
        <v>0.22309999999999999</v>
      </c>
      <c r="H42" s="901">
        <f>+VLOOKUP(TableB2!B42,[3]Div!$A$12:$O$45,13,0)/1000</f>
        <v>0.18555000000000002</v>
      </c>
      <c r="I42" s="904">
        <f>+VLOOKUP(TableB2!B42,[3]Int!$A$12:$O$45,13,0)/1000</f>
        <v>2.4300000000000003E-3</v>
      </c>
      <c r="J42" s="902">
        <f>+VLOOKUP(TableB2!$B42,[3]Retained!$A$12:$O$46,13,0)/1000</f>
        <v>3.5119999999999998E-2</v>
      </c>
      <c r="K42" s="306">
        <f>+VLOOKUP(TableB2!$B42,[3]Total!$A$10:$O$62,10,0)/1000</f>
        <v>155.87943999999999</v>
      </c>
      <c r="L42" s="8">
        <f>+VLOOKUP(TableB2!$B42,[3]Equity!$A$10:$O$62,10,0)/1000</f>
        <v>147.58715000000001</v>
      </c>
      <c r="M42" s="8">
        <f>+VLOOKUP(TableB2!$B42,[3]Debt!$A$10:$O$62,10,0)/1000</f>
        <v>8.2922900000000013</v>
      </c>
      <c r="N42" s="306">
        <f>+VLOOKUP(TableB2!$B42,[3]Total!$A$10:$O$62,13,0)/1000</f>
        <v>35.602179999999997</v>
      </c>
      <c r="O42" s="8">
        <f>+VLOOKUP(TableB2!$B42,[3]Equity!$A$10:$O$62,13,0)/1000</f>
        <v>27.671020000000002</v>
      </c>
      <c r="P42" s="35">
        <f>+VLOOKUP(TableB2!$B42,[3]Debt!$A$10:$O$62,13,0)/1000</f>
        <v>7.9311499999999997</v>
      </c>
      <c r="S42" s="1067">
        <f t="shared" si="0"/>
        <v>0</v>
      </c>
      <c r="T42" s="1067">
        <f t="shared" si="1"/>
        <v>0</v>
      </c>
      <c r="U42" s="1067">
        <f>G42-C42-(TableB3!B42-TableB4!B42)</f>
        <v>0</v>
      </c>
      <c r="V42" s="1068">
        <f>G42-C42-TableB1!G44</f>
        <v>0</v>
      </c>
      <c r="W42" s="594">
        <f t="shared" si="2"/>
        <v>-2.1316282072803006E-14</v>
      </c>
      <c r="X42" s="594">
        <f t="shared" si="3"/>
        <v>9.9999999951805307E-6</v>
      </c>
    </row>
    <row r="43" spans="1:24" x14ac:dyDescent="0.35">
      <c r="B43" s="13" t="s">
        <v>82</v>
      </c>
      <c r="C43" s="892">
        <f>+VLOOKUP(TableB2!B43,[3]Allincome!$A$12:$O$45,10,0)/1000</f>
        <v>73.139801375095004</v>
      </c>
      <c r="D43" s="901">
        <f>$C43*D44/$C44</f>
        <v>23.188293992166898</v>
      </c>
      <c r="E43" s="902">
        <f>$C43*E44/$C44</f>
        <v>12.867229803496533</v>
      </c>
      <c r="F43" s="902">
        <f>$C43*F44/$C44</f>
        <v>37.084277579431578</v>
      </c>
      <c r="G43" s="903">
        <f>+VLOOKUP(TableB2!B43,[3]Allincome!$A$12:$O$45,13,0)/1000</f>
        <v>87.032849503438001</v>
      </c>
      <c r="H43" s="901">
        <f>H44/$G44*$G43</f>
        <v>25.654457417576545</v>
      </c>
      <c r="I43" s="904">
        <f>I44/$G44*$G43</f>
        <v>1.9134500536697876</v>
      </c>
      <c r="J43" s="902">
        <f>J44/$G44*$G43</f>
        <v>59.464942032191672</v>
      </c>
      <c r="K43" s="306">
        <f>+VLOOKUP(TableB2!$B43,[3]Total!$A$10:$O$62,10,0)/1000</f>
        <v>1408.0097806758001</v>
      </c>
      <c r="L43" s="8">
        <f>IF(VLOOKUP($B43,[3]CDIS_discrepancies_in_stocks!$A$3:$M$246,8,0)&gt;0,VLOOKUP($B43,[3]CDIS_discrepancies_in_stocks!$A$3:$M$246,8,0)/1000000000,VLOOKUP($B43,[3]CDIS_discrepancies_in_stocks!$A$3:$M$246,9,0)/1000000000)</f>
        <v>1430</v>
      </c>
      <c r="M43" s="8">
        <f>+K43-L43</f>
        <v>-21.99021932419987</v>
      </c>
      <c r="N43" s="306">
        <f>+VLOOKUP(TableB2!$B43,[3]Total!$A$10:$O$62,13,0)/1000</f>
        <v>1557.4481327801</v>
      </c>
      <c r="O43" s="8">
        <f>IF(VLOOKUP($B43,[3]CDIS_discrepancies_in_stocks!$A$3:$M$246,4,0)&gt;0,VLOOKUP($B43,[3]CDIS_discrepancies_in_stocks!$A$3:$M$246,4,0)/1000000000,VLOOKUP($B43,[3]CDIS_discrepancies_in_stocks!$A$3:$M$246,5,0)/1000000000)</f>
        <v>1640</v>
      </c>
      <c r="P43" s="35">
        <f>+N43-O43</f>
        <v>-82.551867219900032</v>
      </c>
      <c r="S43" s="1067">
        <f t="shared" si="0"/>
        <v>0</v>
      </c>
      <c r="T43" s="1067">
        <f t="shared" si="1"/>
        <v>0</v>
      </c>
      <c r="U43" s="1067">
        <f>G43-C43-(TableB3!B43-TableB4!B43)</f>
        <v>9.9475983006414026E-13</v>
      </c>
      <c r="V43" s="1068">
        <f>G43-C43-TableB1!G45</f>
        <v>0</v>
      </c>
      <c r="W43" s="594">
        <f t="shared" si="2"/>
        <v>0</v>
      </c>
      <c r="X43" s="594">
        <f t="shared" si="3"/>
        <v>0</v>
      </c>
    </row>
    <row r="44" spans="1:24" x14ac:dyDescent="0.35">
      <c r="B44" s="13" t="s">
        <v>0</v>
      </c>
      <c r="C44" s="892">
        <f>+VLOOKUP(TableB2!B44,[3]Allincome!$A$12:$O$45,10,0)/1000</f>
        <v>159.25399999999999</v>
      </c>
      <c r="D44" s="889">
        <f>+VLOOKUP(TableB2!B44,[3]Div!$A$12:$O$45,10,0)/1000</f>
        <v>50.49</v>
      </c>
      <c r="E44" s="894">
        <f>+VLOOKUP(TableB2!B44,[3]Int!$A$12:$O$45,10,0)/1000</f>
        <v>28.016999999999999</v>
      </c>
      <c r="F44" s="894">
        <f>+VLOOKUP(TableB2!$B44,[3]Retained!$A$12:$O$46,10,0)/1000</f>
        <v>80.747</v>
      </c>
      <c r="G44" s="394">
        <f>+VLOOKUP(TableB2!B44,[3]Allincome!$A$12:$O$45,13,0)/1000</f>
        <v>425.78300000000002</v>
      </c>
      <c r="H44" s="889">
        <f>+VLOOKUP(TableB2!B44,[3]Div!$A$12:$O$45,13,0)/1000</f>
        <v>125.50700000000001</v>
      </c>
      <c r="I44" s="890">
        <f>+VLOOKUP(TableB2!B44,[3]Int!$A$12:$O$45,13,0)/1000</f>
        <v>9.3610000000000007</v>
      </c>
      <c r="J44" s="894">
        <f>+VLOOKUP(TableB2!$B44,[3]Retained!$A$12:$O$46,13,0)/1000</f>
        <v>290.91500000000002</v>
      </c>
      <c r="K44" s="306">
        <f>+VLOOKUP(TableB2!$B44,[3]Total!$A$10:$O$62,10,0)/1000</f>
        <v>5709.6580000000004</v>
      </c>
      <c r="L44" s="8">
        <f>+VLOOKUP(TableB2!$B44,[3]Equity!$A$10:$O$62,10,0)/1000</f>
        <v>5076.42</v>
      </c>
      <c r="M44" s="8">
        <f>+VLOOKUP(TableB2!$B44,[3]Debt!$A$10:$O$62,10,0)/1000</f>
        <v>633.23800000000006</v>
      </c>
      <c r="N44" s="306">
        <f>+VLOOKUP(TableB2!$B44,[3]Total!$A$10:$O$62,13,0)/1000</f>
        <v>6007.7730000000001</v>
      </c>
      <c r="O44" s="8">
        <f>+VLOOKUP(TableB2!$B44,[3]Equity!$A$10:$O$62,13,0)/1000</f>
        <v>5787.9120000000003</v>
      </c>
      <c r="P44" s="35">
        <f>+VLOOKUP(TableB2!$B44,[3]Debt!$A$10:$O$62,13,0)/1000</f>
        <v>219.86099999999999</v>
      </c>
      <c r="S44" s="1067">
        <f t="shared" si="0"/>
        <v>0</v>
      </c>
      <c r="T44" s="1067">
        <f t="shared" si="1"/>
        <v>0</v>
      </c>
      <c r="U44" s="1067">
        <f>G44-C44-(TableB3!B44-TableB4!B44)</f>
        <v>0</v>
      </c>
      <c r="V44" s="1068">
        <f>G44-C44-TableB1!G46</f>
        <v>0</v>
      </c>
      <c r="W44" s="594">
        <f t="shared" si="2"/>
        <v>0</v>
      </c>
      <c r="X44" s="594">
        <f t="shared" si="3"/>
        <v>0</v>
      </c>
    </row>
    <row r="45" spans="1:24" ht="46.5" x14ac:dyDescent="0.35">
      <c r="B45" s="38" t="s">
        <v>99</v>
      </c>
      <c r="C45" s="895"/>
      <c r="D45" s="896"/>
      <c r="E45" s="890"/>
      <c r="F45" s="897"/>
      <c r="G45" s="394"/>
      <c r="H45" s="889"/>
      <c r="I45" s="890"/>
      <c r="J45" s="891"/>
      <c r="K45" s="306"/>
      <c r="L45" s="8"/>
      <c r="M45" s="8"/>
      <c r="N45" s="306"/>
      <c r="O45" s="8"/>
      <c r="P45" s="35"/>
      <c r="S45" s="1067">
        <f>C45-D45-E45-F45</f>
        <v>0</v>
      </c>
      <c r="T45" s="1067">
        <f>G45-H45-I45-J45</f>
        <v>0</v>
      </c>
      <c r="U45" s="1067">
        <f>G45-C45-(TableB3!B45-TableB4!B45)</f>
        <v>0</v>
      </c>
      <c r="V45" s="1068">
        <f>G45-C45-TableB1!G47</f>
        <v>0</v>
      </c>
      <c r="W45" s="594">
        <f t="shared" si="2"/>
        <v>0</v>
      </c>
      <c r="X45" s="594">
        <f t="shared" si="3"/>
        <v>0</v>
      </c>
    </row>
    <row r="46" spans="1:24" x14ac:dyDescent="0.35">
      <c r="A46" s="376" t="s">
        <v>92</v>
      </c>
      <c r="B46" s="31" t="s">
        <v>83</v>
      </c>
      <c r="C46" s="895">
        <f>+(TableB10!E46+TableB10!I46)/1000</f>
        <v>28.6</v>
      </c>
      <c r="D46" s="1645">
        <f>+VLOOKUP(TableB2!B46,[3]Div!$A$12:$O$45,10,0)/1000</f>
        <v>16.713376362039998</v>
      </c>
      <c r="E46" s="890">
        <f>+VLOOKUP(TableB2!B46,[3]Int!$A$12:$O$45,10,0)/1000</f>
        <v>4.7060989875599999</v>
      </c>
      <c r="F46" s="894">
        <f>+VLOOKUP(TableB2!$B46,[3]Retained!$A$12:$O$46,10,0)/1000</f>
        <v>7.1451487725799998</v>
      </c>
      <c r="G46" s="394">
        <f>(TableB10!N46+TableB10!R46)/1000</f>
        <v>7.2890531494999999</v>
      </c>
      <c r="H46" s="889">
        <f>+VLOOKUP(TableB2!B46,[3]Div!$A$12:$O$45,13,0)/1000</f>
        <v>2.6669244664200003</v>
      </c>
      <c r="I46" s="890">
        <f>+VLOOKUP(TableB2!B46,[3]Int!$A$12:$O$45,13,0)/1000</f>
        <v>0.11629095129</v>
      </c>
      <c r="J46" s="894">
        <f>+VLOOKUP(TableB2!$B46,[3]Retained!$A$12:$O$46,13,0)/1000</f>
        <v>4.5058377317900007</v>
      </c>
      <c r="K46" s="306">
        <f>IF(VLOOKUP($A46,[3]CDIS_discrepancies_in_stocks!$A$3:$M$246,6,0)&gt;0,VLOOKUP($A46,[3]CDIS_discrepancies_in_stocks!$A$3:$M$246,6,0)/1000000000,VLOOKUP($A46,[3]CDIS_discrepancies_in_stocks!$A$3:$M$246,7,0)/1000000000)</f>
        <v>460</v>
      </c>
      <c r="L46" s="8">
        <f>IF(VLOOKUP($A46,[3]CDIS_discrepancies_in_stocks!$A$3:$M$246,8,0)&gt;0,VLOOKUP($A46,[3]CDIS_discrepancies_in_stocks!$A$3:$M$246,8,0)/1000000000,VLOOKUP($A46,[3]CDIS_discrepancies_in_stocks!$A$3:$M$246,9,0)/1000000000)</f>
        <v>393</v>
      </c>
      <c r="M46" s="8">
        <f>+VLOOKUP(TableB2!$B46,[3]Debt!$A$10:$O$62,10,0)/1000</f>
        <v>67.326999999999998</v>
      </c>
      <c r="N46" s="306">
        <f>IF(VLOOKUP(A46,[3]CDIS_discrepancies_in_stocks!$A$3:$M$246,2,0)&gt;0,VLOOKUP(A46,[3]CDIS_discrepancies_in_stocks!$A$3:$M$246,2,0)/1000000000,VLOOKUP(A46,[3]CDIS_discrepancies_in_stocks!$A$3:$M$246,3,0)/1000000000)</f>
        <v>145</v>
      </c>
      <c r="O46" s="8">
        <f>IF(VLOOKUP($A46,[3]CDIS_discrepancies_in_stocks!$A$3:$M$246,4,0)&gt;0,VLOOKUP($A46,[3]CDIS_discrepancies_in_stocks!$A$3:$M$246,4,0)/1000000000,VLOOKUP($A46,[3]CDIS_discrepancies_in_stocks!$A$3:$M$246,5,0)/1000000000)</f>
        <v>259</v>
      </c>
      <c r="P46" s="35">
        <f t="shared" ref="P46:P52" si="4">+N46-O46</f>
        <v>-114</v>
      </c>
      <c r="S46" s="1067">
        <f>C46-D46-E46-F46</f>
        <v>3.537587782000351E-2</v>
      </c>
      <c r="T46" s="1067">
        <f>G46-H46-I46-J46</f>
        <v>0</v>
      </c>
      <c r="U46" s="1067">
        <f>G46-C46-(TableB3!B46-TableB4!B46)</f>
        <v>0</v>
      </c>
      <c r="V46" s="1068">
        <f>G46-C46-TableB1!G48</f>
        <v>0</v>
      </c>
      <c r="W46" s="594">
        <f t="shared" si="2"/>
        <v>-0.32699999999999818</v>
      </c>
      <c r="X46" s="594">
        <f t="shared" si="3"/>
        <v>0</v>
      </c>
    </row>
    <row r="47" spans="1:24" x14ac:dyDescent="0.35">
      <c r="A47" t="s">
        <v>488</v>
      </c>
      <c r="B47" s="31" t="s">
        <v>101</v>
      </c>
      <c r="C47" s="895">
        <f>+(TableB10!E47+TableB10!I47)/1000</f>
        <v>129.19020003003806</v>
      </c>
      <c r="D47" s="1645">
        <f>0.7*C47</f>
        <v>90.433140021026631</v>
      </c>
      <c r="E47" s="890">
        <v>0</v>
      </c>
      <c r="F47" s="894">
        <f>C47-D47-E47</f>
        <v>38.757060009011425</v>
      </c>
      <c r="G47" s="394">
        <f>(TableB10!N47+TableB10!R47)/1000</f>
        <v>94.634249003443642</v>
      </c>
      <c r="H47" s="889">
        <f>0.3*G47</f>
        <v>28.390274701033093</v>
      </c>
      <c r="I47" s="890">
        <v>0</v>
      </c>
      <c r="J47" s="894">
        <f t="shared" ref="J47:J52" si="5">+G47-H47-I47</f>
        <v>66.24397430241055</v>
      </c>
      <c r="K47" s="306">
        <f>IF(VLOOKUP($A47,[3]CDIS_discrepancies_in_stocks!$A$3:$M$246,6,0)&gt;0,VLOOKUP($A47,[3]CDIS_discrepancies_in_stocks!$A$3:$M$246,6,0)/1000000000,VLOOKUP($A47,[3]CDIS_discrepancies_in_stocks!$A$3:$M$246,7,0)/1000000000)</f>
        <v>2580</v>
      </c>
      <c r="L47" s="8">
        <f>IF(VLOOKUP($A47,[3]CDIS_discrepancies_in_stocks!$A$3:$M$246,8,0)&gt;0,VLOOKUP($A47,[3]CDIS_discrepancies_in_stocks!$A$3:$M$246,8,0)/1000000000,VLOOKUP($A47,[3]CDIS_discrepancies_in_stocks!$A$3:$M$246,9,0)/1000000000)</f>
        <v>2390</v>
      </c>
      <c r="M47" s="8">
        <f>+K47-L47</f>
        <v>190</v>
      </c>
      <c r="N47" s="306">
        <f>IF(VLOOKUP(A47,[3]CDIS_discrepancies_in_stocks!$A$3:$M$246,2,0)&gt;0,VLOOKUP(A47,[3]CDIS_discrepancies_in_stocks!$A$3:$M$246,2,0)/1000000000,VLOOKUP(A47,[3]CDIS_discrepancies_in_stocks!$A$3:$M$246,3,0)/1000000000)</f>
        <v>517</v>
      </c>
      <c r="O47" s="8">
        <f>IF(VLOOKUP($A47,[3]CDIS_discrepancies_in_stocks!$A$3:$M$246,4,0)&gt;0,VLOOKUP($A47,[3]CDIS_discrepancies_in_stocks!$A$3:$M$246,4,0)/1000000000,VLOOKUP($A47,[3]CDIS_discrepancies_in_stocks!$A$3:$M$246,5,0)/1000000000)</f>
        <v>461</v>
      </c>
      <c r="P47" s="35">
        <f>+N47-O47</f>
        <v>56</v>
      </c>
      <c r="S47" s="1067">
        <f>C47-D47-E47-F47</f>
        <v>0</v>
      </c>
      <c r="T47" s="1067">
        <f>G47-H47-I47-J47</f>
        <v>0</v>
      </c>
      <c r="U47" s="1067">
        <f>G47-C47-(TableB3!B47-TableB4!B47)</f>
        <v>0</v>
      </c>
      <c r="V47" s="1068">
        <f>G47-C47-TableB1!G49</f>
        <v>0</v>
      </c>
      <c r="W47" s="594">
        <f t="shared" si="2"/>
        <v>0</v>
      </c>
      <c r="X47" s="594">
        <f t="shared" si="3"/>
        <v>0</v>
      </c>
    </row>
    <row r="48" spans="1:24" x14ac:dyDescent="0.35">
      <c r="B48" s="31" t="s">
        <v>93</v>
      </c>
      <c r="C48" s="895">
        <f>+(TableB10!E48+TableB10!I48)/1000</f>
        <v>5.31</v>
      </c>
      <c r="D48" s="1645">
        <f>H48-VLOOKUP(B48,'[3]World BOP data'!$A:$Q,6,0)/1000000000</f>
        <v>3.2548936231000001</v>
      </c>
      <c r="E48" s="890">
        <f>+I48-VLOOKUP(B48,'[3]World BOP data'!$A:$Q,8,0)/1000000000</f>
        <v>0.51574077109999994</v>
      </c>
      <c r="F48" s="894">
        <f>+C48-D48-E48</f>
        <v>1.5393656057999996</v>
      </c>
      <c r="G48" s="394">
        <f>(TableB10!N48+TableB10!R48)/1000</f>
        <v>3.5615806026999999</v>
      </c>
      <c r="H48" s="896">
        <f>+VLOOKUP(B48,'[3]IMF balance of payment all'!$A:$P,6,0)/1000000000</f>
        <v>1.6547167199999999</v>
      </c>
      <c r="I48" s="890">
        <f>+VLOOKUP(B48,'[3]IMF balance of payment all'!$A:$P,8,0)/1000000000</f>
        <v>2.8459282699999998E-2</v>
      </c>
      <c r="J48" s="894">
        <f t="shared" si="5"/>
        <v>1.8784045999999999</v>
      </c>
      <c r="K48" s="306">
        <f>IF(VLOOKUP(B48,[3]CDIS_discrepancies_in_stocks!$A$3:$M$246,6,0)&gt;0,VLOOKUP(B48,[3]CDIS_discrepancies_in_stocks!$A$3:$M$246,6,0)/1000000000,VLOOKUP(B48,[3]CDIS_discrepancies_in_stocks!$A$3:$M$246,7,0)/1000000000)</f>
        <v>37.6</v>
      </c>
      <c r="L48" s="8">
        <f>IF(VLOOKUP($B48,[3]CDIS_discrepancies_in_stocks!$A$3:$M$246,8,0)&gt;0,VLOOKUP($B48,[3]CDIS_discrepancies_in_stocks!$A$3:$M$246,8,0)/1000000000,VLOOKUP($B48,[3]CDIS_discrepancies_in_stocks!$A$3:$M$246,9,0)/1000000000)</f>
        <v>36.5</v>
      </c>
      <c r="M48" s="8">
        <f t="shared" ref="M48:M88" si="6">+K48-L48</f>
        <v>1.1000000000000014</v>
      </c>
      <c r="N48" s="306">
        <f>IF(VLOOKUP(B48,[3]CDIS_discrepancies_in_stocks!$A$3:$M$246,2,0)&gt;0,VLOOKUP(B48,[3]CDIS_discrepancies_in_stocks!$A$3:$M$246,2,0)/1000000000,VLOOKUP(B48,[3]CDIS_discrepancies_in_stocks!$A$3:$M$246,3,0)/1000000000)</f>
        <v>18.3</v>
      </c>
      <c r="O48" s="8">
        <f>IF(VLOOKUP($B48,[3]CDIS_discrepancies_in_stocks!$A$3:$M$246,4,0)&gt;0,VLOOKUP($B48,[3]CDIS_discrepancies_in_stocks!$A$3:$M$246,4,0)/1000000000,VLOOKUP($B48,[3]CDIS_discrepancies_in_stocks!$A$3:$M$246,5,0)/1000000000)</f>
        <v>18</v>
      </c>
      <c r="P48" s="35">
        <f t="shared" si="4"/>
        <v>0.30000000000000071</v>
      </c>
      <c r="S48" s="1067">
        <f>C48-D48-E48-F48</f>
        <v>0</v>
      </c>
      <c r="T48" s="1067">
        <f>G48-H48-I48-J48</f>
        <v>0</v>
      </c>
      <c r="U48" s="1067">
        <f>G48-C48-(TableB3!B48-TableB4!B48)</f>
        <v>0</v>
      </c>
      <c r="V48" s="1068">
        <f>G48-C48-TableB1!G50</f>
        <v>0</v>
      </c>
      <c r="W48" s="594">
        <f t="shared" si="2"/>
        <v>0</v>
      </c>
      <c r="X48" s="594">
        <f t="shared" si="3"/>
        <v>0</v>
      </c>
    </row>
    <row r="49" spans="1:24" x14ac:dyDescent="0.35">
      <c r="B49" s="31" t="s">
        <v>94</v>
      </c>
      <c r="C49" s="895">
        <f>+(TableB10!E49+TableB10!I49)/1000</f>
        <v>2.04</v>
      </c>
      <c r="D49" s="1645">
        <f>H49-VLOOKUP(B49,'[3]World BOP data'!$A:$Q,6,0)/1000000000</f>
        <v>1.9856036526</v>
      </c>
      <c r="E49" s="890">
        <f>+I49-VLOOKUP(B49,'[3]World BOP data'!$A:$Q,8,0)/1000000000</f>
        <v>1.0689373862</v>
      </c>
      <c r="F49" s="894">
        <f>+C49-D49-E49</f>
        <v>-1.0145410388</v>
      </c>
      <c r="G49" s="394">
        <f>(TableB10!N49+TableB10!R49)/1000</f>
        <v>7.4886040299999984E-2</v>
      </c>
      <c r="H49" s="896">
        <f>+VLOOKUP(B49,'[3]IMF balance of payment all'!$A:$P,6,0)/1000000000</f>
        <v>3.2629442699999997E-2</v>
      </c>
      <c r="I49" s="890">
        <f>+VLOOKUP(B49,'[3]IMF balance of payment all'!$A:$P,8,0)/1000000000</f>
        <v>1.74866E-3</v>
      </c>
      <c r="J49" s="894">
        <f t="shared" si="5"/>
        <v>4.0507937599999988E-2</v>
      </c>
      <c r="K49" s="306">
        <f>IF(VLOOKUP(B49,[3]CDIS_discrepancies_in_stocks!$A$3:$M$246,6,0)&gt;0,VLOOKUP(B49,[3]CDIS_discrepancies_in_stocks!$A$3:$M$246,6,0)/1000000000,VLOOKUP(B49,[3]CDIS_discrepancies_in_stocks!$A$3:$M$246,7,0)/1000000000)</f>
        <v>30.6</v>
      </c>
      <c r="L49" s="8">
        <f>IF(VLOOKUP($B49,[3]CDIS_discrepancies_in_stocks!$A$3:$M$246,8,0)&gt;0,VLOOKUP($B49,[3]CDIS_discrepancies_in_stocks!$A$3:$M$246,8,0)/1000000000,VLOOKUP($B49,[3]CDIS_discrepancies_in_stocks!$A$3:$M$246,9,0)/1000000000)</f>
        <v>27.5</v>
      </c>
      <c r="M49" s="8">
        <f t="shared" si="6"/>
        <v>3.1000000000000014</v>
      </c>
      <c r="N49" s="306">
        <f>IF(VLOOKUP(B49,[3]CDIS_discrepancies_in_stocks!$A$3:$M$246,2,0)&gt;0,VLOOKUP(B49,[3]CDIS_discrepancies_in_stocks!$A$3:$M$246,2,0)/1000000000,VLOOKUP(B49,[3]CDIS_discrepancies_in_stocks!$A$3:$M$246,3,0)/1000000000)</f>
        <v>2.81</v>
      </c>
      <c r="O49" s="8">
        <f>IF(VLOOKUP($B49,[3]CDIS_discrepancies_in_stocks!$A$3:$M$246,4,0)&gt;0,VLOOKUP($B49,[3]CDIS_discrepancies_in_stocks!$A$3:$M$246,4,0)/1000000000,VLOOKUP($B49,[3]CDIS_discrepancies_in_stocks!$A$3:$M$246,5,0)/1000000000)</f>
        <v>2.38</v>
      </c>
      <c r="P49" s="35">
        <f t="shared" si="4"/>
        <v>0.43000000000000016</v>
      </c>
      <c r="S49" s="1067">
        <f t="shared" ref="S49:S89" si="7">C49-D49-E49-F49</f>
        <v>0</v>
      </c>
      <c r="T49" s="1067">
        <f t="shared" ref="T49:T89" si="8">G49-H49-I49-J49</f>
        <v>0</v>
      </c>
      <c r="U49" s="1067">
        <f>G49-C49-(TableB3!B49-TableB4!B49)</f>
        <v>0</v>
      </c>
      <c r="V49" s="1068">
        <f>G49-C49-TableB1!G51</f>
        <v>0</v>
      </c>
      <c r="W49" s="594">
        <f t="shared" si="2"/>
        <v>0</v>
      </c>
      <c r="X49" s="594">
        <f t="shared" si="3"/>
        <v>0</v>
      </c>
    </row>
    <row r="50" spans="1:24" x14ac:dyDescent="0.35">
      <c r="B50" s="31" t="s">
        <v>102</v>
      </c>
      <c r="C50" s="895">
        <f>+(TableB10!E50+TableB10!I50)/1000</f>
        <v>13.7</v>
      </c>
      <c r="D50" s="1645">
        <f>H50-VLOOKUP(B50,'[3]World BOP data'!$A:$Q,6,0)/1000000000</f>
        <v>10.231280761199999</v>
      </c>
      <c r="E50" s="890">
        <f>+I50-VLOOKUP(B50,'[3]World BOP data'!$A:$Q,8,0)/1000000000</f>
        <v>6.7355001169000008</v>
      </c>
      <c r="F50" s="894">
        <f>+C50-D50-E50</f>
        <v>-3.2667808781000005</v>
      </c>
      <c r="G50" s="394">
        <f>(TableB10!N50+TableB10!R50)/1000</f>
        <v>5.0185436815000006</v>
      </c>
      <c r="H50" s="896">
        <f>+VLOOKUP(B50,'[3]IMF balance of payment all'!$A:$P,6,0)/1000000000</f>
        <v>1.6582014649000001</v>
      </c>
      <c r="I50" s="890">
        <f>+VLOOKUP(B50,'[3]IMF balance of payment all'!$A:$P,8,0)/1000000000</f>
        <v>2.32522166E-2</v>
      </c>
      <c r="J50" s="894">
        <f t="shared" si="5"/>
        <v>3.3370900000000003</v>
      </c>
      <c r="K50" s="306">
        <f>IF(VLOOKUP(B50,[3]CDIS_discrepancies_in_stocks!$A$3:$M$246,6,0)&gt;0,VLOOKUP(B50,[3]CDIS_discrepancies_in_stocks!$A$3:$M$246,6,0)/1000000000,VLOOKUP(B50,[3]CDIS_discrepancies_in_stocks!$A$3:$M$246,7,0)/1000000000)</f>
        <v>312</v>
      </c>
      <c r="L50" s="8">
        <f>IF(VLOOKUP($B50,[3]CDIS_discrepancies_in_stocks!$A$3:$M$246,8,0)&gt;0,VLOOKUP($B50,[3]CDIS_discrepancies_in_stocks!$A$3:$M$246,8,0)/1000000000,VLOOKUP($B50,[3]CDIS_discrepancies_in_stocks!$A$3:$M$246,9,0)/1000000000)</f>
        <v>295</v>
      </c>
      <c r="M50" s="8">
        <f t="shared" si="6"/>
        <v>17</v>
      </c>
      <c r="N50" s="306">
        <f>IF(VLOOKUP(B50,[3]CDIS_discrepancies_in_stocks!$A$3:$M$246,2,0)&gt;0,VLOOKUP(B50,[3]CDIS_discrepancies_in_stocks!$A$3:$M$246,2,0)/1000000000,VLOOKUP(B50,[3]CDIS_discrepancies_in_stocks!$A$3:$M$246,3,0)/1000000000)</f>
        <v>84.8</v>
      </c>
      <c r="O50" s="8">
        <f>IF(VLOOKUP($B50,[3]CDIS_discrepancies_in_stocks!$A$3:$M$246,4,0)&gt;0,VLOOKUP($B50,[3]CDIS_discrepancies_in_stocks!$A$3:$M$246,4,0)/1000000000,VLOOKUP($B50,[3]CDIS_discrepancies_in_stocks!$A$3:$M$246,5,0)/1000000000)</f>
        <v>68</v>
      </c>
      <c r="P50" s="35">
        <f t="shared" si="4"/>
        <v>16.799999999999997</v>
      </c>
      <c r="S50" s="1067">
        <f t="shared" si="7"/>
        <v>0</v>
      </c>
      <c r="T50" s="1067">
        <f t="shared" si="8"/>
        <v>0</v>
      </c>
      <c r="U50" s="1067">
        <f>G50-C50-(TableB3!B50-TableB4!B50)</f>
        <v>0</v>
      </c>
      <c r="V50" s="1068">
        <f>G50-C50-TableB1!G52</f>
        <v>0</v>
      </c>
      <c r="W50" s="594">
        <f t="shared" si="2"/>
        <v>0</v>
      </c>
      <c r="X50" s="594">
        <f t="shared" si="3"/>
        <v>0</v>
      </c>
    </row>
    <row r="51" spans="1:24" x14ac:dyDescent="0.35">
      <c r="B51" s="31" t="s">
        <v>318</v>
      </c>
      <c r="C51" s="895">
        <f>+(TableB10!E51+TableB10!I51)/1000</f>
        <v>41</v>
      </c>
      <c r="D51" s="1645">
        <f>H51-VLOOKUP(B51,'[3]World BOP data'!$A:$Q,6,0)/1000000000</f>
        <v>28.695729999999998</v>
      </c>
      <c r="E51" s="890">
        <f>+I51-VLOOKUP(B51,'[3]World BOP data'!$A:$Q,8,0)/1000000000</f>
        <v>9.3334899999999994</v>
      </c>
      <c r="F51" s="894">
        <f>+C51-D51-E51</f>
        <v>2.9707800000000031</v>
      </c>
      <c r="G51" s="394">
        <f>(TableB10!N51+TableB10!R51)/1000</f>
        <v>17.282830000000001</v>
      </c>
      <c r="H51" s="896">
        <f>+VLOOKUP(B51,'[3]IMF balance of payment all'!$A:$P,6,0)/1000000000</f>
        <v>7.3322399999999996</v>
      </c>
      <c r="I51" s="890">
        <f>+VLOOKUP(B51,'[3]IMF balance of payment all'!$A:$P,8,0)/1000000000</f>
        <v>4.0480799999999997</v>
      </c>
      <c r="J51" s="894">
        <f t="shared" si="5"/>
        <v>5.9025100000000021</v>
      </c>
      <c r="K51" s="306">
        <f>IF(VLOOKUP(B51,[3]CDIS_discrepancies_in_stocks!$A$3:$M$246,6,0)&gt;0,VLOOKUP(B51,[3]CDIS_discrepancies_in_stocks!$A$3:$M$246,6,0)/1000000000,VLOOKUP(B51,[3]CDIS_discrepancies_in_stocks!$A$3:$M$246,7,0)/1000000000)</f>
        <v>257</v>
      </c>
      <c r="L51" s="8">
        <f>IF(VLOOKUP($B51,[3]CDIS_discrepancies_in_stocks!$A$3:$M$246,8,0)&gt;0,VLOOKUP($B51,[3]CDIS_discrepancies_in_stocks!$A$3:$M$246,8,0)/1000000000,VLOOKUP($B51,[3]CDIS_discrepancies_in_stocks!$A$3:$M$246,9,0)/1000000000)</f>
        <v>201</v>
      </c>
      <c r="M51" s="8">
        <f t="shared" si="6"/>
        <v>56</v>
      </c>
      <c r="N51" s="306">
        <f>IF(VLOOKUP(B51,[3]CDIS_discrepancies_in_stocks!$A$3:$M$246,2,0)&gt;0,VLOOKUP(B51,[3]CDIS_discrepancies_in_stocks!$A$3:$M$246,2,0)/1000000000,VLOOKUP(B51,[3]CDIS_discrepancies_in_stocks!$A$3:$M$246,3,0)/1000000000)</f>
        <v>287</v>
      </c>
      <c r="O51" s="8">
        <f>IF(VLOOKUP($B51,[3]CDIS_discrepancies_in_stocks!$A$3:$M$246,4,0)&gt;0,VLOOKUP($B51,[3]CDIS_discrepancies_in_stocks!$A$3:$M$246,4,0)/1000000000,VLOOKUP($B51,[3]CDIS_discrepancies_in_stocks!$A$3:$M$246,5,0)/1000000000)</f>
        <v>282</v>
      </c>
      <c r="P51" s="35">
        <f t="shared" si="4"/>
        <v>5</v>
      </c>
      <c r="S51" s="1067">
        <f t="shared" si="7"/>
        <v>0</v>
      </c>
      <c r="T51" s="1067">
        <f t="shared" si="8"/>
        <v>0</v>
      </c>
      <c r="U51" s="1067">
        <f>G51-C51-(TableB3!B51-TableB4!B51)</f>
        <v>0</v>
      </c>
      <c r="V51" s="1068">
        <f>G51-C51-TableB1!G53</f>
        <v>0</v>
      </c>
      <c r="W51" s="594">
        <f t="shared" si="2"/>
        <v>0</v>
      </c>
      <c r="X51" s="594">
        <f t="shared" si="3"/>
        <v>0</v>
      </c>
    </row>
    <row r="52" spans="1:24" x14ac:dyDescent="0.35">
      <c r="B52" s="1044" t="s">
        <v>97</v>
      </c>
      <c r="C52" s="895">
        <f>+(TableB10!E52+TableB10!I52)/1000</f>
        <v>7.06</v>
      </c>
      <c r="D52" s="1645">
        <f>H52-VLOOKUP(B52,'[3]World BOP data'!$A:$Q,6,0)/1000000000</f>
        <v>6.9219943913000002</v>
      </c>
      <c r="E52" s="890">
        <f>+I52-VLOOKUP(B52,'[3]World BOP data'!$A:$Q,8,0)/1000000000</f>
        <v>0.46488415110000003</v>
      </c>
      <c r="F52" s="894">
        <f>+C52-D52-E52</f>
        <v>-0.32687854240000058</v>
      </c>
      <c r="G52" s="394">
        <f>(TableB10!N52+TableB10!R52)/1000</f>
        <v>3.3267790902999996</v>
      </c>
      <c r="H52" s="896">
        <f>+VLOOKUP(B52,'[3]IMF balance of payment all'!$A:$P,6,0)/1000000000</f>
        <v>2.8618949391999999</v>
      </c>
      <c r="I52" s="890">
        <f>+VLOOKUP(B52,'[3]IMF balance of payment all'!$A:$P,8,0)/1000000000</f>
        <v>0.46488415110000003</v>
      </c>
      <c r="J52" s="894">
        <f t="shared" si="5"/>
        <v>0</v>
      </c>
      <c r="K52" s="306">
        <f>IF(VLOOKUP(B52,[3]CDIS_discrepancies_in_stocks!$A$3:$M$246,6,0)&gt;0,VLOOKUP(B52,[3]CDIS_discrepancies_in_stocks!$A$3:$M$246,6,0)/1000000000,VLOOKUP(B52,[3]CDIS_discrepancies_in_stocks!$A$3:$M$246,7,0)/1000000000)</f>
        <v>127</v>
      </c>
      <c r="L52" s="8">
        <f>IF(VLOOKUP($B52,[3]CDIS_discrepancies_in_stocks!$A$3:$M$246,8,0)&gt;0,VLOOKUP($B52,[3]CDIS_discrepancies_in_stocks!$A$3:$M$246,8,0)/1000000000,VLOOKUP($B52,[3]CDIS_discrepancies_in_stocks!$A$3:$M$246,9,0)/1000000000)</f>
        <v>103</v>
      </c>
      <c r="M52" s="8">
        <f t="shared" si="6"/>
        <v>24</v>
      </c>
      <c r="N52" s="306">
        <f>IF(VLOOKUP(B52,[3]CDIS_discrepancies_in_stocks!$A$3:$M$246,2,0)&gt;0,VLOOKUP(B52,[3]CDIS_discrepancies_in_stocks!$A$3:$M$246,2,0)/1000000000,VLOOKUP(B52,[3]CDIS_discrepancies_in_stocks!$A$3:$M$246,3,0)/1000000000)</f>
        <v>155</v>
      </c>
      <c r="O52" s="8">
        <f>IF(VLOOKUP($B52,[3]CDIS_discrepancies_in_stocks!$A$3:$M$246,4,0)&gt;0,VLOOKUP($B52,[3]CDIS_discrepancies_in_stocks!$A$3:$M$246,4,0)/1000000000,VLOOKUP($B52,[3]CDIS_discrepancies_in_stocks!$A$3:$M$246,5,0)/1000000000)</f>
        <v>148</v>
      </c>
      <c r="P52" s="35">
        <f t="shared" si="4"/>
        <v>7</v>
      </c>
      <c r="S52" s="1067">
        <f t="shared" si="7"/>
        <v>0</v>
      </c>
      <c r="T52" s="1067">
        <f t="shared" si="8"/>
        <v>-3.3306690738754696E-16</v>
      </c>
      <c r="U52" s="1067">
        <f>G52-C52-(TableB3!B52-TableB4!B52)</f>
        <v>0</v>
      </c>
      <c r="V52" s="1068">
        <f>G52-C52-TableB1!G54</f>
        <v>0</v>
      </c>
      <c r="W52" s="594">
        <f t="shared" si="2"/>
        <v>0</v>
      </c>
      <c r="X52" s="594">
        <f t="shared" si="3"/>
        <v>0</v>
      </c>
    </row>
    <row r="53" spans="1:24" ht="31" x14ac:dyDescent="0.35">
      <c r="B53" s="38" t="s">
        <v>100</v>
      </c>
      <c r="C53" s="895"/>
      <c r="D53" s="896"/>
      <c r="E53" s="890"/>
      <c r="F53" s="898"/>
      <c r="G53" s="394"/>
      <c r="H53" s="889"/>
      <c r="I53" s="890"/>
      <c r="J53" s="891"/>
      <c r="K53" s="306"/>
      <c r="L53" s="8"/>
      <c r="M53" s="8"/>
      <c r="N53" s="306"/>
      <c r="O53" s="8"/>
      <c r="P53" s="35"/>
      <c r="S53" s="1067">
        <f t="shared" si="7"/>
        <v>0</v>
      </c>
      <c r="T53" s="1067">
        <f t="shared" si="8"/>
        <v>0</v>
      </c>
      <c r="U53" s="1067">
        <f>G53-C53-(TableB3!B53-TableB4!B53)</f>
        <v>0</v>
      </c>
      <c r="V53" s="1068">
        <f>G53-C53-TableB1!G55</f>
        <v>0</v>
      </c>
      <c r="W53" s="594">
        <f t="shared" si="2"/>
        <v>0</v>
      </c>
      <c r="X53" s="594">
        <f t="shared" si="3"/>
        <v>0</v>
      </c>
    </row>
    <row r="54" spans="1:24" x14ac:dyDescent="0.35">
      <c r="B54" s="264" t="s">
        <v>272</v>
      </c>
      <c r="C54" s="895">
        <f>+(TableB10!E54+TableB10!I54)/1000</f>
        <v>3.6200000000000003E-2</v>
      </c>
      <c r="D54" s="1060">
        <f>C54-E54-F54</f>
        <v>2.5340000000000001E-2</v>
      </c>
      <c r="E54" s="1061">
        <v>0</v>
      </c>
      <c r="F54" s="1061">
        <f>0.3*(C54-E54)</f>
        <v>1.086E-2</v>
      </c>
      <c r="G54" s="911">
        <f>+(TableB10!N54+TableB10!R54)/1000</f>
        <v>6.8900000000000003E-2</v>
      </c>
      <c r="H54" s="1060">
        <f>G54-I54-J54</f>
        <v>4.8230000000000002E-2</v>
      </c>
      <c r="I54" s="1061">
        <v>0</v>
      </c>
      <c r="J54" s="1061">
        <f>0.3*(G54-I54)</f>
        <v>2.0670000000000001E-2</v>
      </c>
      <c r="K54" s="306">
        <f>IF(VLOOKUP(B54,[3]CDIS_discrepancies_in_stocks!$A$3:$M$246,6,0)&gt;0,VLOOKUP(B54,[3]CDIS_discrepancies_in_stocks!$A$3:$M$246,6,0)/1000000000,VLOOKUP(B54,[3]CDIS_discrepancies_in_stocks!$A$3:$M$246,7,0)/1000000000)</f>
        <v>0.49299999999999999</v>
      </c>
      <c r="L54" s="8">
        <f>IF(VLOOKUP($B54,[3]CDIS_discrepancies_in_stocks!$A$3:$M$246,8,0)&gt;0,VLOOKUP($B54,[3]CDIS_discrepancies_in_stocks!$A$3:$M$246,8,0)/1000000000,VLOOKUP($B54,[3]CDIS_discrepancies_in_stocks!$A$3:$M$246,9,0)/1000000000)</f>
        <v>5.8158714200000003E-2</v>
      </c>
      <c r="M54" s="8">
        <f t="shared" si="6"/>
        <v>0.43484128579999998</v>
      </c>
      <c r="N54" s="306">
        <f>IF(VLOOKUP(B54,[3]CDIS_discrepancies_in_stocks!$A$3:$M$246,2,0)&gt;0,VLOOKUP(B54,[3]CDIS_discrepancies_in_stocks!$A$3:$M$246,2,0)/1000000000,VLOOKUP(B54,[3]CDIS_discrepancies_in_stocks!$A$3:$M$246,3,0)/1000000000)</f>
        <v>1.67</v>
      </c>
      <c r="O54" s="8">
        <f>IF(VLOOKUP($B54,[3]CDIS_discrepancies_in_stocks!$A$3:$M$246,4,0)&gt;0,VLOOKUP($B54,[3]CDIS_discrepancies_in_stocks!$A$3:$M$246,4,0)/1000000000,VLOOKUP($B54,[3]CDIS_discrepancies_in_stocks!$A$3:$M$246,5,0)/1000000000)</f>
        <v>6.4426845179999997E-2</v>
      </c>
      <c r="P54" s="35">
        <f t="shared" ref="P54:P85" si="9">+N54-O54</f>
        <v>1.6055731548199998</v>
      </c>
      <c r="S54" s="1067">
        <f t="shared" si="7"/>
        <v>0</v>
      </c>
      <c r="T54" s="1067">
        <f t="shared" si="8"/>
        <v>0</v>
      </c>
      <c r="U54" s="1067">
        <f>G54-C54-(TableB3!B54-TableB4!B54)</f>
        <v>0</v>
      </c>
      <c r="V54" s="1068">
        <f>G54-C54-TableB1!G56</f>
        <v>0</v>
      </c>
      <c r="W54" s="594">
        <f t="shared" si="2"/>
        <v>0</v>
      </c>
      <c r="X54" s="594">
        <f t="shared" si="3"/>
        <v>0</v>
      </c>
    </row>
    <row r="55" spans="1:24" x14ac:dyDescent="0.35">
      <c r="B55" s="264" t="s">
        <v>273</v>
      </c>
      <c r="C55" s="895">
        <f>+(TableB10!E55+TableB10!I55)/1000</f>
        <v>0.1085</v>
      </c>
      <c r="D55" s="1060">
        <f t="shared" ref="D55:D89" si="10">C55-E55-F55</f>
        <v>7.5950000000000004E-2</v>
      </c>
      <c r="E55" s="1061">
        <v>0</v>
      </c>
      <c r="F55" s="1061">
        <f t="shared" ref="F55:F89" si="11">0.3*(C55-E55)</f>
        <v>3.2549999999999996E-2</v>
      </c>
      <c r="G55" s="911">
        <f>+(TableB10!N55+TableB10!R55)/1000</f>
        <v>5.7999999999999996E-3</v>
      </c>
      <c r="H55" s="1060">
        <f t="shared" ref="H55:H89" si="12">G55-I55-J55</f>
        <v>4.0599999999999994E-3</v>
      </c>
      <c r="I55" s="1061">
        <v>0</v>
      </c>
      <c r="J55" s="1061">
        <f t="shared" ref="J55:J89" si="13">0.3*(G55-I55)</f>
        <v>1.7399999999999998E-3</v>
      </c>
      <c r="K55" s="306">
        <f>IF(VLOOKUP(B55,[3]CDIS_discrepancies_in_stocks!$A$3:$M$246,6,0)&gt;0,VLOOKUP(B55,[3]CDIS_discrepancies_in_stocks!$A$3:$M$246,6,0)/1000000000,VLOOKUP(B55,[3]CDIS_discrepancies_in_stocks!$A$3:$M$246,7,0)/1000000000)</f>
        <v>7.4610785309999997E-2</v>
      </c>
      <c r="L55" s="8">
        <f>IF(VLOOKUP($B55,[3]CDIS_discrepancies_in_stocks!$A$3:$M$246,8,0)&gt;0,VLOOKUP($B55,[3]CDIS_discrepancies_in_stocks!$A$3:$M$246,8,0)/1000000000,VLOOKUP($B55,[3]CDIS_discrepancies_in_stocks!$A$3:$M$246,9,0)/1000000000)</f>
        <v>6.9464707380000002E-3</v>
      </c>
      <c r="M55" s="8">
        <f t="shared" si="6"/>
        <v>6.7664314571999992E-2</v>
      </c>
      <c r="N55" s="306">
        <f>IF(VLOOKUP(B55,[3]CDIS_discrepancies_in_stocks!$A$3:$M$246,2,0)&gt;0,VLOOKUP(B55,[3]CDIS_discrepancies_in_stocks!$A$3:$M$246,2,0)/1000000000,VLOOKUP(B55,[3]CDIS_discrepancies_in_stocks!$A$3:$M$246,3,0)/1000000000)</f>
        <v>0.91200000000000003</v>
      </c>
      <c r="O55" s="8">
        <f>IF(VLOOKUP($B55,[3]CDIS_discrepancies_in_stocks!$A$3:$M$246,4,0)&gt;0,VLOOKUP($B55,[3]CDIS_discrepancies_in_stocks!$A$3:$M$246,4,0)/1000000000,VLOOKUP($B55,[3]CDIS_discrepancies_in_stocks!$A$3:$M$246,5,0)/1000000000)</f>
        <v>0.33600000000000002</v>
      </c>
      <c r="P55" s="35">
        <f t="shared" si="9"/>
        <v>0.57600000000000007</v>
      </c>
      <c r="S55" s="1067">
        <f t="shared" si="7"/>
        <v>0</v>
      </c>
      <c r="T55" s="1067">
        <f t="shared" si="8"/>
        <v>0</v>
      </c>
      <c r="U55" s="1067">
        <f>G55-C55-(TableB3!B55-TableB4!B55)</f>
        <v>0</v>
      </c>
      <c r="V55" s="1068">
        <f>G55-C55-TableB1!G57</f>
        <v>0</v>
      </c>
      <c r="W55" s="594">
        <f t="shared" si="2"/>
        <v>0</v>
      </c>
      <c r="X55" s="594">
        <f t="shared" si="3"/>
        <v>0</v>
      </c>
    </row>
    <row r="56" spans="1:24" x14ac:dyDescent="0.35">
      <c r="B56" s="289" t="str">
        <f>+TableA1!A56</f>
        <v>Antigua and Barbuda</v>
      </c>
      <c r="C56" s="895">
        <f>+(TableB10!E56+TableB10!I56)/1000</f>
        <v>7.690000000000001E-2</v>
      </c>
      <c r="D56" s="1060">
        <f t="shared" si="10"/>
        <v>5.3830000000000003E-2</v>
      </c>
      <c r="E56" s="1061">
        <v>0</v>
      </c>
      <c r="F56" s="1061">
        <f t="shared" si="11"/>
        <v>2.3070000000000004E-2</v>
      </c>
      <c r="G56" s="911">
        <f>+(TableB10!N56+TableB10!R56)/1000</f>
        <v>0</v>
      </c>
      <c r="H56" s="1060">
        <f t="shared" si="12"/>
        <v>0</v>
      </c>
      <c r="I56" s="1061">
        <v>0</v>
      </c>
      <c r="J56" s="1061">
        <f t="shared" si="13"/>
        <v>0</v>
      </c>
      <c r="K56" s="306">
        <f>IF(VLOOKUP(B56,[3]CDIS_discrepancies_in_stocks!$A$3:$M$246,6,0)&gt;0,VLOOKUP(B56,[3]CDIS_discrepancies_in_stocks!$A$3:$M$246,6,0)/1000000000,VLOOKUP(B56,[3]CDIS_discrepancies_in_stocks!$A$3:$M$246,7,0)/1000000000)</f>
        <v>6.6455060100000005E-2</v>
      </c>
      <c r="L56" s="8">
        <f>IF(VLOOKUP($B56,[3]CDIS_discrepancies_in_stocks!$A$3:$M$246,8,0)&gt;0,VLOOKUP($B56,[3]CDIS_discrepancies_in_stocks!$A$3:$M$246,8,0)/1000000000,VLOOKUP($B56,[3]CDIS_discrepancies_in_stocks!$A$3:$M$246,9,0)/1000000000)</f>
        <v>6.6469538699999997E-2</v>
      </c>
      <c r="M56" s="8">
        <f t="shared" si="6"/>
        <v>-1.4478599999992459E-5</v>
      </c>
      <c r="N56" s="306">
        <f>IF(VLOOKUP(B56,[3]CDIS_discrepancies_in_stocks!$A$3:$M$246,2,0)&gt;0,VLOOKUP(B56,[3]CDIS_discrepancies_in_stocks!$A$3:$M$246,2,0)/1000000000,VLOOKUP(B56,[3]CDIS_discrepancies_in_stocks!$A$3:$M$246,3,0)/1000000000)</f>
        <v>2.9373530339999999E-2</v>
      </c>
      <c r="O56" s="8">
        <f>IF(VLOOKUP($B56,[3]CDIS_discrepancies_in_stocks!$A$3:$M$246,4,0)&gt;0,VLOOKUP($B56,[3]CDIS_discrepancies_in_stocks!$A$3:$M$246,4,0)/1000000000,VLOOKUP($B56,[3]CDIS_discrepancies_in_stocks!$A$3:$M$246,5,0)/1000000000)</f>
        <v>2.1136247239999999E-2</v>
      </c>
      <c r="P56" s="35">
        <f t="shared" si="9"/>
        <v>8.2372830999999994E-3</v>
      </c>
      <c r="S56" s="1067">
        <f t="shared" si="7"/>
        <v>0</v>
      </c>
      <c r="T56" s="1067">
        <f t="shared" si="8"/>
        <v>0</v>
      </c>
      <c r="U56" s="1067">
        <f>G56-C56-(TableB3!B56-TableB4!B56)</f>
        <v>0</v>
      </c>
      <c r="V56" s="1068">
        <f>G56-C56-TableB1!G58</f>
        <v>0</v>
      </c>
      <c r="W56" s="594">
        <f t="shared" si="2"/>
        <v>0</v>
      </c>
      <c r="X56" s="594">
        <f t="shared" si="3"/>
        <v>0</v>
      </c>
    </row>
    <row r="57" spans="1:24" x14ac:dyDescent="0.35">
      <c r="B57" s="264" t="s">
        <v>274</v>
      </c>
      <c r="C57" s="895">
        <f>+(TableB10!E57+TableB10!I57)/1000</f>
        <v>9.8715083800000006E-2</v>
      </c>
      <c r="D57" s="1060">
        <f t="shared" si="10"/>
        <v>6.9100558660000005E-2</v>
      </c>
      <c r="E57" s="1061">
        <v>0</v>
      </c>
      <c r="F57" s="1061">
        <f t="shared" si="11"/>
        <v>2.961452514E-2</v>
      </c>
      <c r="G57" s="911">
        <f>+(TableB10!N57+TableB10!R57)/1000</f>
        <v>5.7000000000000002E-2</v>
      </c>
      <c r="H57" s="1060">
        <f t="shared" si="12"/>
        <v>3.9900000000000005E-2</v>
      </c>
      <c r="I57" s="1061">
        <v>0</v>
      </c>
      <c r="J57" s="1061">
        <f t="shared" si="13"/>
        <v>1.7100000000000001E-2</v>
      </c>
      <c r="K57" s="306">
        <f>IF(VLOOKUP(B57,[3]CDIS_discrepancies_in_stocks!$A$3:$M$246,6,0)&gt;0,VLOOKUP(B57,[3]CDIS_discrepancies_in_stocks!$A$3:$M$246,6,0)/1000000000,VLOOKUP(B57,[3]CDIS_discrepancies_in_stocks!$A$3:$M$246,7,0)/1000000000)</f>
        <v>4.05</v>
      </c>
      <c r="L57" s="8">
        <f>IF(VLOOKUP($B57,[3]CDIS_discrepancies_in_stocks!$A$3:$M$246,8,0)&gt;0,VLOOKUP($B57,[3]CDIS_discrepancies_in_stocks!$A$3:$M$246,8,0)/1000000000,VLOOKUP($B57,[3]CDIS_discrepancies_in_stocks!$A$3:$M$246,9,0)/1000000000)</f>
        <v>3.29</v>
      </c>
      <c r="M57" s="8">
        <f t="shared" si="6"/>
        <v>0.75999999999999979</v>
      </c>
      <c r="N57" s="306">
        <f>IF(VLOOKUP(B57,[3]CDIS_discrepancies_in_stocks!$A$3:$M$246,2,0)&gt;0,VLOOKUP(B57,[3]CDIS_discrepancies_in_stocks!$A$3:$M$246,2,0)/1000000000,VLOOKUP(B57,[3]CDIS_discrepancies_in_stocks!$A$3:$M$246,3,0)/1000000000)</f>
        <v>0.105</v>
      </c>
      <c r="O57" s="8">
        <f>IF(VLOOKUP($B57,[3]CDIS_discrepancies_in_stocks!$A$3:$M$246,4,0)&gt;0,VLOOKUP($B57,[3]CDIS_discrepancies_in_stocks!$A$3:$M$246,4,0)/1000000000,VLOOKUP($B57,[3]CDIS_discrepancies_in_stocks!$A$3:$M$246,5,0)/1000000000)</f>
        <v>7.1358949239999997E-2</v>
      </c>
      <c r="P57" s="35">
        <f t="shared" si="9"/>
        <v>3.3641050759999999E-2</v>
      </c>
      <c r="S57" s="1067">
        <f t="shared" si="7"/>
        <v>0</v>
      </c>
      <c r="T57" s="1067">
        <f t="shared" si="8"/>
        <v>0</v>
      </c>
      <c r="U57" s="1067">
        <f>G57-C57-(TableB3!B57-TableB4!B57)</f>
        <v>0</v>
      </c>
      <c r="V57" s="1068">
        <f>G57-C57-TableB1!G59</f>
        <v>0</v>
      </c>
      <c r="W57" s="594">
        <f t="shared" si="2"/>
        <v>0</v>
      </c>
      <c r="X57" s="594">
        <f t="shared" si="3"/>
        <v>0</v>
      </c>
    </row>
    <row r="58" spans="1:24" x14ac:dyDescent="0.35">
      <c r="A58" s="376" t="s">
        <v>503</v>
      </c>
      <c r="B58" s="264" t="s">
        <v>275</v>
      </c>
      <c r="C58" s="895">
        <f>+(TableB10!E58+TableB10!I58)/1000</f>
        <v>2.4410858728483822</v>
      </c>
      <c r="D58" s="1060">
        <f t="shared" si="10"/>
        <v>1.7087601109938677</v>
      </c>
      <c r="E58" s="1061">
        <v>0</v>
      </c>
      <c r="F58" s="1061">
        <f t="shared" si="11"/>
        <v>0.73232576185451459</v>
      </c>
      <c r="G58" s="911">
        <f>+(TableB10!N58+TableB10!R58)/1000</f>
        <v>1.7022606313516633</v>
      </c>
      <c r="H58" s="1060">
        <f t="shared" si="12"/>
        <v>1.1915824419461645</v>
      </c>
      <c r="I58" s="1061">
        <v>0</v>
      </c>
      <c r="J58" s="1061">
        <f t="shared" si="13"/>
        <v>0.51067818940549892</v>
      </c>
      <c r="K58" s="306">
        <f>IF(VLOOKUP($A58,[3]CDIS_discrepancies_in_stocks!$A$3:$M$246,6,0)&gt;0,VLOOKUP($A58,[3]CDIS_discrepancies_in_stocks!$A$3:$M$246,6,0)/1000000000,VLOOKUP($A58,[3]CDIS_discrepancies_in_stocks!$A$3:$M$246,7,0)/1000000000)</f>
        <v>82.8</v>
      </c>
      <c r="L58" s="8">
        <f>IF(VLOOKUP($A58,[3]CDIS_discrepancies_in_stocks!$A$3:$M$246,8,0)&gt;0,VLOOKUP($A58,[3]CDIS_discrepancies_in_stocks!$A$3:$M$246,8,0)/1000000000,VLOOKUP($A58,[3]CDIS_discrepancies_in_stocks!$A$3:$M$246,9,0)/1000000000)</f>
        <v>26.7</v>
      </c>
      <c r="M58" s="8">
        <f t="shared" si="6"/>
        <v>56.099999999999994</v>
      </c>
      <c r="N58" s="306">
        <f>IF(VLOOKUP(A58,[3]CDIS_discrepancies_in_stocks!$A$3:$M$246,2,0)&gt;0,VLOOKUP(A58,[3]CDIS_discrepancies_in_stocks!$A$3:$M$246,2,0)/1000000000,VLOOKUP(A58,[3]CDIS_discrepancies_in_stocks!$A$3:$M$246,3,0)/1000000000)</f>
        <v>98.3</v>
      </c>
      <c r="O58" s="8">
        <f>IF(VLOOKUP($A58,[3]CDIS_discrepancies_in_stocks!$A$3:$M$246,4,0)&gt;0,VLOOKUP($A58,[3]CDIS_discrepancies_in_stocks!$A$3:$M$246,4,0)/1000000000,VLOOKUP($A58,[3]CDIS_discrepancies_in_stocks!$A$3:$M$246,5,0)/1000000000)</f>
        <v>64.099999999999994</v>
      </c>
      <c r="P58" s="35">
        <f t="shared" si="9"/>
        <v>34.200000000000003</v>
      </c>
      <c r="S58" s="1067">
        <f t="shared" si="7"/>
        <v>0</v>
      </c>
      <c r="T58" s="1067">
        <f t="shared" si="8"/>
        <v>0</v>
      </c>
      <c r="U58" s="1067">
        <f>G58-C58-(TableB3!B58-TableB4!B58)</f>
        <v>0</v>
      </c>
      <c r="V58" s="1068">
        <f>G58-C58-TableB1!G60</f>
        <v>0</v>
      </c>
      <c r="W58" s="594">
        <f t="shared" si="2"/>
        <v>0</v>
      </c>
      <c r="X58" s="594">
        <f t="shared" si="3"/>
        <v>0</v>
      </c>
    </row>
    <row r="59" spans="1:24" x14ac:dyDescent="0.35">
      <c r="A59" t="s">
        <v>486</v>
      </c>
      <c r="B59" s="264" t="s">
        <v>276</v>
      </c>
      <c r="C59" s="895">
        <f>+(TableB10!E59+TableB10!I59)/1000</f>
        <v>0.72000805649591415</v>
      </c>
      <c r="D59" s="1060">
        <f t="shared" si="10"/>
        <v>0.50400563954713995</v>
      </c>
      <c r="E59" s="1061">
        <v>0</v>
      </c>
      <c r="F59" s="1061">
        <f t="shared" si="11"/>
        <v>0.21600241694877423</v>
      </c>
      <c r="G59" s="911">
        <f>+(TableB10!N59+TableB10!R59)/1000</f>
        <v>7.740000000000001E-2</v>
      </c>
      <c r="H59" s="1060">
        <f t="shared" si="12"/>
        <v>5.4180000000000006E-2</v>
      </c>
      <c r="I59" s="1061">
        <v>0</v>
      </c>
      <c r="J59" s="1061">
        <f t="shared" si="13"/>
        <v>2.3220000000000001E-2</v>
      </c>
      <c r="K59" s="306">
        <f>IF(VLOOKUP($A59,[3]CDIS_discrepancies_in_stocks!$A$3:$M$246,6,0)&gt;0,VLOOKUP($A59,[3]CDIS_discrepancies_in_stocks!$A$3:$M$246,6,0)/1000000000,VLOOKUP($A59,[3]CDIS_discrepancies_in_stocks!$A$3:$M$246,7,0)/1000000000)</f>
        <v>28.3</v>
      </c>
      <c r="L59" s="8">
        <f>IF(VLOOKUP($A59,[3]CDIS_discrepancies_in_stocks!$A$3:$M$246,8,0)&gt;0,VLOOKUP($A59,[3]CDIS_discrepancies_in_stocks!$A$3:$M$246,8,0)/1000000000,VLOOKUP($A59,[3]CDIS_discrepancies_in_stocks!$A$3:$M$246,9,0)/1000000000)</f>
        <v>22.8</v>
      </c>
      <c r="M59" s="8">
        <f t="shared" si="6"/>
        <v>5.5</v>
      </c>
      <c r="N59" s="306">
        <f>IF(VLOOKUP(A59,[3]CDIS_discrepancies_in_stocks!$A$3:$M$246,2,0)&gt;0,VLOOKUP(A59,[3]CDIS_discrepancies_in_stocks!$A$3:$M$246,2,0)/1000000000,VLOOKUP(A59,[3]CDIS_discrepancies_in_stocks!$A$3:$M$246,3,0)/1000000000)</f>
        <v>2.02</v>
      </c>
      <c r="O59" s="8">
        <f>IF(VLOOKUP($A59,[3]CDIS_discrepancies_in_stocks!$A$3:$M$246,4,0)&gt;0,VLOOKUP($A59,[3]CDIS_discrepancies_in_stocks!$A$3:$M$246,4,0)/1000000000,VLOOKUP($A59,[3]CDIS_discrepancies_in_stocks!$A$3:$M$246,5,0)/1000000000)</f>
        <v>1.82</v>
      </c>
      <c r="P59" s="35">
        <f t="shared" si="9"/>
        <v>0.19999999999999996</v>
      </c>
      <c r="S59" s="1067">
        <f t="shared" si="7"/>
        <v>0</v>
      </c>
      <c r="T59" s="1067">
        <f t="shared" si="8"/>
        <v>0</v>
      </c>
      <c r="U59" s="1067">
        <f>G59-C59-(TableB3!B59-TableB4!B59)</f>
        <v>0</v>
      </c>
      <c r="V59" s="1068">
        <f>G59-C59-TableB1!G61</f>
        <v>0</v>
      </c>
      <c r="W59" s="594">
        <f t="shared" si="2"/>
        <v>0</v>
      </c>
      <c r="X59" s="594">
        <f t="shared" si="3"/>
        <v>0</v>
      </c>
    </row>
    <row r="60" spans="1:24" x14ac:dyDescent="0.35">
      <c r="B60" s="289" t="str">
        <f>+TableA1!A60</f>
        <v>Barbados</v>
      </c>
      <c r="C60" s="895">
        <f>+(TableB10!E60+TableB10!I60)/1000</f>
        <v>2.1307224236508158</v>
      </c>
      <c r="D60" s="1060">
        <f t="shared" si="10"/>
        <v>1.4915056965555711</v>
      </c>
      <c r="E60" s="1061">
        <v>0</v>
      </c>
      <c r="F60" s="1061">
        <f t="shared" si="11"/>
        <v>0.63921672709524469</v>
      </c>
      <c r="G60" s="911">
        <f>+(TableB10!N60+TableB10!R60)/1000</f>
        <v>0.23493255831256293</v>
      </c>
      <c r="H60" s="1060">
        <f t="shared" si="12"/>
        <v>0.16445279081879405</v>
      </c>
      <c r="I60" s="1061">
        <v>0</v>
      </c>
      <c r="J60" s="1061">
        <f t="shared" si="13"/>
        <v>7.0479767493768872E-2</v>
      </c>
      <c r="K60" s="306">
        <f>IF(VLOOKUP(B60,[3]CDIS_discrepancies_in_stocks!$A$3:$M$246,6,0)&gt;0,VLOOKUP(B60,[3]CDIS_discrepancies_in_stocks!$A$3:$M$246,6,0)/1000000000,VLOOKUP(B60,[3]CDIS_discrepancies_in_stocks!$A$3:$M$246,7,0)/1000000000)</f>
        <v>73.8</v>
      </c>
      <c r="L60" s="8">
        <f>IF(VLOOKUP($B60,[3]CDIS_discrepancies_in_stocks!$A$3:$M$246,8,0)&gt;0,VLOOKUP($B60,[3]CDIS_discrepancies_in_stocks!$A$3:$M$246,8,0)/1000000000,VLOOKUP($B60,[3]CDIS_discrepancies_in_stocks!$A$3:$M$246,9,0)/1000000000)</f>
        <v>17.899999999999999</v>
      </c>
      <c r="M60" s="8">
        <f t="shared" si="6"/>
        <v>55.9</v>
      </c>
      <c r="N60" s="306">
        <f>IF(VLOOKUP(B60,[3]CDIS_discrepancies_in_stocks!$A$3:$M$246,2,0)&gt;0,VLOOKUP(B60,[3]CDIS_discrepancies_in_stocks!$A$3:$M$246,2,0)/1000000000,VLOOKUP(B60,[3]CDIS_discrepancies_in_stocks!$A$3:$M$246,3,0)/1000000000)</f>
        <v>16.100000000000001</v>
      </c>
      <c r="O60" s="8">
        <f>IF(VLOOKUP($B60,[3]CDIS_discrepancies_in_stocks!$A$3:$M$246,4,0)&gt;0,VLOOKUP($B60,[3]CDIS_discrepancies_in_stocks!$A$3:$M$246,4,0)/1000000000,VLOOKUP($B60,[3]CDIS_discrepancies_in_stocks!$A$3:$M$246,5,0)/1000000000)</f>
        <v>9.52</v>
      </c>
      <c r="P60" s="35">
        <f t="shared" si="9"/>
        <v>6.5800000000000018</v>
      </c>
      <c r="S60" s="1067">
        <f t="shared" si="7"/>
        <v>0</v>
      </c>
      <c r="T60" s="1067">
        <f t="shared" si="8"/>
        <v>0</v>
      </c>
      <c r="U60" s="1067">
        <f>G60-C60-(TableB3!B60-TableB4!B60)</f>
        <v>0</v>
      </c>
      <c r="V60" s="1068">
        <f>G60-C60-TableB1!G62</f>
        <v>0</v>
      </c>
      <c r="W60" s="594">
        <f t="shared" si="2"/>
        <v>0</v>
      </c>
      <c r="X60" s="594">
        <f t="shared" si="3"/>
        <v>0</v>
      </c>
    </row>
    <row r="61" spans="1:24" x14ac:dyDescent="0.35">
      <c r="B61" s="264" t="s">
        <v>277</v>
      </c>
      <c r="C61" s="895">
        <f>+(TableB10!E61+TableB10!I61)/1000</f>
        <v>6.6200000000000009E-2</v>
      </c>
      <c r="D61" s="1060">
        <f t="shared" si="10"/>
        <v>4.6340000000000006E-2</v>
      </c>
      <c r="E61" s="1061">
        <v>0</v>
      </c>
      <c r="F61" s="1061">
        <f t="shared" si="11"/>
        <v>1.9860000000000003E-2</v>
      </c>
      <c r="G61" s="911">
        <f>+(TableB10!N61+TableB10!R61)/1000</f>
        <v>1.2105223E-3</v>
      </c>
      <c r="H61" s="1060">
        <f t="shared" si="12"/>
        <v>8.4736561000000005E-4</v>
      </c>
      <c r="I61" s="1061">
        <v>0</v>
      </c>
      <c r="J61" s="1061">
        <f t="shared" si="13"/>
        <v>3.6315669000000001E-4</v>
      </c>
      <c r="K61" s="306">
        <f>IF(VLOOKUP(B61,[3]CDIS_discrepancies_in_stocks!$A$3:$M$246,6,0)&gt;0,VLOOKUP(B61,[3]CDIS_discrepancies_in_stocks!$A$3:$M$246,6,0)/1000000000,VLOOKUP(B61,[3]CDIS_discrepancies_in_stocks!$A$3:$M$246,7,0)/1000000000)</f>
        <v>0.35899999999999999</v>
      </c>
      <c r="L61" s="8">
        <f>IF(VLOOKUP($B61,[3]CDIS_discrepancies_in_stocks!$A$3:$M$246,8,0)&gt;0,VLOOKUP($B61,[3]CDIS_discrepancies_in_stocks!$A$3:$M$246,8,0)/1000000000,VLOOKUP($B61,[3]CDIS_discrepancies_in_stocks!$A$3:$M$246,9,0)/1000000000)</f>
        <v>0.33400000000000002</v>
      </c>
      <c r="M61" s="8">
        <f t="shared" si="6"/>
        <v>2.4999999999999967E-2</v>
      </c>
      <c r="N61" s="306">
        <f>IF(VLOOKUP(B61,[3]CDIS_discrepancies_in_stocks!$A$3:$M$246,2,0)&gt;0,VLOOKUP(B61,[3]CDIS_discrepancies_in_stocks!$A$3:$M$246,2,0)/1000000000,VLOOKUP(B61,[3]CDIS_discrepancies_in_stocks!$A$3:$M$246,3,0)/1000000000)</f>
        <v>2.0099999999999998</v>
      </c>
      <c r="O61" s="8">
        <f>IF(VLOOKUP($B61,[3]CDIS_discrepancies_in_stocks!$A$3:$M$246,4,0)&gt;0,VLOOKUP($B61,[3]CDIS_discrepancies_in_stocks!$A$3:$M$246,4,0)/1000000000,VLOOKUP($B61,[3]CDIS_discrepancies_in_stocks!$A$3:$M$246,5,0)/1000000000)</f>
        <v>1.4</v>
      </c>
      <c r="P61" s="35">
        <f t="shared" si="9"/>
        <v>0.60999999999999988</v>
      </c>
      <c r="S61" s="1067">
        <f t="shared" si="7"/>
        <v>0</v>
      </c>
      <c r="T61" s="1067">
        <f t="shared" si="8"/>
        <v>0</v>
      </c>
      <c r="U61" s="1067">
        <f>G61-C61-(TableB3!B61-TableB4!B61)</f>
        <v>0</v>
      </c>
      <c r="V61" s="1068">
        <f>G61-C61-TableB1!G63</f>
        <v>0</v>
      </c>
      <c r="W61" s="594">
        <f t="shared" si="2"/>
        <v>0</v>
      </c>
      <c r="X61" s="594">
        <f t="shared" si="3"/>
        <v>0</v>
      </c>
    </row>
    <row r="62" spans="1:24" x14ac:dyDescent="0.35">
      <c r="B62" s="264" t="s">
        <v>213</v>
      </c>
      <c r="C62" s="895">
        <f>+(TableB10!E62+TableB10!I62)/1000</f>
        <v>47.722737121784164</v>
      </c>
      <c r="D62" s="1060">
        <f t="shared" si="10"/>
        <v>33.405915985248917</v>
      </c>
      <c r="E62" s="1061">
        <v>0</v>
      </c>
      <c r="F62" s="1061">
        <f t="shared" si="11"/>
        <v>14.316821136535248</v>
      </c>
      <c r="G62" s="911">
        <f>+(TableB10!N62+TableB10!R62)/1000</f>
        <v>32.275338594347502</v>
      </c>
      <c r="H62" s="1060">
        <f t="shared" si="12"/>
        <v>22.592737016043252</v>
      </c>
      <c r="I62" s="1061">
        <v>0</v>
      </c>
      <c r="J62" s="1061">
        <f t="shared" si="13"/>
        <v>9.6826015783042507</v>
      </c>
      <c r="K62" s="306">
        <f>IF(VLOOKUP(B62,[3]CDIS_discrepancies_in_stocks!$A$3:$M$246,6,0)&gt;0,VLOOKUP(B62,[3]CDIS_discrepancies_in_stocks!$A$3:$M$246,6,0)/1000000000,VLOOKUP(B62,[3]CDIS_discrepancies_in_stocks!$A$3:$M$246,7,0)/1000000000)</f>
        <v>632</v>
      </c>
      <c r="L62" s="8">
        <f>IF(VLOOKUP($B62,[3]CDIS_discrepancies_in_stocks!$A$3:$M$246,8,0)&gt;0,VLOOKUP($B62,[3]CDIS_discrepancies_in_stocks!$A$3:$M$246,8,0)/1000000000,VLOOKUP($B62,[3]CDIS_discrepancies_in_stocks!$A$3:$M$246,9,0)/1000000000)</f>
        <v>607</v>
      </c>
      <c r="M62" s="8">
        <f t="shared" si="6"/>
        <v>25</v>
      </c>
      <c r="N62" s="306">
        <f>IF(VLOOKUP(B62,[3]CDIS_discrepancies_in_stocks!$A$3:$M$246,2,0)&gt;0,VLOOKUP(B62,[3]CDIS_discrepancies_in_stocks!$A$3:$M$246,2,0)/1000000000,VLOOKUP(B62,[3]CDIS_discrepancies_in_stocks!$A$3:$M$246,3,0)/1000000000)</f>
        <v>711</v>
      </c>
      <c r="O62" s="8">
        <f>IF(VLOOKUP($B62,[3]CDIS_discrepancies_in_stocks!$A$3:$M$246,4,0)&gt;0,VLOOKUP($B62,[3]CDIS_discrepancies_in_stocks!$A$3:$M$246,4,0)/1000000000,VLOOKUP($B62,[3]CDIS_discrepancies_in_stocks!$A$3:$M$246,5,0)/1000000000)</f>
        <v>511</v>
      </c>
      <c r="P62" s="35">
        <f t="shared" si="9"/>
        <v>200</v>
      </c>
      <c r="S62" s="1067">
        <f t="shared" si="7"/>
        <v>0</v>
      </c>
      <c r="T62" s="1067">
        <f t="shared" si="8"/>
        <v>0</v>
      </c>
      <c r="U62" s="1067">
        <f>G62-C62-(TableB3!B62-TableB4!B62)</f>
        <v>0</v>
      </c>
      <c r="V62" s="1068">
        <f>G62-C62-TableB1!G64</f>
        <v>0</v>
      </c>
      <c r="W62" s="594">
        <f t="shared" si="2"/>
        <v>0</v>
      </c>
      <c r="X62" s="594">
        <f t="shared" si="3"/>
        <v>0</v>
      </c>
    </row>
    <row r="63" spans="1:24" x14ac:dyDescent="0.35">
      <c r="B63" s="264" t="s">
        <v>278</v>
      </c>
      <c r="C63" s="895">
        <f>+(TableB10!E63+TableB10!I63)/1000</f>
        <v>1E-4</v>
      </c>
      <c r="D63" s="1060">
        <f t="shared" si="10"/>
        <v>7.0000000000000007E-5</v>
      </c>
      <c r="E63" s="1061">
        <v>0</v>
      </c>
      <c r="F63" s="1061">
        <f t="shared" si="11"/>
        <v>3.0000000000000001E-5</v>
      </c>
      <c r="G63" s="911">
        <f>+(TableB10!N63+TableB10!R63)/1000</f>
        <v>9.4999999999999998E-3</v>
      </c>
      <c r="H63" s="1060">
        <f t="shared" si="12"/>
        <v>6.6499999999999997E-3</v>
      </c>
      <c r="I63" s="1061">
        <v>0</v>
      </c>
      <c r="J63" s="1061">
        <f t="shared" si="13"/>
        <v>2.8499999999999997E-3</v>
      </c>
      <c r="K63" s="306"/>
      <c r="L63" s="8"/>
      <c r="M63" s="8"/>
      <c r="N63" s="306"/>
      <c r="O63" s="8"/>
      <c r="P63" s="35"/>
      <c r="S63" s="1067">
        <f t="shared" si="7"/>
        <v>0</v>
      </c>
      <c r="T63" s="1067">
        <f t="shared" si="8"/>
        <v>0</v>
      </c>
      <c r="U63" s="1067">
        <f>G63-C63-(TableB3!B63-TableB4!B63)</f>
        <v>0</v>
      </c>
      <c r="V63" s="1068">
        <f>G63-C63-TableB1!G65</f>
        <v>0</v>
      </c>
      <c r="W63" s="594">
        <f t="shared" si="2"/>
        <v>0</v>
      </c>
      <c r="X63" s="594">
        <f t="shared" si="3"/>
        <v>0</v>
      </c>
    </row>
    <row r="64" spans="1:24" x14ac:dyDescent="0.35">
      <c r="A64" t="s">
        <v>504</v>
      </c>
      <c r="B64" s="264" t="s">
        <v>279</v>
      </c>
      <c r="C64" s="895">
        <f>+(TableB10!E64+TableB10!I64)/1000</f>
        <v>0.53559617448905006</v>
      </c>
      <c r="D64" s="1060">
        <f t="shared" si="10"/>
        <v>0.37491732214233509</v>
      </c>
      <c r="E64" s="1061">
        <v>0</v>
      </c>
      <c r="F64" s="1061">
        <f t="shared" si="11"/>
        <v>0.160678852346715</v>
      </c>
      <c r="G64" s="911">
        <f>+(TableB10!N64+TableB10!R64)/1000</f>
        <v>4.544698503566293</v>
      </c>
      <c r="H64" s="1060">
        <f t="shared" si="12"/>
        <v>3.1812889524964052</v>
      </c>
      <c r="I64" s="1061">
        <v>0</v>
      </c>
      <c r="J64" s="1061">
        <f t="shared" si="13"/>
        <v>1.3634095510698878</v>
      </c>
      <c r="K64" s="306">
        <f>IF(VLOOKUP($A64,[3]CDIS_discrepancies_in_stocks!$A$3:$M$246,6,0)&gt;0,VLOOKUP($A64,[3]CDIS_discrepancies_in_stocks!$A$3:$M$246,6,0)/1000000000,VLOOKUP($A64,[3]CDIS_discrepancies_in_stocks!$A$3:$M$246,7,0)/1000000000)</f>
        <v>643</v>
      </c>
      <c r="L64" s="8">
        <f>IF(VLOOKUP($A64,[3]CDIS_discrepancies_in_stocks!$A$3:$M$246,8,0)&gt;0,VLOOKUP($A64,[3]CDIS_discrepancies_in_stocks!$A$3:$M$246,8,0)/1000000000,VLOOKUP($A64,[3]CDIS_discrepancies_in_stocks!$A$3:$M$246,9,0)/1000000000)</f>
        <v>492</v>
      </c>
      <c r="M64" s="8">
        <f t="shared" si="6"/>
        <v>151</v>
      </c>
      <c r="N64" s="306">
        <f>IF(VLOOKUP(A64,[3]CDIS_discrepancies_in_stocks!$A$3:$M$246,2,0)&gt;0,VLOOKUP(A64,[3]CDIS_discrepancies_in_stocks!$A$3:$M$246,2,0)/1000000000,VLOOKUP(A64,[3]CDIS_discrepancies_in_stocks!$A$3:$M$246,3,0)/1000000000)</f>
        <v>1130</v>
      </c>
      <c r="O64" s="8">
        <f>IF(VLOOKUP($A64,[3]CDIS_discrepancies_in_stocks!$A$3:$M$246,4,0)&gt;0,VLOOKUP($A64,[3]CDIS_discrepancies_in_stocks!$A$3:$M$246,4,0)/1000000000,VLOOKUP($A64,[3]CDIS_discrepancies_in_stocks!$A$3:$M$246,5,0)/1000000000)</f>
        <v>961</v>
      </c>
      <c r="P64" s="35">
        <f t="shared" si="9"/>
        <v>169</v>
      </c>
      <c r="S64" s="1067">
        <f t="shared" si="7"/>
        <v>0</v>
      </c>
      <c r="T64" s="1067">
        <f t="shared" si="8"/>
        <v>0</v>
      </c>
      <c r="U64" s="1067">
        <f>G64-C64-(TableB3!B64-TableB4!B64)</f>
        <v>0</v>
      </c>
      <c r="V64" s="1068">
        <f>G64-C64-TableB1!G66</f>
        <v>0</v>
      </c>
      <c r="W64" s="594">
        <f t="shared" si="2"/>
        <v>0</v>
      </c>
      <c r="X64" s="594">
        <f t="shared" si="3"/>
        <v>0</v>
      </c>
    </row>
    <row r="65" spans="1:24" x14ac:dyDescent="0.35">
      <c r="B65" s="282" t="s">
        <v>291</v>
      </c>
      <c r="C65" s="895">
        <f>+(TableB10!E65+TableB10!I65)/1000</f>
        <v>32.253212825518716</v>
      </c>
      <c r="D65" s="1060">
        <f t="shared" si="10"/>
        <v>22.5772489778631</v>
      </c>
      <c r="E65" s="1061">
        <v>0</v>
      </c>
      <c r="F65" s="1061">
        <f t="shared" si="11"/>
        <v>9.6759638476556145</v>
      </c>
      <c r="G65" s="911">
        <f>+(TableB10!N65+TableB10!R65)/1000</f>
        <v>16.2111946503803</v>
      </c>
      <c r="H65" s="1060">
        <f t="shared" si="12"/>
        <v>11.347836255266209</v>
      </c>
      <c r="I65" s="1061">
        <v>0</v>
      </c>
      <c r="J65" s="1061">
        <f t="shared" si="13"/>
        <v>4.8633583951140897</v>
      </c>
      <c r="K65" s="306">
        <f>IF(VLOOKUP(B65,[3]CDIS_discrepancies_in_stocks!$A$3:$M$246,6,0)&gt;0,VLOOKUP(B65,[3]CDIS_discrepancies_in_stocks!$A$3:$M$246,6,0)/1000000000,VLOOKUP(B65,[3]CDIS_discrepancies_in_stocks!$A$3:$M$246,7,0)/1000000000)</f>
        <v>554</v>
      </c>
      <c r="L65" s="8">
        <f>IF(VLOOKUP($B65,[3]CDIS_discrepancies_in_stocks!$A$3:$M$246,8,0)&gt;0,VLOOKUP($B65,[3]CDIS_discrepancies_in_stocks!$A$3:$M$246,8,0)/1000000000,VLOOKUP($B65,[3]CDIS_discrepancies_in_stocks!$A$3:$M$246,9,0)/1000000000)</f>
        <v>494</v>
      </c>
      <c r="M65" s="8">
        <f t="shared" si="6"/>
        <v>60</v>
      </c>
      <c r="N65" s="306">
        <f>IF(VLOOKUP(B65,[3]CDIS_discrepancies_in_stocks!$A$3:$M$246,2,0)&gt;0,VLOOKUP(B65,[3]CDIS_discrepancies_in_stocks!$A$3:$M$246,2,0)/1000000000,VLOOKUP(B65,[3]CDIS_discrepancies_in_stocks!$A$3:$M$246,3,0)/1000000000)</f>
        <v>569</v>
      </c>
      <c r="O65" s="8">
        <f>IF(VLOOKUP($B65,[3]CDIS_discrepancies_in_stocks!$A$3:$M$246,4,0)&gt;0,VLOOKUP($B65,[3]CDIS_discrepancies_in_stocks!$A$3:$M$246,4,0)/1000000000,VLOOKUP($B65,[3]CDIS_discrepancies_in_stocks!$A$3:$M$246,5,0)/1000000000)</f>
        <v>365</v>
      </c>
      <c r="P65" s="35">
        <f t="shared" si="9"/>
        <v>204</v>
      </c>
      <c r="S65" s="1067">
        <f t="shared" si="7"/>
        <v>0</v>
      </c>
      <c r="T65" s="1067">
        <f t="shared" si="8"/>
        <v>0</v>
      </c>
      <c r="U65" s="1067">
        <f>G65-C65-(TableB3!B65-TableB4!B65)</f>
        <v>0</v>
      </c>
      <c r="V65" s="1068">
        <f>G65-C65-TableB1!G67</f>
        <v>0</v>
      </c>
      <c r="W65" s="594">
        <f t="shared" si="2"/>
        <v>0</v>
      </c>
      <c r="X65" s="594">
        <f t="shared" si="3"/>
        <v>0</v>
      </c>
    </row>
    <row r="66" spans="1:24" x14ac:dyDescent="0.35">
      <c r="B66" s="264" t="s">
        <v>280</v>
      </c>
      <c r="C66" s="895">
        <f>+(TableB10!E66+TableB10!I66)/1000</f>
        <v>0.48729023846046576</v>
      </c>
      <c r="D66" s="1060">
        <f t="shared" si="10"/>
        <v>0.34110316692232601</v>
      </c>
      <c r="E66" s="1061">
        <v>0</v>
      </c>
      <c r="F66" s="1061">
        <f t="shared" si="11"/>
        <v>0.14618707153813973</v>
      </c>
      <c r="G66" s="911">
        <f>+(TableB10!N66+TableB10!R66)/1000</f>
        <v>2.6862999999999997</v>
      </c>
      <c r="H66" s="1060">
        <f t="shared" si="12"/>
        <v>1.8804099999999999</v>
      </c>
      <c r="I66" s="1061">
        <v>0</v>
      </c>
      <c r="J66" s="1061">
        <f t="shared" si="13"/>
        <v>0.80588999999999988</v>
      </c>
      <c r="K66" s="306">
        <f>IF(VLOOKUP(B66,[3]CDIS_discrepancies_in_stocks!$A$3:$M$246,6,0)&gt;0,VLOOKUP(B66,[3]CDIS_discrepancies_in_stocks!$A$3:$M$246,6,0)/1000000000,VLOOKUP(B66,[3]CDIS_discrepancies_in_stocks!$A$3:$M$246,7,0)/1000000000)</f>
        <v>0.83599999999999997</v>
      </c>
      <c r="L66" s="8">
        <f>IF(VLOOKUP($B66,[3]CDIS_discrepancies_in_stocks!$A$3:$M$246,8,0)&gt;0,VLOOKUP($B66,[3]CDIS_discrepancies_in_stocks!$A$3:$M$246,8,0)/1000000000,VLOOKUP($B66,[3]CDIS_discrepancies_in_stocks!$A$3:$M$246,9,0)/1000000000)</f>
        <v>0.52100000000000002</v>
      </c>
      <c r="M66" s="8">
        <f t="shared" si="6"/>
        <v>0.31499999999999995</v>
      </c>
      <c r="N66" s="306">
        <f>IF(VLOOKUP(B66,[3]CDIS_discrepancies_in_stocks!$A$3:$M$246,2,0)&gt;0,VLOOKUP(B66,[3]CDIS_discrepancies_in_stocks!$A$3:$M$246,2,0)/1000000000,VLOOKUP(B66,[3]CDIS_discrepancies_in_stocks!$A$3:$M$246,3,0)/1000000000)</f>
        <v>0.54100000000000004</v>
      </c>
      <c r="O66" s="8">
        <f>IF(VLOOKUP($B66,[3]CDIS_discrepancies_in_stocks!$A$3:$M$246,4,0)&gt;0,VLOOKUP($B66,[3]CDIS_discrepancies_in_stocks!$A$3:$M$246,4,0)/1000000000,VLOOKUP($B66,[3]CDIS_discrepancies_in_stocks!$A$3:$M$246,5,0)/1000000000)</f>
        <v>0.47499999999999998</v>
      </c>
      <c r="P66" s="35">
        <f t="shared" si="9"/>
        <v>6.6000000000000059E-2</v>
      </c>
      <c r="S66" s="1067">
        <f t="shared" si="7"/>
        <v>0</v>
      </c>
      <c r="T66" s="1067">
        <f t="shared" si="8"/>
        <v>0</v>
      </c>
      <c r="U66" s="1067">
        <f>G66-C66-(TableB3!B66-TableB4!B66)</f>
        <v>0</v>
      </c>
      <c r="V66" s="1068">
        <f>G66-C66-TableB1!G68</f>
        <v>0</v>
      </c>
      <c r="W66" s="594">
        <f t="shared" si="2"/>
        <v>0</v>
      </c>
      <c r="X66" s="594">
        <f t="shared" si="3"/>
        <v>0</v>
      </c>
    </row>
    <row r="67" spans="1:24" x14ac:dyDescent="0.35">
      <c r="B67" s="289" t="str">
        <f>+TableA1!A67</f>
        <v>Cyprus</v>
      </c>
      <c r="C67" s="895">
        <f>+(TableB10!E67+TableB10!I67)/1000</f>
        <v>5.2637361260589266</v>
      </c>
      <c r="D67" s="1060">
        <f t="shared" si="10"/>
        <v>3.6846152882412486</v>
      </c>
      <c r="E67" s="1061">
        <v>0</v>
      </c>
      <c r="F67" s="1061">
        <f t="shared" si="11"/>
        <v>1.579120837817678</v>
      </c>
      <c r="G67" s="911">
        <f>+(TableB10!N67+TableB10!R67)/1000</f>
        <v>2.9754490700636982</v>
      </c>
      <c r="H67" s="1060">
        <f t="shared" si="12"/>
        <v>2.0828143490445887</v>
      </c>
      <c r="I67" s="1061">
        <v>0</v>
      </c>
      <c r="J67" s="1061">
        <f t="shared" si="13"/>
        <v>0.89263472101910946</v>
      </c>
      <c r="K67" s="306">
        <f>IF(VLOOKUP(B67,[3]CDIS_discrepancies_in_stocks!$A$3:$M$246,6,0)&gt;0,VLOOKUP(B67,[3]CDIS_discrepancies_in_stocks!$A$3:$M$246,6,0)/1000000000,VLOOKUP(B67,[3]CDIS_discrepancies_in_stocks!$A$3:$M$246,7,0)/1000000000)</f>
        <v>174</v>
      </c>
      <c r="L67" s="8">
        <f>IF(VLOOKUP($B67,[3]CDIS_discrepancies_in_stocks!$A$3:$M$246,8,0)&gt;0,VLOOKUP($B67,[3]CDIS_discrepancies_in_stocks!$A$3:$M$246,8,0)/1000000000,VLOOKUP($B67,[3]CDIS_discrepancies_in_stocks!$A$3:$M$246,9,0)/1000000000)</f>
        <v>160</v>
      </c>
      <c r="M67" s="8">
        <f t="shared" si="6"/>
        <v>14</v>
      </c>
      <c r="N67" s="306">
        <f>IF(VLOOKUP(B67,[3]CDIS_discrepancies_in_stocks!$A$3:$M$246,2,0)&gt;0,VLOOKUP(B67,[3]CDIS_discrepancies_in_stocks!$A$3:$M$246,2,0)/1000000000,VLOOKUP(B67,[3]CDIS_discrepancies_in_stocks!$A$3:$M$246,3,0)/1000000000)</f>
        <v>174</v>
      </c>
      <c r="O67" s="8">
        <f>IF(VLOOKUP($B67,[3]CDIS_discrepancies_in_stocks!$A$3:$M$246,4,0)&gt;0,VLOOKUP($B67,[3]CDIS_discrepancies_in_stocks!$A$3:$M$246,4,0)/1000000000,VLOOKUP($B67,[3]CDIS_discrepancies_in_stocks!$A$3:$M$246,5,0)/1000000000)</f>
        <v>159</v>
      </c>
      <c r="P67" s="35">
        <f t="shared" si="9"/>
        <v>15</v>
      </c>
      <c r="S67" s="1067">
        <f t="shared" si="7"/>
        <v>0</v>
      </c>
      <c r="T67" s="1067">
        <f t="shared" si="8"/>
        <v>0</v>
      </c>
      <c r="U67" s="1067">
        <f>G67-C67-(TableB3!B67-TableB4!B67)</f>
        <v>0</v>
      </c>
      <c r="V67" s="1068">
        <f>G67-C67-TableB1!G69</f>
        <v>0</v>
      </c>
      <c r="W67" s="594">
        <f t="shared" si="2"/>
        <v>0</v>
      </c>
      <c r="X67" s="594">
        <f t="shared" si="3"/>
        <v>0</v>
      </c>
    </row>
    <row r="68" spans="1:24" x14ac:dyDescent="0.35">
      <c r="B68" s="264" t="s">
        <v>281</v>
      </c>
      <c r="C68" s="895">
        <f>+(TableB10!E68+TableB10!I68)/1000</f>
        <v>2.3281000000000001</v>
      </c>
      <c r="D68" s="1060">
        <f t="shared" si="10"/>
        <v>1.62967</v>
      </c>
      <c r="E68" s="1061">
        <v>0</v>
      </c>
      <c r="F68" s="1061">
        <f t="shared" si="11"/>
        <v>0.69843</v>
      </c>
      <c r="G68" s="911">
        <f>+(TableB10!N68+TableB10!R68)/1000</f>
        <v>0.29306236093911125</v>
      </c>
      <c r="H68" s="1060">
        <f t="shared" si="12"/>
        <v>0.20514365265737788</v>
      </c>
      <c r="I68" s="1061">
        <v>0</v>
      </c>
      <c r="J68" s="1061">
        <f t="shared" si="13"/>
        <v>8.7918708281733371E-2</v>
      </c>
      <c r="K68" s="306">
        <f>IF(VLOOKUP(B68,[3]CDIS_discrepancies_in_stocks!$A$3:$M$246,6,0)&gt;0,VLOOKUP(B68,[3]CDIS_discrepancies_in_stocks!$A$3:$M$246,6,0)/1000000000,VLOOKUP(B68,[3]CDIS_discrepancies_in_stocks!$A$3:$M$246,7,0)/1000000000)</f>
        <v>66.2</v>
      </c>
      <c r="L68" s="8">
        <f>IF(VLOOKUP($B68,[3]CDIS_discrepancies_in_stocks!$A$3:$M$246,8,0)&gt;0,VLOOKUP($B68,[3]CDIS_discrepancies_in_stocks!$A$3:$M$246,8,0)/1000000000,VLOOKUP($B68,[3]CDIS_discrepancies_in_stocks!$A$3:$M$246,9,0)/1000000000)</f>
        <v>110</v>
      </c>
      <c r="M68" s="8">
        <f t="shared" si="6"/>
        <v>-43.8</v>
      </c>
      <c r="N68" s="306">
        <f>IF(VLOOKUP(B68,[3]CDIS_discrepancies_in_stocks!$A$3:$M$246,2,0)&gt;0,VLOOKUP(B68,[3]CDIS_discrepancies_in_stocks!$A$3:$M$246,2,0)/1000000000,VLOOKUP(B68,[3]CDIS_discrepancies_in_stocks!$A$3:$M$246,3,0)/1000000000)</f>
        <v>249</v>
      </c>
      <c r="O68" s="8">
        <f>IF(VLOOKUP($B68,[3]CDIS_discrepancies_in_stocks!$A$3:$M$246,4,0)&gt;0,VLOOKUP($B68,[3]CDIS_discrepancies_in_stocks!$A$3:$M$246,4,0)/1000000000,VLOOKUP($B68,[3]CDIS_discrepancies_in_stocks!$A$3:$M$246,5,0)/1000000000)</f>
        <v>208</v>
      </c>
      <c r="P68" s="35">
        <f t="shared" si="9"/>
        <v>41</v>
      </c>
      <c r="S68" s="1067">
        <f t="shared" si="7"/>
        <v>0</v>
      </c>
      <c r="T68" s="1067">
        <f t="shared" si="8"/>
        <v>0</v>
      </c>
      <c r="U68" s="1067">
        <f>G68-C68-(TableB3!B68-TableB4!B68)</f>
        <v>0</v>
      </c>
      <c r="V68" s="1068">
        <f>G68-C68-TableB1!G70</f>
        <v>0</v>
      </c>
      <c r="W68" s="594">
        <f t="shared" si="2"/>
        <v>0</v>
      </c>
      <c r="X68" s="594">
        <f t="shared" si="3"/>
        <v>0</v>
      </c>
    </row>
    <row r="69" spans="1:24" x14ac:dyDescent="0.35">
      <c r="B69" s="289" t="str">
        <f>+TableA1!A69</f>
        <v>Grenada</v>
      </c>
      <c r="C69" s="895">
        <f>+(TableB10!E69+TableB10!I69)/1000</f>
        <v>1.52E-2</v>
      </c>
      <c r="D69" s="1060">
        <f t="shared" si="10"/>
        <v>1.064E-2</v>
      </c>
      <c r="E69" s="1061">
        <v>0</v>
      </c>
      <c r="F69" s="1061">
        <f t="shared" si="11"/>
        <v>4.5599999999999998E-3</v>
      </c>
      <c r="G69" s="911">
        <f>+(TableB10!N69+TableB10!R69)/1000</f>
        <v>0</v>
      </c>
      <c r="H69" s="1060">
        <f t="shared" si="12"/>
        <v>0</v>
      </c>
      <c r="I69" s="1061">
        <v>0</v>
      </c>
      <c r="J69" s="1061">
        <f t="shared" si="13"/>
        <v>0</v>
      </c>
      <c r="K69" s="306">
        <f>IF(VLOOKUP(B69,[3]CDIS_discrepancies_in_stocks!$A$3:$M$246,6,0)&gt;0,VLOOKUP(B69,[3]CDIS_discrepancies_in_stocks!$A$3:$M$246,6,0)/1000000000,VLOOKUP(B69,[3]CDIS_discrepancies_in_stocks!$A$3:$M$246,7,0)/1000000000)</f>
        <v>8.7051583069999994E-3</v>
      </c>
      <c r="L69" s="8">
        <f>IF(VLOOKUP($B69,[3]CDIS_discrepancies_in_stocks!$A$3:$M$246,8,0)&gt;0,VLOOKUP($B69,[3]CDIS_discrepancies_in_stocks!$A$3:$M$246,8,0)/1000000000,VLOOKUP($B69,[3]CDIS_discrepancies_in_stocks!$A$3:$M$246,9,0)/1000000000)</f>
        <v>1.897247788E-3</v>
      </c>
      <c r="M69" s="8">
        <f t="shared" si="6"/>
        <v>6.8079105189999996E-3</v>
      </c>
      <c r="N69" s="306">
        <f>IF(VLOOKUP(B69,[3]CDIS_discrepancies_in_stocks!$A$3:$M$246,2,0)&gt;0,VLOOKUP(B69,[3]CDIS_discrepancies_in_stocks!$A$3:$M$246,2,0)/1000000000,VLOOKUP(B69,[3]CDIS_discrepancies_in_stocks!$A$3:$M$246,3,0)/1000000000)</f>
        <v>1.3196146439999999E-2</v>
      </c>
      <c r="O69" s="8">
        <f>IF(VLOOKUP($B69,[3]CDIS_discrepancies_in_stocks!$A$3:$M$246,4,0)&gt;0,VLOOKUP($B69,[3]CDIS_discrepancies_in_stocks!$A$3:$M$246,4,0)/1000000000,VLOOKUP($B69,[3]CDIS_discrepancies_in_stocks!$A$3:$M$246,5,0)/1000000000)</f>
        <v>2.4935816460000004E-3</v>
      </c>
      <c r="P69" s="35">
        <f t="shared" si="9"/>
        <v>1.0702564793999999E-2</v>
      </c>
      <c r="S69" s="1067">
        <f t="shared" si="7"/>
        <v>0</v>
      </c>
      <c r="T69" s="1067">
        <f t="shared" si="8"/>
        <v>0</v>
      </c>
      <c r="U69" s="1067">
        <f>G69-C69-(TableB3!B69-TableB4!B69)</f>
        <v>0</v>
      </c>
      <c r="V69" s="1068">
        <f>G69-C69-TableB1!G71</f>
        <v>0</v>
      </c>
      <c r="W69" s="594">
        <f t="shared" si="2"/>
        <v>0</v>
      </c>
      <c r="X69" s="594">
        <f t="shared" si="3"/>
        <v>0</v>
      </c>
    </row>
    <row r="70" spans="1:24" x14ac:dyDescent="0.35">
      <c r="B70" s="264" t="s">
        <v>282</v>
      </c>
      <c r="C70" s="895">
        <f>+(TableB10!E70+TableB10!I70)/1000</f>
        <v>0.76690416711093745</v>
      </c>
      <c r="D70" s="1060">
        <f t="shared" si="10"/>
        <v>0.53683291697765623</v>
      </c>
      <c r="E70" s="1061">
        <v>0</v>
      </c>
      <c r="F70" s="1061">
        <f t="shared" si="11"/>
        <v>0.23007125013328122</v>
      </c>
      <c r="G70" s="911">
        <f>+(TableB10!N70+TableB10!R70)/1000</f>
        <v>2.7295756643478049</v>
      </c>
      <c r="H70" s="1060">
        <f t="shared" si="12"/>
        <v>1.9107029650434635</v>
      </c>
      <c r="I70" s="1061">
        <v>0</v>
      </c>
      <c r="J70" s="1061">
        <f t="shared" si="13"/>
        <v>0.81887269930434148</v>
      </c>
      <c r="K70" s="306">
        <f>IF(VLOOKUP(B70,[3]CDIS_discrepancies_in_stocks!$A$3:$M$246,6,0)&gt;0,VLOOKUP(B70,[3]CDIS_discrepancies_in_stocks!$A$3:$M$246,6,0)/1000000000,VLOOKUP(B70,[3]CDIS_discrepancies_in_stocks!$A$3:$M$246,7,0)/1000000000)</f>
        <v>17.899999999999999</v>
      </c>
      <c r="L70" s="8">
        <f>IF(VLOOKUP($B70,[3]CDIS_discrepancies_in_stocks!$A$3:$M$246,8,0)&gt;0,VLOOKUP($B70,[3]CDIS_discrepancies_in_stocks!$A$3:$M$246,8,0)/1000000000,VLOOKUP($B70,[3]CDIS_discrepancies_in_stocks!$A$3:$M$246,9,0)/1000000000)</f>
        <v>21.7</v>
      </c>
      <c r="M70" s="8">
        <f t="shared" si="6"/>
        <v>-3.8000000000000007</v>
      </c>
      <c r="N70" s="306">
        <f>IF(VLOOKUP(B70,[3]CDIS_discrepancies_in_stocks!$A$3:$M$246,2,0)&gt;0,VLOOKUP(B70,[3]CDIS_discrepancies_in_stocks!$A$3:$M$246,2,0)/1000000000,VLOOKUP(B70,[3]CDIS_discrepancies_in_stocks!$A$3:$M$246,3,0)/1000000000)</f>
        <v>31.7</v>
      </c>
      <c r="O70" s="8">
        <f>IF(VLOOKUP($B70,[3]CDIS_discrepancies_in_stocks!$A$3:$M$246,4,0)&gt;0,VLOOKUP($B70,[3]CDIS_discrepancies_in_stocks!$A$3:$M$246,4,0)/1000000000,VLOOKUP($B70,[3]CDIS_discrepancies_in_stocks!$A$3:$M$246,5,0)/1000000000)</f>
        <v>21.1</v>
      </c>
      <c r="P70" s="35">
        <f t="shared" si="9"/>
        <v>10.599999999999998</v>
      </c>
      <c r="S70" s="1067">
        <f t="shared" si="7"/>
        <v>0</v>
      </c>
      <c r="T70" s="1067">
        <f t="shared" si="8"/>
        <v>0</v>
      </c>
      <c r="U70" s="1067">
        <f>G70-C70-(TableB3!B70-TableB4!B70)</f>
        <v>0</v>
      </c>
      <c r="V70" s="1068">
        <f>G70-C70-TableB1!G72</f>
        <v>0</v>
      </c>
      <c r="W70" s="594">
        <f t="shared" si="2"/>
        <v>0</v>
      </c>
      <c r="X70" s="594">
        <f t="shared" si="3"/>
        <v>0</v>
      </c>
    </row>
    <row r="71" spans="1:24" x14ac:dyDescent="0.35">
      <c r="A71"/>
      <c r="B71" s="1045" t="s">
        <v>295</v>
      </c>
      <c r="C71" s="895">
        <f>+(TableB10!E71+TableB10!I71)/1000</f>
        <v>0.30164808972880497</v>
      </c>
      <c r="D71" s="1060">
        <f t="shared" si="10"/>
        <v>0.21115366281016348</v>
      </c>
      <c r="E71" s="1061">
        <v>0</v>
      </c>
      <c r="F71" s="1061">
        <f t="shared" si="11"/>
        <v>9.0494426918641485E-2</v>
      </c>
      <c r="G71" s="911">
        <f>+(TableB10!N71+TableB10!R71)/1000</f>
        <v>3.0839000000000003</v>
      </c>
      <c r="H71" s="1060">
        <f t="shared" si="12"/>
        <v>2.1587300000000003</v>
      </c>
      <c r="I71" s="1061">
        <v>0</v>
      </c>
      <c r="J71" s="1061">
        <f t="shared" si="13"/>
        <v>0.92517000000000005</v>
      </c>
      <c r="K71" s="306">
        <f>IF(VLOOKUP(B71,[3]CDIS_discrepancies_in_stocks!$A$3:$M$246,6,0)&gt;0,VLOOKUP(B71,[3]CDIS_discrepancies_in_stocks!$A$3:$M$246,6,0)/1000000000,VLOOKUP(B71,[3]CDIS_discrepancies_in_stocks!$A$3:$M$246,7,0)/1000000000)</f>
        <v>122</v>
      </c>
      <c r="L71" s="8">
        <f>IF(VLOOKUP($B71,[3]CDIS_discrepancies_in_stocks!$A$3:$M$246,8,0)&gt;0,VLOOKUP($B71,[3]CDIS_discrepancies_in_stocks!$A$3:$M$246,8,0)/1000000000,VLOOKUP($B71,[3]CDIS_discrepancies_in_stocks!$A$3:$M$246,9,0)/1000000000)</f>
        <v>76.5</v>
      </c>
      <c r="M71" s="8">
        <f t="shared" si="6"/>
        <v>45.5</v>
      </c>
      <c r="N71" s="306">
        <f>IF(VLOOKUP(B71,[3]CDIS_discrepancies_in_stocks!$A$3:$M$246,2,0)&gt;0,VLOOKUP(B71,[3]CDIS_discrepancies_in_stocks!$A$3:$M$246,2,0)/1000000000,VLOOKUP(B71,[3]CDIS_discrepancies_in_stocks!$A$3:$M$246,3,0)/1000000000)</f>
        <v>189</v>
      </c>
      <c r="O71" s="8">
        <f>IF(VLOOKUP($B71,[3]CDIS_discrepancies_in_stocks!$A$3:$M$246,4,0)&gt;0,VLOOKUP($B71,[3]CDIS_discrepancies_in_stocks!$A$3:$M$246,4,0)/1000000000,VLOOKUP($B71,[3]CDIS_discrepancies_in_stocks!$A$3:$M$246,5,0)/1000000000)</f>
        <v>171</v>
      </c>
      <c r="P71" s="35">
        <f t="shared" si="9"/>
        <v>18</v>
      </c>
      <c r="S71" s="1067">
        <f t="shared" si="7"/>
        <v>0</v>
      </c>
      <c r="T71" s="1067">
        <f t="shared" si="8"/>
        <v>0</v>
      </c>
      <c r="U71" s="1067">
        <f>G71-C71-(TableB3!B71-TableB4!B71)</f>
        <v>0</v>
      </c>
      <c r="V71" s="1068">
        <f>G71-C71-TableB1!G73</f>
        <v>0</v>
      </c>
      <c r="W71" s="594">
        <f t="shared" si="2"/>
        <v>0</v>
      </c>
      <c r="X71" s="594">
        <f t="shared" si="3"/>
        <v>0</v>
      </c>
    </row>
    <row r="72" spans="1:24" x14ac:dyDescent="0.35">
      <c r="A72" t="s">
        <v>481</v>
      </c>
      <c r="B72" s="264" t="s">
        <v>220</v>
      </c>
      <c r="C72" s="895">
        <f>+(TableB10!E72+TableB10!I72)/1000</f>
        <v>137</v>
      </c>
      <c r="D72" s="1060">
        <f t="shared" si="10"/>
        <v>95.9</v>
      </c>
      <c r="E72" s="1061">
        <v>0</v>
      </c>
      <c r="F72" s="1061">
        <f t="shared" si="11"/>
        <v>41.1</v>
      </c>
      <c r="G72" s="911">
        <f>+(TableB10!N72+TableB10!R72)/1000</f>
        <v>121.68453938730001</v>
      </c>
      <c r="H72" s="1060">
        <f t="shared" si="12"/>
        <v>85.179177571110003</v>
      </c>
      <c r="I72" s="1061">
        <v>0</v>
      </c>
      <c r="J72" s="1061">
        <f t="shared" si="13"/>
        <v>36.505361816190003</v>
      </c>
      <c r="K72" s="306">
        <f>IF(VLOOKUP($A72,[3]CDIS_discrepancies_in_stocks!$A$3:$M$246,6,0)&gt;0,VLOOKUP($A72,[3]CDIS_discrepancies_in_stocks!$A$3:$M$246,6,0)/1000000000,VLOOKUP($A72,[3]CDIS_discrepancies_in_stocks!$A$3:$M$246,7,0)/1000000000)</f>
        <v>1390</v>
      </c>
      <c r="L72" s="8">
        <f>IF(VLOOKUP($A72,[3]CDIS_discrepancies_in_stocks!$A$3:$M$246,8,0)&gt;0,VLOOKUP($A72,[3]CDIS_discrepancies_in_stocks!$A$3:$M$246,8,0)/1000000000,VLOOKUP($A72,[3]CDIS_discrepancies_in_stocks!$A$3:$M$246,9,0)/1000000000)</f>
        <v>1370</v>
      </c>
      <c r="M72" s="8">
        <f t="shared" si="6"/>
        <v>20</v>
      </c>
      <c r="N72" s="306">
        <f>IF(VLOOKUP(A72,[3]CDIS_discrepancies_in_stocks!$A$3:$M$246,2,0)&gt;0,VLOOKUP(A72,[3]CDIS_discrepancies_in_stocks!$A$3:$M$246,2,0)/1000000000,VLOOKUP(A72,[3]CDIS_discrepancies_in_stocks!$A$3:$M$246,3,0)/1000000000)</f>
        <v>1380</v>
      </c>
      <c r="O72" s="8">
        <f>IF(VLOOKUP($A72,[3]CDIS_discrepancies_in_stocks!$A$3:$M$246,4,0)&gt;0,VLOOKUP($A72,[3]CDIS_discrepancies_in_stocks!$A$3:$M$246,4,0)/1000000000,VLOOKUP($A72,[3]CDIS_discrepancies_in_stocks!$A$3:$M$246,5,0)/1000000000)</f>
        <v>1210</v>
      </c>
      <c r="P72" s="35">
        <f t="shared" si="9"/>
        <v>170</v>
      </c>
      <c r="S72" s="1067">
        <f t="shared" si="7"/>
        <v>0</v>
      </c>
      <c r="T72" s="1067">
        <f t="shared" si="8"/>
        <v>0</v>
      </c>
      <c r="U72" s="1067">
        <f>G72-C72-(TableB3!B72-TableB4!B72)</f>
        <v>0</v>
      </c>
      <c r="V72" s="1068">
        <f>G72-C72-TableB1!G74</f>
        <v>0</v>
      </c>
      <c r="W72" s="594">
        <f t="shared" si="2"/>
        <v>0</v>
      </c>
      <c r="X72" s="594">
        <f t="shared" si="3"/>
        <v>0</v>
      </c>
    </row>
    <row r="73" spans="1:24" x14ac:dyDescent="0.35">
      <c r="B73" s="264" t="s">
        <v>284</v>
      </c>
      <c r="C73" s="895">
        <f>+(TableB10!E73+TableB10!I73)/1000</f>
        <v>0.6025320598192031</v>
      </c>
      <c r="D73" s="1060">
        <f t="shared" si="10"/>
        <v>0.42177244187344221</v>
      </c>
      <c r="E73" s="1061">
        <v>0</v>
      </c>
      <c r="F73" s="1061">
        <f t="shared" si="11"/>
        <v>0.18075961794576093</v>
      </c>
      <c r="G73" s="911">
        <f>+(TableB10!N73+TableB10!R73)/1000</f>
        <v>2.2741982969107278E-2</v>
      </c>
      <c r="H73" s="1060">
        <f t="shared" si="12"/>
        <v>1.5919388078375094E-2</v>
      </c>
      <c r="I73" s="1061">
        <v>0</v>
      </c>
      <c r="J73" s="1061">
        <f t="shared" si="13"/>
        <v>6.8225948907321829E-3</v>
      </c>
      <c r="K73" s="306">
        <f>IF(VLOOKUP(B73,[3]CDIS_discrepancies_in_stocks!$A$3:$M$246,6,0)&gt;0,VLOOKUP(B73,[3]CDIS_discrepancies_in_stocks!$A$3:$M$246,6,0)/1000000000,VLOOKUP(B73,[3]CDIS_discrepancies_in_stocks!$A$3:$M$246,7,0)/1000000000)</f>
        <v>5.08</v>
      </c>
      <c r="L73" s="8">
        <f>IF(VLOOKUP($B73,[3]CDIS_discrepancies_in_stocks!$A$3:$M$246,8,0)&gt;0,VLOOKUP($B73,[3]CDIS_discrepancies_in_stocks!$A$3:$M$246,8,0)/1000000000,VLOOKUP($B73,[3]CDIS_discrepancies_in_stocks!$A$3:$M$246,9,0)/1000000000)</f>
        <v>15</v>
      </c>
      <c r="M73" s="8">
        <f t="shared" si="6"/>
        <v>-9.92</v>
      </c>
      <c r="N73" s="306">
        <f>IF(VLOOKUP(B73,[3]CDIS_discrepancies_in_stocks!$A$3:$M$246,2,0)&gt;0,VLOOKUP(B73,[3]CDIS_discrepancies_in_stocks!$A$3:$M$246,2,0)/1000000000,VLOOKUP(B73,[3]CDIS_discrepancies_in_stocks!$A$3:$M$246,3,0)/1000000000)</f>
        <v>9.36</v>
      </c>
      <c r="O73" s="8">
        <f>IF(VLOOKUP($B73,[3]CDIS_discrepancies_in_stocks!$A$3:$M$246,4,0)&gt;0,VLOOKUP($B73,[3]CDIS_discrepancies_in_stocks!$A$3:$M$246,4,0)/1000000000,VLOOKUP($B73,[3]CDIS_discrepancies_in_stocks!$A$3:$M$246,5,0)/1000000000)</f>
        <v>6.84</v>
      </c>
      <c r="P73" s="35">
        <f t="shared" si="9"/>
        <v>2.5199999999999996</v>
      </c>
      <c r="S73" s="1067">
        <f t="shared" si="7"/>
        <v>0</v>
      </c>
      <c r="T73" s="1067">
        <f t="shared" si="8"/>
        <v>0</v>
      </c>
      <c r="U73" s="1067">
        <f>G73-C73-(TableB3!B73-TableB4!B73)</f>
        <v>0</v>
      </c>
      <c r="V73" s="1068">
        <f>G73-C73-TableB1!G75</f>
        <v>0</v>
      </c>
      <c r="W73" s="594">
        <f t="shared" si="2"/>
        <v>0</v>
      </c>
      <c r="X73" s="594">
        <f t="shared" si="3"/>
        <v>0</v>
      </c>
    </row>
    <row r="74" spans="1:24" x14ac:dyDescent="0.35">
      <c r="B74" s="264" t="s">
        <v>285</v>
      </c>
      <c r="C74" s="895">
        <f>+(TableB10!E74+TableB10!I74)/1000</f>
        <v>0.436</v>
      </c>
      <c r="D74" s="1060">
        <f t="shared" si="10"/>
        <v>0.30520000000000003</v>
      </c>
      <c r="E74" s="1061">
        <v>0</v>
      </c>
      <c r="F74" s="1061">
        <f t="shared" si="11"/>
        <v>0.1308</v>
      </c>
      <c r="G74" s="911">
        <f>+(TableB10!N74+TableB10!R74)/1000</f>
        <v>0.48754139129999996</v>
      </c>
      <c r="H74" s="1060">
        <f t="shared" si="12"/>
        <v>0.34127897390999995</v>
      </c>
      <c r="I74" s="1061">
        <v>0</v>
      </c>
      <c r="J74" s="1061">
        <f t="shared" si="13"/>
        <v>0.14626241738999998</v>
      </c>
      <c r="K74" s="306">
        <f>IF(VLOOKUP(B74,[3]CDIS_discrepancies_in_stocks!$A$3:$M$246,6,0)&gt;0,VLOOKUP(B74,[3]CDIS_discrepancies_in_stocks!$A$3:$M$246,6,0)/1000000000,VLOOKUP(B74,[3]CDIS_discrepancies_in_stocks!$A$3:$M$246,7,0)/1000000000)</f>
        <v>1.43</v>
      </c>
      <c r="L74" s="8">
        <f>IF(VLOOKUP($B74,[3]CDIS_discrepancies_in_stocks!$A$3:$M$246,8,0)&gt;0,VLOOKUP($B74,[3]CDIS_discrepancies_in_stocks!$A$3:$M$246,8,0)/1000000000,VLOOKUP($B74,[3]CDIS_discrepancies_in_stocks!$A$3:$M$246,9,0)/1000000000)</f>
        <v>1.02</v>
      </c>
      <c r="M74" s="8">
        <f t="shared" si="6"/>
        <v>0.40999999999999992</v>
      </c>
      <c r="N74" s="306">
        <f>IF(VLOOKUP(B74,[3]CDIS_discrepancies_in_stocks!$A$3:$M$246,2,0)&gt;0,VLOOKUP(B74,[3]CDIS_discrepancies_in_stocks!$A$3:$M$246,2,0)/1000000000,VLOOKUP(B74,[3]CDIS_discrepancies_in_stocks!$A$3:$M$246,3,0)/1000000000)</f>
        <v>7.27</v>
      </c>
      <c r="O74" s="8">
        <f>IF(VLOOKUP($B74,[3]CDIS_discrepancies_in_stocks!$A$3:$M$246,4,0)&gt;0,VLOOKUP($B74,[3]CDIS_discrepancies_in_stocks!$A$3:$M$246,4,0)/1000000000,VLOOKUP($B74,[3]CDIS_discrepancies_in_stocks!$A$3:$M$246,5,0)/1000000000)</f>
        <v>6.89</v>
      </c>
      <c r="P74" s="35">
        <f t="shared" si="9"/>
        <v>0.37999999999999989</v>
      </c>
      <c r="S74" s="1067">
        <f t="shared" si="7"/>
        <v>0</v>
      </c>
      <c r="T74" s="1067">
        <f t="shared" si="8"/>
        <v>0</v>
      </c>
      <c r="U74" s="1067">
        <f>G74-C74-(TableB3!B74-TableB4!B74)</f>
        <v>0</v>
      </c>
      <c r="V74" s="1068">
        <f>G74-C74-TableB1!G76</f>
        <v>0</v>
      </c>
      <c r="W74" s="594">
        <f t="shared" si="2"/>
        <v>0</v>
      </c>
      <c r="X74" s="594">
        <f t="shared" si="3"/>
        <v>0</v>
      </c>
    </row>
    <row r="75" spans="1:24" x14ac:dyDescent="0.35">
      <c r="B75" s="264" t="s">
        <v>286</v>
      </c>
      <c r="C75" s="895">
        <f>+(TableB10!E75+TableB10!I75)/1000</f>
        <v>7.4999999999999997E-3</v>
      </c>
      <c r="D75" s="1060">
        <f t="shared" si="10"/>
        <v>5.2499999999999995E-3</v>
      </c>
      <c r="E75" s="1061">
        <v>0</v>
      </c>
      <c r="F75" s="1061">
        <f t="shared" si="11"/>
        <v>2.2499999999999998E-3</v>
      </c>
      <c r="G75" s="911">
        <f>+(TableB10!N75+TableB10!R75)/1000</f>
        <v>1.7951512367491165</v>
      </c>
      <c r="H75" s="1060">
        <f t="shared" si="12"/>
        <v>1.2566058657243815</v>
      </c>
      <c r="I75" s="1061">
        <v>0</v>
      </c>
      <c r="J75" s="1061">
        <f t="shared" si="13"/>
        <v>0.53854537102473488</v>
      </c>
      <c r="K75" s="306">
        <f>IF(VLOOKUP(B75,[3]CDIS_discrepancies_in_stocks!$A$3:$M$246,6,0)&gt;0,VLOOKUP(B75,[3]CDIS_discrepancies_in_stocks!$A$3:$M$246,6,0)/1000000000,VLOOKUP(B75,[3]CDIS_discrepancies_in_stocks!$A$3:$M$246,7,0)/1000000000)</f>
        <v>2.7</v>
      </c>
      <c r="L75" s="8">
        <f>IF(VLOOKUP($B75,[3]CDIS_discrepancies_in_stocks!$A$3:$M$246,8,0)&gt;0,VLOOKUP($B75,[3]CDIS_discrepancies_in_stocks!$A$3:$M$246,8,0)/1000000000,VLOOKUP($B75,[3]CDIS_discrepancies_in_stocks!$A$3:$M$246,9,0)/1000000000)</f>
        <v>2.33</v>
      </c>
      <c r="M75" s="8">
        <f t="shared" si="6"/>
        <v>0.37000000000000011</v>
      </c>
      <c r="N75" s="306">
        <f>IF(VLOOKUP(B75,[3]CDIS_discrepancies_in_stocks!$A$3:$M$246,2,0)&gt;0,VLOOKUP(B75,[3]CDIS_discrepancies_in_stocks!$A$3:$M$246,2,0)/1000000000,VLOOKUP(B75,[3]CDIS_discrepancies_in_stocks!$A$3:$M$246,3,0)/1000000000)</f>
        <v>24.6</v>
      </c>
      <c r="O75" s="8">
        <f>IF(VLOOKUP($B75,[3]CDIS_discrepancies_in_stocks!$A$3:$M$246,4,0)&gt;0,VLOOKUP($B75,[3]CDIS_discrepancies_in_stocks!$A$3:$M$246,4,0)/1000000000,VLOOKUP($B75,[3]CDIS_discrepancies_in_stocks!$A$3:$M$246,5,0)/1000000000)</f>
        <v>21.3</v>
      </c>
      <c r="P75" s="35">
        <f t="shared" si="9"/>
        <v>3.3000000000000007</v>
      </c>
      <c r="S75" s="1067">
        <f t="shared" si="7"/>
        <v>0</v>
      </c>
      <c r="T75" s="1067">
        <f t="shared" si="8"/>
        <v>0</v>
      </c>
      <c r="U75" s="1067">
        <f>G75-C75-(TableB3!B75-TableB4!B75)</f>
        <v>0</v>
      </c>
      <c r="V75" s="1068">
        <f>G75-C75-TableB1!G77</f>
        <v>0</v>
      </c>
      <c r="W75" s="594">
        <f t="shared" ref="W75:W89" si="14">K75-L75-M75</f>
        <v>0</v>
      </c>
      <c r="X75" s="594">
        <f t="shared" ref="X75:X89" si="15">N75-O75-P75</f>
        <v>0</v>
      </c>
    </row>
    <row r="76" spans="1:24" x14ac:dyDescent="0.35">
      <c r="A76" t="s">
        <v>480</v>
      </c>
      <c r="B76" s="264" t="s">
        <v>287</v>
      </c>
      <c r="C76" s="895">
        <f>+(TableB10!E76+TableB10!I76)/1000</f>
        <v>6.43</v>
      </c>
      <c r="D76" s="1060">
        <f t="shared" si="10"/>
        <v>4.5009999999999994</v>
      </c>
      <c r="E76" s="1061">
        <v>0</v>
      </c>
      <c r="F76" s="1061">
        <f t="shared" si="11"/>
        <v>1.9289999999999998</v>
      </c>
      <c r="G76" s="911">
        <f>+(TableB10!N76+TableB10!R76)/1000</f>
        <v>7.7599999999999988E-2</v>
      </c>
      <c r="H76" s="1060">
        <f t="shared" si="12"/>
        <v>5.4319999999999993E-2</v>
      </c>
      <c r="I76" s="1061">
        <v>0</v>
      </c>
      <c r="J76" s="1061">
        <f t="shared" si="13"/>
        <v>2.3279999999999995E-2</v>
      </c>
      <c r="K76" s="306">
        <f>IF(VLOOKUP($A76,[3]CDIS_discrepancies_in_stocks!$A$3:$M$246,6,0)&gt;0,VLOOKUP($A76,[3]CDIS_discrepancies_in_stocks!$A$3:$M$246,6,0)/1000000000,VLOOKUP($A76,[3]CDIS_discrepancies_in_stocks!$A$3:$M$246,7,0)/1000000000)</f>
        <v>29</v>
      </c>
      <c r="L76" s="8">
        <f>IF(VLOOKUP($A76,[3]CDIS_discrepancies_in_stocks!$A$3:$M$246,8,0)&gt;0,VLOOKUP($A76,[3]CDIS_discrepancies_in_stocks!$A$3:$M$246,8,0)/1000000000,VLOOKUP($A76,[3]CDIS_discrepancies_in_stocks!$A$3:$M$246,9,0)/1000000000)</f>
        <v>25.1</v>
      </c>
      <c r="M76" s="8">
        <f t="shared" si="6"/>
        <v>3.8999999999999986</v>
      </c>
      <c r="N76" s="306">
        <f>IF(VLOOKUP(A76,[3]CDIS_discrepancies_in_stocks!$A$3:$M$246,2,0)&gt;0,VLOOKUP(A76,[3]CDIS_discrepancies_in_stocks!$A$3:$M$246,2,0)/1000000000,VLOOKUP(A76,[3]CDIS_discrepancies_in_stocks!$A$3:$M$246,3,0)/1000000000)</f>
        <v>3.09</v>
      </c>
      <c r="O76" s="8">
        <f>IF(VLOOKUP($A76,[3]CDIS_discrepancies_in_stocks!$A$3:$M$246,4,0)&gt;0,VLOOKUP($A76,[3]CDIS_discrepancies_in_stocks!$A$3:$M$246,4,0)/1000000000,VLOOKUP($A76,[3]CDIS_discrepancies_in_stocks!$A$3:$M$246,5,0)/1000000000)</f>
        <v>1.1200000000000001</v>
      </c>
      <c r="P76" s="35">
        <f t="shared" si="9"/>
        <v>1.9699999999999998</v>
      </c>
      <c r="S76" s="1067">
        <f t="shared" si="7"/>
        <v>0</v>
      </c>
      <c r="T76" s="1067">
        <f t="shared" si="8"/>
        <v>0</v>
      </c>
      <c r="U76" s="1067">
        <f>G76-C76-(TableB3!B76-TableB4!B76)</f>
        <v>0</v>
      </c>
      <c r="V76" s="1068">
        <f>G76-C76-TableB1!G78</f>
        <v>0</v>
      </c>
      <c r="W76" s="594">
        <f t="shared" si="14"/>
        <v>0</v>
      </c>
      <c r="X76" s="594">
        <f t="shared" si="15"/>
        <v>0</v>
      </c>
    </row>
    <row r="77" spans="1:24" x14ac:dyDescent="0.35">
      <c r="B77" s="289" t="s">
        <v>301</v>
      </c>
      <c r="C77" s="895">
        <f>+(TableB10!E77+TableB10!I77)/1000</f>
        <v>10.1</v>
      </c>
      <c r="D77" s="1060">
        <f t="shared" si="10"/>
        <v>7.07</v>
      </c>
      <c r="E77" s="1061">
        <v>0</v>
      </c>
      <c r="F77" s="1061">
        <f t="shared" si="11"/>
        <v>3.03</v>
      </c>
      <c r="G77" s="911">
        <f>+(TableB10!N77+TableB10!R77)/1000</f>
        <v>0.85039084927035713</v>
      </c>
      <c r="H77" s="1060">
        <f t="shared" si="12"/>
        <v>0.59527359448924999</v>
      </c>
      <c r="I77" s="1061">
        <v>0</v>
      </c>
      <c r="J77" s="1061">
        <f t="shared" si="13"/>
        <v>0.25511725478110714</v>
      </c>
      <c r="K77" s="306">
        <f>IF(VLOOKUP(B77,[3]CDIS_discrepancies_in_stocks!$A$3:$M$246,6,0)&gt;0,VLOOKUP(B77,[3]CDIS_discrepancies_in_stocks!$A$3:$M$246,6,0)/1000000000,VLOOKUP(B77,[3]CDIS_discrepancies_in_stocks!$A$3:$M$246,7,0)/1000000000)</f>
        <v>166</v>
      </c>
      <c r="L77" s="8">
        <f>IF(VLOOKUP($B77,[3]CDIS_discrepancies_in_stocks!$A$3:$M$246,8,0)&gt;0,VLOOKUP($B77,[3]CDIS_discrepancies_in_stocks!$A$3:$M$246,8,0)/1000000000,VLOOKUP($B77,[3]CDIS_discrepancies_in_stocks!$A$3:$M$246,9,0)/1000000000)</f>
        <v>137</v>
      </c>
      <c r="M77" s="8">
        <f t="shared" si="6"/>
        <v>29</v>
      </c>
      <c r="N77" s="306">
        <f>IF(VLOOKUP(B77,[3]CDIS_discrepancies_in_stocks!$A$3:$M$246,2,0)&gt;0,VLOOKUP(B77,[3]CDIS_discrepancies_in_stocks!$A$3:$M$246,2,0)/1000000000,VLOOKUP(B77,[3]CDIS_discrepancies_in_stocks!$A$3:$M$246,3,0)/1000000000)</f>
        <v>67</v>
      </c>
      <c r="O77" s="8">
        <f>IF(VLOOKUP($B77,[3]CDIS_discrepancies_in_stocks!$A$3:$M$246,4,0)&gt;0,VLOOKUP($B77,[3]CDIS_discrepancies_in_stocks!$A$3:$M$246,4,0)/1000000000,VLOOKUP($B77,[3]CDIS_discrepancies_in_stocks!$A$3:$M$246,5,0)/1000000000)</f>
        <v>32.799999999999997</v>
      </c>
      <c r="P77" s="35">
        <f t="shared" si="9"/>
        <v>34.200000000000003</v>
      </c>
      <c r="S77" s="1067">
        <f t="shared" si="7"/>
        <v>0</v>
      </c>
      <c r="T77" s="1067">
        <f t="shared" si="8"/>
        <v>0</v>
      </c>
      <c r="U77" s="1067">
        <f>G77-C77-(TableB3!B77-TableB4!B77)</f>
        <v>0</v>
      </c>
      <c r="V77" s="1068">
        <f>G77-C77-TableB1!G79</f>
        <v>0</v>
      </c>
      <c r="W77" s="594">
        <f t="shared" si="14"/>
        <v>0</v>
      </c>
      <c r="X77" s="594">
        <f t="shared" si="15"/>
        <v>0</v>
      </c>
    </row>
    <row r="78" spans="1:24" x14ac:dyDescent="0.35">
      <c r="A78" t="s">
        <v>478</v>
      </c>
      <c r="B78" s="289" t="s">
        <v>302</v>
      </c>
      <c r="C78" s="895">
        <f>+(TableB10!E78+TableB10!I78)/1000</f>
        <v>0.12425690030132812</v>
      </c>
      <c r="D78" s="1060">
        <f t="shared" si="10"/>
        <v>8.6979830210929684E-2</v>
      </c>
      <c r="E78" s="1061">
        <v>0</v>
      </c>
      <c r="F78" s="1061">
        <f t="shared" si="11"/>
        <v>3.7277070090398434E-2</v>
      </c>
      <c r="G78" s="911">
        <f>+(TableB10!N78+TableB10!R78)/1000</f>
        <v>0.40533887008171798</v>
      </c>
      <c r="H78" s="1060">
        <f t="shared" si="12"/>
        <v>0.28373720905720257</v>
      </c>
      <c r="I78" s="1061">
        <v>0</v>
      </c>
      <c r="J78" s="1061">
        <f t="shared" si="13"/>
        <v>0.12160166102451539</v>
      </c>
      <c r="K78" s="306">
        <f>IF(VLOOKUP($A78,[3]CDIS_discrepancies_in_stocks!$A$3:$M$246,6,0)&gt;0,VLOOKUP($A78,[3]CDIS_discrepancies_in_stocks!$A$3:$M$246,6,0)/1000000000,VLOOKUP($A78,[3]CDIS_discrepancies_in_stocks!$A$3:$M$246,7,0)/1000000000)</f>
        <v>3.98</v>
      </c>
      <c r="L78" s="8">
        <f>IF(VLOOKUP($A78,[3]CDIS_discrepancies_in_stocks!$A$3:$M$246,8,0)&gt;0,VLOOKUP($A78,[3]CDIS_discrepancies_in_stocks!$A$3:$M$246,8,0)/1000000000,VLOOKUP($A78,[3]CDIS_discrepancies_in_stocks!$A$3:$M$246,9,0)/1000000000)</f>
        <v>0.624</v>
      </c>
      <c r="M78" s="8">
        <f t="shared" si="6"/>
        <v>3.3559999999999999</v>
      </c>
      <c r="N78" s="306">
        <f>IF(VLOOKUP(A78,[3]CDIS_discrepancies_in_stocks!$A$3:$M$246,2,0)&gt;0,VLOOKUP(A78,[3]CDIS_discrepancies_in_stocks!$A$3:$M$246,2,0)/1000000000,VLOOKUP(A78,[3]CDIS_discrepancies_in_stocks!$A$3:$M$246,3,0)/1000000000)</f>
        <v>5.43</v>
      </c>
      <c r="O78" s="8">
        <f>IF(VLOOKUP($A78,[3]CDIS_discrepancies_in_stocks!$A$3:$M$246,4,0)&gt;0,VLOOKUP($A78,[3]CDIS_discrepancies_in_stocks!$A$3:$M$246,4,0)/1000000000,VLOOKUP($A78,[3]CDIS_discrepancies_in_stocks!$A$3:$M$246,5,0)/1000000000)</f>
        <v>1.66</v>
      </c>
      <c r="P78" s="35">
        <f t="shared" si="9"/>
        <v>3.7699999999999996</v>
      </c>
      <c r="S78" s="1067">
        <f t="shared" si="7"/>
        <v>0</v>
      </c>
      <c r="T78" s="1067">
        <f t="shared" si="8"/>
        <v>0</v>
      </c>
      <c r="U78" s="1067">
        <f>G78-C78-(TableB3!B78-TableB4!B78)</f>
        <v>0</v>
      </c>
      <c r="V78" s="1068">
        <f>G78-C78-TableB1!G80</f>
        <v>0</v>
      </c>
      <c r="W78" s="594">
        <f t="shared" si="14"/>
        <v>0</v>
      </c>
      <c r="X78" s="594">
        <f t="shared" si="15"/>
        <v>0</v>
      </c>
    </row>
    <row r="79" spans="1:24" x14ac:dyDescent="0.35">
      <c r="B79" s="289" t="str">
        <f>+TableA1!A79</f>
        <v>Monaco</v>
      </c>
      <c r="C79" s="895">
        <f>+(TableB10!E79+TableB10!I79)/1000</f>
        <v>0</v>
      </c>
      <c r="D79" s="1060">
        <f t="shared" si="10"/>
        <v>0</v>
      </c>
      <c r="E79" s="1061">
        <v>0</v>
      </c>
      <c r="F79" s="1061">
        <f t="shared" si="11"/>
        <v>0</v>
      </c>
      <c r="G79" s="911">
        <f>+(TableB10!N79+TableB10!R79)/1000</f>
        <v>0</v>
      </c>
      <c r="H79" s="1060">
        <f t="shared" si="12"/>
        <v>0</v>
      </c>
      <c r="I79" s="1061">
        <v>0</v>
      </c>
      <c r="J79" s="1061">
        <f t="shared" si="13"/>
        <v>0</v>
      </c>
      <c r="K79" s="306">
        <f>IF(VLOOKUP(B79,[3]CDIS_discrepancies_in_stocks!$A$3:$M$246,6,0)&gt;0,VLOOKUP(B79,[3]CDIS_discrepancies_in_stocks!$A$3:$M$246,6,0)/1000000000,VLOOKUP(B79,[3]CDIS_discrepancies_in_stocks!$A$3:$M$246,7,0)/1000000000)</f>
        <v>2.5099999999999998</v>
      </c>
      <c r="L79" s="8">
        <f>IF(VLOOKUP($B79,[3]CDIS_discrepancies_in_stocks!$A$3:$M$246,8,0)&gt;0,VLOOKUP($B79,[3]CDIS_discrepancies_in_stocks!$A$3:$M$246,8,0)/1000000000,VLOOKUP($B79,[3]CDIS_discrepancies_in_stocks!$A$3:$M$246,9,0)/1000000000)</f>
        <v>2.2599999999999998</v>
      </c>
      <c r="M79" s="8">
        <f t="shared" si="6"/>
        <v>0.25</v>
      </c>
      <c r="N79" s="306">
        <f>IF(VLOOKUP(B79,[3]CDIS_discrepancies_in_stocks!$A$3:$M$246,2,0)&gt;0,VLOOKUP(B79,[3]CDIS_discrepancies_in_stocks!$A$3:$M$246,2,0)/1000000000,VLOOKUP(B79,[3]CDIS_discrepancies_in_stocks!$A$3:$M$246,3,0)/1000000000)</f>
        <v>0.64100000000000001</v>
      </c>
      <c r="O79" s="8">
        <f>IF(VLOOKUP($B79,[3]CDIS_discrepancies_in_stocks!$A$3:$M$246,4,0)&gt;0,VLOOKUP($B79,[3]CDIS_discrepancies_in_stocks!$A$3:$M$246,4,0)/1000000000,VLOOKUP($B79,[3]CDIS_discrepancies_in_stocks!$A$3:$M$246,5,0)/1000000000)</f>
        <v>0.51700000000000002</v>
      </c>
      <c r="P79" s="35">
        <f t="shared" si="9"/>
        <v>0.124</v>
      </c>
      <c r="S79" s="1067">
        <f t="shared" si="7"/>
        <v>0</v>
      </c>
      <c r="T79" s="1067">
        <f t="shared" si="8"/>
        <v>0</v>
      </c>
      <c r="U79" s="1067">
        <f>G79-C79-(TableB3!B79-TableB4!B79)</f>
        <v>0</v>
      </c>
      <c r="V79" s="1068">
        <f>G79-C79-TableB1!G81</f>
        <v>0</v>
      </c>
      <c r="W79" s="594">
        <f t="shared" si="14"/>
        <v>0</v>
      </c>
      <c r="X79" s="594">
        <f t="shared" si="15"/>
        <v>0</v>
      </c>
    </row>
    <row r="80" spans="1:24" x14ac:dyDescent="0.35">
      <c r="B80" s="264" t="s">
        <v>288</v>
      </c>
      <c r="C80" s="895">
        <f>+(TableB10!E80+TableB10!I80)/1000</f>
        <v>3.5999999999999999E-3</v>
      </c>
      <c r="D80" s="1060">
        <f t="shared" si="10"/>
        <v>2.5199999999999997E-3</v>
      </c>
      <c r="E80" s="1061">
        <v>0</v>
      </c>
      <c r="F80" s="1061">
        <f t="shared" si="11"/>
        <v>1.08E-3</v>
      </c>
      <c r="G80" s="911">
        <f>+(TableB10!N80+TableB10!R80)/1000</f>
        <v>7.8212299999999997E-5</v>
      </c>
      <c r="H80" s="1060">
        <f t="shared" si="12"/>
        <v>5.474861E-5</v>
      </c>
      <c r="I80" s="1061">
        <v>0</v>
      </c>
      <c r="J80" s="1061">
        <f t="shared" si="13"/>
        <v>2.346369E-5</v>
      </c>
      <c r="K80" s="306">
        <f>IF(VLOOKUP(B80,[3]CDIS_discrepancies_in_stocks!$A$3:$M$246,6,0)&gt;0,VLOOKUP(B80,[3]CDIS_discrepancies_in_stocks!$A$3:$M$246,6,0)/1000000000,VLOOKUP(B80,[3]CDIS_discrepancies_in_stocks!$A$3:$M$246,7,0)/1000000000)</f>
        <v>0.42899999999999999</v>
      </c>
      <c r="L80" s="8">
        <f>IF(VLOOKUP($B80,[3]CDIS_discrepancies_in_stocks!$A$3:$M$246,8,0)&gt;0,VLOOKUP($B80,[3]CDIS_discrepancies_in_stocks!$A$3:$M$246,8,0)/1000000000,VLOOKUP($B80,[3]CDIS_discrepancies_in_stocks!$A$3:$M$246,9,0)/1000000000)</f>
        <v>0.27700000000000002</v>
      </c>
      <c r="M80" s="8">
        <f t="shared" si="6"/>
        <v>0.15199999999999997</v>
      </c>
      <c r="N80" s="306">
        <f>IF(VLOOKUP(B80,[3]CDIS_discrepancies_in_stocks!$A$3:$M$246,2,0)&gt;0,VLOOKUP(B80,[3]CDIS_discrepancies_in_stocks!$A$3:$M$246,2,0)/1000000000,VLOOKUP(B80,[3]CDIS_discrepancies_in_stocks!$A$3:$M$246,3,0)/1000000000)</f>
        <v>7.9346E-2</v>
      </c>
      <c r="O80" s="8">
        <f>IF(VLOOKUP($B80,[3]CDIS_discrepancies_in_stocks!$A$3:$M$246,4,0)&gt;0,VLOOKUP($B80,[3]CDIS_discrepancies_in_stocks!$A$3:$M$246,4,0)/1000000000,VLOOKUP($B80,[3]CDIS_discrepancies_in_stocks!$A$3:$M$246,5,0)/1000000000)</f>
        <v>3.108E-2</v>
      </c>
      <c r="P80" s="35">
        <f t="shared" si="9"/>
        <v>4.8266000000000003E-2</v>
      </c>
      <c r="S80" s="1067">
        <f t="shared" si="7"/>
        <v>0</v>
      </c>
      <c r="T80" s="1067">
        <f t="shared" si="8"/>
        <v>0</v>
      </c>
      <c r="U80" s="1067">
        <f>G80-C80-(TableB3!B80-TableB4!B80)</f>
        <v>0</v>
      </c>
      <c r="V80" s="1068">
        <f>G80-C80-TableB1!G82</f>
        <v>0</v>
      </c>
      <c r="W80" s="594">
        <f t="shared" si="14"/>
        <v>0</v>
      </c>
      <c r="X80" s="594">
        <f t="shared" si="15"/>
        <v>0</v>
      </c>
    </row>
    <row r="81" spans="1:24" x14ac:dyDescent="0.35">
      <c r="B81" s="264" t="s">
        <v>289</v>
      </c>
      <c r="C81" s="895">
        <f>+(TableB10!E81+TableB10!I81)/1000</f>
        <v>4.0199999999999996</v>
      </c>
      <c r="D81" s="1060">
        <f t="shared" si="10"/>
        <v>2.8140000000000001</v>
      </c>
      <c r="E81" s="1061">
        <v>0</v>
      </c>
      <c r="F81" s="1061">
        <f t="shared" si="11"/>
        <v>1.2059999999999997</v>
      </c>
      <c r="G81" s="911">
        <f>+(TableB10!N81+TableB10!R81)/1000</f>
        <v>3.7014363322000001</v>
      </c>
      <c r="H81" s="1060">
        <f t="shared" si="12"/>
        <v>2.5910054325400003</v>
      </c>
      <c r="I81" s="1061">
        <v>0</v>
      </c>
      <c r="J81" s="1061">
        <f t="shared" si="13"/>
        <v>1.1104308996600001</v>
      </c>
      <c r="K81" s="306">
        <f>IF(VLOOKUP(B81,[3]CDIS_discrepancies_in_stocks!$A$3:$M$246,6,0)&gt;0,VLOOKUP(B81,[3]CDIS_discrepancies_in_stocks!$A$3:$M$246,6,0)/1000000000,VLOOKUP(B81,[3]CDIS_discrepancies_in_stocks!$A$3:$M$246,7,0)/1000000000)</f>
        <v>269</v>
      </c>
      <c r="L81" s="8">
        <f>IF(VLOOKUP($B81,[3]CDIS_discrepancies_in_stocks!$A$3:$M$246,8,0)&gt;0,VLOOKUP($B81,[3]CDIS_discrepancies_in_stocks!$A$3:$M$246,8,0)/1000000000,VLOOKUP($B81,[3]CDIS_discrepancies_in_stocks!$A$3:$M$246,9,0)/1000000000)</f>
        <v>169</v>
      </c>
      <c r="M81" s="8">
        <f t="shared" si="6"/>
        <v>100</v>
      </c>
      <c r="N81" s="306">
        <f>IF(VLOOKUP(B81,[3]CDIS_discrepancies_in_stocks!$A$3:$M$246,2,0)&gt;0,VLOOKUP(B81,[3]CDIS_discrepancies_in_stocks!$A$3:$M$246,2,0)/1000000000,VLOOKUP(B81,[3]CDIS_discrepancies_in_stocks!$A$3:$M$246,3,0)/1000000000)</f>
        <v>221</v>
      </c>
      <c r="O81" s="8">
        <f>IF(VLOOKUP($B81,[3]CDIS_discrepancies_in_stocks!$A$3:$M$246,4,0)&gt;0,VLOOKUP($B81,[3]CDIS_discrepancies_in_stocks!$A$3:$M$246,4,0)/1000000000,VLOOKUP($B81,[3]CDIS_discrepancies_in_stocks!$A$3:$M$246,5,0)/1000000000)</f>
        <v>174</v>
      </c>
      <c r="P81" s="35">
        <f t="shared" si="9"/>
        <v>47</v>
      </c>
      <c r="S81" s="1067">
        <f t="shared" si="7"/>
        <v>0</v>
      </c>
      <c r="T81" s="1067">
        <f t="shared" si="8"/>
        <v>0</v>
      </c>
      <c r="U81" s="1067">
        <f>G81-C81-(TableB3!B81-TableB4!B81)</f>
        <v>0</v>
      </c>
      <c r="V81" s="1068">
        <f>G81-C81-TableB1!G83</f>
        <v>0</v>
      </c>
      <c r="W81" s="594">
        <f t="shared" si="14"/>
        <v>0</v>
      </c>
      <c r="X81" s="594">
        <f t="shared" si="15"/>
        <v>0</v>
      </c>
    </row>
    <row r="82" spans="1:24" x14ac:dyDescent="0.35">
      <c r="B82" s="289" t="str">
        <f>+TableA1!A82</f>
        <v>Seychelles</v>
      </c>
      <c r="C82" s="895">
        <f>+(TableB10!E82+TableB10!I82)/1000</f>
        <v>6.9929293879999993E-2</v>
      </c>
      <c r="D82" s="1060">
        <f t="shared" si="10"/>
        <v>4.8950505716000001E-2</v>
      </c>
      <c r="E82" s="1061">
        <v>0</v>
      </c>
      <c r="F82" s="1061">
        <f t="shared" si="11"/>
        <v>2.0978788163999996E-2</v>
      </c>
      <c r="G82" s="911">
        <f>+(TableB10!N82+TableB10!R82)/1000</f>
        <v>1.8137638999999998E-3</v>
      </c>
      <c r="H82" s="1060">
        <f t="shared" si="12"/>
        <v>1.2696347299999999E-3</v>
      </c>
      <c r="I82" s="1061">
        <v>0</v>
      </c>
      <c r="J82" s="1061">
        <f t="shared" si="13"/>
        <v>5.4412916999999994E-4</v>
      </c>
      <c r="K82" s="306">
        <f>IF(VLOOKUP(B82,[3]CDIS_discrepancies_in_stocks!$A$3:$M$246,6,0)&gt;0,VLOOKUP(B82,[3]CDIS_discrepancies_in_stocks!$A$3:$M$246,6,0)/1000000000,VLOOKUP(B82,[3]CDIS_discrepancies_in_stocks!$A$3:$M$246,7,0)/1000000000)</f>
        <v>0.97299999999999998</v>
      </c>
      <c r="L82" s="8">
        <f>IF(VLOOKUP($B82,[3]CDIS_discrepancies_in_stocks!$A$3:$M$246,8,0)&gt;0,VLOOKUP($B82,[3]CDIS_discrepancies_in_stocks!$A$3:$M$246,8,0)/1000000000,VLOOKUP($B82,[3]CDIS_discrepancies_in_stocks!$A$3:$M$246,9,0)/1000000000)</f>
        <v>0.92500000000000004</v>
      </c>
      <c r="M82" s="8">
        <f t="shared" si="6"/>
        <v>4.7999999999999932E-2</v>
      </c>
      <c r="N82" s="306">
        <f>IF(VLOOKUP(B82,[3]CDIS_discrepancies_in_stocks!$A$3:$M$246,2,0)&gt;0,VLOOKUP(B82,[3]CDIS_discrepancies_in_stocks!$A$3:$M$246,2,0)/1000000000,VLOOKUP(B82,[3]CDIS_discrepancies_in_stocks!$A$3:$M$246,3,0)/1000000000)</f>
        <v>7.21</v>
      </c>
      <c r="O82" s="8">
        <f>IF(VLOOKUP($B82,[3]CDIS_discrepancies_in_stocks!$A$3:$M$246,4,0)&gt;0,VLOOKUP($B82,[3]CDIS_discrepancies_in_stocks!$A$3:$M$246,4,0)/1000000000,VLOOKUP($B82,[3]CDIS_discrepancies_in_stocks!$A$3:$M$246,5,0)/1000000000)</f>
        <v>6.05</v>
      </c>
      <c r="P82" s="35">
        <f t="shared" si="9"/>
        <v>1.1600000000000001</v>
      </c>
      <c r="S82" s="1067">
        <f t="shared" si="7"/>
        <v>0</v>
      </c>
      <c r="T82" s="1067">
        <f t="shared" si="8"/>
        <v>0</v>
      </c>
      <c r="U82" s="1067">
        <f>G82-C82-(TableB3!B82-TableB4!B82)</f>
        <v>0</v>
      </c>
      <c r="V82" s="1068">
        <f>G82-C82-TableB1!G84</f>
        <v>0</v>
      </c>
      <c r="W82" s="594">
        <f t="shared" si="14"/>
        <v>0</v>
      </c>
      <c r="X82" s="594">
        <f t="shared" si="15"/>
        <v>0</v>
      </c>
    </row>
    <row r="83" spans="1:24" x14ac:dyDescent="0.35">
      <c r="B83" s="264" t="s">
        <v>225</v>
      </c>
      <c r="C83" s="895">
        <f>+(TableB10!E83+TableB10!I83)/1000</f>
        <v>48.948502210899605</v>
      </c>
      <c r="D83" s="1060">
        <f t="shared" si="10"/>
        <v>34.263951547629723</v>
      </c>
      <c r="E83" s="1061">
        <v>0</v>
      </c>
      <c r="F83" s="1061">
        <f t="shared" si="11"/>
        <v>14.684550663269881</v>
      </c>
      <c r="G83" s="911">
        <f>+(TableB10!N83+TableB10!R83)/1000</f>
        <v>3.3119901675257313</v>
      </c>
      <c r="H83" s="1060">
        <f t="shared" si="12"/>
        <v>2.3183931172680117</v>
      </c>
      <c r="I83" s="1061">
        <v>0</v>
      </c>
      <c r="J83" s="1061">
        <f t="shared" si="13"/>
        <v>0.99359705025771938</v>
      </c>
      <c r="K83" s="306">
        <f>IF(VLOOKUP(B83,[3]CDIS_discrepancies_in_stocks!$A$3:$M$246,6,0)&gt;0,VLOOKUP(B83,[3]CDIS_discrepancies_in_stocks!$A$3:$M$246,6,0)/1000000000,VLOOKUP(B83,[3]CDIS_discrepancies_in_stocks!$A$3:$M$246,7,0)/1000000000)</f>
        <v>870</v>
      </c>
      <c r="L83" s="8">
        <f>IF(VLOOKUP($B83,[3]CDIS_discrepancies_in_stocks!$A$3:$M$246,8,0)&gt;0,VLOOKUP($B83,[3]CDIS_discrepancies_in_stocks!$A$3:$M$246,8,0)/1000000000,VLOOKUP($B83,[3]CDIS_discrepancies_in_stocks!$A$3:$M$246,9,0)/1000000000)</f>
        <v>525</v>
      </c>
      <c r="M83" s="8">
        <f t="shared" si="6"/>
        <v>345</v>
      </c>
      <c r="N83" s="306">
        <f>IF(VLOOKUP(B83,[3]CDIS_discrepancies_in_stocks!$A$3:$M$246,2,0)&gt;0,VLOOKUP(B83,[3]CDIS_discrepancies_in_stocks!$A$3:$M$246,2,0)/1000000000,VLOOKUP(B83,[3]CDIS_discrepancies_in_stocks!$A$3:$M$246,3,0)/1000000000)</f>
        <v>447</v>
      </c>
      <c r="O83" s="8">
        <f>IF(VLOOKUP($B83,[3]CDIS_discrepancies_in_stocks!$A$3:$M$246,4,0)&gt;0,VLOOKUP($B83,[3]CDIS_discrepancies_in_stocks!$A$3:$M$246,4,0)/1000000000,VLOOKUP($B83,[3]CDIS_discrepancies_in_stocks!$A$3:$M$246,5,0)/1000000000)</f>
        <v>346</v>
      </c>
      <c r="P83" s="35">
        <f t="shared" si="9"/>
        <v>101</v>
      </c>
      <c r="S83" s="1067">
        <f t="shared" si="7"/>
        <v>0</v>
      </c>
      <c r="T83" s="1067">
        <f t="shared" si="8"/>
        <v>0</v>
      </c>
      <c r="U83" s="1067">
        <f>G83-C83-(TableB3!B83-TableB4!B83)</f>
        <v>0</v>
      </c>
      <c r="V83" s="1068">
        <f>G83-C83-TableB1!G85</f>
        <v>0</v>
      </c>
      <c r="W83" s="594">
        <f t="shared" si="14"/>
        <v>0</v>
      </c>
      <c r="X83" s="594">
        <f t="shared" si="15"/>
        <v>0</v>
      </c>
    </row>
    <row r="84" spans="1:24" x14ac:dyDescent="0.35">
      <c r="B84" s="289" t="str">
        <f>+TableA1!A84</f>
        <v>St. Kitts and Nevis</v>
      </c>
      <c r="C84" s="895">
        <f>+(TableB10!E84+TableB10!I84)/1000</f>
        <v>3.0000000000000003E-4</v>
      </c>
      <c r="D84" s="1060">
        <f t="shared" si="10"/>
        <v>2.1000000000000001E-4</v>
      </c>
      <c r="E84" s="1061">
        <v>0</v>
      </c>
      <c r="F84" s="1061">
        <f t="shared" si="11"/>
        <v>9.0000000000000006E-5</v>
      </c>
      <c r="G84" s="911">
        <f>+(TableB10!N84+TableB10!R84)/1000</f>
        <v>0</v>
      </c>
      <c r="H84" s="1060">
        <f t="shared" si="12"/>
        <v>0</v>
      </c>
      <c r="I84" s="1061">
        <v>0</v>
      </c>
      <c r="J84" s="1061">
        <f t="shared" si="13"/>
        <v>0</v>
      </c>
      <c r="K84" s="306">
        <f>IF(VLOOKUP(B84,[3]CDIS_discrepancies_in_stocks!$A$3:$M$246,6,0)&gt;0,VLOOKUP(B84,[3]CDIS_discrepancies_in_stocks!$A$3:$M$246,6,0)/1000000000,VLOOKUP(B84,[3]CDIS_discrepancies_in_stocks!$A$3:$M$246,7,0)/1000000000)</f>
        <v>0.11799999999999999</v>
      </c>
      <c r="L84" s="8">
        <f>IF(VLOOKUP($B84,[3]CDIS_discrepancies_in_stocks!$A$3:$M$246,8,0)&gt;0,VLOOKUP($B84,[3]CDIS_discrepancies_in_stocks!$A$3:$M$246,8,0)/1000000000,VLOOKUP($B84,[3]CDIS_discrepancies_in_stocks!$A$3:$M$246,9,0)/1000000000)</f>
        <v>4.8322067740000002E-2</v>
      </c>
      <c r="M84" s="8">
        <f t="shared" si="6"/>
        <v>6.9677932259999992E-2</v>
      </c>
      <c r="N84" s="306">
        <f>IF(VLOOKUP(B84,[3]CDIS_discrepancies_in_stocks!$A$3:$M$246,2,0)&gt;0,VLOOKUP(B84,[3]CDIS_discrepancies_in_stocks!$A$3:$M$246,2,0)/1000000000,VLOOKUP(B84,[3]CDIS_discrepancies_in_stocks!$A$3:$M$246,3,0)/1000000000)</f>
        <v>0.52</v>
      </c>
      <c r="O84" s="8">
        <f>IF(VLOOKUP($B84,[3]CDIS_discrepancies_in_stocks!$A$3:$M$246,4,0)&gt;0,VLOOKUP($B84,[3]CDIS_discrepancies_in_stocks!$A$3:$M$246,4,0)/1000000000,VLOOKUP($B84,[3]CDIS_discrepancies_in_stocks!$A$3:$M$246,5,0)/1000000000)</f>
        <v>1.5087819779999999E-2</v>
      </c>
      <c r="P84" s="35">
        <f t="shared" si="9"/>
        <v>0.50491218022000006</v>
      </c>
      <c r="S84" s="1067">
        <f t="shared" si="7"/>
        <v>0</v>
      </c>
      <c r="T84" s="1067">
        <f t="shared" si="8"/>
        <v>0</v>
      </c>
      <c r="U84" s="1067">
        <f>G84-C84-(TableB3!B84-TableB4!B84)</f>
        <v>0</v>
      </c>
      <c r="V84" s="1068">
        <f>G84-C84-TableB1!G86</f>
        <v>0</v>
      </c>
      <c r="W84" s="594">
        <f t="shared" si="14"/>
        <v>0</v>
      </c>
      <c r="X84" s="594">
        <f t="shared" si="15"/>
        <v>0</v>
      </c>
    </row>
    <row r="85" spans="1:24" x14ac:dyDescent="0.35">
      <c r="B85" s="289" t="str">
        <f>+TableA1!A85</f>
        <v>St. Lucia</v>
      </c>
      <c r="C85" s="895">
        <f>+(TableB10!E85+TableB10!I85)/1000</f>
        <v>7.1900000000000006E-2</v>
      </c>
      <c r="D85" s="1060">
        <f t="shared" si="10"/>
        <v>5.033E-2</v>
      </c>
      <c r="E85" s="1061">
        <v>0</v>
      </c>
      <c r="F85" s="1061">
        <f t="shared" si="11"/>
        <v>2.1570000000000002E-2</v>
      </c>
      <c r="G85" s="911">
        <f>+(TableB10!N85+TableB10!R85)/1000</f>
        <v>2.5000000000000001E-3</v>
      </c>
      <c r="H85" s="1060">
        <f t="shared" si="12"/>
        <v>1.75E-3</v>
      </c>
      <c r="I85" s="1061">
        <v>0</v>
      </c>
      <c r="J85" s="1061">
        <f t="shared" si="13"/>
        <v>7.5000000000000002E-4</v>
      </c>
      <c r="K85" s="306">
        <f>IF(VLOOKUP(B85,[3]CDIS_discrepancies_in_stocks!$A$3:$M$246,6,0)&gt;0,VLOOKUP(B85,[3]CDIS_discrepancies_in_stocks!$A$3:$M$246,6,0)/1000000000,VLOOKUP(B85,[3]CDIS_discrepancies_in_stocks!$A$3:$M$246,7,0)/1000000000)</f>
        <v>0.68600000000000005</v>
      </c>
      <c r="L85" s="8">
        <f>IF(VLOOKUP($B85,[3]CDIS_discrepancies_in_stocks!$A$3:$M$246,8,0)&gt;0,VLOOKUP($B85,[3]CDIS_discrepancies_in_stocks!$A$3:$M$246,8,0)/1000000000,VLOOKUP($B85,[3]CDIS_discrepancies_in_stocks!$A$3:$M$246,9,0)/1000000000)</f>
        <v>4.573966191E-2</v>
      </c>
      <c r="M85" s="8">
        <f t="shared" si="6"/>
        <v>0.64026033809000005</v>
      </c>
      <c r="N85" s="306">
        <f>IF(VLOOKUP(B85,[3]CDIS_discrepancies_in_stocks!$A$3:$M$246,2,0)&gt;0,VLOOKUP(B85,[3]CDIS_discrepancies_in_stocks!$A$3:$M$246,2,0)/1000000000,VLOOKUP(B85,[3]CDIS_discrepancies_in_stocks!$A$3:$M$246,3,0)/1000000000)</f>
        <v>0.11899999999999999</v>
      </c>
      <c r="O85" s="8">
        <f>IF(VLOOKUP($B85,[3]CDIS_discrepancies_in_stocks!$A$3:$M$246,4,0)&gt;0,VLOOKUP($B85,[3]CDIS_discrepancies_in_stocks!$A$3:$M$246,4,0)/1000000000,VLOOKUP($B85,[3]CDIS_discrepancies_in_stocks!$A$3:$M$246,5,0)/1000000000)</f>
        <v>6.6310063980000002E-3</v>
      </c>
      <c r="P85" s="35">
        <f t="shared" si="9"/>
        <v>0.11236899360199999</v>
      </c>
      <c r="S85" s="1067">
        <f t="shared" si="7"/>
        <v>0</v>
      </c>
      <c r="T85" s="1067">
        <f t="shared" si="8"/>
        <v>0</v>
      </c>
      <c r="U85" s="1067">
        <f>G85-C85-(TableB3!B85-TableB4!B85)</f>
        <v>0</v>
      </c>
      <c r="V85" s="1068">
        <f>G85-C85-TableB1!G87</f>
        <v>0</v>
      </c>
      <c r="W85" s="594">
        <f t="shared" si="14"/>
        <v>0</v>
      </c>
      <c r="X85" s="594">
        <f t="shared" si="15"/>
        <v>0</v>
      </c>
    </row>
    <row r="86" spans="1:24" x14ac:dyDescent="0.35">
      <c r="B86" s="289" t="str">
        <f>+TableA1!A86</f>
        <v>St. Vincent and the Grenadines</v>
      </c>
      <c r="C86" s="895">
        <f>+(TableB10!E86+TableB10!I86)/1000</f>
        <v>1.6300000000000002E-2</v>
      </c>
      <c r="D86" s="1060">
        <f t="shared" si="10"/>
        <v>1.1410000000000002E-2</v>
      </c>
      <c r="E86" s="1061">
        <v>0</v>
      </c>
      <c r="F86" s="1061">
        <f t="shared" si="11"/>
        <v>4.8900000000000002E-3</v>
      </c>
      <c r="G86" s="911">
        <f>+(TableB10!N86+TableB10!R86)/1000</f>
        <v>0</v>
      </c>
      <c r="H86" s="1060">
        <f t="shared" si="12"/>
        <v>0</v>
      </c>
      <c r="I86" s="1061">
        <v>0</v>
      </c>
      <c r="J86" s="1061">
        <f t="shared" si="13"/>
        <v>0</v>
      </c>
      <c r="K86" s="306">
        <f>IF(VLOOKUP(B86,[3]CDIS_discrepancies_in_stocks!$A$3:$M$246,6,0)&gt;0,VLOOKUP(B86,[3]CDIS_discrepancies_in_stocks!$A$3:$M$246,6,0)/1000000000,VLOOKUP(B86,[3]CDIS_discrepancies_in_stocks!$A$3:$M$246,7,0)/1000000000)</f>
        <v>5.06395392E-2</v>
      </c>
      <c r="L86" s="8">
        <f>IF(VLOOKUP($B86,[3]CDIS_discrepancies_in_stocks!$A$3:$M$246,8,0)&gt;0,VLOOKUP($B86,[3]CDIS_discrepancies_in_stocks!$A$3:$M$246,8,0)/1000000000,VLOOKUP($B86,[3]CDIS_discrepancies_in_stocks!$A$3:$M$246,9,0)/1000000000)</f>
        <v>4.0961454130000005E-2</v>
      </c>
      <c r="M86" s="8">
        <f t="shared" si="6"/>
        <v>9.6780850699999948E-3</v>
      </c>
      <c r="N86" s="306">
        <f>IF(VLOOKUP(B86,[3]CDIS_discrepancies_in_stocks!$A$3:$M$246,2,0)&gt;0,VLOOKUP(B86,[3]CDIS_discrepancies_in_stocks!$A$3:$M$246,2,0)/1000000000,VLOOKUP(B86,[3]CDIS_discrepancies_in_stocks!$A$3:$M$246,3,0)/1000000000)</f>
        <v>0.377</v>
      </c>
      <c r="O86" s="8">
        <f>IF(VLOOKUP($B86,[3]CDIS_discrepancies_in_stocks!$A$3:$M$246,4,0)&gt;0,VLOOKUP($B86,[3]CDIS_discrepancies_in_stocks!$A$3:$M$246,4,0)/1000000000,VLOOKUP($B86,[3]CDIS_discrepancies_in_stocks!$A$3:$M$246,5,0)/1000000000)</f>
        <v>0.13400000000000001</v>
      </c>
      <c r="P86" s="35">
        <f>+N86-O86</f>
        <v>0.24299999999999999</v>
      </c>
      <c r="S86" s="1067">
        <f t="shared" si="7"/>
        <v>0</v>
      </c>
      <c r="T86" s="1067">
        <f t="shared" si="8"/>
        <v>0</v>
      </c>
      <c r="U86" s="1067">
        <f>G86-C86-(TableB3!B86-TableB4!B86)</f>
        <v>0</v>
      </c>
      <c r="V86" s="1068">
        <f>G86-C86-TableB1!G88</f>
        <v>0</v>
      </c>
      <c r="W86" s="594">
        <f t="shared" si="14"/>
        <v>0</v>
      </c>
      <c r="X86" s="594">
        <f t="shared" si="15"/>
        <v>0</v>
      </c>
    </row>
    <row r="87" spans="1:24" x14ac:dyDescent="0.35">
      <c r="A87" t="s">
        <v>505</v>
      </c>
      <c r="B87" s="289" t="str">
        <f>+TableA1!A87</f>
        <v>Turks and Caicos</v>
      </c>
      <c r="C87" s="895">
        <f>+(TableB10!E87+TableB10!I87)/1000</f>
        <v>0</v>
      </c>
      <c r="D87" s="1060">
        <f t="shared" si="10"/>
        <v>0</v>
      </c>
      <c r="E87" s="1061">
        <v>0</v>
      </c>
      <c r="F87" s="1061">
        <f t="shared" si="11"/>
        <v>0</v>
      </c>
      <c r="G87" s="911">
        <f>+(TableB10!N87+TableB10!R87)/1000</f>
        <v>0</v>
      </c>
      <c r="H87" s="1060">
        <f t="shared" si="12"/>
        <v>0</v>
      </c>
      <c r="I87" s="1061">
        <v>0</v>
      </c>
      <c r="J87" s="1061">
        <f t="shared" si="13"/>
        <v>0</v>
      </c>
      <c r="K87" s="306">
        <f>IF(VLOOKUP($A87,[3]CDIS_discrepancies_in_stocks!$A$3:$M$246,6,0)&gt;0,VLOOKUP($A87,[3]CDIS_discrepancies_in_stocks!$A$3:$M$246,6,0)/1000000000,VLOOKUP($A87,[3]CDIS_discrepancies_in_stocks!$A$3:$M$246,7,0)/1000000000)</f>
        <v>0.184</v>
      </c>
      <c r="L87" s="8">
        <f>IF(VLOOKUP($A87,[3]CDIS_discrepancies_in_stocks!$A$3:$M$246,8,0)&gt;0,VLOOKUP($A87,[3]CDIS_discrepancies_in_stocks!$A$3:$M$246,8,0)/1000000000,VLOOKUP($A87,[3]CDIS_discrepancies_in_stocks!$A$3:$M$246,9,0)/1000000000)</f>
        <v>0.183</v>
      </c>
      <c r="M87" s="8">
        <f t="shared" si="6"/>
        <v>1.0000000000000009E-3</v>
      </c>
      <c r="N87" s="306">
        <f>IF(VLOOKUP(A87,[3]CDIS_discrepancies_in_stocks!$A$3:$M$246,2,0)&gt;0,VLOOKUP(A87,[3]CDIS_discrepancies_in_stocks!$A$3:$M$246,2,0)/1000000000,VLOOKUP(A87,[3]CDIS_discrepancies_in_stocks!$A$3:$M$246,3,0)/1000000000)</f>
        <v>-0.13200000000000001</v>
      </c>
      <c r="O87" s="8">
        <f>IF(VLOOKUP($A87,[3]CDIS_discrepancies_in_stocks!$A$3:$M$246,4,0)&gt;0,VLOOKUP($A87,[3]CDIS_discrepancies_in_stocks!$A$3:$M$246,4,0)/1000000000,VLOOKUP($A87,[3]CDIS_discrepancies_in_stocks!$A$3:$M$246,5,0)/1000000000)</f>
        <v>3.4932801350000001E-2</v>
      </c>
      <c r="P87" s="35">
        <f>+N87-O87</f>
        <v>-0.16693280134999999</v>
      </c>
      <c r="S87" s="1067">
        <f t="shared" si="7"/>
        <v>0</v>
      </c>
      <c r="T87" s="1067">
        <f t="shared" si="8"/>
        <v>0</v>
      </c>
      <c r="U87" s="1067">
        <f>G87-C87-(TableB3!B87-TableB4!B87)</f>
        <v>0</v>
      </c>
      <c r="V87" s="1068">
        <f>G87-C87-TableB1!G89</f>
        <v>0</v>
      </c>
      <c r="W87" s="594">
        <f t="shared" si="14"/>
        <v>0</v>
      </c>
      <c r="X87" s="594">
        <f t="shared" si="15"/>
        <v>0</v>
      </c>
    </row>
    <row r="88" spans="1:24" x14ac:dyDescent="0.35">
      <c r="B88" s="289" t="str">
        <f>+TableA1!A88</f>
        <v>Panama</v>
      </c>
      <c r="C88" s="895">
        <f>+(TableB10!E88+TableB10!I88)/1000</f>
        <v>4.22</v>
      </c>
      <c r="D88" s="1060">
        <f t="shared" si="10"/>
        <v>2.9539999999999997</v>
      </c>
      <c r="E88" s="1061">
        <v>0</v>
      </c>
      <c r="F88" s="1061">
        <f t="shared" si="11"/>
        <v>1.2659999999999998</v>
      </c>
      <c r="G88" s="911">
        <f>+(TableB10!N88+TableB10!R88)/1000</f>
        <v>0.8677181060188971</v>
      </c>
      <c r="H88" s="1060">
        <f t="shared" si="12"/>
        <v>0.60740267421322791</v>
      </c>
      <c r="I88" s="1061">
        <v>0</v>
      </c>
      <c r="J88" s="1061">
        <f t="shared" si="13"/>
        <v>0.26031543180566913</v>
      </c>
      <c r="K88" s="306">
        <f>IF(VLOOKUP(B88,[3]CDIS_discrepancies_in_stocks!$A$3:$M$246,6,0)&gt;0,VLOOKUP(B88,[3]CDIS_discrepancies_in_stocks!$A$3:$M$246,6,0)/1000000000,VLOOKUP(B88,[3]CDIS_discrepancies_in_stocks!$A$3:$M$246,7,0)/1000000000)</f>
        <v>39.700000000000003</v>
      </c>
      <c r="L88" s="8">
        <f>IF(VLOOKUP($B88,[3]CDIS_discrepancies_in_stocks!$A$3:$M$246,8,0)&gt;0,VLOOKUP($B88,[3]CDIS_discrepancies_in_stocks!$A$3:$M$246,8,0)/1000000000,VLOOKUP($B88,[3]CDIS_discrepancies_in_stocks!$A$3:$M$246,9,0)/1000000000)</f>
        <v>32.299999999999997</v>
      </c>
      <c r="M88" s="8">
        <f t="shared" si="6"/>
        <v>7.4000000000000057</v>
      </c>
      <c r="N88" s="306">
        <f>IF(VLOOKUP(B88,[3]CDIS_discrepancies_in_stocks!$A$3:$M$246,2,0)&gt;0,VLOOKUP(B88,[3]CDIS_discrepancies_in_stocks!$A$3:$M$246,2,0)/1000000000,VLOOKUP(B88,[3]CDIS_discrepancies_in_stocks!$A$3:$M$246,3,0)/1000000000)</f>
        <v>24.3</v>
      </c>
      <c r="O88" s="8">
        <f>IF(VLOOKUP($B88,[3]CDIS_discrepancies_in_stocks!$A$3:$M$246,4,0)&gt;0,VLOOKUP($B88,[3]CDIS_discrepancies_in_stocks!$A$3:$M$246,4,0)/1000000000,VLOOKUP($B88,[3]CDIS_discrepancies_in_stocks!$A$3:$M$246,5,0)/1000000000)</f>
        <v>17.7</v>
      </c>
      <c r="P88" s="35">
        <f>+N88-O88</f>
        <v>6.6000000000000014</v>
      </c>
      <c r="S88" s="1067">
        <f t="shared" si="7"/>
        <v>0</v>
      </c>
      <c r="T88" s="1067">
        <f t="shared" si="8"/>
        <v>0</v>
      </c>
      <c r="U88" s="1067">
        <f>G88-C88-(TableB3!B88-TableB4!B88)</f>
        <v>0</v>
      </c>
      <c r="V88" s="1068">
        <f>G88-C88-TableB1!G90</f>
        <v>0</v>
      </c>
      <c r="W88" s="594">
        <f t="shared" si="14"/>
        <v>0</v>
      </c>
      <c r="X88" s="594">
        <f t="shared" si="15"/>
        <v>0</v>
      </c>
    </row>
    <row r="89" spans="1:24" x14ac:dyDescent="0.35">
      <c r="B89" s="264" t="s">
        <v>290</v>
      </c>
      <c r="C89" s="895">
        <f>[2]PuertoRicoBOP!$J$22/1000</f>
        <v>35.126800000000003</v>
      </c>
      <c r="D89" s="1060">
        <f t="shared" si="10"/>
        <v>24.588760000000001</v>
      </c>
      <c r="E89" s="1061">
        <v>0</v>
      </c>
      <c r="F89" s="1061">
        <f t="shared" si="11"/>
        <v>10.538040000000001</v>
      </c>
      <c r="G89" s="911">
        <f>[2]PuertoRicoBOP!$J$13/1000</f>
        <v>0.35339999999999999</v>
      </c>
      <c r="H89" s="1060">
        <f t="shared" si="12"/>
        <v>0.24737999999999999</v>
      </c>
      <c r="I89" s="1061">
        <v>0</v>
      </c>
      <c r="J89" s="1062">
        <f t="shared" si="13"/>
        <v>0.10601999999999999</v>
      </c>
      <c r="K89" s="306"/>
      <c r="L89" s="8"/>
      <c r="M89" s="8"/>
      <c r="N89" s="394"/>
      <c r="O89" s="263"/>
      <c r="P89" s="1046"/>
      <c r="S89" s="1067">
        <f t="shared" si="7"/>
        <v>0</v>
      </c>
      <c r="T89" s="1067">
        <f t="shared" si="8"/>
        <v>0</v>
      </c>
      <c r="U89" s="1067">
        <f>G89-C89-(TableB3!B89-TableB4!B89)</f>
        <v>0</v>
      </c>
      <c r="V89" s="1068">
        <f>G89-C89-TableB1!G91</f>
        <v>0</v>
      </c>
      <c r="W89" s="594">
        <f t="shared" si="14"/>
        <v>0</v>
      </c>
      <c r="X89" s="594">
        <f t="shared" si="15"/>
        <v>0</v>
      </c>
    </row>
    <row r="90" spans="1:24" ht="46.5" x14ac:dyDescent="0.35">
      <c r="B90" s="641" t="s">
        <v>613</v>
      </c>
      <c r="C90" s="909">
        <f>+TableB10!F90/1000</f>
        <v>160.93764714467298</v>
      </c>
      <c r="D90" s="907">
        <f t="shared" ref="D90" si="16">C90-E90-F90</f>
        <v>112.65635300127109</v>
      </c>
      <c r="E90" s="908">
        <v>0</v>
      </c>
      <c r="F90" s="908">
        <f t="shared" ref="F90" si="17">0.3*(C90-E90)</f>
        <v>48.281294143401894</v>
      </c>
      <c r="G90" s="910">
        <f>+TableB10!O90/1000</f>
        <v>20.147489777298009</v>
      </c>
      <c r="H90" s="1063">
        <f t="shared" ref="H90" si="18">G90-I90-J90</f>
        <v>13.403242844108608</v>
      </c>
      <c r="I90" s="1064">
        <v>1</v>
      </c>
      <c r="J90" s="1065">
        <f t="shared" ref="J90" si="19">0.3*(G90-I90)</f>
        <v>5.7442469331894026</v>
      </c>
      <c r="K90" s="906">
        <f>+L90+M90</f>
        <v>3567</v>
      </c>
      <c r="L90" s="644">
        <f>+[3]CDIS_discrepancies_in_stocks!P6</f>
        <v>2047</v>
      </c>
      <c r="M90" s="644">
        <f>+[3]CDIS_discrepancies_in_stocks!$Q$6</f>
        <v>1520</v>
      </c>
      <c r="N90" s="906">
        <f>+O90+P90</f>
        <v>1508</v>
      </c>
      <c r="O90" s="644">
        <f>+[3]CDIS_discrepancies_in_stocks!$S$6</f>
        <v>911</v>
      </c>
      <c r="P90" s="616">
        <f>+[3]CDIS_discrepancies_in_stocks!$T$6</f>
        <v>597</v>
      </c>
      <c r="S90" s="1068"/>
      <c r="T90" s="1068"/>
      <c r="U90" s="1068"/>
      <c r="V90" s="1068"/>
      <c r="W90" s="670"/>
      <c r="X90" s="670"/>
    </row>
    <row r="91" spans="1:24" ht="40" customHeight="1" thickBot="1" x14ac:dyDescent="0.4">
      <c r="B91" s="584" t="s">
        <v>500</v>
      </c>
      <c r="C91" s="645">
        <f t="shared" ref="C91:J91" si="20">+SUMIF(C10:C90,"&gt;-99999999999999900")</f>
        <v>1668.3882281964734</v>
      </c>
      <c r="D91" s="489">
        <f t="shared" si="20"/>
        <v>1026.6789843413903</v>
      </c>
      <c r="E91" s="1047">
        <f t="shared" si="20"/>
        <v>118.10505358174588</v>
      </c>
      <c r="F91" s="1047">
        <f t="shared" si="20"/>
        <v>523.56730343723711</v>
      </c>
      <c r="G91" s="645">
        <f t="shared" si="20"/>
        <v>1706.8312306552948</v>
      </c>
      <c r="H91" s="489">
        <f t="shared" si="20"/>
        <v>982.57365117987194</v>
      </c>
      <c r="I91" s="1047">
        <f t="shared" si="20"/>
        <v>89.681059578304357</v>
      </c>
      <c r="J91" s="1047">
        <f t="shared" si="20"/>
        <v>634.57659950194954</v>
      </c>
      <c r="K91" s="609">
        <f t="shared" ref="K91:P91" si="21">+SUMIF(K10:K90,"&gt;-99999999999999900")</f>
        <v>36386.710729174571</v>
      </c>
      <c r="L91" s="646">
        <f t="shared" si="21"/>
        <v>30480.220454012335</v>
      </c>
      <c r="M91" s="646">
        <f t="shared" si="21"/>
        <v>5906.8172751622778</v>
      </c>
      <c r="N91" s="609">
        <f t="shared" si="21"/>
        <v>35965.935525303546</v>
      </c>
      <c r="O91" s="646">
        <f t="shared" si="21"/>
        <v>32089.59249916537</v>
      </c>
      <c r="P91" s="1048">
        <f t="shared" si="21"/>
        <v>3876.344104929794</v>
      </c>
      <c r="S91" s="1068"/>
      <c r="T91" s="1068"/>
      <c r="U91" s="1068"/>
      <c r="V91" s="1068"/>
      <c r="W91" s="670"/>
      <c r="X91" s="670"/>
    </row>
    <row r="92" spans="1:24" ht="16" thickTop="1" x14ac:dyDescent="0.35">
      <c r="B92" s="912"/>
      <c r="C92" s="913"/>
      <c r="D92" s="914"/>
      <c r="E92" s="914"/>
      <c r="F92" s="914"/>
      <c r="G92" s="914"/>
      <c r="H92" s="914"/>
      <c r="I92" s="914"/>
      <c r="J92" s="914"/>
      <c r="K92" s="53"/>
      <c r="L92" s="557"/>
      <c r="M92" s="557"/>
      <c r="N92" s="53"/>
      <c r="O92" s="557"/>
      <c r="P92" s="557"/>
      <c r="S92" s="1067"/>
      <c r="T92" s="1067"/>
      <c r="U92" s="1067"/>
    </row>
    <row r="93" spans="1:24" s="2" customFormat="1" x14ac:dyDescent="0.35">
      <c r="B93" s="1"/>
      <c r="C93" s="1"/>
      <c r="D93" s="1"/>
      <c r="E93" s="1"/>
      <c r="F93" s="1"/>
      <c r="G93" s="1"/>
      <c r="H93" s="1"/>
      <c r="I93" s="1"/>
      <c r="S93" s="1069"/>
      <c r="T93" s="1069"/>
      <c r="U93" s="1069"/>
      <c r="V93" s="1070"/>
      <c r="W93" s="1069"/>
      <c r="X93" s="1069"/>
    </row>
    <row r="94" spans="1:24" s="2" customFormat="1" x14ac:dyDescent="0.35">
      <c r="B94" s="1"/>
      <c r="C94" s="1"/>
      <c r="D94" s="1"/>
      <c r="E94" s="1"/>
      <c r="F94" s="1"/>
      <c r="G94" s="1"/>
      <c r="H94" s="1"/>
      <c r="I94" s="1"/>
      <c r="S94" s="1069"/>
      <c r="T94" s="1069"/>
      <c r="U94" s="1069"/>
      <c r="V94" s="1070"/>
      <c r="W94" s="1069"/>
      <c r="X94" s="1069"/>
    </row>
    <row r="95" spans="1:24" s="2" customFormat="1" x14ac:dyDescent="0.35">
      <c r="B95" s="1"/>
      <c r="C95" s="1"/>
      <c r="D95" s="1"/>
      <c r="E95" s="1"/>
      <c r="F95" s="1"/>
      <c r="G95" s="1"/>
      <c r="H95" s="1"/>
      <c r="I95" s="1"/>
      <c r="S95" s="1069"/>
      <c r="T95" s="1069"/>
      <c r="U95" s="1069"/>
      <c r="V95" s="1070"/>
      <c r="W95" s="1069"/>
      <c r="X95" s="1069"/>
    </row>
    <row r="96" spans="1:24" x14ac:dyDescent="0.35">
      <c r="J96" s="2"/>
      <c r="K96" s="376"/>
    </row>
    <row r="97" spans="2:24" s="2" customFormat="1" x14ac:dyDescent="0.35">
      <c r="B97" s="1"/>
      <c r="C97" s="1"/>
      <c r="D97" s="1"/>
      <c r="E97" s="1"/>
      <c r="F97" s="1"/>
      <c r="G97" s="1"/>
      <c r="H97" s="1"/>
      <c r="I97" s="1"/>
      <c r="J97" s="1"/>
      <c r="K97" s="1"/>
      <c r="L97" s="1"/>
      <c r="M97" s="1"/>
      <c r="N97" s="1"/>
      <c r="O97" s="1"/>
      <c r="S97" s="1069"/>
      <c r="T97" s="1069"/>
      <c r="U97" s="1069"/>
      <c r="V97" s="1070"/>
      <c r="W97" s="1069"/>
      <c r="X97" s="1069"/>
    </row>
  </sheetData>
  <mergeCells count="8">
    <mergeCell ref="C6:P6"/>
    <mergeCell ref="C8:C9"/>
    <mergeCell ref="G8:G9"/>
    <mergeCell ref="B3:P3"/>
    <mergeCell ref="K8:K9"/>
    <mergeCell ref="N8:N9"/>
    <mergeCell ref="C7:J7"/>
    <mergeCell ref="K7:P7"/>
  </mergeCells>
  <hyperlinks>
    <hyperlink ref="B46" r:id="rId1" xr:uid="{00000000-0004-0000-1100-000000000000}"/>
    <hyperlink ref="B52" r:id="rId2" tooltip="Click once to display linked information. Click and hold to select this cell." display="  South Africa" xr:uid="{00000000-0004-0000-1100-000001000000}"/>
    <hyperlink ref="B51" r:id="rId3" tooltip="Click once to display linked information. Click and hold to select this cell." display="  Russia" xr:uid="{00000000-0004-0000-1100-000002000000}"/>
    <hyperlink ref="B50" r:id="rId4" tooltip="Click once to display linked information. Click and hold to select this cell." display="  India" xr:uid="{00000000-0004-0000-1100-000003000000}"/>
  </hyperlinks>
  <pageMargins left="0.75" right="0.75" top="1" bottom="1" header="0.5" footer="0.5"/>
  <pageSetup scale="33" orientation="portrait" horizontalDpi="4294967292" verticalDpi="4294967292"/>
  <legacyDrawing r:id="rId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3:N95"/>
  <sheetViews>
    <sheetView workbookViewId="0">
      <pane xSplit="1" ySplit="9" topLeftCell="B10" activePane="bottomRight" state="frozen"/>
      <selection activeCell="AR8" sqref="AR8"/>
      <selection pane="topRight" activeCell="AR8" sqref="AR8"/>
      <selection pane="bottomLeft" activeCell="AR8" sqref="AR8"/>
      <selection pane="bottomRight" activeCell="D12" sqref="D12"/>
    </sheetView>
  </sheetViews>
  <sheetFormatPr baseColWidth="10" defaultColWidth="10.81640625" defaultRowHeight="15.5" x14ac:dyDescent="0.35"/>
  <cols>
    <col min="1" max="1" width="16.6328125" style="1" customWidth="1"/>
    <col min="2" max="2" width="12.453125" style="1" customWidth="1"/>
    <col min="3" max="3" width="11.81640625" style="1" customWidth="1"/>
    <col min="4" max="7" width="11.36328125" style="1" customWidth="1"/>
    <col min="8" max="8" width="11.81640625" style="1" customWidth="1"/>
    <col min="9" max="12" width="11.36328125" style="1" customWidth="1"/>
    <col min="13" max="13" width="11.81640625" style="1" customWidth="1"/>
    <col min="14" max="16384" width="10.81640625" style="1"/>
  </cols>
  <sheetData>
    <row r="3" spans="1:14" ht="16" thickBot="1" x14ac:dyDescent="0.4"/>
    <row r="4" spans="1:14" ht="32.25" customHeight="1" thickTop="1" x14ac:dyDescent="0.35">
      <c r="A4" s="2048" t="s">
        <v>148</v>
      </c>
      <c r="B4" s="2049"/>
      <c r="C4" s="2049"/>
      <c r="D4" s="2049"/>
      <c r="E4" s="2049"/>
      <c r="F4" s="2049"/>
      <c r="G4" s="2049"/>
      <c r="H4" s="2049"/>
      <c r="I4" s="2049"/>
      <c r="J4" s="2049"/>
      <c r="K4" s="2049"/>
      <c r="L4" s="2049"/>
      <c r="M4" s="2050"/>
    </row>
    <row r="5" spans="1:14" ht="12" customHeight="1" x14ac:dyDescent="0.35">
      <c r="A5" s="11"/>
      <c r="B5" s="1312"/>
      <c r="C5" s="1312"/>
      <c r="D5" s="1312"/>
      <c r="E5" s="1312"/>
      <c r="F5" s="1312"/>
      <c r="G5" s="1312"/>
      <c r="H5" s="1312"/>
      <c r="I5" s="1312"/>
      <c r="J5" s="1312"/>
      <c r="K5" s="1312"/>
      <c r="L5" s="1312"/>
      <c r="M5" s="12"/>
    </row>
    <row r="6" spans="1:14" ht="16" thickBot="1" x14ac:dyDescent="0.4">
      <c r="A6" s="13"/>
      <c r="B6" s="10" t="s">
        <v>20</v>
      </c>
      <c r="C6" s="10" t="s">
        <v>21</v>
      </c>
      <c r="D6" s="10" t="s">
        <v>22</v>
      </c>
      <c r="E6" s="10" t="s">
        <v>23</v>
      </c>
      <c r="F6" s="10" t="s">
        <v>24</v>
      </c>
      <c r="G6" s="10" t="s">
        <v>25</v>
      </c>
      <c r="H6" s="10" t="s">
        <v>26</v>
      </c>
      <c r="I6" s="10" t="s">
        <v>33</v>
      </c>
      <c r="J6" s="10" t="s">
        <v>34</v>
      </c>
      <c r="K6" s="10" t="s">
        <v>37</v>
      </c>
      <c r="L6" s="10" t="s">
        <v>105</v>
      </c>
      <c r="M6" s="14" t="s">
        <v>138</v>
      </c>
    </row>
    <row r="7" spans="1:14" ht="21" customHeight="1" x14ac:dyDescent="0.35">
      <c r="A7" s="13"/>
      <c r="B7" s="2316" t="s">
        <v>53</v>
      </c>
      <c r="C7" s="2317"/>
      <c r="D7" s="2317"/>
      <c r="E7" s="2317"/>
      <c r="F7" s="2317"/>
      <c r="G7" s="2317"/>
      <c r="H7" s="2317"/>
      <c r="I7" s="2317"/>
      <c r="J7" s="2317"/>
      <c r="K7" s="2317"/>
      <c r="L7" s="2317"/>
      <c r="M7" s="2312"/>
    </row>
    <row r="8" spans="1:14" ht="85" customHeight="1" x14ac:dyDescent="0.35">
      <c r="A8" s="13"/>
      <c r="B8" s="2182" t="s">
        <v>84</v>
      </c>
      <c r="C8" s="2152" t="s">
        <v>6</v>
      </c>
      <c r="D8" s="1383" t="s">
        <v>85</v>
      </c>
      <c r="E8" s="1384" t="s">
        <v>89</v>
      </c>
      <c r="F8" s="1386" t="s">
        <v>86</v>
      </c>
      <c r="G8" s="1386" t="s">
        <v>90</v>
      </c>
      <c r="H8" s="2152" t="s">
        <v>87</v>
      </c>
      <c r="I8" s="1383" t="s">
        <v>85</v>
      </c>
      <c r="J8" s="1384" t="s">
        <v>88</v>
      </c>
      <c r="K8" s="1386" t="s">
        <v>86</v>
      </c>
      <c r="L8" s="1385" t="s">
        <v>90</v>
      </c>
      <c r="M8" s="2318" t="s">
        <v>51</v>
      </c>
      <c r="N8" s="26"/>
    </row>
    <row r="9" spans="1:14" ht="33" customHeight="1" x14ac:dyDescent="0.35">
      <c r="A9" s="13"/>
      <c r="B9" s="2130"/>
      <c r="C9" s="2153"/>
      <c r="D9" s="1387"/>
      <c r="E9" s="1387"/>
      <c r="F9" s="1387"/>
      <c r="G9" s="1387"/>
      <c r="H9" s="2153"/>
      <c r="I9" s="1387"/>
      <c r="J9" s="1387"/>
      <c r="K9" s="1387"/>
      <c r="L9" s="1628"/>
      <c r="M9" s="2224"/>
      <c r="N9" s="26"/>
    </row>
    <row r="10" spans="1:14" ht="14.25" customHeight="1" x14ac:dyDescent="0.35">
      <c r="A10" s="71" t="s">
        <v>54</v>
      </c>
      <c r="B10" s="76">
        <f>+VLOOKUP($A10,[3]Allincome!$A$12:$I$46,4,0)/1000</f>
        <v>13.834247501690999</v>
      </c>
      <c r="C10" s="72">
        <f>+VLOOKUP($A10,[3]Div!$A$12:$I$46,4,0)/1000</f>
        <v>9.1471936283718005</v>
      </c>
      <c r="D10" s="73">
        <f>+VLOOKUP($A10,'[3]Div(PA)'!$A$12:$I$46,4,0)/1000</f>
        <v>9.1471936283718005</v>
      </c>
      <c r="E10" s="73">
        <f>+VLOOKUP($A10,'[3]Div(AP)'!$A$12:$I$46,4,0)/1000</f>
        <v>0</v>
      </c>
      <c r="F10" s="73">
        <v>0</v>
      </c>
      <c r="G10" s="73">
        <v>0</v>
      </c>
      <c r="H10" s="72">
        <f>+VLOOKUP($A10,[3]Int!$A$12:$I$46,4,0)/1000</f>
        <v>0.68675332481779006</v>
      </c>
      <c r="I10" s="73">
        <f>H10</f>
        <v>0.68675332481779006</v>
      </c>
      <c r="J10" s="73">
        <v>0</v>
      </c>
      <c r="K10" s="73">
        <v>0</v>
      </c>
      <c r="L10" s="74">
        <v>0</v>
      </c>
      <c r="M10" s="924">
        <f>TableB2!J10</f>
        <v>4.0048087760162003</v>
      </c>
      <c r="N10" s="26"/>
    </row>
    <row r="11" spans="1:14" ht="14.25" customHeight="1" x14ac:dyDescent="0.35">
      <c r="A11" s="13" t="s">
        <v>55</v>
      </c>
      <c r="B11" s="297">
        <f>+VLOOKUP($A11,[3]Allincome!$A$12:$I$46,4,0)/1000</f>
        <v>2.8896283971159002</v>
      </c>
      <c r="C11" s="308">
        <f>+VLOOKUP($A11,[3]Div!$A$12:$I$46,4,0)/1000</f>
        <v>10.214087631725</v>
      </c>
      <c r="D11" s="46">
        <f>+VLOOKUP($A11,'[3]Div(PA)'!$A$12:$I$46,4,0)/1000</f>
        <v>10.214087631725</v>
      </c>
      <c r="E11" s="46">
        <f>+VLOOKUP($A11,'[3]Div(AP)'!$A$12:$I$46,4,0)/1000</f>
        <v>0</v>
      </c>
      <c r="F11" s="46">
        <f>+VLOOKUP($A11,'[3]Div(FellowResUCP)'!$A$12:$I$46,4,0)/1000</f>
        <v>0</v>
      </c>
      <c r="G11" s="46">
        <f>+VLOOKUP($A11,'[3]Div(FellowForeignUCP)'!$A$12:$I$46,4,0)/1000</f>
        <v>0</v>
      </c>
      <c r="H11" s="308">
        <f>+VLOOKUP($A11,[3]Int!$A$12:$I$46,4,0)/1000</f>
        <v>1.6916250693289001</v>
      </c>
      <c r="I11" s="46">
        <f>+VLOOKUP($A11,'[3]Int(PA)'!$A$12:$I$46,4,0)/1000</f>
        <v>0.75984470327232001</v>
      </c>
      <c r="J11" s="46">
        <f>+VLOOKUP($A11,'[3]Int(AP)'!$A$12:$I$46,4,0)/1000</f>
        <v>0.63338879645036006</v>
      </c>
      <c r="K11" s="46">
        <f>+VLOOKUP($A11,'[3]Int(FellowResUCP)'!$A$12:$I$46,4,0)/1000</f>
        <v>0.25956738768718995</v>
      </c>
      <c r="L11" s="1629">
        <f>+VLOOKUP($A11,'[3]Int(FellowForeignUCP)'!$A$12:$I$46,4,0)/1000</f>
        <v>3.8824181919024002E-2</v>
      </c>
      <c r="M11" s="925">
        <f>TableB2!J11</f>
        <v>-9.0171935662783991</v>
      </c>
      <c r="N11" s="26"/>
    </row>
    <row r="12" spans="1:14" ht="14.25" customHeight="1" x14ac:dyDescent="0.35">
      <c r="A12" s="13" t="s">
        <v>2</v>
      </c>
      <c r="B12" s="297">
        <f>+VLOOKUP($A12,[3]Allincome!$A$12:$I$46,4,0)/1000</f>
        <v>22.882972823073001</v>
      </c>
      <c r="C12" s="308">
        <f>+VLOOKUP($A12,[3]Div!$A$12:$I$46,4,0)/1000</f>
        <v>13.505268996118</v>
      </c>
      <c r="D12" s="46">
        <f>+VLOOKUP($A12,'[3]Div(PA)'!$A$12:$I$46,4,0)/1000</f>
        <v>13.470881863561001</v>
      </c>
      <c r="E12" s="46">
        <f>+VLOOKUP($A12,'[3]Div(AP)'!$A$12:$I$46,4,0)/1000</f>
        <v>0</v>
      </c>
      <c r="F12" s="46">
        <f>+VLOOKUP($A12,'[3]Div(FellowResUCP)'!$A$12:$I$46,4,0)/1000</f>
        <v>2.2185246810871001E-2</v>
      </c>
      <c r="G12" s="46">
        <f>+VLOOKUP($A12,'[3]Div(FellowForeignUCP)'!$A$12:$I$46,4,0)/1000</f>
        <v>1.3311148086522E-2</v>
      </c>
      <c r="H12" s="2038">
        <f>+VLOOKUP($A12,[3]Int!$A$12:$I$46,4,0)/1000</f>
        <v>10.933998890738</v>
      </c>
      <c r="I12" s="2039">
        <f>+VLOOKUP($A12,'[3]Int(PA)'!$A$12:$I$46,4,0)/1000</f>
        <v>1.0870770937326999</v>
      </c>
      <c r="J12" s="2039">
        <f>+VLOOKUP($A12,'[3]Int(AP)'!$A$12:$I$46,4,0)/1000</f>
        <v>0.93954520244037998</v>
      </c>
      <c r="K12" s="46">
        <f>+VLOOKUP($A12,'[3]Int(FellowResUCP)'!$A$12:$I$46,4,0)/1000</f>
        <v>1.7282307265668</v>
      </c>
      <c r="L12" s="1629">
        <f>+VLOOKUP($A12,'[3]Int(FellowForeignUCP)'!$A$12:$I$46,4,0)/1000</f>
        <v>7.1769273433166996</v>
      </c>
      <c r="M12" s="925">
        <f>TableB2!J12</f>
        <v>-1.5562950637826001</v>
      </c>
      <c r="N12" s="26"/>
    </row>
    <row r="13" spans="1:14" ht="14.25" customHeight="1" x14ac:dyDescent="0.35">
      <c r="A13" s="13" t="s">
        <v>56</v>
      </c>
      <c r="B13" s="297"/>
      <c r="C13" s="308"/>
      <c r="D13" s="46"/>
      <c r="E13" s="46"/>
      <c r="F13" s="46"/>
      <c r="G13" s="46"/>
      <c r="H13" s="308"/>
      <c r="I13" s="46"/>
      <c r="J13" s="46"/>
      <c r="K13" s="46"/>
      <c r="L13" s="1629"/>
      <c r="M13" s="925"/>
      <c r="N13" s="26"/>
    </row>
    <row r="14" spans="1:14" ht="14.25" customHeight="1" x14ac:dyDescent="0.35">
      <c r="A14" s="13" t="s">
        <v>57</v>
      </c>
      <c r="B14" s="297">
        <f>+VLOOKUP($A14,[3]Allincome!$A$12:$I$46,4,0)/1000</f>
        <v>3.9603124554282001</v>
      </c>
      <c r="C14" s="308">
        <f>+VLOOKUP($A14,[3]Div!$A$12:$I$46,4,0)/1000</f>
        <v>0.68634441400000001</v>
      </c>
      <c r="D14" s="46">
        <f>+VLOOKUP($A14,'[3]Div(PA)'!$A$12:$I$46,4,0)/1000</f>
        <v>0.67304297710406003</v>
      </c>
      <c r="E14" s="46">
        <f>+VLOOKUP($A14,'[3]Div(AP)'!$A$12:$I$46,4,0)/1000</f>
        <v>2.5380725316414996E-3</v>
      </c>
      <c r="F14" s="46">
        <v>0</v>
      </c>
      <c r="G14" s="46">
        <v>0</v>
      </c>
      <c r="H14" s="308">
        <f>+VLOOKUP($A14,[3]Int!$A$12:$I$46,4,0)/1000</f>
        <v>0.40863686199999999</v>
      </c>
      <c r="I14" s="46">
        <f>+VLOOKUP($A14,'[3]Int(PA)'!$A$12:$I$46,4,0)/1000</f>
        <v>0.33826779402379997</v>
      </c>
      <c r="J14" s="46">
        <f>+VLOOKUP($A14,'[3]Int(AP)'!$A$12:$I$46,4,0)/1000</f>
        <v>5.7017422081417003E-2</v>
      </c>
      <c r="K14" s="46">
        <v>0</v>
      </c>
      <c r="L14" s="1629">
        <v>0</v>
      </c>
      <c r="M14" s="925">
        <f>TableB2!J14</f>
        <v>2.8653311794281997</v>
      </c>
      <c r="N14" s="26"/>
    </row>
    <row r="15" spans="1:14" ht="14.25" customHeight="1" x14ac:dyDescent="0.35">
      <c r="A15" s="13" t="s">
        <v>58</v>
      </c>
      <c r="B15" s="297">
        <f>+VLOOKUP($A15,[3]Allincome!$A$12:$I$46,4,0)/1000</f>
        <v>1.977798560566</v>
      </c>
      <c r="C15" s="308">
        <f>+VLOOKUP($A15,[3]Div!$A$12:$I$46,4,0)/1000</f>
        <v>0.88073842150204995</v>
      </c>
      <c r="D15" s="46">
        <f>+VLOOKUP($A15,'[3]Div(PA)'!$A$12:$I$46,4,0)/1000</f>
        <v>0.88073842150204995</v>
      </c>
      <c r="E15" s="46">
        <f>+VLOOKUP($A15,'[3]Div(AP)'!$A$12:$I$46,4,0)/1000</f>
        <v>0</v>
      </c>
      <c r="F15" s="46">
        <f>+VLOOKUP($A15,'[3]Div(FellowResUCP)'!$A$12:$I$46,4,0)/1000</f>
        <v>0</v>
      </c>
      <c r="G15" s="46">
        <f>+VLOOKUP($A15,'[3]Div(FellowForeignUCP)'!$A$12:$I$46,4,0)/1000</f>
        <v>0</v>
      </c>
      <c r="H15" s="308">
        <f>+VLOOKUP($A15,[3]Int!$A$12:$I$46,4,0)/1000</f>
        <v>0.12426300166714001</v>
      </c>
      <c r="I15" s="46">
        <f>+VLOOKUP($A15,'[3]Int(PA)'!$A$12:$I$46,4,0)/1000</f>
        <v>1.3011832635303E-2</v>
      </c>
      <c r="J15" s="46">
        <f>+VLOOKUP($A15,'[3]Int(AP)'!$A$12:$I$46,4,0)/1000</f>
        <v>6.4408571544748994E-2</v>
      </c>
      <c r="K15" s="46">
        <f>+VLOOKUP($A15,'[3]Int(FellowResUCP)'!$A$12:$I$46,4,0)/1000</f>
        <v>8.1323953970642007E-4</v>
      </c>
      <c r="L15" s="1629">
        <f>+VLOOKUP($A15,'[3]Int(FellowForeignUCP)'!$A$12:$I$46,4,0)/1000</f>
        <v>4.6192005855325E-2</v>
      </c>
      <c r="M15" s="925">
        <f>TableB2!J15</f>
        <v>0.97279713739681994</v>
      </c>
      <c r="N15" s="26"/>
    </row>
    <row r="16" spans="1:14" ht="14.25" customHeight="1" x14ac:dyDescent="0.35">
      <c r="A16" s="13" t="s">
        <v>59</v>
      </c>
      <c r="B16" s="297">
        <f>+VLOOKUP($A16,[3]Allincome!$A$12:$I$46,4,0)/1000</f>
        <v>13.163826686889001</v>
      </c>
      <c r="C16" s="308">
        <f>+VLOOKUP($A16,[3]Div!$A$12:$I$46,4,0)/1000</f>
        <v>10.532310345853</v>
      </c>
      <c r="D16" s="46">
        <f>+VLOOKUP($A16,'[3]Div(PA)'!$A$12:$I$46,4,0)/1000</f>
        <v>10.532310345853</v>
      </c>
      <c r="E16" s="46">
        <f>+VLOOKUP($A16,'[3]Div(AP)'!$A$12:$I$46,4,0)/1000</f>
        <v>0</v>
      </c>
      <c r="F16" s="46">
        <f>+VLOOKUP($A16,'[3]Div(FellowResUCP)'!$A$12:$I$46,4,0)/1000</f>
        <v>0</v>
      </c>
      <c r="G16" s="46">
        <f>+VLOOKUP($A16,'[3]Div(FellowForeignUCP)'!$A$12:$I$46,4,0)/1000</f>
        <v>0</v>
      </c>
      <c r="H16" s="308">
        <f>+VLOOKUP($A16,[3]Int!$A$12:$I$46,4,0)/1000</f>
        <v>1.2372498290064999</v>
      </c>
      <c r="I16" s="46">
        <f>+VLOOKUP($A16,'[3]Int(PA)'!$A$12:$I$46,4,0)/1000</f>
        <v>1.1615665982692001</v>
      </c>
      <c r="J16" s="46">
        <f>+VLOOKUP($A16,'[3]Int(AP)'!$A$12:$I$46,4,0)/1000</f>
        <v>5.5312695155678E-2</v>
      </c>
      <c r="K16" s="46">
        <f>+VLOOKUP($A16,'[3]Int(FellowResUCP)'!$A$12:$I$46,4,0)/1000</f>
        <v>1.9329705296338999E-3</v>
      </c>
      <c r="L16" s="1629">
        <f>+VLOOKUP($A16,'[3]Int(FellowForeignUCP)'!$A$12:$I$46,4,0)/1000</f>
        <v>1.8437565051893E-2</v>
      </c>
      <c r="M16" s="925">
        <f>TableB2!J16</f>
        <v>1.3944152020698</v>
      </c>
      <c r="N16" s="26"/>
    </row>
    <row r="17" spans="1:14" ht="14.25" customHeight="1" x14ac:dyDescent="0.35">
      <c r="A17" s="13" t="s">
        <v>60</v>
      </c>
      <c r="B17" s="297">
        <f>+VLOOKUP($A17,[3]Allincome!$A$12:$I$46,4,0)/1000</f>
        <v>0.36708374930671001</v>
      </c>
      <c r="C17" s="308">
        <f>+VLOOKUP($A17,[3]Div!$A$12:$I$46,4,0)/1000</f>
        <v>0.24230837493067001</v>
      </c>
      <c r="D17" s="46">
        <f>+VLOOKUP($A17,'[3]Div(PA)'!$A$12:$I$46,4,0)/1000</f>
        <v>0.24203549639490002</v>
      </c>
      <c r="E17" s="46">
        <f>+VLOOKUP($A17,'[3]Div(AP)'!$A$12:$I$46,4,0)/1000</f>
        <v>0</v>
      </c>
      <c r="F17" s="46">
        <f>+VLOOKUP($A17,'[3]Div(FellowResUCP)'!$A$12:$I$46,4,0)/1000</f>
        <v>0</v>
      </c>
      <c r="G17" s="46">
        <v>0</v>
      </c>
      <c r="H17" s="308">
        <f>+VLOOKUP($A17,[3]Int!$A$12:$I$46,4,0)/1000</f>
        <v>8.6218524681087011E-2</v>
      </c>
      <c r="I17" s="46">
        <f>+VLOOKUP($A17,'[3]Int(PA)'!$A$12:$I$46,4,0)/1000</f>
        <v>5.4532445923461001E-2</v>
      </c>
      <c r="J17" s="46">
        <f>+VLOOKUP($A17,'[3]Int(AP)'!$A$12:$I$46,4,0)/1000</f>
        <v>2.0879645036050998E-2</v>
      </c>
      <c r="K17" s="46">
        <f>+VLOOKUP($A17,'[3]Int(FellowResUCP)'!$A$12:$I$46,4,0)/1000</f>
        <v>1.4464780920688E-3</v>
      </c>
      <c r="L17" s="1629">
        <f>+VLOOKUP($A17,'[3]Int(FellowForeignUCP)'!$A$12:$I$46,4,0)/1000</f>
        <v>9.3599556295063998E-3</v>
      </c>
      <c r="M17" s="925">
        <f>TableB2!J17</f>
        <v>3.8556849694953002E-2</v>
      </c>
      <c r="N17" s="26"/>
    </row>
    <row r="18" spans="1:14" ht="14.25" customHeight="1" x14ac:dyDescent="0.35">
      <c r="A18" s="13" t="s">
        <v>61</v>
      </c>
      <c r="B18" s="297">
        <f>+VLOOKUP($A18,[3]Allincome!$A$12:$I$46,4,0)/1000</f>
        <v>7.7071547420964999</v>
      </c>
      <c r="C18" s="308">
        <f>+VLOOKUP($A18,[3]Div!$A$12:$I$46,4,0)/1000</f>
        <v>10.647809206877</v>
      </c>
      <c r="D18" s="46">
        <f>C18</f>
        <v>10.647809206877</v>
      </c>
      <c r="E18" s="46">
        <f>+VLOOKUP($A18,'[3]Div(AP)'!$A$12:$I$46,4,0)/1000</f>
        <v>0</v>
      </c>
      <c r="F18" s="46">
        <f>+VLOOKUP($A18,'[3]Div(FellowResUCP)'!$A$12:$I$46,4,0)/1000</f>
        <v>0</v>
      </c>
      <c r="G18" s="46">
        <f>+VLOOKUP($A18,'[3]Div(FellowForeignUCP)'!$A$12:$I$46,4,0)/1000</f>
        <v>0</v>
      </c>
      <c r="H18" s="308">
        <f>+VLOOKUP($A18,[3]Int!$A$12:$I$46,4,0)/1000</f>
        <v>0.76760953965612999</v>
      </c>
      <c r="I18" s="46"/>
      <c r="J18" s="46"/>
      <c r="K18" s="46"/>
      <c r="L18" s="1629"/>
      <c r="M18" s="925">
        <f>TableB2!J18</f>
        <v>-3.7082640044369999</v>
      </c>
      <c r="N18" s="26"/>
    </row>
    <row r="19" spans="1:14" ht="14.25" customHeight="1" x14ac:dyDescent="0.35">
      <c r="A19" s="13" t="s">
        <v>48</v>
      </c>
      <c r="B19" s="297">
        <f>+VLOOKUP($A19,[3]Allincome!$A$12:$I$46,4,0)/1000</f>
        <v>74.230021407576999</v>
      </c>
      <c r="C19" s="308">
        <f>+VLOOKUP($A19,[3]Div!$A$12:$I$46,4,0)/1000</f>
        <v>64.215373266778002</v>
      </c>
      <c r="D19" s="46">
        <f>+VLOOKUP($A19,'[3]Div(PA)'!$A$12:$I$46,4,0)/1000</f>
        <v>64.215373266778002</v>
      </c>
      <c r="E19" s="46">
        <f>+VLOOKUP($A19,'[3]Div(AP)'!$A$12:$I$46,4,0)/1000</f>
        <v>0</v>
      </c>
      <c r="F19" s="46">
        <f>+VLOOKUP($A19,'[3]Div(FellowResUCP)'!$A$12:$I$46,4,0)/1000</f>
        <v>0</v>
      </c>
      <c r="G19" s="46">
        <f>+VLOOKUP($A19,'[3]Div(FellowForeignUCP)'!$A$12:$I$46,4,0)/1000</f>
        <v>0</v>
      </c>
      <c r="H19" s="308">
        <f>+VLOOKUP($A19,[3]Int!$A$12:$I$46,4,0)/1000</f>
        <v>5.5458084292076997</v>
      </c>
      <c r="I19" s="46">
        <f>+VLOOKUP($A19,'[3]Int(PA)'!$A$12:$I$46,4,0)/1000</f>
        <v>1.6512597606691999</v>
      </c>
      <c r="J19" s="46">
        <f>+VLOOKUP($A19,'[3]Int(AP)'!$A$12:$I$46,4,0)/1000</f>
        <v>0.39132772691776002</v>
      </c>
      <c r="K19" s="46">
        <f>+VLOOKUP($A19,'[3]Int(FellowResUCP)'!$A$12:$I$46,4,0)/1000</f>
        <v>2.5429337194109998</v>
      </c>
      <c r="L19" s="1629">
        <f>+VLOOKUP($A19,'[3]Int(FellowForeignUCP)'!$A$12:$I$46,4,0)/1000</f>
        <v>0.9602872222096599</v>
      </c>
      <c r="M19" s="925">
        <f>TableB2!J19</f>
        <v>4.4688397115917997</v>
      </c>
      <c r="N19" s="26"/>
    </row>
    <row r="20" spans="1:14" s="1974" customFormat="1" ht="14.25" customHeight="1" x14ac:dyDescent="0.35">
      <c r="A20" s="1977" t="s">
        <v>62</v>
      </c>
      <c r="B20" s="2037">
        <f>+VLOOKUP($A20,[3]Allincome!$A$12:$I$46,4,0)/1000</f>
        <v>84.185246810871007</v>
      </c>
      <c r="C20" s="2038">
        <f>+VLOOKUP($A20,[3]Div!$A$12:$I$46,4,0)/1000</f>
        <v>65.433166943982002</v>
      </c>
      <c r="D20" s="2039">
        <f>+VLOOKUP($A20,'[3]Div(PA)'!$A$12:$I$46,4,0)/1000</f>
        <v>65.433166943982002</v>
      </c>
      <c r="E20" s="2039">
        <f>+VLOOKUP($A20,'[3]Div(AP)'!$A$12:$I$46,4,0)/1000</f>
        <v>0</v>
      </c>
      <c r="F20" s="2039">
        <f>+VLOOKUP($A20,'[3]Div(FellowResUCP)'!$A$12:$I$46,4,0)/1000</f>
        <v>0</v>
      </c>
      <c r="G20" s="2039">
        <f>+VLOOKUP($A20,'[3]Div(FellowForeignUCP)'!$A$12:$I$46,4,0)/1000</f>
        <v>0</v>
      </c>
      <c r="H20" s="2038">
        <f>+VLOOKUP($A20,[3]Int!$A$12:$I$46,4,0)/1000</f>
        <v>7.9789240155297003</v>
      </c>
      <c r="I20" s="2039">
        <f>+VLOOKUP($A20,'[3]Int(PA)'!$A$12:$I$46,4,0)/1000</f>
        <v>6.5180255130338001</v>
      </c>
      <c r="J20" s="2039">
        <f>+VLOOKUP($A20,'[3]Int(AP)'!$A$12:$I$46,4,0)/1000</f>
        <v>0.57237936772046993</v>
      </c>
      <c r="K20" s="2039">
        <f>+VLOOKUP($A20,'[3]Int(FellowResUCP)'!$A$12:$I$46,4,0)/1000</f>
        <v>0.24625623960067</v>
      </c>
      <c r="L20" s="2040">
        <f>+VLOOKUP($A20,'[3]Int(FellowForeignUCP)'!$A$12:$I$46,4,0)/1000</f>
        <v>0.64226289517471002</v>
      </c>
      <c r="M20" s="2041">
        <f>TableB2!J20</f>
        <v>10.772046589018</v>
      </c>
      <c r="N20" s="2042"/>
    </row>
    <row r="21" spans="1:14" ht="14.25" customHeight="1" x14ac:dyDescent="0.35">
      <c r="A21" s="13" t="s">
        <v>63</v>
      </c>
      <c r="B21" s="297">
        <f>+VLOOKUP($A21,[3]Allincome!$A$12:$I$46,4,0)/1000</f>
        <v>1.8014650027732</v>
      </c>
      <c r="C21" s="308">
        <f>+VLOOKUP($A21,[3]Div!$A$12:$I$46,4,0)/1000</f>
        <v>0.24941714475873999</v>
      </c>
      <c r="D21" s="46">
        <f>+VLOOKUP($A21,'[3]Div(PA)'!$A$12:$I$46,4,0)/1000</f>
        <v>0.24941714475873999</v>
      </c>
      <c r="E21" s="46">
        <f>+VLOOKUP($A21,'[3]Div(AP)'!$A$12:$I$46,4,0)/1000</f>
        <v>0</v>
      </c>
      <c r="F21" s="46">
        <f>+VLOOKUP($A21,'[3]Div(FellowResUCP)'!$A$12:$I$46,4,0)/1000</f>
        <v>0</v>
      </c>
      <c r="G21" s="46">
        <f>+VLOOKUP($A21,'[3]Div(FellowForeignUCP)'!$A$12:$I$46,4,0)/1000</f>
        <v>0</v>
      </c>
      <c r="H21" s="308">
        <f>+VLOOKUP($A21,[3]Int!$A$12:$I$46,4,0)/1000</f>
        <v>3.5620011092623001E-3</v>
      </c>
      <c r="I21" s="46">
        <f>+VLOOKUP($A21,'[3]Int(PA)'!$A$12:$I$46,4,0)/1000</f>
        <v>3.5620011092623001E-3</v>
      </c>
      <c r="J21" s="46">
        <f>+VLOOKUP($A21,'[3]Int(AP)'!$A$12:$I$46,4,0)/1000</f>
        <v>0</v>
      </c>
      <c r="K21" s="46">
        <f>+VLOOKUP($A21,'[3]Int(FellowResUCP)'!$A$12:$I$46,4,0)/1000</f>
        <v>0</v>
      </c>
      <c r="L21" s="1629">
        <f>+VLOOKUP($A21,'[3]Int(FellowForeignUCP)'!$A$12:$I$46,4,0)/1000</f>
        <v>0</v>
      </c>
      <c r="M21" s="925">
        <f>TableB2!J21</f>
        <v>1.5484858569052</v>
      </c>
      <c r="N21" s="26"/>
    </row>
    <row r="22" spans="1:14" ht="14.25" customHeight="1" x14ac:dyDescent="0.35">
      <c r="A22" s="13" t="s">
        <v>64</v>
      </c>
      <c r="B22" s="297">
        <f>+VLOOKUP($A22,[3]Allincome!$A$12:$I$46,4,0)/1000</f>
        <v>5.3804062193314</v>
      </c>
      <c r="C22" s="308">
        <f>+VLOOKUP($A22,[3]Div!$A$12:$I$46,4,0)/1000</f>
        <v>1.1560207561767</v>
      </c>
      <c r="D22" s="46">
        <f>+VLOOKUP($A22,'[3]Div(PA)'!$A$12:$I$46,4,0)/1000</f>
        <v>1.1560207561767</v>
      </c>
      <c r="E22" s="46">
        <f>+VLOOKUP($A22,'[3]Div(AP)'!$A$12:$I$46,4,0)/1000</f>
        <v>0</v>
      </c>
      <c r="F22" s="46">
        <f>+VLOOKUP($A22,'[3]Div(FellowResUCP)'!$A$12:$I$46,4,0)/1000</f>
        <v>0</v>
      </c>
      <c r="G22" s="46">
        <f>+VLOOKUP($A22,'[3]Div(FellowForeignUCP)'!$A$12:$I$46,4,0)/1000</f>
        <v>0</v>
      </c>
      <c r="H22" s="308">
        <f>+VLOOKUP($A22,[3]Int!$A$12:$I$46,4,0)/1000</f>
        <v>1.3978684104959</v>
      </c>
      <c r="I22" s="46">
        <f>+VLOOKUP($A22,'[3]Int(PA)'!$A$12:$I$46,4,0)/1000</f>
        <v>0.14940141263781001</v>
      </c>
      <c r="J22" s="46">
        <f>+VLOOKUP($A22,'[3]Int(AP)'!$A$12:$I$46,4,0)/1000</f>
        <v>0.45150898658281002</v>
      </c>
      <c r="K22" s="46">
        <f>+VLOOKUP($A22,'[3]Int(FellowResUCP)'!$A$12:$I$46,4,0)/1000</f>
        <v>1.8338502976429999E-5</v>
      </c>
      <c r="L22" s="1629">
        <f>+VLOOKUP($A22,'[3]Int(FellowForeignUCP)'!$A$12:$I$46,4,0)/1000</f>
        <v>0.79693967277234001</v>
      </c>
      <c r="M22" s="925">
        <f>TableB2!J22</f>
        <v>2.8265170562405002</v>
      </c>
      <c r="N22" s="26"/>
    </row>
    <row r="23" spans="1:14" ht="14.25" customHeight="1" x14ac:dyDescent="0.35">
      <c r="A23" s="13" t="s">
        <v>65</v>
      </c>
      <c r="B23" s="297">
        <f>+VLOOKUP($A23,[3]Allincome!$A$12:$I$46,4,0)/1000</f>
        <v>0.48551094384139998</v>
      </c>
      <c r="C23" s="308">
        <f>+VLOOKUP($A23,[3]Div!$A$12:$I$46,4,0)/1000</f>
        <v>5.5285940979301E-2</v>
      </c>
      <c r="D23" s="46">
        <f>+VLOOKUP($A23,'[3]Div(PA)'!$A$12:$I$46,4,0)/1000</f>
        <v>5.5285940979301E-2</v>
      </c>
      <c r="E23" s="46">
        <f>+VLOOKUP($A23,'[3]Div(AP)'!$A$12:$I$46,4,0)/1000</f>
        <v>0</v>
      </c>
      <c r="F23" s="46">
        <f>+VLOOKUP($A23,'[3]Div(FellowResUCP)'!$A$12:$I$46,4,0)/1000</f>
        <v>0</v>
      </c>
      <c r="G23" s="46">
        <f>+VLOOKUP($A23,'[3]Div(FellowForeignUCP)'!$A$12:$I$46,4,0)/1000</f>
        <v>0</v>
      </c>
      <c r="H23" s="308">
        <f>+VLOOKUP($A23,[3]Int!$A$12:$I$46,4,0)/1000</f>
        <v>0.3221854171579</v>
      </c>
      <c r="I23" s="46">
        <f>+VLOOKUP($A23,'[3]Int(PA)'!$A$12:$I$46,4,0)/1000</f>
        <v>0.13343836550133001</v>
      </c>
      <c r="J23" s="46">
        <f>+VLOOKUP($A23,'[3]Int(AP)'!$A$12:$I$46,4,0)/1000</f>
        <v>8.0138836553923995E-3</v>
      </c>
      <c r="K23" s="46">
        <f>+VLOOKUP($A23,'[3]Int(FellowResUCP)'!$A$12:$I$46,4,0)/1000</f>
        <v>1.0159511918851E-3</v>
      </c>
      <c r="L23" s="1629">
        <f>+VLOOKUP($A23,'[3]Int(FellowForeignUCP)'!$A$12:$I$46,4,0)/1000</f>
        <v>0.17971721680928998</v>
      </c>
      <c r="M23" s="925">
        <f>TableB2!J23</f>
        <v>0.1080395857042</v>
      </c>
      <c r="N23" s="26"/>
    </row>
    <row r="24" spans="1:14" ht="14.25" customHeight="1" x14ac:dyDescent="0.35">
      <c r="A24" s="13" t="s">
        <v>19</v>
      </c>
      <c r="B24" s="297">
        <f>+VLOOKUP($A24,[3]Allincome!$A$12:$I$46,4,0)/1000</f>
        <v>17.311148086522</v>
      </c>
      <c r="C24" s="308">
        <f>+VLOOKUP($A24,[3]Div!$A$12:$I$46,4,0)/1000</f>
        <v>1.6117581808098</v>
      </c>
      <c r="D24" s="46">
        <f>+VLOOKUP($A24,'[3]Div(PA)'!$A$12:$I$46,4,0)/1000</f>
        <v>1.6195230171935999</v>
      </c>
      <c r="E24" s="46">
        <f>+VLOOKUP($A24,'[3]Div(AP)'!$A$12:$I$46,4,0)/1000</f>
        <v>-5.5463117027177E-3</v>
      </c>
      <c r="F24" s="46">
        <v>0</v>
      </c>
      <c r="G24" s="46">
        <v>0</v>
      </c>
      <c r="H24" s="308">
        <f>+VLOOKUP($A24,[3]Int!$A$12:$I$46,4,0)/1000</f>
        <v>3.9822518025512998</v>
      </c>
      <c r="I24" s="46">
        <f>+VLOOKUP($A24,'[3]Int(PA)'!$A$12:$I$46,4,0)/1000</f>
        <v>-0.34165280088741001</v>
      </c>
      <c r="J24" s="2039">
        <f>+VLOOKUP($A24,'[3]Int(AP)'!$A$12:$I$46,4,0)/1000</f>
        <v>4.3250138657793</v>
      </c>
      <c r="K24" s="46">
        <v>0</v>
      </c>
      <c r="L24" s="1629">
        <v>0</v>
      </c>
      <c r="M24" s="925">
        <f>TableB2!J24</f>
        <v>11.716028840821</v>
      </c>
      <c r="N24" s="26"/>
    </row>
    <row r="25" spans="1:14" ht="14.25" customHeight="1" x14ac:dyDescent="0.35">
      <c r="A25" s="31" t="s">
        <v>95</v>
      </c>
      <c r="B25" s="297"/>
      <c r="C25" s="308"/>
      <c r="D25" s="46"/>
      <c r="E25" s="46"/>
      <c r="F25" s="46"/>
      <c r="G25" s="46"/>
      <c r="H25" s="308"/>
      <c r="I25" s="46"/>
      <c r="J25" s="46"/>
      <c r="K25" s="46"/>
      <c r="L25" s="1629"/>
      <c r="M25" s="925">
        <f>TableB2!J26</f>
        <v>-3.0844303937881001</v>
      </c>
      <c r="N25" s="43"/>
    </row>
    <row r="26" spans="1:14" ht="14.25" customHeight="1" x14ac:dyDescent="0.35">
      <c r="A26" s="13" t="s">
        <v>66</v>
      </c>
      <c r="B26" s="297">
        <f>+VLOOKUP($A26,[3]Allincome!$A$12:$I$46,4,0)/1000</f>
        <v>15.313239046033999</v>
      </c>
      <c r="C26" s="308">
        <f>+VLOOKUP($A26,[3]Div!$A$12:$I$46,4,0)/1000</f>
        <v>15.558739877980999</v>
      </c>
      <c r="D26" s="46">
        <f>+VLOOKUP($A26,'[3]Div(PA)'!$A$12:$I$46,4,0)/1000</f>
        <v>15.523150305047</v>
      </c>
      <c r="E26" s="46">
        <f>+VLOOKUP($A26,'[3]Div(AP)'!$A$12:$I$46,4,0)/1000</f>
        <v>0</v>
      </c>
      <c r="F26" s="46">
        <f>+VLOOKUP($A26,'[3]Div(FellowResUCP)'!$A$12:$I$46,4,0)/1000</f>
        <v>3.5589572933999003E-2</v>
      </c>
      <c r="G26" s="46">
        <f>+VLOOKUP($A26,'[3]Div(FellowForeignUCP)'!$A$12:$I$46,4,0)/1000</f>
        <v>0</v>
      </c>
      <c r="H26" s="308">
        <f>+VLOOKUP($A26,[3]Int!$A$12:$I$46,4,0)/1000</f>
        <v>2.8389295618413999</v>
      </c>
      <c r="I26" s="46">
        <f>+VLOOKUP($A26,'[3]Int(PA)'!$A$12:$I$46,4,0)/1000</f>
        <v>1.4058302828619</v>
      </c>
      <c r="J26" s="46">
        <f>+VLOOKUP($A26,'[3]Int(AP)'!$A$12:$I$46,4,0)/1000</f>
        <v>0.54273322240709998</v>
      </c>
      <c r="K26" s="46">
        <f>+VLOOKUP($A26,'[3]Int(FellowResUCP)'!$A$12:$I$46,4,0)/1000</f>
        <v>0.13784581253466002</v>
      </c>
      <c r="L26" s="1629">
        <f>+VLOOKUP($A26,'[3]Int(FellowForeignUCP)'!$A$12:$I$46,4,0)/1000</f>
        <v>0.75252024403771001</v>
      </c>
      <c r="M26" s="925">
        <f>TableB2!J25</f>
        <v>4.468</v>
      </c>
      <c r="N26" s="26"/>
    </row>
    <row r="27" spans="1:14" ht="14.25" customHeight="1" x14ac:dyDescent="0.35">
      <c r="A27" s="13" t="s">
        <v>67</v>
      </c>
      <c r="B27" s="297">
        <f>+VLOOKUP($A27,[3]Allincome!$A$12:$I$46,4,0)/1000</f>
        <v>94.342008375046987</v>
      </c>
      <c r="C27" s="308">
        <f>+VLOOKUP($A27,[3]Div!$A$12:$I$46,4,0)/1000</f>
        <v>49.686658848633002</v>
      </c>
      <c r="D27" s="46">
        <f>C27</f>
        <v>49.686658848633002</v>
      </c>
      <c r="E27" s="46">
        <v>0</v>
      </c>
      <c r="F27" s="46">
        <v>0</v>
      </c>
      <c r="G27" s="46">
        <v>0</v>
      </c>
      <c r="H27" s="308">
        <f>+VLOOKUP($A27,[3]Int!$A$12:$I$46,4,0)/1000</f>
        <v>1.3660897354844002</v>
      </c>
      <c r="I27" s="46">
        <f>H27</f>
        <v>1.3660897354844002</v>
      </c>
      <c r="J27" s="46">
        <v>0</v>
      </c>
      <c r="K27" s="46">
        <v>0</v>
      </c>
      <c r="L27" s="1629">
        <v>0</v>
      </c>
      <c r="M27" s="925">
        <f>[3]Retained!$D$28/1000</f>
        <v>43.290086221502001</v>
      </c>
      <c r="N27" s="26"/>
    </row>
    <row r="28" spans="1:14" ht="14.25" customHeight="1" x14ac:dyDescent="0.35">
      <c r="A28" s="13" t="s">
        <v>68</v>
      </c>
      <c r="B28" s="297">
        <f>+VLOOKUP($A28,[3]Allincome!$A$12:$I$46,4,0)/1000</f>
        <v>10.776299999999999</v>
      </c>
      <c r="C28" s="308">
        <f>+VLOOKUP($A28,[3]Div!$A$12:$I$46,4,0)/1000</f>
        <v>6.1459999999999999</v>
      </c>
      <c r="D28" s="46">
        <f>C28</f>
        <v>6.1459999999999999</v>
      </c>
      <c r="E28" s="46">
        <v>0</v>
      </c>
      <c r="F28" s="46">
        <v>0</v>
      </c>
      <c r="G28" s="46">
        <v>0</v>
      </c>
      <c r="H28" s="308">
        <f>+VLOOKUP($A28,[3]Int!$A$12:$I$46,4,0)/1000</f>
        <v>0.77739999999999998</v>
      </c>
      <c r="I28" s="46"/>
      <c r="J28" s="46"/>
      <c r="K28" s="46"/>
      <c r="L28" s="1629"/>
      <c r="M28" s="925">
        <f>TableB2!J28</f>
        <v>-4.3261114620000001</v>
      </c>
      <c r="N28" s="26"/>
    </row>
    <row r="29" spans="1:14" x14ac:dyDescent="0.35">
      <c r="A29" s="13" t="s">
        <v>69</v>
      </c>
      <c r="B29" s="297">
        <f>+VLOOKUP($A29,[3]Allincome!$A$12:$I$46,4,0)/1000</f>
        <v>0.17193566278425002</v>
      </c>
      <c r="C29" s="308">
        <f>+VLOOKUP($A29,[3]Div!$A$12:$I$46,4,0)/1000</f>
        <v>8.7631724902939995E-2</v>
      </c>
      <c r="D29" s="46">
        <f>+VLOOKUP($A29,'[3]Div(PA)'!$A$12:$I$46,4,0)/1000</f>
        <v>8.7631724902939995E-2</v>
      </c>
      <c r="E29" s="46">
        <f>+VLOOKUP($A29,'[3]Div(AP)'!$A$12:$I$46,4,0)/1000</f>
        <v>0</v>
      </c>
      <c r="F29" s="46">
        <f>+VLOOKUP($A29,'[3]Div(FellowResUCP)'!$A$12:$I$46,4,0)/1000</f>
        <v>0</v>
      </c>
      <c r="G29" s="46">
        <f>+VLOOKUP($A29,'[3]Div(FellowForeignUCP)'!$A$12:$I$46,4,0)/1000</f>
        <v>0</v>
      </c>
      <c r="H29" s="308">
        <f>+VLOOKUP($A29,[3]Int!$A$12:$I$46,4,0)/1000</f>
        <v>2.4403771491958E-2</v>
      </c>
      <c r="I29" s="46">
        <f>+VLOOKUP($A29,'[3]Int(PA)'!$A$12:$I$46,4,0)/1000</f>
        <v>7.7648363838048002E-3</v>
      </c>
      <c r="J29" s="46">
        <f>+VLOOKUP($A29,'[3]Int(AP)'!$A$12:$I$46,4,0)/1000</f>
        <v>1.1092623405435001E-2</v>
      </c>
      <c r="K29" s="46">
        <f>+VLOOKUP($A29,'[3]Int(FellowResUCP)'!$A$12:$I$46,4,0)/1000</f>
        <v>2.2185246810870998E-3</v>
      </c>
      <c r="L29" s="1629">
        <f>+VLOOKUP($A29,'[3]Int(FellowForeignUCP)'!$A$12:$I$46,4,0)/1000</f>
        <v>3.3277870216305997E-3</v>
      </c>
      <c r="M29" s="925">
        <f>TableB2!J29</f>
        <v>5.8790904048808004E-2</v>
      </c>
    </row>
    <row r="30" spans="1:14" x14ac:dyDescent="0.35">
      <c r="A30" s="13" t="s">
        <v>70</v>
      </c>
      <c r="B30" s="297">
        <f>+VLOOKUP($A30,[3]Allincome!$A$12:$I$46,4,0)/1000</f>
        <v>134.47809206877</v>
      </c>
      <c r="C30" s="308">
        <f>+VLOOKUP($A30,[3]Div!$A$12:$I$46,4,0)/1000</f>
        <v>82.425956738769003</v>
      </c>
      <c r="D30" s="46">
        <f>C30</f>
        <v>82.425956738769003</v>
      </c>
      <c r="E30" s="46">
        <v>0</v>
      </c>
      <c r="F30" s="46">
        <v>0</v>
      </c>
      <c r="G30" s="46">
        <v>0</v>
      </c>
      <c r="H30" s="308">
        <f>+VLOOKUP($A30,[3]Int!$A$12:$I$46,4,0)/1000</f>
        <v>56.389351081530997</v>
      </c>
      <c r="I30" s="46"/>
      <c r="J30" s="46"/>
      <c r="K30" s="46"/>
      <c r="L30" s="1629"/>
      <c r="M30" s="1630">
        <f>TableB2!J30</f>
        <v>-4.3372157515251999</v>
      </c>
    </row>
    <row r="31" spans="1:14" x14ac:dyDescent="0.35">
      <c r="A31" s="13" t="s">
        <v>71</v>
      </c>
      <c r="B31" s="297"/>
      <c r="C31" s="308"/>
      <c r="D31" s="46"/>
      <c r="E31" s="46"/>
      <c r="F31" s="46"/>
      <c r="G31" s="46"/>
      <c r="H31" s="308"/>
      <c r="I31" s="46"/>
      <c r="J31" s="46"/>
      <c r="K31" s="46"/>
      <c r="L31" s="1629"/>
      <c r="M31" s="925">
        <f>TableB2!J31</f>
        <v>2.2585328900000001</v>
      </c>
    </row>
    <row r="32" spans="1:14" x14ac:dyDescent="0.35">
      <c r="A32" s="13" t="s">
        <v>72</v>
      </c>
      <c r="B32" s="297">
        <f>+VLOOKUP($A32,[3]Allincome!$A$12:$I$46,4,0)/1000</f>
        <v>223.32567942317999</v>
      </c>
      <c r="C32" s="308">
        <f>+VLOOKUP($A32,[3]Div!$A$12:$I$46,4,0)/1000</f>
        <v>172.89428729894999</v>
      </c>
      <c r="D32" s="46">
        <f>C32</f>
        <v>172.89428729894999</v>
      </c>
      <c r="E32" s="46">
        <v>0</v>
      </c>
      <c r="F32" s="46">
        <v>0</v>
      </c>
      <c r="G32" s="46">
        <v>0</v>
      </c>
      <c r="H32" s="308">
        <f>+VLOOKUP($A32,[3]Int!$A$12:$I$46,4,0)/1000</f>
        <v>51.158846367165999</v>
      </c>
      <c r="I32" s="46"/>
      <c r="J32" s="46"/>
      <c r="K32" s="46"/>
      <c r="L32" s="1629"/>
      <c r="M32" s="1630">
        <f>TableB2!J32</f>
        <v>-0.72767609539655997</v>
      </c>
    </row>
    <row r="33" spans="1:13" x14ac:dyDescent="0.35">
      <c r="A33" s="13" t="s">
        <v>73</v>
      </c>
      <c r="B33" s="297">
        <f>+VLOOKUP($A33,[3]Allincome!$A$12:$I$46,4,0)/1000</f>
        <v>0.71747315576628001</v>
      </c>
      <c r="C33" s="308">
        <f>+VLOOKUP($A33,[3]Div!$A$12:$I$46,4,0)/1000</f>
        <v>0.50760005578022993</v>
      </c>
      <c r="D33" s="46">
        <f>+VLOOKUP($A33,'[3]Div(PA)'!$A$12:$I$46,4,0)/1000</f>
        <v>0.50760005578022993</v>
      </c>
      <c r="E33" s="46">
        <f>+VLOOKUP($A33,'[3]Div(AP)'!$A$12:$I$46,4,0)/1000</f>
        <v>0</v>
      </c>
      <c r="F33" s="46">
        <f>+VLOOKUP($A33,'[3]Div(FellowResUCP)'!$A$12:$I$46,4,0)/1000</f>
        <v>0</v>
      </c>
      <c r="G33" s="46">
        <f>+VLOOKUP($A33,'[3]Div(FellowForeignUCP)'!$A$12:$I$46,4,0)/1000</f>
        <v>0</v>
      </c>
      <c r="H33" s="308">
        <f>+VLOOKUP($A33,[3]Int!$A$12:$I$46,4,0)/1000</f>
        <v>0.22172639799191002</v>
      </c>
      <c r="I33" s="46">
        <f>+VLOOKUP($A33,'[3]Int(PA)'!$A$12:$I$46,4,0)/1000</f>
        <v>6.6239018268024003E-2</v>
      </c>
      <c r="J33" s="46">
        <f>+VLOOKUP($A33,'[3]Int(AP)'!$A$12:$I$46,4,0)/1000</f>
        <v>5.0202203318923E-2</v>
      </c>
      <c r="K33" s="46">
        <f>+VLOOKUP($A33,'[3]Int(FellowResUCP)'!$A$12:$I$46,4,0)/1000</f>
        <v>0</v>
      </c>
      <c r="L33" s="1629">
        <f>+VLOOKUP($A33,'[3]Int(FellowForeignUCP)'!$A$12:$I$46,4,0)/1000</f>
        <v>0.10667968205271</v>
      </c>
      <c r="M33" s="925">
        <f>TableB2!J33</f>
        <v>-1.3247803653605001E-2</v>
      </c>
    </row>
    <row r="34" spans="1:13" x14ac:dyDescent="0.35">
      <c r="A34" s="15" t="s">
        <v>74</v>
      </c>
      <c r="B34" s="297">
        <f>+VLOOKUP($A34,[3]Allincome!$A$12:$I$46,4,0)/1000</f>
        <v>11.055020274542999</v>
      </c>
      <c r="C34" s="308">
        <f>+VLOOKUP($A34,[3]Div!$A$12:$I$46,4,0)/1000</f>
        <v>7.7173468248949</v>
      </c>
      <c r="D34" s="46">
        <f>C34</f>
        <v>7.7173468248949</v>
      </c>
      <c r="E34" s="46">
        <f>+VLOOKUP($A34,'[3]Div(AP)'!$A$12:$I$46,4,0)/1000</f>
        <v>0</v>
      </c>
      <c r="F34" s="46">
        <v>0</v>
      </c>
      <c r="G34" s="46">
        <v>0</v>
      </c>
      <c r="H34" s="308">
        <f>+VLOOKUP($A34,[3]Int!$A$12:$I$46,4,0)/1000</f>
        <v>1.891794700098</v>
      </c>
      <c r="I34" s="46">
        <f>+VLOOKUP($A34,'[3]Int(PA)'!$A$12:$I$46,4,0)/1000</f>
        <v>1.891794700098</v>
      </c>
      <c r="J34" s="46">
        <f>+VLOOKUP($A34,'[3]Int(AP)'!$A$12:$I$46,4,0)/1000</f>
        <v>0</v>
      </c>
      <c r="K34" s="46">
        <v>0</v>
      </c>
      <c r="L34" s="1629">
        <v>0</v>
      </c>
      <c r="M34" s="925">
        <f>TableB2!J34</f>
        <v>1.4907679525811</v>
      </c>
    </row>
    <row r="35" spans="1:13" x14ac:dyDescent="0.35">
      <c r="A35" s="13" t="s">
        <v>75</v>
      </c>
      <c r="B35" s="297">
        <f>+VLOOKUP($A35,[3]Allincome!$A$12:$I$46,4,0)/1000</f>
        <v>1.3383374887274</v>
      </c>
      <c r="C35" s="308">
        <f>+VLOOKUP($A35,[3]Div!$A$12:$I$46,4,0)/1000</f>
        <v>0.76444220465757995</v>
      </c>
      <c r="D35" s="46">
        <f>+VLOOKUP($A35,'[3]Div(PA)'!$A$12:$I$46,4,0)/1000</f>
        <v>0.70473714922285002</v>
      </c>
      <c r="E35" s="46">
        <f>+VLOOKUP($A35,'[3]Div(AP)'!$A$12:$I$46,4,0)/1000</f>
        <v>2.5887220837091E-2</v>
      </c>
      <c r="F35" s="46">
        <f>+VLOOKUP($A35,'[3]Div(FellowResUCP)'!$A$12:$I$46,4,0)/1000</f>
        <v>1.9362368044136E-3</v>
      </c>
      <c r="G35" s="46">
        <f>+VLOOKUP($A35,'[3]Div(FellowForeignUCP)'!$A$12:$I$46,4,0)/1000</f>
        <v>3.1881597793221E-2</v>
      </c>
      <c r="H35" s="308">
        <f>+VLOOKUP($A35,[3]Int!$A$12:$I$46,4,0)/1000</f>
        <v>0.55808710413241003</v>
      </c>
      <c r="I35" s="46">
        <f>+VLOOKUP($A35,'[3]Int(PA)'!$A$12:$I$46,4,0)/1000</f>
        <v>0.22521351652432001</v>
      </c>
      <c r="J35" s="46">
        <f>+VLOOKUP($A35,'[3]Int(AP)'!$A$12:$I$46,4,0)/1000</f>
        <v>9.9649885947694999E-2</v>
      </c>
      <c r="K35" s="46">
        <f>+VLOOKUP($A35,'[3]Int(FellowResUCP)'!$A$12:$I$46,4,0)/1000</f>
        <v>3.9467402259826999E-2</v>
      </c>
      <c r="L35" s="1629">
        <f>+VLOOKUP($A35,'[3]Int(FellowForeignUCP)'!$A$12:$I$46,4,0)/1000</f>
        <v>0.19375629940056002</v>
      </c>
      <c r="M35" s="925">
        <f>TableB2!J35</f>
        <v>1.5808179937404E-2</v>
      </c>
    </row>
    <row r="36" spans="1:13" x14ac:dyDescent="0.35">
      <c r="A36" s="13" t="s">
        <v>76</v>
      </c>
      <c r="B36" s="297">
        <f>+VLOOKUP($A36,[3]Allincome!$A$12:$I$46,4,0)/1000</f>
        <v>2.3017193566278</v>
      </c>
      <c r="C36" s="308">
        <f>+VLOOKUP($A36,[3]Div!$A$12:$I$46,4,0)/1000</f>
        <v>1.3777038269551001</v>
      </c>
      <c r="D36" s="46">
        <f>+VLOOKUP($A36,'[3]Div(PA)'!$A$12:$I$46,4,0)/1000</f>
        <v>1.3555185801442</v>
      </c>
      <c r="E36" s="46">
        <f>+VLOOKUP($A36,'[3]Div(AP)'!$A$12:$I$46,4,0)/1000</f>
        <v>0</v>
      </c>
      <c r="F36" s="46">
        <f>+VLOOKUP($A36,'[3]Div(FellowResUCP)'!$A$12:$I$46,4,0)/1000</f>
        <v>3.3277870216305997E-3</v>
      </c>
      <c r="G36" s="46">
        <f>+VLOOKUP($A36,'[3]Div(FellowForeignUCP)'!$A$12:$I$46,4,0)/1000</f>
        <v>1.885745978924E-2</v>
      </c>
      <c r="H36" s="308">
        <f>+VLOOKUP($A36,[3]Int!$A$12:$I$46,4,0)/1000</f>
        <v>0.21186910704382</v>
      </c>
      <c r="I36" s="46">
        <f>+VLOOKUP($A36,'[3]Int(PA)'!$A$12:$I$46,4,0)/1000</f>
        <v>0.10648918469218001</v>
      </c>
      <c r="J36" s="46">
        <f>+VLOOKUP($A36,'[3]Int(AP)'!$A$12:$I$46,4,0)/1000</f>
        <v>8.9850249584027E-2</v>
      </c>
      <c r="K36" s="46">
        <f>+VLOOKUP($A36,'[3]Int(FellowResUCP)'!$A$12:$I$46,4,0)/1000</f>
        <v>0</v>
      </c>
      <c r="L36" s="1629">
        <f>+VLOOKUP($A36,'[3]Int(FellowForeignUCP)'!$A$12:$I$46,4,0)/1000</f>
        <v>1.5529672767609999E-2</v>
      </c>
      <c r="M36" s="925">
        <f>TableB2!J36</f>
        <v>0.71214642262895</v>
      </c>
    </row>
    <row r="37" spans="1:13" x14ac:dyDescent="0.35">
      <c r="A37" s="13" t="s">
        <v>77</v>
      </c>
      <c r="B37" s="297">
        <f>+VLOOKUP($A37,[3]Allincome!$A$12:$I$46,4,0)/1000</f>
        <v>0.43448103161398</v>
      </c>
      <c r="C37" s="308">
        <f>+VLOOKUP($A37,[3]Div!$A$12:$I$46,4,0)/1000</f>
        <v>0.30484747642818</v>
      </c>
      <c r="D37" s="46">
        <f>+VLOOKUP($A37,'[3]Div(PA)'!$A$12:$I$46,4,0)/1000</f>
        <v>0.30484747642818</v>
      </c>
      <c r="E37" s="46">
        <f>+VLOOKUP($A37,'[3]Div(AP)'!$A$12:$I$46,4,0)/1000</f>
        <v>0</v>
      </c>
      <c r="F37" s="46">
        <f>+VLOOKUP($A37,'[3]Div(FellowResUCP)'!$A$12:$I$46,4,0)/1000</f>
        <v>0</v>
      </c>
      <c r="G37" s="46">
        <f>+VLOOKUP($A37,'[3]Div(FellowForeignUCP)'!$A$12:$I$46,4,0)/1000</f>
        <v>0</v>
      </c>
      <c r="H37" s="308">
        <f>+VLOOKUP($A37,[3]Int!$A$12:$I$46,4,0)/1000</f>
        <v>9.9322240709927997E-2</v>
      </c>
      <c r="I37" s="46">
        <f>+VLOOKUP($A37,'[3]Int(PA)'!$A$12:$I$46,4,0)/1000</f>
        <v>1.5595119245702E-2</v>
      </c>
      <c r="J37" s="46">
        <f>+VLOOKUP($A37,'[3]Int(AP)'!$A$12:$I$46,4,0)/1000</f>
        <v>7.2678868552412998E-2</v>
      </c>
      <c r="K37" s="46">
        <f>+VLOOKUP($A37,'[3]Int(FellowResUCP)'!$A$12:$I$46,4,0)/1000</f>
        <v>0</v>
      </c>
      <c r="L37" s="1629">
        <f>+VLOOKUP($A37,'[3]Int(FellowForeignUCP)'!$A$12:$I$46,4,0)/1000</f>
        <v>1.1048252911814001E-2</v>
      </c>
      <c r="M37" s="925">
        <f>TableB2!J37</f>
        <v>3.0311314475873999E-2</v>
      </c>
    </row>
    <row r="38" spans="1:13" x14ac:dyDescent="0.35">
      <c r="A38" s="15" t="s">
        <v>78</v>
      </c>
      <c r="B38" s="297">
        <f>+VLOOKUP($A38,[3]Allincome!$A$12:$I$46,4,0)/1000</f>
        <v>7.2102052135329997E-2</v>
      </c>
      <c r="C38" s="308">
        <f>+VLOOKUP($A38,[3]Div!$A$12:$I$46,4,0)/1000</f>
        <v>9.5288962839711999E-2</v>
      </c>
      <c r="D38" s="46">
        <f>+VLOOKUP($A38,'[3]Div(PA)'!$A$12:$I$46,4,0)/1000</f>
        <v>9.5288962839711999E-2</v>
      </c>
      <c r="E38" s="46">
        <f>+VLOOKUP($A38,'[3]Div(AP)'!$A$12:$I$46,4,0)/1000</f>
        <v>0</v>
      </c>
      <c r="F38" s="46">
        <f>+VLOOKUP($A38,'[3]Div(FellowResUCP)'!$A$12:$I$46,4,0)/1000</f>
        <v>0</v>
      </c>
      <c r="G38" s="46">
        <f>+VLOOKUP($A38,'[3]Div(FellowForeignUCP)'!$A$12:$I$46,4,0)/1000</f>
        <v>0</v>
      </c>
      <c r="H38" s="308">
        <f>+VLOOKUP($A38,[3]Int!$A$12:$I$46,4,0)/1000</f>
        <v>5.0303937881308998E-2</v>
      </c>
      <c r="I38" s="46">
        <f>+VLOOKUP($A38,'[3]Int(PA)'!$A$12:$I$46,4,0)/1000</f>
        <v>3.8901830282862003E-2</v>
      </c>
      <c r="J38" s="46">
        <f>+VLOOKUP($A38,'[3]Int(AP)'!$A$12:$I$46,4,0)/1000</f>
        <v>6.5080421519689005E-3</v>
      </c>
      <c r="K38" s="46">
        <f>+VLOOKUP($A38,'[3]Int(FellowResUCP)'!$A$12:$I$46,4,0)/1000</f>
        <v>2.5956738768719001E-4</v>
      </c>
      <c r="L38" s="1629">
        <f>+VLOOKUP($A38,'[3]Int(FellowForeignUCP)'!$A$12:$I$46,4,0)/1000</f>
        <v>4.6333887964504E-3</v>
      </c>
      <c r="M38" s="925">
        <f>TableB2!J38</f>
        <v>-7.3490848585690993E-2</v>
      </c>
    </row>
    <row r="39" spans="1:13" x14ac:dyDescent="0.35">
      <c r="A39" s="13" t="s">
        <v>79</v>
      </c>
      <c r="B39" s="297">
        <f>+VLOOKUP($A39,[3]Allincome!$A$12:$I$46,4,0)/1000</f>
        <v>33.429839156961002</v>
      </c>
      <c r="C39" s="308"/>
      <c r="D39" s="46"/>
      <c r="E39" s="46"/>
      <c r="F39" s="46"/>
      <c r="G39" s="46"/>
      <c r="H39" s="308">
        <f>+VLOOKUP($A39,[3]Int!$A$12:$I$46,4,0)/1000</f>
        <v>1.6195230171935999</v>
      </c>
      <c r="I39" s="46">
        <f>+VLOOKUP($A39,'[3]Int(PA)'!$A$12:$I$46,4,0)/1000</f>
        <v>0.68441486411536001</v>
      </c>
      <c r="J39" s="46">
        <f>+VLOOKUP($A39,'[3]Int(AP)'!$A$12:$I$46,4,0)/1000</f>
        <v>0.16084303937881</v>
      </c>
      <c r="K39" s="46">
        <f>(H39-I39-J39)*0.5</f>
        <v>0.38713255684971493</v>
      </c>
      <c r="L39" s="1629">
        <f>H39-I39-J39-K39</f>
        <v>0.38713255684971493</v>
      </c>
      <c r="M39" s="925">
        <f>TableB2!J39</f>
        <v>9.4585690515806391</v>
      </c>
    </row>
    <row r="40" spans="1:13" x14ac:dyDescent="0.35">
      <c r="A40" s="13" t="s">
        <v>80</v>
      </c>
      <c r="B40" s="297">
        <f>+VLOOKUP($A40,[3]Allincome!$A$12:$I$46,4,0)/1000</f>
        <v>29.229117483065</v>
      </c>
      <c r="C40" s="308">
        <f>+VLOOKUP($A40,[3]Div!$A$12:$I$46,4,0)/1000</f>
        <v>20.092415740334001</v>
      </c>
      <c r="D40" s="46">
        <f>+VLOOKUP($A40,'[3]Div(PA)'!$A$12:$I$46,4,0)/1000</f>
        <v>20.092415740334001</v>
      </c>
      <c r="E40" s="46">
        <f>+VLOOKUP($A40,'[3]Div(AP)'!$A$12:$I$46,4,0)/1000</f>
        <v>0</v>
      </c>
      <c r="F40" s="46">
        <f>+VLOOKUP($A40,'[3]Div(FellowResUCP)'!$A$12:$I$46,4,0)/1000</f>
        <v>0</v>
      </c>
      <c r="G40" s="46">
        <f>+VLOOKUP($A40,'[3]Div(FellowForeignUCP)'!$A$12:$I$46,4,0)/1000</f>
        <v>0</v>
      </c>
      <c r="H40" s="308">
        <f>+VLOOKUP($A40,[3]Int!$A$12:$I$46,4,0)/1000</f>
        <v>2.0636351772981998</v>
      </c>
      <c r="I40" s="46">
        <f>+VLOOKUP($A40,'[3]Int(PA)'!$A$12:$I$46,4,0)/1000</f>
        <v>1.5105643410484999</v>
      </c>
      <c r="J40" s="46">
        <f>+VLOOKUP($A40,'[3]Int(AP)'!$A$12:$I$46,4,0)/1000</f>
        <v>8.4823176301710004E-2</v>
      </c>
      <c r="K40" s="46">
        <f>+VLOOKUP($A40,'[3]Int(FellowResUCP)'!$A$12:$I$46,4,0)/1000</f>
        <v>0.28270437640135998</v>
      </c>
      <c r="L40" s="1629">
        <f>+VLOOKUP($A40,'[3]Int(FellowForeignUCP)'!$A$12:$I$46,4,0)/1000</f>
        <v>0.18542464973367001</v>
      </c>
      <c r="M40" s="925">
        <f>TableB2!J40</f>
        <v>7.0730665654325007</v>
      </c>
    </row>
    <row r="41" spans="1:13" x14ac:dyDescent="0.35">
      <c r="A41" s="13" t="s">
        <v>1</v>
      </c>
      <c r="B41" s="297">
        <f>+VLOOKUP($A41,[3]Allincome!$A$12:$I$46,4,0)/1000</f>
        <v>97.290508619321002</v>
      </c>
      <c r="C41" s="308">
        <f>+VLOOKUP($A41,[3]Div!$A$12:$I$46,4,0)/1000</f>
        <v>55.682380988169001</v>
      </c>
      <c r="D41" s="46">
        <f>C41</f>
        <v>55.682380988169001</v>
      </c>
      <c r="E41" s="46">
        <v>0</v>
      </c>
      <c r="F41" s="46">
        <v>0</v>
      </c>
      <c r="G41" s="46">
        <v>0</v>
      </c>
      <c r="H41" s="308">
        <f>+VLOOKUP($A41,[3]Int!$A$12:$I$46,4,0)/1000</f>
        <v>11.066594970074</v>
      </c>
      <c r="I41" s="46"/>
      <c r="J41" s="46"/>
      <c r="K41" s="46"/>
      <c r="L41" s="1629"/>
      <c r="M41" s="925">
        <f>TableB2!J41</f>
        <v>30.541532661079</v>
      </c>
    </row>
    <row r="42" spans="1:13" x14ac:dyDescent="0.35">
      <c r="A42" s="13" t="s">
        <v>81</v>
      </c>
      <c r="B42" s="297">
        <f>+VLOOKUP($A42,[3]Allincome!$A$12:$I$46,4,0)/1000</f>
        <v>0.22496000000000002</v>
      </c>
      <c r="C42" s="308">
        <f>+VLOOKUP($A42,[3]Div!$A$12:$I$46,4,0)/1000</f>
        <v>0.18555000000000002</v>
      </c>
      <c r="D42" s="46">
        <f>+VLOOKUP($A42,'[3]Div(PA)'!$A$12:$I$46,4,0)/1000</f>
        <v>0.18555000000000002</v>
      </c>
      <c r="E42" s="46">
        <f>+VLOOKUP($A42,'[3]Div(AP)'!$A$12:$I$46,4,0)/1000</f>
        <v>0</v>
      </c>
      <c r="F42" s="46">
        <f>+VLOOKUP($A42,'[3]Div(FellowResUCP)'!$A$12:$I$46,4,0)/1000</f>
        <v>0</v>
      </c>
      <c r="G42" s="46">
        <f>+VLOOKUP($A42,'[3]Div(FellowForeignUCP)'!$A$12:$I$46,4,0)/1000</f>
        <v>0</v>
      </c>
      <c r="H42" s="308">
        <f>+VLOOKUP($A42,[3]Int!$A$12:$I$46,4,0)/1000</f>
        <v>4.2900000000000004E-3</v>
      </c>
      <c r="I42" s="46">
        <f>+VLOOKUP($A42,'[3]Int(PA)'!$A$12:$I$46,4,0)/1000</f>
        <v>4.2699999999999995E-3</v>
      </c>
      <c r="J42" s="46">
        <f>+VLOOKUP($A42,'[3]Int(AP)'!$A$12:$I$46,4,0)/1000</f>
        <v>1.0000000000000001E-5</v>
      </c>
      <c r="K42" s="46">
        <f>+VLOOKUP($A42,'[3]Int(FellowResUCP)'!$A$12:$I$46,4,0)/1000</f>
        <v>0</v>
      </c>
      <c r="L42" s="1629">
        <f>+VLOOKUP($A42,'[3]Int(FellowForeignUCP)'!$A$12:$I$46,4,0)/1000</f>
        <v>1.0000000000000001E-5</v>
      </c>
      <c r="M42" s="925">
        <f>TableB2!J42</f>
        <v>3.5119999999999998E-2</v>
      </c>
    </row>
    <row r="43" spans="1:13" x14ac:dyDescent="0.35">
      <c r="A43" s="13" t="s">
        <v>82</v>
      </c>
      <c r="B43" s="297">
        <f>+VLOOKUP($A43,[3]Allincome!$A$12:$I$46,4,0)/1000</f>
        <v>94.406417112298996</v>
      </c>
      <c r="C43" s="308"/>
      <c r="D43" s="46"/>
      <c r="E43" s="46"/>
      <c r="F43" s="46"/>
      <c r="G43" s="46"/>
      <c r="H43" s="308"/>
      <c r="I43" s="46"/>
      <c r="J43" s="46"/>
      <c r="K43" s="46"/>
      <c r="L43" s="1629"/>
      <c r="M43" s="925">
        <f>TableB2!J43</f>
        <v>59.464942032191672</v>
      </c>
    </row>
    <row r="44" spans="1:13" x14ac:dyDescent="0.35">
      <c r="A44" s="13" t="s">
        <v>0</v>
      </c>
      <c r="B44" s="297">
        <f>+VLOOKUP($A44,[3]Allincome!$A$12:$I$46,4,0)/1000</f>
        <v>436.90899999999999</v>
      </c>
      <c r="C44" s="308">
        <f>+VLOOKUP($A44,[3]Div!$A$12:$I$46,4,0)/1000</f>
        <v>125.50700000000001</v>
      </c>
      <c r="D44" s="46">
        <f>C44</f>
        <v>125.50700000000001</v>
      </c>
      <c r="E44" s="46">
        <v>0</v>
      </c>
      <c r="F44" s="46">
        <v>0</v>
      </c>
      <c r="G44" s="46">
        <v>0</v>
      </c>
      <c r="H44" s="308">
        <f>+VLOOKUP($A44,[3]Int!$A$12:$I$46,4,0)/1000</f>
        <v>20.486999999999998</v>
      </c>
      <c r="I44" s="46">
        <f>+VLOOKUP($A44,'[3]Int(PA)'!$A$12:$I$46,4,0)/1000</f>
        <v>15.661</v>
      </c>
      <c r="J44" s="46">
        <f>+VLOOKUP($A44,'[3]Int(AP)'!$A$12:$I$46,4,0)/1000</f>
        <v>4.8259999999999996</v>
      </c>
      <c r="K44" s="46">
        <v>0</v>
      </c>
      <c r="L44" s="1629">
        <v>0</v>
      </c>
      <c r="M44" s="925">
        <f>TableB2!J44</f>
        <v>290.91500000000002</v>
      </c>
    </row>
    <row r="45" spans="1:13" ht="46.5" x14ac:dyDescent="0.35">
      <c r="A45" s="281" t="s">
        <v>99</v>
      </c>
      <c r="B45" s="298"/>
      <c r="C45" s="308"/>
      <c r="D45" s="46"/>
      <c r="E45" s="46"/>
      <c r="F45" s="46"/>
      <c r="G45" s="46"/>
      <c r="H45" s="308"/>
      <c r="I45" s="46"/>
      <c r="J45" s="46"/>
      <c r="K45" s="46"/>
      <c r="L45" s="1629"/>
      <c r="M45" s="925"/>
    </row>
    <row r="46" spans="1:13" x14ac:dyDescent="0.35">
      <c r="A46" s="95" t="s">
        <v>92</v>
      </c>
      <c r="B46" s="298">
        <f>+TableB2!G46</f>
        <v>7.2890531494999999</v>
      </c>
      <c r="C46" s="308">
        <f>+TableB2!H46</f>
        <v>2.6669244664200003</v>
      </c>
      <c r="D46" s="46"/>
      <c r="E46" s="46">
        <v>0</v>
      </c>
      <c r="F46" s="46">
        <v>0</v>
      </c>
      <c r="G46" s="280"/>
      <c r="H46" s="308">
        <f>+TableB2!I46</f>
        <v>0.11629095129</v>
      </c>
      <c r="I46" s="46">
        <f>H46</f>
        <v>0.11629095129</v>
      </c>
      <c r="J46" s="46">
        <v>0</v>
      </c>
      <c r="K46" s="46">
        <v>0</v>
      </c>
      <c r="L46" s="1629">
        <v>0</v>
      </c>
      <c r="M46" s="925">
        <f>+TableB2!J46</f>
        <v>4.5058377317900007</v>
      </c>
    </row>
    <row r="47" spans="1:13" x14ac:dyDescent="0.35">
      <c r="A47" s="282" t="s">
        <v>101</v>
      </c>
      <c r="B47" s="298">
        <f>+TableB2!G47</f>
        <v>94.634249003443642</v>
      </c>
      <c r="C47" s="308">
        <f>+TableB2!H47</f>
        <v>28.390274701033093</v>
      </c>
      <c r="D47" s="46"/>
      <c r="E47" s="46"/>
      <c r="F47" s="46"/>
      <c r="G47" s="280"/>
      <c r="H47" s="308">
        <f>+TableB2!I47</f>
        <v>0</v>
      </c>
      <c r="I47" s="46"/>
      <c r="J47" s="46"/>
      <c r="K47" s="46"/>
      <c r="L47" s="1629"/>
      <c r="M47" s="925">
        <f>+TableB2!J47</f>
        <v>66.24397430241055</v>
      </c>
    </row>
    <row r="48" spans="1:13" x14ac:dyDescent="0.35">
      <c r="A48" s="282" t="s">
        <v>93</v>
      </c>
      <c r="B48" s="298">
        <f>+TableB2!G48</f>
        <v>3.5615806026999999</v>
      </c>
      <c r="C48" s="308">
        <f>+TableB2!H48</f>
        <v>1.6547167199999999</v>
      </c>
      <c r="D48" s="46"/>
      <c r="E48" s="46"/>
      <c r="F48" s="46"/>
      <c r="G48" s="280"/>
      <c r="H48" s="308">
        <f>+TableB2!I48</f>
        <v>2.8459282699999998E-2</v>
      </c>
      <c r="I48" s="46"/>
      <c r="J48" s="46"/>
      <c r="K48" s="46"/>
      <c r="L48" s="1629"/>
      <c r="M48" s="925">
        <f>+TableB2!J48</f>
        <v>1.8784045999999999</v>
      </c>
    </row>
    <row r="49" spans="1:13" x14ac:dyDescent="0.35">
      <c r="A49" s="282" t="s">
        <v>94</v>
      </c>
      <c r="B49" s="298">
        <f>+TableB2!G49</f>
        <v>7.4886040299999984E-2</v>
      </c>
      <c r="C49" s="308">
        <f>+TableB2!H49</f>
        <v>3.2629442699999997E-2</v>
      </c>
      <c r="D49" s="46"/>
      <c r="E49" s="46"/>
      <c r="F49" s="46"/>
      <c r="G49" s="280"/>
      <c r="H49" s="308">
        <f>+TableB2!I49</f>
        <v>1.74866E-3</v>
      </c>
      <c r="I49" s="46"/>
      <c r="J49" s="46"/>
      <c r="K49" s="46"/>
      <c r="L49" s="1629"/>
      <c r="M49" s="925">
        <f>+TableB2!J49</f>
        <v>4.0507937599999988E-2</v>
      </c>
    </row>
    <row r="50" spans="1:13" x14ac:dyDescent="0.35">
      <c r="A50" s="282" t="s">
        <v>102</v>
      </c>
      <c r="B50" s="298">
        <f>+TableB2!G50</f>
        <v>5.0185436815000006</v>
      </c>
      <c r="C50" s="308">
        <f>+TableB2!H50</f>
        <v>1.6582014649000001</v>
      </c>
      <c r="D50" s="46"/>
      <c r="E50" s="46"/>
      <c r="F50" s="46"/>
      <c r="G50" s="280"/>
      <c r="H50" s="308">
        <f>+TableB2!I50</f>
        <v>2.32522166E-2</v>
      </c>
      <c r="I50" s="46"/>
      <c r="J50" s="46"/>
      <c r="K50" s="46"/>
      <c r="L50" s="1629"/>
      <c r="M50" s="925">
        <f>+TableB2!J50</f>
        <v>3.3370900000000003</v>
      </c>
    </row>
    <row r="51" spans="1:13" x14ac:dyDescent="0.35">
      <c r="A51" s="282" t="s">
        <v>103</v>
      </c>
      <c r="B51" s="298">
        <f>+TableB2!G51</f>
        <v>17.282830000000001</v>
      </c>
      <c r="C51" s="308">
        <f>+TableB2!H51</f>
        <v>7.3322399999999996</v>
      </c>
      <c r="D51" s="46"/>
      <c r="E51" s="46"/>
      <c r="F51" s="46"/>
      <c r="G51" s="280"/>
      <c r="H51" s="308">
        <f>+TableB2!I51</f>
        <v>4.0480799999999997</v>
      </c>
      <c r="I51" s="46"/>
      <c r="J51" s="46"/>
      <c r="K51" s="46"/>
      <c r="L51" s="1629"/>
      <c r="M51" s="925">
        <f>+TableB2!J51</f>
        <v>5.9025100000000021</v>
      </c>
    </row>
    <row r="52" spans="1:13" x14ac:dyDescent="0.35">
      <c r="A52" s="282" t="s">
        <v>97</v>
      </c>
      <c r="B52" s="298">
        <f>+TableB2!G52</f>
        <v>3.3267790902999996</v>
      </c>
      <c r="C52" s="308">
        <f>+TableB2!H52</f>
        <v>2.8618949391999999</v>
      </c>
      <c r="D52" s="46"/>
      <c r="E52" s="46"/>
      <c r="F52" s="46"/>
      <c r="G52" s="280"/>
      <c r="H52" s="308">
        <f>+TableB2!I52</f>
        <v>0.46488415110000003</v>
      </c>
      <c r="I52" s="46"/>
      <c r="J52" s="46"/>
      <c r="K52" s="46"/>
      <c r="L52" s="1629"/>
      <c r="M52" s="925">
        <f>+TableB2!J52</f>
        <v>0</v>
      </c>
    </row>
    <row r="53" spans="1:13" ht="31" x14ac:dyDescent="0.35">
      <c r="A53" s="281" t="s">
        <v>100</v>
      </c>
      <c r="B53" s="298"/>
      <c r="C53" s="308"/>
      <c r="D53" s="46"/>
      <c r="E53" s="46"/>
      <c r="F53" s="46"/>
      <c r="G53" s="280"/>
      <c r="H53" s="308"/>
      <c r="I53" s="46"/>
      <c r="J53" s="46"/>
      <c r="K53" s="46"/>
      <c r="L53" s="1629"/>
      <c r="M53" s="925"/>
    </row>
    <row r="54" spans="1:13" x14ac:dyDescent="0.35">
      <c r="A54" s="282" t="s">
        <v>272</v>
      </c>
      <c r="B54" s="298">
        <f>+TableB2!G54</f>
        <v>6.8900000000000003E-2</v>
      </c>
      <c r="C54" s="308">
        <f>+TableB2!H54</f>
        <v>4.8230000000000002E-2</v>
      </c>
      <c r="D54" s="46"/>
      <c r="E54" s="46"/>
      <c r="F54" s="46"/>
      <c r="G54" s="280"/>
      <c r="H54" s="308">
        <f>+TableB2!I54</f>
        <v>0</v>
      </c>
      <c r="I54" s="46"/>
      <c r="J54" s="46"/>
      <c r="K54" s="46"/>
      <c r="L54" s="1629"/>
      <c r="M54" s="925">
        <f>+TableB2!J54</f>
        <v>2.0670000000000001E-2</v>
      </c>
    </row>
    <row r="55" spans="1:13" x14ac:dyDescent="0.35">
      <c r="A55" s="282" t="s">
        <v>273</v>
      </c>
      <c r="B55" s="298">
        <f>+TableB2!G55</f>
        <v>5.7999999999999996E-3</v>
      </c>
      <c r="C55" s="308">
        <f>+TableB2!H55</f>
        <v>4.0599999999999994E-3</v>
      </c>
      <c r="D55" s="46"/>
      <c r="E55" s="46"/>
      <c r="F55" s="46"/>
      <c r="G55" s="280"/>
      <c r="H55" s="308">
        <f>+TableB2!I55</f>
        <v>0</v>
      </c>
      <c r="I55" s="46"/>
      <c r="J55" s="46"/>
      <c r="K55" s="46"/>
      <c r="L55" s="1629"/>
      <c r="M55" s="925">
        <f>+TableB2!J55</f>
        <v>1.7399999999999998E-3</v>
      </c>
    </row>
    <row r="56" spans="1:13" x14ac:dyDescent="0.35">
      <c r="A56" s="289" t="str">
        <f>+TableA1!A56</f>
        <v>Antigua and Barbuda</v>
      </c>
      <c r="B56" s="298">
        <f>+TableB2!G56</f>
        <v>0</v>
      </c>
      <c r="C56" s="308">
        <f>+TableB2!H56</f>
        <v>0</v>
      </c>
      <c r="D56" s="46"/>
      <c r="E56" s="46"/>
      <c r="F56" s="46"/>
      <c r="G56" s="280"/>
      <c r="H56" s="308">
        <f>+TableB2!I56</f>
        <v>0</v>
      </c>
      <c r="I56" s="46"/>
      <c r="J56" s="46"/>
      <c r="K56" s="46"/>
      <c r="L56" s="1629"/>
      <c r="M56" s="925">
        <f>+TableB2!J56</f>
        <v>0</v>
      </c>
    </row>
    <row r="57" spans="1:13" x14ac:dyDescent="0.35">
      <c r="A57" s="282" t="s">
        <v>274</v>
      </c>
      <c r="B57" s="298">
        <f>+TableB2!G57</f>
        <v>5.7000000000000002E-2</v>
      </c>
      <c r="C57" s="308">
        <f>+TableB2!H57</f>
        <v>3.9900000000000005E-2</v>
      </c>
      <c r="D57" s="46"/>
      <c r="E57" s="46"/>
      <c r="F57" s="46"/>
      <c r="G57" s="280"/>
      <c r="H57" s="308">
        <f>+TableB2!I57</f>
        <v>0</v>
      </c>
      <c r="I57" s="46"/>
      <c r="J57" s="46"/>
      <c r="K57" s="46"/>
      <c r="L57" s="1629"/>
      <c r="M57" s="925">
        <f>+TableB2!J57</f>
        <v>1.7100000000000001E-2</v>
      </c>
    </row>
    <row r="58" spans="1:13" x14ac:dyDescent="0.35">
      <c r="A58" s="282" t="s">
        <v>275</v>
      </c>
      <c r="B58" s="298">
        <f>+TableB2!G58</f>
        <v>1.7022606313516633</v>
      </c>
      <c r="C58" s="308">
        <f>+TableB2!H58</f>
        <v>1.1915824419461645</v>
      </c>
      <c r="D58" s="46"/>
      <c r="E58" s="46"/>
      <c r="F58" s="46"/>
      <c r="G58" s="280"/>
      <c r="H58" s="308">
        <f>+TableB2!I58</f>
        <v>0</v>
      </c>
      <c r="I58" s="46"/>
      <c r="J58" s="46"/>
      <c r="K58" s="46"/>
      <c r="L58" s="1629"/>
      <c r="M58" s="925">
        <f>+TableB2!J58</f>
        <v>0.51067818940549892</v>
      </c>
    </row>
    <row r="59" spans="1:13" x14ac:dyDescent="0.35">
      <c r="A59" s="282" t="s">
        <v>276</v>
      </c>
      <c r="B59" s="298">
        <f>+TableB2!G59</f>
        <v>7.740000000000001E-2</v>
      </c>
      <c r="C59" s="308">
        <f>+TableB2!H59</f>
        <v>5.4180000000000006E-2</v>
      </c>
      <c r="D59" s="46"/>
      <c r="E59" s="46"/>
      <c r="F59" s="46"/>
      <c r="G59" s="280"/>
      <c r="H59" s="308">
        <f>+TableB2!I59</f>
        <v>0</v>
      </c>
      <c r="I59" s="46"/>
      <c r="J59" s="46"/>
      <c r="K59" s="46"/>
      <c r="L59" s="1629"/>
      <c r="M59" s="925">
        <f>+TableB2!J59</f>
        <v>2.3220000000000001E-2</v>
      </c>
    </row>
    <row r="60" spans="1:13" x14ac:dyDescent="0.35">
      <c r="A60" s="289" t="str">
        <f>+TableA1!A60</f>
        <v>Barbados</v>
      </c>
      <c r="B60" s="298">
        <f>+TableB2!G60</f>
        <v>0.23493255831256293</v>
      </c>
      <c r="C60" s="308">
        <f>+TableB2!H60</f>
        <v>0.16445279081879405</v>
      </c>
      <c r="D60" s="46"/>
      <c r="E60" s="46"/>
      <c r="F60" s="46"/>
      <c r="G60" s="280"/>
      <c r="H60" s="308">
        <f>+TableB2!I60</f>
        <v>0</v>
      </c>
      <c r="I60" s="46"/>
      <c r="J60" s="46"/>
      <c r="K60" s="46"/>
      <c r="L60" s="1629"/>
      <c r="M60" s="925">
        <f>+TableB2!J60</f>
        <v>7.0479767493768872E-2</v>
      </c>
    </row>
    <row r="61" spans="1:13" x14ac:dyDescent="0.35">
      <c r="A61" s="282" t="s">
        <v>277</v>
      </c>
      <c r="B61" s="298">
        <f>+TableB2!G61</f>
        <v>1.2105223E-3</v>
      </c>
      <c r="C61" s="308">
        <f>+TableB2!H61</f>
        <v>8.4736561000000005E-4</v>
      </c>
      <c r="D61" s="46"/>
      <c r="E61" s="46"/>
      <c r="F61" s="46"/>
      <c r="G61" s="280"/>
      <c r="H61" s="308">
        <f>+TableB2!I61</f>
        <v>0</v>
      </c>
      <c r="I61" s="46"/>
      <c r="J61" s="46"/>
      <c r="K61" s="46"/>
      <c r="L61" s="1629"/>
      <c r="M61" s="925">
        <f>+TableB2!J61</f>
        <v>3.6315669000000001E-4</v>
      </c>
    </row>
    <row r="62" spans="1:13" x14ac:dyDescent="0.35">
      <c r="A62" s="282" t="s">
        <v>213</v>
      </c>
      <c r="B62" s="298">
        <f>+TableB2!G62</f>
        <v>32.275338594347502</v>
      </c>
      <c r="C62" s="308">
        <f>+TableB2!H62</f>
        <v>22.592737016043252</v>
      </c>
      <c r="D62" s="46"/>
      <c r="E62" s="46"/>
      <c r="F62" s="46"/>
      <c r="G62" s="280"/>
      <c r="H62" s="308">
        <f>+TableB2!I62</f>
        <v>0</v>
      </c>
      <c r="I62" s="46"/>
      <c r="J62" s="46"/>
      <c r="K62" s="46"/>
      <c r="L62" s="1629"/>
      <c r="M62" s="925">
        <f>+TableB2!J62</f>
        <v>9.6826015783042507</v>
      </c>
    </row>
    <row r="63" spans="1:13" x14ac:dyDescent="0.35">
      <c r="A63" s="282" t="s">
        <v>278</v>
      </c>
      <c r="B63" s="298">
        <f>+TableB2!G63</f>
        <v>9.4999999999999998E-3</v>
      </c>
      <c r="C63" s="308">
        <f>+TableB2!H63</f>
        <v>6.6499999999999997E-3</v>
      </c>
      <c r="D63" s="46"/>
      <c r="E63" s="46"/>
      <c r="F63" s="46"/>
      <c r="G63" s="280"/>
      <c r="H63" s="308">
        <f>+TableB2!I63</f>
        <v>0</v>
      </c>
      <c r="I63" s="46"/>
      <c r="J63" s="46"/>
      <c r="K63" s="46"/>
      <c r="L63" s="1629"/>
      <c r="M63" s="925">
        <f>+TableB2!J63</f>
        <v>2.8499999999999997E-3</v>
      </c>
    </row>
    <row r="64" spans="1:13" x14ac:dyDescent="0.35">
      <c r="A64" s="282" t="s">
        <v>279</v>
      </c>
      <c r="B64" s="298">
        <f>+TableB2!G64</f>
        <v>4.544698503566293</v>
      </c>
      <c r="C64" s="308">
        <f>+TableB2!H64</f>
        <v>3.1812889524964052</v>
      </c>
      <c r="D64" s="46"/>
      <c r="E64" s="46"/>
      <c r="F64" s="46"/>
      <c r="G64" s="280"/>
      <c r="H64" s="308">
        <f>+TableB2!I64</f>
        <v>0</v>
      </c>
      <c r="I64" s="46"/>
      <c r="J64" s="46"/>
      <c r="K64" s="46"/>
      <c r="L64" s="1629"/>
      <c r="M64" s="925">
        <f>+TableB2!J64</f>
        <v>1.3634095510698878</v>
      </c>
    </row>
    <row r="65" spans="1:13" x14ac:dyDescent="0.35">
      <c r="A65" s="282" t="s">
        <v>291</v>
      </c>
      <c r="B65" s="298">
        <f>+TableB2!G65</f>
        <v>16.2111946503803</v>
      </c>
      <c r="C65" s="308">
        <f>+TableB2!H65</f>
        <v>11.347836255266209</v>
      </c>
      <c r="D65" s="46"/>
      <c r="E65" s="46"/>
      <c r="F65" s="46"/>
      <c r="G65" s="280"/>
      <c r="H65" s="308">
        <f>+TableB2!I65</f>
        <v>0</v>
      </c>
      <c r="I65" s="46"/>
      <c r="J65" s="46"/>
      <c r="K65" s="46"/>
      <c r="L65" s="1629"/>
      <c r="M65" s="925">
        <f>+TableB2!J65</f>
        <v>4.8633583951140897</v>
      </c>
    </row>
    <row r="66" spans="1:13" x14ac:dyDescent="0.35">
      <c r="A66" s="282" t="s">
        <v>280</v>
      </c>
      <c r="B66" s="298">
        <f>+TableB2!G66</f>
        <v>2.6862999999999997</v>
      </c>
      <c r="C66" s="308">
        <f>+TableB2!H66</f>
        <v>1.8804099999999999</v>
      </c>
      <c r="D66" s="46"/>
      <c r="E66" s="46"/>
      <c r="F66" s="46"/>
      <c r="G66" s="280"/>
      <c r="H66" s="308">
        <f>+TableB2!I66</f>
        <v>0</v>
      </c>
      <c r="I66" s="46"/>
      <c r="J66" s="46"/>
      <c r="K66" s="46"/>
      <c r="L66" s="1629"/>
      <c r="M66" s="925">
        <f>+TableB2!J66</f>
        <v>0.80588999999999988</v>
      </c>
    </row>
    <row r="67" spans="1:13" x14ac:dyDescent="0.35">
      <c r="A67" s="289" t="str">
        <f>+TableA1!A67</f>
        <v>Cyprus</v>
      </c>
      <c r="B67" s="298">
        <f>+TableB2!G67</f>
        <v>2.9754490700636982</v>
      </c>
      <c r="C67" s="308">
        <f>+TableB2!H67</f>
        <v>2.0828143490445887</v>
      </c>
      <c r="D67" s="46"/>
      <c r="E67" s="46"/>
      <c r="F67" s="46"/>
      <c r="G67" s="280"/>
      <c r="H67" s="308">
        <f>+TableB2!I67</f>
        <v>0</v>
      </c>
      <c r="I67" s="46"/>
      <c r="J67" s="46"/>
      <c r="K67" s="46"/>
      <c r="L67" s="1629"/>
      <c r="M67" s="925">
        <f>+TableB2!J67</f>
        <v>0.89263472101910946</v>
      </c>
    </row>
    <row r="68" spans="1:13" x14ac:dyDescent="0.35">
      <c r="A68" s="282" t="s">
        <v>281</v>
      </c>
      <c r="B68" s="298">
        <f>+TableB2!G68</f>
        <v>0.29306236093911125</v>
      </c>
      <c r="C68" s="308">
        <f>+TableB2!H68</f>
        <v>0.20514365265737788</v>
      </c>
      <c r="D68" s="46"/>
      <c r="E68" s="46"/>
      <c r="F68" s="46"/>
      <c r="G68" s="280"/>
      <c r="H68" s="308">
        <f>+TableB2!I68</f>
        <v>0</v>
      </c>
      <c r="I68" s="46"/>
      <c r="J68" s="46"/>
      <c r="K68" s="46"/>
      <c r="L68" s="1629"/>
      <c r="M68" s="925">
        <f>+TableB2!J68</f>
        <v>8.7918708281733371E-2</v>
      </c>
    </row>
    <row r="69" spans="1:13" x14ac:dyDescent="0.35">
      <c r="A69" s="289" t="str">
        <f>+TableA1!A69</f>
        <v>Grenada</v>
      </c>
      <c r="B69" s="298">
        <f>+TableB2!G69</f>
        <v>0</v>
      </c>
      <c r="C69" s="308">
        <f>+TableB2!H69</f>
        <v>0</v>
      </c>
      <c r="D69" s="46"/>
      <c r="E69" s="46"/>
      <c r="F69" s="46"/>
      <c r="G69" s="280"/>
      <c r="H69" s="308">
        <f>+TableB2!I69</f>
        <v>0</v>
      </c>
      <c r="I69" s="46"/>
      <c r="J69" s="46"/>
      <c r="K69" s="46"/>
      <c r="L69" s="1629"/>
      <c r="M69" s="925">
        <f>+TableB2!J69</f>
        <v>0</v>
      </c>
    </row>
    <row r="70" spans="1:13" x14ac:dyDescent="0.35">
      <c r="A70" s="282" t="s">
        <v>282</v>
      </c>
      <c r="B70" s="298">
        <f>+TableB2!G70</f>
        <v>2.7295756643478049</v>
      </c>
      <c r="C70" s="308">
        <f>+TableB2!H70</f>
        <v>1.9107029650434635</v>
      </c>
      <c r="D70" s="46"/>
      <c r="E70" s="46"/>
      <c r="F70" s="46"/>
      <c r="G70" s="280"/>
      <c r="H70" s="308">
        <f>+TableB2!I70</f>
        <v>0</v>
      </c>
      <c r="I70" s="46"/>
      <c r="J70" s="46"/>
      <c r="K70" s="46"/>
      <c r="L70" s="1629"/>
      <c r="M70" s="925">
        <f>+TableB2!J70</f>
        <v>0.81887269930434148</v>
      </c>
    </row>
    <row r="71" spans="1:13" x14ac:dyDescent="0.35">
      <c r="A71" s="282" t="s">
        <v>283</v>
      </c>
      <c r="B71" s="298">
        <f>+TableB2!G71</f>
        <v>3.0839000000000003</v>
      </c>
      <c r="C71" s="308">
        <f>+TableB2!H71</f>
        <v>2.1587300000000003</v>
      </c>
      <c r="D71" s="46"/>
      <c r="E71" s="46"/>
      <c r="F71" s="46"/>
      <c r="G71" s="280"/>
      <c r="H71" s="308">
        <f>+TableB2!I71</f>
        <v>0</v>
      </c>
      <c r="I71" s="46"/>
      <c r="J71" s="46"/>
      <c r="K71" s="46"/>
      <c r="L71" s="1629"/>
      <c r="M71" s="925">
        <f>+TableB2!J71</f>
        <v>0.92517000000000005</v>
      </c>
    </row>
    <row r="72" spans="1:13" x14ac:dyDescent="0.35">
      <c r="A72" s="282" t="s">
        <v>220</v>
      </c>
      <c r="B72" s="298">
        <f>+TableB2!G72</f>
        <v>121.68453938730001</v>
      </c>
      <c r="C72" s="308">
        <f>+TableB2!H72</f>
        <v>85.179177571110003</v>
      </c>
      <c r="D72" s="46"/>
      <c r="E72" s="46"/>
      <c r="F72" s="46"/>
      <c r="G72" s="280"/>
      <c r="H72" s="308">
        <f>+TableB2!I72</f>
        <v>0</v>
      </c>
      <c r="I72" s="46"/>
      <c r="J72" s="46"/>
      <c r="K72" s="46"/>
      <c r="L72" s="1629"/>
      <c r="M72" s="925">
        <f>+TableB2!J72</f>
        <v>36.505361816190003</v>
      </c>
    </row>
    <row r="73" spans="1:13" x14ac:dyDescent="0.35">
      <c r="A73" s="282" t="s">
        <v>284</v>
      </c>
      <c r="B73" s="298">
        <f>+TableB2!G73</f>
        <v>2.2741982969107278E-2</v>
      </c>
      <c r="C73" s="308">
        <f>+TableB2!H73</f>
        <v>1.5919388078375094E-2</v>
      </c>
      <c r="D73" s="46"/>
      <c r="E73" s="46"/>
      <c r="F73" s="46"/>
      <c r="G73" s="280"/>
      <c r="H73" s="308">
        <f>+TableB2!I73</f>
        <v>0</v>
      </c>
      <c r="I73" s="46"/>
      <c r="J73" s="46"/>
      <c r="K73" s="46"/>
      <c r="L73" s="1629"/>
      <c r="M73" s="925">
        <f>+TableB2!J73</f>
        <v>6.8225948907321829E-3</v>
      </c>
    </row>
    <row r="74" spans="1:13" x14ac:dyDescent="0.35">
      <c r="A74" s="282" t="s">
        <v>285</v>
      </c>
      <c r="B74" s="298">
        <f>+TableB2!G74</f>
        <v>0.48754139129999996</v>
      </c>
      <c r="C74" s="308">
        <f>+TableB2!H74</f>
        <v>0.34127897390999995</v>
      </c>
      <c r="D74" s="46"/>
      <c r="E74" s="46"/>
      <c r="F74" s="46"/>
      <c r="G74" s="280"/>
      <c r="H74" s="308">
        <f>+TableB2!I74</f>
        <v>0</v>
      </c>
      <c r="I74" s="46"/>
      <c r="J74" s="46"/>
      <c r="K74" s="46"/>
      <c r="L74" s="1629"/>
      <c r="M74" s="925">
        <f>+TableB2!J74</f>
        <v>0.14626241738999998</v>
      </c>
    </row>
    <row r="75" spans="1:13" x14ac:dyDescent="0.35">
      <c r="A75" s="282" t="s">
        <v>286</v>
      </c>
      <c r="B75" s="298">
        <f>+TableB2!G75</f>
        <v>1.7951512367491165</v>
      </c>
      <c r="C75" s="308">
        <f>+TableB2!H75</f>
        <v>1.2566058657243815</v>
      </c>
      <c r="D75" s="46"/>
      <c r="E75" s="46"/>
      <c r="F75" s="46"/>
      <c r="G75" s="280"/>
      <c r="H75" s="308">
        <f>+TableB2!I75</f>
        <v>0</v>
      </c>
      <c r="I75" s="46"/>
      <c r="J75" s="46"/>
      <c r="K75" s="46"/>
      <c r="L75" s="1629"/>
      <c r="M75" s="925">
        <f>+TableB2!J75</f>
        <v>0.53854537102473488</v>
      </c>
    </row>
    <row r="76" spans="1:13" x14ac:dyDescent="0.35">
      <c r="A76" s="282" t="s">
        <v>287</v>
      </c>
      <c r="B76" s="298">
        <f>+TableB2!G76</f>
        <v>7.7599999999999988E-2</v>
      </c>
      <c r="C76" s="308">
        <f>+TableB2!H76</f>
        <v>5.4319999999999993E-2</v>
      </c>
      <c r="D76" s="46"/>
      <c r="E76" s="46"/>
      <c r="F76" s="46"/>
      <c r="G76" s="280"/>
      <c r="H76" s="308">
        <f>+TableB2!I76</f>
        <v>0</v>
      </c>
      <c r="I76" s="46"/>
      <c r="J76" s="46"/>
      <c r="K76" s="46"/>
      <c r="L76" s="1629"/>
      <c r="M76" s="925">
        <f>+TableB2!J76</f>
        <v>2.3279999999999995E-2</v>
      </c>
    </row>
    <row r="77" spans="1:13" x14ac:dyDescent="0.35">
      <c r="A77" s="282" t="s">
        <v>301</v>
      </c>
      <c r="B77" s="298">
        <f>+TableB2!G77</f>
        <v>0.85039084927035713</v>
      </c>
      <c r="C77" s="308">
        <f>+TableB2!H77</f>
        <v>0.59527359448924999</v>
      </c>
      <c r="D77" s="46"/>
      <c r="E77" s="46"/>
      <c r="F77" s="46"/>
      <c r="G77" s="280"/>
      <c r="H77" s="308">
        <f>+TableB2!I77</f>
        <v>0</v>
      </c>
      <c r="I77" s="46"/>
      <c r="J77" s="46"/>
      <c r="K77" s="46"/>
      <c r="L77" s="1629"/>
      <c r="M77" s="925">
        <f>+TableB2!J77</f>
        <v>0.25511725478110714</v>
      </c>
    </row>
    <row r="78" spans="1:13" x14ac:dyDescent="0.35">
      <c r="A78" s="282" t="s">
        <v>302</v>
      </c>
      <c r="B78" s="298">
        <f>+TableB2!G78</f>
        <v>0.40533887008171798</v>
      </c>
      <c r="C78" s="308">
        <f>+TableB2!H78</f>
        <v>0.28373720905720257</v>
      </c>
      <c r="D78" s="46"/>
      <c r="E78" s="46"/>
      <c r="F78" s="46"/>
      <c r="G78" s="280"/>
      <c r="H78" s="308">
        <f>+TableB2!I78</f>
        <v>0</v>
      </c>
      <c r="I78" s="46"/>
      <c r="J78" s="46"/>
      <c r="K78" s="46"/>
      <c r="L78" s="1629"/>
      <c r="M78" s="925">
        <f>+TableB2!J78</f>
        <v>0.12160166102451539</v>
      </c>
    </row>
    <row r="79" spans="1:13" x14ac:dyDescent="0.35">
      <c r="A79" s="289" t="str">
        <f>+TableA1!A79</f>
        <v>Monaco</v>
      </c>
      <c r="B79" s="298">
        <f>+TableB2!G79</f>
        <v>0</v>
      </c>
      <c r="C79" s="308">
        <f>+TableB2!H79</f>
        <v>0</v>
      </c>
      <c r="D79" s="46"/>
      <c r="E79" s="46"/>
      <c r="F79" s="46"/>
      <c r="G79" s="280"/>
      <c r="H79" s="308">
        <f>+TableB2!I79</f>
        <v>0</v>
      </c>
      <c r="I79" s="46"/>
      <c r="J79" s="46"/>
      <c r="K79" s="46"/>
      <c r="L79" s="1629"/>
      <c r="M79" s="925">
        <f>+TableB2!J79</f>
        <v>0</v>
      </c>
    </row>
    <row r="80" spans="1:13" x14ac:dyDescent="0.35">
      <c r="A80" s="282" t="s">
        <v>288</v>
      </c>
      <c r="B80" s="298">
        <f>+TableB2!G80</f>
        <v>7.8212299999999997E-5</v>
      </c>
      <c r="C80" s="308">
        <f>+TableB2!H80</f>
        <v>5.474861E-5</v>
      </c>
      <c r="D80" s="46"/>
      <c r="E80" s="46"/>
      <c r="F80" s="46"/>
      <c r="G80" s="280"/>
      <c r="H80" s="308">
        <f>+TableB2!I80</f>
        <v>0</v>
      </c>
      <c r="I80" s="46"/>
      <c r="J80" s="46"/>
      <c r="K80" s="46"/>
      <c r="L80" s="1629"/>
      <c r="M80" s="925">
        <f>TableB2!J48</f>
        <v>1.8784045999999999</v>
      </c>
    </row>
    <row r="81" spans="1:14" x14ac:dyDescent="0.35">
      <c r="A81" s="282" t="s">
        <v>289</v>
      </c>
      <c r="B81" s="298">
        <f>+TableB2!G81</f>
        <v>3.7014363322000001</v>
      </c>
      <c r="C81" s="308">
        <f>+TableB2!H81</f>
        <v>2.5910054325400003</v>
      </c>
      <c r="D81" s="46"/>
      <c r="E81" s="46"/>
      <c r="F81" s="46"/>
      <c r="G81" s="46"/>
      <c r="H81" s="308">
        <f>+TableB2!I81</f>
        <v>0</v>
      </c>
      <c r="I81" s="46"/>
      <c r="J81" s="46"/>
      <c r="K81" s="46"/>
      <c r="L81" s="1629"/>
      <c r="M81" s="925">
        <f>TableB2!J80</f>
        <v>2.346369E-5</v>
      </c>
    </row>
    <row r="82" spans="1:14" x14ac:dyDescent="0.35">
      <c r="A82" s="289" t="str">
        <f>+TableA1!A82</f>
        <v>Seychelles</v>
      </c>
      <c r="B82" s="298">
        <f>+TableB2!G82</f>
        <v>1.8137638999999998E-3</v>
      </c>
      <c r="C82" s="308">
        <f>+TableB2!H82</f>
        <v>1.2696347299999999E-3</v>
      </c>
      <c r="D82" s="46"/>
      <c r="E82" s="46"/>
      <c r="F82" s="46"/>
      <c r="G82" s="46"/>
      <c r="H82" s="308">
        <f>+TableB2!I82</f>
        <v>0</v>
      </c>
      <c r="I82" s="46"/>
      <c r="J82" s="46"/>
      <c r="K82" s="46"/>
      <c r="L82" s="1629"/>
      <c r="M82" s="925">
        <f>TableB2!J81</f>
        <v>1.1104308996600001</v>
      </c>
    </row>
    <row r="83" spans="1:14" x14ac:dyDescent="0.35">
      <c r="A83" s="282" t="s">
        <v>225</v>
      </c>
      <c r="B83" s="298">
        <f>+TableB2!G83</f>
        <v>3.3119901675257313</v>
      </c>
      <c r="C83" s="308">
        <f>+TableB2!H83</f>
        <v>2.3183931172680117</v>
      </c>
      <c r="D83" s="46"/>
      <c r="E83" s="46"/>
      <c r="F83" s="46"/>
      <c r="G83" s="46"/>
      <c r="H83" s="308">
        <f>+TableB2!I83</f>
        <v>0</v>
      </c>
      <c r="I83" s="46"/>
      <c r="J83" s="46"/>
      <c r="K83" s="46"/>
      <c r="L83" s="1629"/>
      <c r="M83" s="925">
        <f>TableB2!J82</f>
        <v>5.4412916999999994E-4</v>
      </c>
    </row>
    <row r="84" spans="1:14" x14ac:dyDescent="0.35">
      <c r="A84" s="289" t="str">
        <f>+TableA1!A84</f>
        <v>St. Kitts and Nevis</v>
      </c>
      <c r="B84" s="298">
        <f>+TableB2!G84</f>
        <v>0</v>
      </c>
      <c r="C84" s="308">
        <f>+TableB2!H84</f>
        <v>0</v>
      </c>
      <c r="D84" s="46"/>
      <c r="E84" s="46"/>
      <c r="F84" s="46"/>
      <c r="G84" s="46"/>
      <c r="H84" s="308">
        <f>+TableB2!I84</f>
        <v>0</v>
      </c>
      <c r="I84" s="46"/>
      <c r="J84" s="46"/>
      <c r="K84" s="46"/>
      <c r="L84" s="1629"/>
      <c r="M84" s="925">
        <f>TableB2!J83</f>
        <v>0.99359705025771938</v>
      </c>
    </row>
    <row r="85" spans="1:14" x14ac:dyDescent="0.35">
      <c r="A85" s="289" t="str">
        <f>+TableA1!A85</f>
        <v>St. Lucia</v>
      </c>
      <c r="B85" s="298">
        <f>+TableB2!G85</f>
        <v>2.5000000000000001E-3</v>
      </c>
      <c r="C85" s="308">
        <f>+TableB2!H85</f>
        <v>1.75E-3</v>
      </c>
      <c r="D85" s="46"/>
      <c r="E85" s="46"/>
      <c r="F85" s="46"/>
      <c r="G85" s="46"/>
      <c r="H85" s="308">
        <f>+TableB2!I85</f>
        <v>0</v>
      </c>
      <c r="I85" s="46"/>
      <c r="J85" s="46"/>
      <c r="K85" s="46"/>
      <c r="L85" s="1629"/>
      <c r="M85" s="925">
        <f>TableB2!J84</f>
        <v>0</v>
      </c>
    </row>
    <row r="86" spans="1:14" x14ac:dyDescent="0.35">
      <c r="A86" s="289" t="str">
        <f>+TableA1!A86</f>
        <v>St. Vincent and the Grenadines</v>
      </c>
      <c r="B86" s="298">
        <f>+TableB2!G86</f>
        <v>0</v>
      </c>
      <c r="C86" s="308">
        <f>+TableB2!H86</f>
        <v>0</v>
      </c>
      <c r="D86" s="46"/>
      <c r="E86" s="46"/>
      <c r="F86" s="46"/>
      <c r="G86" s="46"/>
      <c r="H86" s="308">
        <f>+TableB2!I86</f>
        <v>0</v>
      </c>
      <c r="I86" s="46"/>
      <c r="J86" s="46"/>
      <c r="K86" s="46"/>
      <c r="L86" s="1629"/>
      <c r="M86" s="925">
        <f>TableB2!J85</f>
        <v>7.5000000000000002E-4</v>
      </c>
    </row>
    <row r="87" spans="1:14" x14ac:dyDescent="0.35">
      <c r="A87" s="289" t="str">
        <f>+TableA1!A87</f>
        <v>Turks and Caicos</v>
      </c>
      <c r="B87" s="298">
        <f>+TableB2!G87</f>
        <v>0</v>
      </c>
      <c r="C87" s="308">
        <f>+TableB2!H87</f>
        <v>0</v>
      </c>
      <c r="D87" s="46"/>
      <c r="E87" s="46"/>
      <c r="F87" s="46"/>
      <c r="G87" s="46"/>
      <c r="H87" s="308">
        <f>+TableB2!I87</f>
        <v>0</v>
      </c>
      <c r="I87" s="46"/>
      <c r="J87" s="46"/>
      <c r="K87" s="46"/>
      <c r="L87" s="1629"/>
      <c r="M87" s="925">
        <f>TableB2!J86</f>
        <v>0</v>
      </c>
    </row>
    <row r="88" spans="1:14" x14ac:dyDescent="0.35">
      <c r="A88" s="289" t="str">
        <f>+TableA1!A88</f>
        <v>Panama</v>
      </c>
      <c r="B88" s="298">
        <f>+TableB2!G88</f>
        <v>0.8677181060188971</v>
      </c>
      <c r="C88" s="308">
        <f>+TableB2!H88</f>
        <v>0.60740267421322791</v>
      </c>
      <c r="D88" s="46"/>
      <c r="E88" s="46"/>
      <c r="F88" s="46"/>
      <c r="G88" s="46"/>
      <c r="H88" s="308">
        <f>+TableB2!I88</f>
        <v>0</v>
      </c>
      <c r="I88" s="46"/>
      <c r="J88" s="46"/>
      <c r="K88" s="46"/>
      <c r="L88" s="1629"/>
      <c r="M88" s="925">
        <f>TableB2!J87</f>
        <v>0</v>
      </c>
    </row>
    <row r="89" spans="1:14" ht="16" thickBot="1" x14ac:dyDescent="0.4">
      <c r="A89" s="283" t="s">
        <v>290</v>
      </c>
      <c r="B89" s="78">
        <f>+TableB2!G89</f>
        <v>0.35339999999999999</v>
      </c>
      <c r="C89" s="80">
        <f>+TableB2!H89</f>
        <v>0.24737999999999999</v>
      </c>
      <c r="D89" s="79"/>
      <c r="E89" s="79"/>
      <c r="F89" s="79"/>
      <c r="G89" s="79"/>
      <c r="H89" s="80">
        <f>+TableB2!I89</f>
        <v>0</v>
      </c>
      <c r="I89" s="79"/>
      <c r="J89" s="79"/>
      <c r="K89" s="79"/>
      <c r="L89" s="926"/>
      <c r="M89" s="927">
        <f>TableB2!J88</f>
        <v>0.26031543180566913</v>
      </c>
    </row>
    <row r="90" spans="1:14" ht="16" thickTop="1" x14ac:dyDescent="0.35">
      <c r="D90" s="7"/>
      <c r="E90" s="7"/>
      <c r="F90" s="7"/>
      <c r="G90" s="7"/>
      <c r="I90" s="7"/>
      <c r="J90" s="7"/>
      <c r="K90" s="7"/>
      <c r="L90" s="7"/>
    </row>
    <row r="91" spans="1:14" s="2" customFormat="1" x14ac:dyDescent="0.35">
      <c r="A91" s="1"/>
      <c r="B91" s="1"/>
      <c r="C91" s="1"/>
      <c r="D91" s="1"/>
      <c r="E91" s="1"/>
      <c r="F91" s="1"/>
      <c r="G91" s="1"/>
      <c r="H91" s="1"/>
      <c r="I91" s="1"/>
      <c r="J91" s="1"/>
      <c r="K91" s="1"/>
      <c r="L91" s="1"/>
      <c r="M91" s="1"/>
      <c r="N91" s="1"/>
    </row>
    <row r="92" spans="1:14" s="2" customFormat="1" x14ac:dyDescent="0.35">
      <c r="A92" s="1"/>
      <c r="B92" s="1"/>
      <c r="C92" s="1"/>
      <c r="D92" s="1"/>
      <c r="E92" s="1"/>
      <c r="F92" s="1"/>
      <c r="G92" s="1"/>
      <c r="H92" s="1"/>
      <c r="I92" s="1"/>
      <c r="J92" s="1"/>
      <c r="K92" s="1"/>
      <c r="L92" s="1"/>
      <c r="M92" s="1"/>
      <c r="N92" s="1"/>
    </row>
    <row r="93" spans="1:14" s="2" customFormat="1" x14ac:dyDescent="0.35">
      <c r="A93" s="1"/>
      <c r="B93" s="1"/>
      <c r="C93" s="1"/>
      <c r="D93" s="1"/>
      <c r="E93" s="1"/>
      <c r="F93" s="1"/>
      <c r="G93" s="1"/>
      <c r="H93" s="1"/>
      <c r="I93" s="1"/>
      <c r="J93" s="1"/>
      <c r="K93" s="1"/>
      <c r="L93" s="1"/>
      <c r="M93" s="1"/>
      <c r="N93" s="1"/>
    </row>
    <row r="95" spans="1:14" s="2" customFormat="1" x14ac:dyDescent="0.35">
      <c r="A95" s="1"/>
      <c r="B95" s="1"/>
      <c r="C95" s="1"/>
      <c r="D95" s="1"/>
      <c r="E95" s="1"/>
      <c r="F95" s="1"/>
      <c r="G95" s="1"/>
      <c r="H95" s="1"/>
      <c r="I95" s="1"/>
      <c r="J95" s="1"/>
      <c r="K95" s="1"/>
      <c r="L95" s="1"/>
      <c r="M95" s="1"/>
      <c r="N95" s="1"/>
    </row>
  </sheetData>
  <mergeCells count="6">
    <mergeCell ref="A4:M4"/>
    <mergeCell ref="B7:M7"/>
    <mergeCell ref="B8:B9"/>
    <mergeCell ref="C8:C9"/>
    <mergeCell ref="H8:H9"/>
    <mergeCell ref="M8:M9"/>
  </mergeCells>
  <pageMargins left="0.75" right="0.75" top="1" bottom="1" header="0.5" footer="0.5"/>
  <pageSetup scale="46"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W158"/>
  <sheetViews>
    <sheetView zoomScale="70" zoomScaleNormal="70" zoomScalePageLayoutView="70" workbookViewId="0">
      <pane xSplit="1" ySplit="8" topLeftCell="B9" activePane="bottomRight" state="frozen"/>
      <selection activeCell="AR8" sqref="AR8"/>
      <selection pane="topRight" activeCell="AR8" sqref="AR8"/>
      <selection pane="bottomLeft" activeCell="AR8" sqref="AR8"/>
      <selection pane="bottomRight" activeCell="F20" sqref="F20"/>
    </sheetView>
  </sheetViews>
  <sheetFormatPr baseColWidth="10" defaultColWidth="10.81640625" defaultRowHeight="15.5" x14ac:dyDescent="0.35"/>
  <cols>
    <col min="1" max="1" width="19" style="1" customWidth="1"/>
    <col min="2" max="11" width="11.36328125" style="1" customWidth="1"/>
    <col min="12" max="12" width="13" style="1" bestFit="1" customWidth="1"/>
    <col min="13" max="16384" width="10.81640625" style="1"/>
  </cols>
  <sheetData>
    <row r="2" spans="1:18" ht="16" thickBot="1" x14ac:dyDescent="0.4"/>
    <row r="3" spans="1:18" ht="32.25" customHeight="1" thickTop="1" x14ac:dyDescent="0.35">
      <c r="A3" s="2048" t="s">
        <v>30</v>
      </c>
      <c r="B3" s="2049"/>
      <c r="C3" s="2049"/>
      <c r="D3" s="2049"/>
      <c r="E3" s="2049"/>
      <c r="F3" s="2049"/>
      <c r="G3" s="2049"/>
      <c r="H3" s="2049"/>
      <c r="I3" s="2049"/>
      <c r="J3" s="2049"/>
      <c r="K3" s="2049"/>
      <c r="L3" s="2049"/>
      <c r="M3" s="2049"/>
      <c r="N3" s="2050"/>
    </row>
    <row r="4" spans="1:18" ht="12" customHeight="1" x14ac:dyDescent="0.35">
      <c r="A4" s="11"/>
      <c r="B4" s="947"/>
      <c r="C4" s="947"/>
      <c r="D4" s="947"/>
      <c r="E4" s="947"/>
      <c r="F4" s="947"/>
      <c r="G4" s="947"/>
      <c r="H4" s="947"/>
      <c r="I4" s="947"/>
      <c r="J4" s="947"/>
      <c r="K4" s="947"/>
      <c r="L4" s="28"/>
      <c r="M4" s="28"/>
      <c r="N4" s="34"/>
      <c r="P4" s="107"/>
      <c r="Q4" s="265"/>
    </row>
    <row r="5" spans="1:18" ht="16" thickBot="1" x14ac:dyDescent="0.4">
      <c r="A5" s="15"/>
      <c r="B5" s="323" t="s">
        <v>20</v>
      </c>
      <c r="C5" s="323" t="s">
        <v>21</v>
      </c>
      <c r="D5" s="323" t="s">
        <v>22</v>
      </c>
      <c r="E5" s="323" t="s">
        <v>23</v>
      </c>
      <c r="F5" s="323" t="s">
        <v>24</v>
      </c>
      <c r="G5" s="323" t="s">
        <v>25</v>
      </c>
      <c r="H5" s="10" t="s">
        <v>26</v>
      </c>
      <c r="I5" s="10" t="s">
        <v>33</v>
      </c>
      <c r="J5" s="323" t="s">
        <v>34</v>
      </c>
      <c r="K5" s="323" t="s">
        <v>37</v>
      </c>
      <c r="L5" s="10" t="s">
        <v>105</v>
      </c>
      <c r="M5" s="996" t="s">
        <v>138</v>
      </c>
      <c r="N5" s="997" t="s">
        <v>139</v>
      </c>
    </row>
    <row r="6" spans="1:18" ht="21" customHeight="1" x14ac:dyDescent="0.35">
      <c r="A6" s="15"/>
      <c r="B6" s="2061" t="s">
        <v>52</v>
      </c>
      <c r="C6" s="2062"/>
      <c r="D6" s="2062"/>
      <c r="E6" s="2062"/>
      <c r="F6" s="2062"/>
      <c r="G6" s="2062"/>
      <c r="H6" s="2062"/>
      <c r="I6" s="2063"/>
      <c r="J6" s="2069" t="s">
        <v>507</v>
      </c>
      <c r="K6" s="2070"/>
      <c r="L6" s="2071"/>
      <c r="M6" s="2051" t="s">
        <v>591</v>
      </c>
      <c r="N6" s="2054" t="s">
        <v>592</v>
      </c>
      <c r="O6" s="945"/>
    </row>
    <row r="7" spans="1:18" ht="85" customHeight="1" x14ac:dyDescent="0.35">
      <c r="A7" s="15"/>
      <c r="B7" s="2057" t="s">
        <v>17</v>
      </c>
      <c r="C7" s="2058" t="s">
        <v>16</v>
      </c>
      <c r="D7" s="2059" t="s">
        <v>15</v>
      </c>
      <c r="E7" s="2064" t="s">
        <v>27</v>
      </c>
      <c r="F7" s="945" t="s">
        <v>259</v>
      </c>
      <c r="G7" s="945" t="s">
        <v>260</v>
      </c>
      <c r="H7" s="2066" t="s">
        <v>28</v>
      </c>
      <c r="I7" s="2067" t="s">
        <v>29</v>
      </c>
      <c r="J7" s="2052" t="s">
        <v>28</v>
      </c>
      <c r="K7" s="2072" t="s">
        <v>27</v>
      </c>
      <c r="L7" s="2074" t="s">
        <v>29</v>
      </c>
      <c r="M7" s="2052"/>
      <c r="N7" s="2055"/>
      <c r="O7" s="945"/>
      <c r="P7" s="431" t="s">
        <v>147</v>
      </c>
      <c r="R7" s="999" t="s">
        <v>593</v>
      </c>
    </row>
    <row r="8" spans="1:18" ht="33" customHeight="1" x14ac:dyDescent="0.35">
      <c r="A8" s="15"/>
      <c r="B8" s="2057"/>
      <c r="C8" s="2058"/>
      <c r="D8" s="2060"/>
      <c r="E8" s="2065"/>
      <c r="F8" s="324"/>
      <c r="G8" s="324"/>
      <c r="H8" s="2058"/>
      <c r="I8" s="2068"/>
      <c r="J8" s="2053"/>
      <c r="K8" s="2073"/>
      <c r="L8" s="2075"/>
      <c r="M8" s="2053"/>
      <c r="N8" s="2056"/>
      <c r="O8" s="945"/>
      <c r="R8" s="999"/>
    </row>
    <row r="9" spans="1:18" ht="40" customHeight="1" x14ac:dyDescent="0.35">
      <c r="A9" s="463" t="s">
        <v>98</v>
      </c>
      <c r="B9" s="432">
        <f>SUM(B10:B44)</f>
        <v>46483.587458981725</v>
      </c>
      <c r="C9" s="437">
        <f>SUM(C10:C44)</f>
        <v>4205.6345546075618</v>
      </c>
      <c r="D9" s="438">
        <f t="shared" ref="D9:I9" si="0">SUM(D10:D44)</f>
        <v>42277.952904374171</v>
      </c>
      <c r="E9" s="439">
        <f t="shared" si="0"/>
        <v>26359.302824524231</v>
      </c>
      <c r="F9" s="440">
        <f t="shared" si="0"/>
        <v>23569.365024501058</v>
      </c>
      <c r="G9" s="440">
        <f t="shared" si="0"/>
        <v>2789.9378000231745</v>
      </c>
      <c r="H9" s="440">
        <f t="shared" si="0"/>
        <v>5885.2644618824288</v>
      </c>
      <c r="I9" s="437">
        <f t="shared" si="0"/>
        <v>10033.385617967515</v>
      </c>
      <c r="J9" s="441">
        <f>H9/D9</f>
        <v>0.13920410184461712</v>
      </c>
      <c r="K9" s="461">
        <f>E9/D9</f>
        <v>0.62347632781900941</v>
      </c>
      <c r="L9" s="983">
        <f t="shared" ref="L9:L40" si="1">I9/D9</f>
        <v>0.23731957033637355</v>
      </c>
      <c r="M9" s="440">
        <f>SUM(M10:M44)</f>
        <v>7859.0103804677346</v>
      </c>
      <c r="N9" s="484">
        <f>M9/B9</f>
        <v>0.16907065074103245</v>
      </c>
      <c r="O9" s="433"/>
      <c r="Q9" s="232"/>
      <c r="R9" s="1000">
        <f>TableA2!G9/TableA1!M9</f>
        <v>0.59246386030808973</v>
      </c>
    </row>
    <row r="10" spans="1:18" ht="14.25" customHeight="1" x14ac:dyDescent="0.35">
      <c r="A10" s="15" t="s">
        <v>54</v>
      </c>
      <c r="B10" s="334">
        <f>SUM([1]AustralianNA!$Q$233:$Q$236)*0.001/[1]FX!$D$3</f>
        <v>1230.2962233958635</v>
      </c>
      <c r="C10" s="986">
        <f>SUM([1]AustralianNA!$O$233:$O$236)*0.001/[1]FX!$D$3</f>
        <v>124.49871909487712</v>
      </c>
      <c r="D10" s="335">
        <f t="shared" ref="D10:D44" si="2">B10-C10</f>
        <v>1105.7975043009865</v>
      </c>
      <c r="E10" s="317">
        <f>0.7*D10</f>
        <v>774.05825301069046</v>
      </c>
      <c r="F10" s="315">
        <f>E10-G10</f>
        <v>672.06429734683604</v>
      </c>
      <c r="G10" s="315">
        <f>SUM([1]AustralianNA2!$AM$233:$AM$236)/SUM([1]AustralianNA2!$BA$233:$BA$236)*D10</f>
        <v>101.99395566385439</v>
      </c>
      <c r="H10" s="318">
        <f>0.137*D10</f>
        <v>151.49425808923516</v>
      </c>
      <c r="I10" s="986">
        <f t="shared" ref="I10:I44" si="3">D10-E10-H10</f>
        <v>180.24499320106085</v>
      </c>
      <c r="J10" s="316">
        <f>H10/D10</f>
        <v>0.13700000000000001</v>
      </c>
      <c r="K10" s="436">
        <f>E10/D10</f>
        <v>0.7</v>
      </c>
      <c r="L10" s="987">
        <f t="shared" si="1"/>
        <v>0.16300000000000006</v>
      </c>
      <c r="M10" s="315">
        <f>+(VLOOKUP($A10,[1]OECDTable14a!$A$15:$XO$66,11,0)/VLOOKUP($A10,[1]FX!$B$2:$D$54,3,0))/1000</f>
        <v>225.7240306816218</v>
      </c>
      <c r="N10" s="995">
        <f>M10/B10</f>
        <v>0.18347128633669893</v>
      </c>
      <c r="O10" s="315"/>
      <c r="P10" s="429">
        <f t="shared" ref="P10:P41" si="4">E10-F10-G10</f>
        <v>0</v>
      </c>
      <c r="Q10" s="429">
        <f>1-J10-K10-L10</f>
        <v>0</v>
      </c>
      <c r="R10" s="1000">
        <f>TableA2!G10/TableA1!M10</f>
        <v>0.50531020871400101</v>
      </c>
    </row>
    <row r="11" spans="1:18" ht="14.25" customHeight="1" x14ac:dyDescent="0.35">
      <c r="A11" s="15" t="s">
        <v>55</v>
      </c>
      <c r="B11" s="334">
        <f>+(VLOOKUP($A11,[1]OECDTable14a!$A$15:$XO$66,10,0)/VLOOKUP($A11,[1]FX!$B$2:$D$54,3,0))/1000</f>
        <v>382.06594732598467</v>
      </c>
      <c r="C11" s="986">
        <f>+((VLOOKUP($A11,[1]OECDTable14a!$A$15:$XO$66,22,0)-VLOOKUP($A11,[1]OECDTable14a!$A$15:$XO$66,15,0))/VLOOKUP($A11,[1]FX!$B$2:$D$54,3,0))/1000</f>
        <v>49.386187017486655</v>
      </c>
      <c r="D11" s="335">
        <f t="shared" si="2"/>
        <v>332.67976030849803</v>
      </c>
      <c r="E11" s="314">
        <f t="shared" ref="E11:E44" si="5">F11+G11</f>
        <v>216.83707476995184</v>
      </c>
      <c r="F11" s="315">
        <f>+((VLOOKUP($A11,[1]OECDTable14a!$A$15:$XO$66,132,0)-VLOOKUP($A11,[1]OECDTable14a!$A$15:$XO$66,143,0)+VLOOKUP($A11,[1]OECDTable14a!$A$15:$XO$66,137,0))/VLOOKUP($A11,[1]FX!$B$2:$D$54,3,0))/1000</f>
        <v>203.4286798002349</v>
      </c>
      <c r="G11" s="315">
        <f>+((VLOOKUP($A11,[1]OECDTable14a!$A$15:$XO$66,232,0)-VLOOKUP($A11,[1]OECDTable14a!$A$15:$XO$66,243,0)+VLOOKUP($A11,[1]OECDTable14a!$A$15:$XO$66,237,0))/VLOOKUP($A11,[1]FX!$B$2:$D$54,3,0))/1000</f>
        <v>13.408394969716932</v>
      </c>
      <c r="H11" s="315">
        <f>+G$100*$D11</f>
        <v>46.031655431520477</v>
      </c>
      <c r="I11" s="986">
        <f t="shared" si="3"/>
        <v>69.811030107025715</v>
      </c>
      <c r="J11" s="336">
        <f>H11/D11</f>
        <v>0.13836626366700144</v>
      </c>
      <c r="K11" s="436">
        <f>E11/D11</f>
        <v>0.65178919982651229</v>
      </c>
      <c r="L11" s="987">
        <f t="shared" si="1"/>
        <v>0.20984453650648627</v>
      </c>
      <c r="M11" s="315">
        <f>+(VLOOKUP($A11,[1]OECDTable14a!$A$15:$XO$66,11,0)/VLOOKUP($A11,[1]FX!$B$2:$D$54,3,0))/1000</f>
        <v>68.542542136217804</v>
      </c>
      <c r="N11" s="995">
        <f t="shared" ref="N11:N53" si="6">M11/B11</f>
        <v>0.17939976754258141</v>
      </c>
      <c r="O11" s="315"/>
      <c r="P11" s="429">
        <f t="shared" si="4"/>
        <v>0</v>
      </c>
      <c r="Q11" s="429">
        <f t="shared" ref="Q11:Q74" si="7">1-J11-K11-L11</f>
        <v>0</v>
      </c>
      <c r="R11" s="1000">
        <f>TableA2!G11/TableA1!M11</f>
        <v>0.65490760816802029</v>
      </c>
    </row>
    <row r="12" spans="1:18" ht="14.25" customHeight="1" x14ac:dyDescent="0.35">
      <c r="A12" s="15" t="s">
        <v>2</v>
      </c>
      <c r="B12" s="334">
        <f>+(VLOOKUP($A12,[1]OECDTable14a!$A$15:$XO$66,10,0)/VLOOKUP($A12,[1]FX!$B$2:$D$54,3,0))/1000</f>
        <v>455.20002573034822</v>
      </c>
      <c r="C12" s="986">
        <f>+((VLOOKUP($A12,[1]OECDTable14a!$A$15:$XO$66,22,0)-VLOOKUP($A12,[1]OECDTable14a!$A$15:$XO$66,15,0))/VLOOKUP($A12,[1]FX!$B$2:$D$54,3,0))/1000</f>
        <v>44.008655156772136</v>
      </c>
      <c r="D12" s="335">
        <f t="shared" si="2"/>
        <v>411.19137057357608</v>
      </c>
      <c r="E12" s="314">
        <f t="shared" si="5"/>
        <v>283.38418404296965</v>
      </c>
      <c r="F12" s="315">
        <f>+((VLOOKUP($A12,[1]OECDTable14a!$A$15:$XO$66,132,0)-VLOOKUP($A12,[1]OECDTable14a!$A$15:$XO$66,143,0)+VLOOKUP($A12,[1]OECDTable14a!$A$15:$XO$66,137,0))/VLOOKUP($A12,[1]FX!$B$2:$D$54,3,0))/1000</f>
        <v>261.0124226564588</v>
      </c>
      <c r="G12" s="315">
        <f>+((VLOOKUP($A12,[1]OECDTable14a!$A$15:$XO$66,232,0)-VLOOKUP($A12,[1]OECDTable14a!$A$15:$XO$66,243,0)+VLOOKUP($A12,[1]OECDTable14a!$A$15:$XO$66,237,0))/VLOOKUP($A12,[1]FX!$B$2:$D$54,3,0))/1000</f>
        <v>22.371761386510865</v>
      </c>
      <c r="H12" s="315">
        <f>+((VLOOKUP($A12,[1]OECDTable14a!$A$15:$XO$66,332,0)-VLOOKUP($A12,[1]OECDTable14a!$A$15:$XO$66,343,0)+VLOOKUP($A12,[1]OECDTable14a!$A$15:$XO$66,337,0))/VLOOKUP($A12,[1]FX!$B$2:$D$54,3,0))/1000</f>
        <v>66.945153322930281</v>
      </c>
      <c r="I12" s="986">
        <f t="shared" si="3"/>
        <v>60.862033207676149</v>
      </c>
      <c r="J12" s="336">
        <f>H12/D12</f>
        <v>0.16280777787128078</v>
      </c>
      <c r="K12" s="436">
        <f>E12/D12</f>
        <v>0.68917833476824542</v>
      </c>
      <c r="L12" s="987">
        <f t="shared" si="1"/>
        <v>0.14801388736047386</v>
      </c>
      <c r="M12" s="315">
        <f>+(VLOOKUP($A12,[1]OECDTable14a!$A$15:$XO$66,11,0)/VLOOKUP($A12,[1]FX!$B$2:$D$54,3,0))/1000</f>
        <v>88.086848797605313</v>
      </c>
      <c r="N12" s="995">
        <f t="shared" si="6"/>
        <v>0.19351239854671334</v>
      </c>
      <c r="O12" s="315"/>
      <c r="P12" s="429">
        <f t="shared" si="4"/>
        <v>0</v>
      </c>
      <c r="Q12" s="429">
        <f t="shared" si="7"/>
        <v>0</v>
      </c>
      <c r="R12" s="1000">
        <f>TableA2!G12/TableA1!M12</f>
        <v>0.64989556093034495</v>
      </c>
    </row>
    <row r="13" spans="1:18" ht="14.25" customHeight="1" x14ac:dyDescent="0.35">
      <c r="A13" s="15" t="s">
        <v>56</v>
      </c>
      <c r="B13" s="334">
        <f>+(VLOOKUP($A13,[1]OECDTable14a!$A$15:$XO$66,10,0)/VLOOKUP($A13,[1]FX!$B$2:$D$54,3,0))/1000</f>
        <v>1559.6232657700973</v>
      </c>
      <c r="C13" s="986">
        <f>+((VLOOKUP($A13,[1]OECDTable14a!$A$15:$XO$66,22,0)-VLOOKUP($A13,[1]OECDTable14a!$A$15:$XO$66,15,0))/VLOOKUP($A13,[1]FX!$B$2:$D$54,3,0))/1000</f>
        <v>172.92732847678596</v>
      </c>
      <c r="D13" s="335">
        <f t="shared" si="2"/>
        <v>1386.6959372933113</v>
      </c>
      <c r="E13" s="314">
        <f>K13*D13</f>
        <v>963.75367641885134</v>
      </c>
      <c r="F13" s="315">
        <f>+E$100*$E13</f>
        <v>861.40154797047046</v>
      </c>
      <c r="G13" s="315">
        <f>+F$100*$E13</f>
        <v>102.35212844838091</v>
      </c>
      <c r="H13" s="315">
        <f>J13*D13</f>
        <v>228.80482965339638</v>
      </c>
      <c r="I13" s="986">
        <f t="shared" si="3"/>
        <v>194.13743122106359</v>
      </c>
      <c r="J13" s="316">
        <v>0.16500000000000001</v>
      </c>
      <c r="K13" s="436">
        <v>0.69499999999999995</v>
      </c>
      <c r="L13" s="987">
        <f t="shared" si="1"/>
        <v>0.14000000000000001</v>
      </c>
      <c r="M13" s="315">
        <f>+(VLOOKUP($A13,[1]OECDTable14a!$A$15:$XO$66,11,0)/VLOOKUP($A13,[1]FX!$B$2:$D$54,3,0))/1000</f>
        <v>266.73796691105764</v>
      </c>
      <c r="N13" s="995">
        <f t="shared" si="6"/>
        <v>0.17102717865609043</v>
      </c>
      <c r="O13" s="315"/>
      <c r="P13" s="429">
        <f t="shared" si="4"/>
        <v>0</v>
      </c>
      <c r="Q13" s="429">
        <f t="shared" si="7"/>
        <v>0</v>
      </c>
      <c r="R13" s="1000">
        <f>TableA2!G13/TableA1!M13</f>
        <v>0.63369618739448497</v>
      </c>
    </row>
    <row r="14" spans="1:18" ht="14.25" customHeight="1" x14ac:dyDescent="0.35">
      <c r="A14" s="15" t="s">
        <v>57</v>
      </c>
      <c r="B14" s="334">
        <f>+(VLOOKUP($A14,[1]OECDTable14a!$A$15:$XO$66,10,0)/VLOOKUP($A14,[1]FX!$B$2:$D$54,3,0))/1000</f>
        <v>221.41157473670739</v>
      </c>
      <c r="C14" s="986">
        <f>+B14*SUM($C$11:$C$13,$C$15:$C$44)/SUM($B$11:$B$13,$B$15:$B$44)</f>
        <v>19.967845152988534</v>
      </c>
      <c r="D14" s="335">
        <f t="shared" si="2"/>
        <v>201.44372958371886</v>
      </c>
      <c r="E14" s="314">
        <f>TableA2!B14</f>
        <v>154.1756815022006</v>
      </c>
      <c r="F14" s="315">
        <f>+E$100*$E14</f>
        <v>137.80198608309047</v>
      </c>
      <c r="G14" s="315">
        <f>+F$100*$E14</f>
        <v>16.373695419110138</v>
      </c>
      <c r="H14" s="315">
        <f>+G$100*$D14</f>
        <v>27.873016201644983</v>
      </c>
      <c r="I14" s="986">
        <f t="shared" si="3"/>
        <v>19.395031879873276</v>
      </c>
      <c r="J14" s="336">
        <f t="shared" ref="J14:J45" si="8">H14/D14</f>
        <v>0.13836626366700144</v>
      </c>
      <c r="K14" s="436">
        <f t="shared" ref="K14:K45" si="9">E14/D14</f>
        <v>0.76535358941577813</v>
      </c>
      <c r="L14" s="987">
        <f t="shared" si="1"/>
        <v>9.6280146917220435E-2</v>
      </c>
      <c r="M14" s="315">
        <f>TableA2!G14/K14</f>
        <v>27.36225489709355</v>
      </c>
      <c r="N14" s="995">
        <f>M14/B14</f>
        <v>0.12358095971103364</v>
      </c>
      <c r="O14" s="315"/>
      <c r="P14" s="429">
        <f t="shared" si="4"/>
        <v>0</v>
      </c>
      <c r="Q14" s="429">
        <f t="shared" si="7"/>
        <v>0</v>
      </c>
      <c r="R14" s="1000">
        <f>TableA2!G14/TableA1!M14</f>
        <v>0.76535358941577813</v>
      </c>
    </row>
    <row r="15" spans="1:18" ht="14.25" customHeight="1" x14ac:dyDescent="0.35">
      <c r="A15" s="15" t="s">
        <v>58</v>
      </c>
      <c r="B15" s="334">
        <f>+(VLOOKUP($A15,[1]OECDTable14a!$A$15:$XO$66,10,0)/VLOOKUP($A15,[1]FX!$B$2:$D$54,3,0))/1000</f>
        <v>186.82994054575946</v>
      </c>
      <c r="C15" s="986">
        <f>+((VLOOKUP($A15,[1]OECDTable14a!$A$15:$XO$66,22,0)-VLOOKUP($A15,[1]OECDTable14a!$A$15:$XO$66,15,0))/VLOOKUP($A15,[1]FX!$B$2:$D$54,3,0))/1000</f>
        <v>17.645490116367704</v>
      </c>
      <c r="D15" s="335">
        <f t="shared" si="2"/>
        <v>169.18445042939175</v>
      </c>
      <c r="E15" s="314">
        <f t="shared" si="5"/>
        <v>112.15354438741807</v>
      </c>
      <c r="F15" s="315">
        <f>+((VLOOKUP($A15,[1]OECDTable14a!$A$15:$XO$66,132,0)-VLOOKUP($A15,[1]OECDTable14a!$A$15:$XO$66,143,0)+VLOOKUP($A15,[1]OECDTable14a!$A$15:$XO$66,137,0))/VLOOKUP($A15,[1]FX!$B$2:$D$54,3,0))/1000</f>
        <v>105.46442400528483</v>
      </c>
      <c r="G15" s="315">
        <f>+((VLOOKUP($A15,[1]OECDTable14a!$A$15:$XO$66,232,0)-VLOOKUP($A15,[1]OECDTable14a!$A$15:$XO$66,243,0)+VLOOKUP($A15,[1]OECDTable14a!$A$15:$XO$66,237,0))/VLOOKUP($A15,[1]FX!$B$2:$D$54,3,0))/1000</f>
        <v>6.6891203821332379</v>
      </c>
      <c r="H15" s="315">
        <f>+G$100*$D15</f>
        <v>23.409420276469955</v>
      </c>
      <c r="I15" s="986">
        <f t="shared" si="3"/>
        <v>33.621485765503721</v>
      </c>
      <c r="J15" s="336">
        <f t="shared" si="8"/>
        <v>0.13836626366700144</v>
      </c>
      <c r="K15" s="436">
        <f t="shared" si="9"/>
        <v>0.66290692851956134</v>
      </c>
      <c r="L15" s="987">
        <f t="shared" si="1"/>
        <v>0.19872680781343716</v>
      </c>
      <c r="M15" s="315">
        <f>+(VLOOKUP($A15,[1]OECDTable14a!$A$15:$XO$66,11,0)/VLOOKUP($A15,[1]FX!$B$2:$D$54,3,0))/1000</f>
        <v>39.383180039636166</v>
      </c>
      <c r="N15" s="995">
        <f t="shared" si="6"/>
        <v>0.21079694145698352</v>
      </c>
      <c r="O15" s="315"/>
      <c r="P15" s="429">
        <f t="shared" si="4"/>
        <v>0</v>
      </c>
      <c r="Q15" s="429">
        <f t="shared" si="7"/>
        <v>0</v>
      </c>
      <c r="R15" s="1000">
        <f>TableA2!G15/TableA1!M15</f>
        <v>0.64761653094571814</v>
      </c>
    </row>
    <row r="16" spans="1:18" ht="14.25" customHeight="1" x14ac:dyDescent="0.35">
      <c r="A16" s="15" t="s">
        <v>59</v>
      </c>
      <c r="B16" s="334">
        <f>+(VLOOKUP($A16,[1]OECDTable14a!$A$15:$XO$66,10,0)/VLOOKUP($A16,[1]FX!$B$2:$D$54,3,0))/1000</f>
        <v>301.29845730626181</v>
      </c>
      <c r="C16" s="986">
        <f>+((VLOOKUP($A16,[1]OECDTable14a!$A$15:$XO$66,22,0)-VLOOKUP($A16,[1]OECDTable14a!$A$15:$XO$66,15,0))/VLOOKUP($A16,[1]FX!$B$2:$D$54,3,0))/1000</f>
        <v>42.369491730489145</v>
      </c>
      <c r="D16" s="335">
        <f t="shared" si="2"/>
        <v>258.92896557577268</v>
      </c>
      <c r="E16" s="314">
        <f t="shared" si="5"/>
        <v>171.31642871995703</v>
      </c>
      <c r="F16" s="315">
        <f>+((VLOOKUP($A16,[1]OECDTable14a!$A$15:$XO$66,132,0)-VLOOKUP($A16,[1]OECDTable14a!$A$15:$XO$66,143,0)+VLOOKUP($A16,[1]OECDTable14a!$A$15:$XO$66,137,0))/VLOOKUP($A16,[1]FX!$B$2:$D$54,3,0))/1000</f>
        <v>156.43854767909247</v>
      </c>
      <c r="G16" s="315">
        <f>+((VLOOKUP($A16,[1]OECDTable14a!$A$15:$XO$66,232,0)-VLOOKUP($A16,[1]OECDTable14a!$A$15:$XO$66,243,0)+VLOOKUP($A16,[1]OECDTable14a!$A$15:$XO$66,237,0))/VLOOKUP($A16,[1]FX!$B$2:$D$54,3,0))/1000</f>
        <v>14.877881040864565</v>
      </c>
      <c r="H16" s="315">
        <f>+((VLOOKUP($A16,[1]OECDTable14a!$A$15:$XO$66,332,0)-VLOOKUP($A16,[1]OECDTable14a!$A$15:$XO$66,343,0)+VLOOKUP($A16,[1]OECDTable14a!$A$15:$XO$66,337,0))/VLOOKUP($A16,[1]FX!$B$2:$D$54,3,0))/1000</f>
        <v>56.930632364567465</v>
      </c>
      <c r="I16" s="986">
        <f t="shared" si="3"/>
        <v>30.681904491248183</v>
      </c>
      <c r="J16" s="336">
        <f t="shared" si="8"/>
        <v>0.21986969375161447</v>
      </c>
      <c r="K16" s="436">
        <f t="shared" si="9"/>
        <v>0.66163485548635226</v>
      </c>
      <c r="L16" s="987">
        <f t="shared" si="1"/>
        <v>0.11849545076203329</v>
      </c>
      <c r="M16" s="315">
        <f>+(VLOOKUP($A16,[1]OECDTable14a!$A$15:$XO$66,11,0)/VLOOKUP($A16,[1]FX!$B$2:$D$54,3,0))/1000</f>
        <v>50.051375561523066</v>
      </c>
      <c r="N16" s="995">
        <f t="shared" si="6"/>
        <v>0.16611892410271184</v>
      </c>
      <c r="O16" s="315"/>
      <c r="P16" s="429">
        <f t="shared" si="4"/>
        <v>0</v>
      </c>
      <c r="Q16" s="429">
        <f t="shared" si="7"/>
        <v>0</v>
      </c>
      <c r="R16" s="1000">
        <f>TableA2!G16/TableA1!M16</f>
        <v>0.62894034287479106</v>
      </c>
    </row>
    <row r="17" spans="1:18" ht="14.25" customHeight="1" x14ac:dyDescent="0.35">
      <c r="A17" s="15" t="s">
        <v>60</v>
      </c>
      <c r="B17" s="334">
        <f>+(VLOOKUP($A17,[1]OECDTable14a!$A$15:$XO$66,10,0)/VLOOKUP($A17,[1]FX!$B$2:$D$54,3,0))/1000</f>
        <v>22.46048672502576</v>
      </c>
      <c r="C17" s="986">
        <f>+((VLOOKUP($A17,[1]OECDTable14a!$A$15:$XO$66,22,0)-VLOOKUP($A17,[1]OECDTable14a!$A$15:$XO$66,15,0))/VLOOKUP($A17,[1]FX!$B$2:$D$54,3,0))/1000</f>
        <v>2.9761805738089455</v>
      </c>
      <c r="D17" s="335">
        <f t="shared" si="2"/>
        <v>19.484306151216813</v>
      </c>
      <c r="E17" s="314">
        <f t="shared" si="5"/>
        <v>14.300084621791608</v>
      </c>
      <c r="F17" s="315">
        <f>+((VLOOKUP($A17,[1]OECDTable14a!$A$15:$XO$66,132,0)-VLOOKUP($A17,[1]OECDTable14a!$A$15:$XO$66,143,0)+VLOOKUP($A17,[1]OECDTable14a!$A$15:$XO$66,137,0))/VLOOKUP($A17,[1]FX!$B$2:$D$54,3,0))/1000</f>
        <v>13.555235404959081</v>
      </c>
      <c r="G17" s="315">
        <f>+((VLOOKUP($A17,[1]OECDTable14a!$A$15:$XO$66,232,0)-VLOOKUP($A17,[1]OECDTable14a!$A$15:$XO$66,243,0)+VLOOKUP($A17,[1]OECDTable14a!$A$15:$XO$66,237,0))/VLOOKUP($A17,[1]FX!$B$2:$D$54,3,0))/1000</f>
        <v>0.74484921683252769</v>
      </c>
      <c r="H17" s="315">
        <f>+((VLOOKUP($A17,[1]OECDTable14a!$A$15:$XO$66,332,0)-VLOOKUP($A17,[1]OECDTable14a!$A$15:$XO$66,343,0)+VLOOKUP($A17,[1]OECDTable14a!$A$15:$XO$66,337,0))/VLOOKUP($A17,[1]FX!$B$2:$D$54,3,0))/1000</f>
        <v>3.2878283253425074</v>
      </c>
      <c r="I17" s="986">
        <f t="shared" si="3"/>
        <v>1.8963932040826976</v>
      </c>
      <c r="J17" s="336">
        <f t="shared" si="8"/>
        <v>0.16874238681253628</v>
      </c>
      <c r="K17" s="436">
        <f t="shared" si="9"/>
        <v>0.73392834781024807</v>
      </c>
      <c r="L17" s="987">
        <f t="shared" si="1"/>
        <v>9.7329265377215701E-2</v>
      </c>
      <c r="M17" s="315">
        <f>+(VLOOKUP($A17,[1]OECDTable14a!$A$15:$XO$66,11,0)/VLOOKUP($A17,[1]FX!$B$2:$D$54,3,0))/1000</f>
        <v>3.6165557045401866</v>
      </c>
      <c r="N17" s="995">
        <f t="shared" si="6"/>
        <v>0.16101858115614984</v>
      </c>
      <c r="O17" s="315"/>
      <c r="P17" s="429">
        <f t="shared" si="4"/>
        <v>0</v>
      </c>
      <c r="Q17" s="429">
        <f t="shared" si="7"/>
        <v>0</v>
      </c>
      <c r="R17" s="1000">
        <f>TableA2!G17/TableA1!M17</f>
        <v>0.63813671072403322</v>
      </c>
    </row>
    <row r="18" spans="1:18" ht="14.25" customHeight="1" x14ac:dyDescent="0.35">
      <c r="A18" s="15" t="s">
        <v>61</v>
      </c>
      <c r="B18" s="334">
        <f>+(VLOOKUP($A18,[1]OECDTable14a!$A$15:$XO$66,10,0)/VLOOKUP($A18,[1]FX!$B$2:$D$54,3,0))/1000</f>
        <v>232.46482317594567</v>
      </c>
      <c r="C18" s="986">
        <f>+((VLOOKUP($A18,[1]OECDTable14a!$A$15:$XO$66,22,0)-VLOOKUP($A18,[1]OECDTable14a!$A$15:$XO$66,15,0))/VLOOKUP($A18,[1]FX!$B$2:$D$54,3,0))/1000</f>
        <v>29.203945172177065</v>
      </c>
      <c r="D18" s="335">
        <f t="shared" si="2"/>
        <v>203.2608780037686</v>
      </c>
      <c r="E18" s="314">
        <f t="shared" si="5"/>
        <v>127.77114186183469</v>
      </c>
      <c r="F18" s="315">
        <f>+((VLOOKUP($A18,[1]OECDTable14a!$A$15:$XO$66,132,0)-VLOOKUP($A18,[1]OECDTable14a!$A$15:$XO$66,143,0)+VLOOKUP($A18,[1]OECDTable14a!$A$15:$XO$66,137,0))/VLOOKUP($A18,[1]FX!$B$2:$D$54,3,0))/1000</f>
        <v>121.94743245506339</v>
      </c>
      <c r="G18" s="315">
        <f>+((VLOOKUP($A18,[1]OECDTable14a!$A$15:$XO$66,232,0)-VLOOKUP($A18,[1]OECDTable14a!$A$15:$XO$66,243,0)+VLOOKUP($A18,[1]OECDTable14a!$A$15:$XO$66,237,0))/VLOOKUP($A18,[1]FX!$B$2:$D$54,3,0))/1000</f>
        <v>5.8237094067712958</v>
      </c>
      <c r="H18" s="315">
        <f>+((VLOOKUP($A18,[1]OECDTable14a!$A$15:$XO$66,332,0)-VLOOKUP($A18,[1]OECDTable14a!$A$15:$XO$66,343,0)+VLOOKUP($A18,[1]OECDTable14a!$A$15:$XO$66,337,0))/VLOOKUP($A18,[1]FX!$B$2:$D$54,3,0))/1000</f>
        <v>40.825855450896626</v>
      </c>
      <c r="I18" s="986">
        <f t="shared" si="3"/>
        <v>34.663880691037278</v>
      </c>
      <c r="J18" s="336">
        <f t="shared" si="8"/>
        <v>0.20085446767645904</v>
      </c>
      <c r="K18" s="436">
        <f t="shared" si="9"/>
        <v>0.62860666113754426</v>
      </c>
      <c r="L18" s="987">
        <f t="shared" si="1"/>
        <v>0.17053887118599667</v>
      </c>
      <c r="M18" s="315">
        <f>+(VLOOKUP($A18,[1]OECDTable14a!$A$15:$XO$66,11,0)/VLOOKUP($A18,[1]FX!$B$2:$D$54,3,0))/1000</f>
        <v>44.046585238987248</v>
      </c>
      <c r="N18" s="995">
        <f t="shared" si="6"/>
        <v>0.18947634587126203</v>
      </c>
      <c r="O18" s="315"/>
      <c r="P18" s="429">
        <f t="shared" si="4"/>
        <v>0</v>
      </c>
      <c r="Q18" s="429">
        <f t="shared" si="7"/>
        <v>0</v>
      </c>
      <c r="R18" s="1000">
        <f>TableA2!G18/TableA1!M18</f>
        <v>0.58516933148684369</v>
      </c>
    </row>
    <row r="19" spans="1:18" ht="14.25" customHeight="1" x14ac:dyDescent="0.35">
      <c r="A19" s="15" t="s">
        <v>48</v>
      </c>
      <c r="B19" s="334">
        <f>+(VLOOKUP($A19,[1]OECDTable14a!$A$15:$XO$66,10,0)/VLOOKUP($A19,[1]FX!$B$2:$D$54,3,0))/1000</f>
        <v>2433.5619119866824</v>
      </c>
      <c r="C19" s="986">
        <f>+((VLOOKUP($A19,[1]OECDTable14a!$A$15:$XO$66,22,0)-VLOOKUP($A19,[1]OECDTable14a!$A$15:$XO$66,15,0))/VLOOKUP($A19,[1]FX!$B$2:$D$54,3,0))/1000</f>
        <v>316.09510912662103</v>
      </c>
      <c r="D19" s="335">
        <f t="shared" si="2"/>
        <v>2117.4668028600613</v>
      </c>
      <c r="E19" s="314">
        <f t="shared" si="5"/>
        <v>1308.4658390810716</v>
      </c>
      <c r="F19" s="315">
        <f>+((VLOOKUP($A19,[1]OECDTable14a!$A$15:$XO$66,132,0)-VLOOKUP($A19,[1]OECDTable14a!$A$15:$XO$66,143,0)+VLOOKUP($A19,[1]OECDTable14a!$A$15:$XO$66,137,0))/VLOOKUP($A19,[1]FX!$B$2:$D$54,3,0))/1000</f>
        <v>1208.8882825990756</v>
      </c>
      <c r="G19" s="315">
        <f>+((VLOOKUP($A19,[1]OECDTable14a!$A$15:$XO$66,232,0)-VLOOKUP($A19,[1]OECDTable14a!$A$15:$XO$66,243,0)+VLOOKUP($A19,[1]OECDTable14a!$A$15:$XO$66,237,0))/VLOOKUP($A19,[1]FX!$B$2:$D$54,3,0))/1000</f>
        <v>99.57755648199597</v>
      </c>
      <c r="H19" s="315">
        <f>+((VLOOKUP($A19,[1]OECDTable14a!$A$15:$XO$66,332,0)-VLOOKUP($A19,[1]OECDTable14a!$A$15:$XO$66,343,0)+VLOOKUP($A19,[1]OECDTable14a!$A$15:$XO$66,337,0))/VLOOKUP($A19,[1]FX!$B$2:$D$54,3,0))/1000</f>
        <v>395.77822658011507</v>
      </c>
      <c r="I19" s="986">
        <f t="shared" si="3"/>
        <v>413.2227371988746</v>
      </c>
      <c r="J19" s="336">
        <f t="shared" si="8"/>
        <v>0.18691118370570797</v>
      </c>
      <c r="K19" s="436">
        <f t="shared" si="9"/>
        <v>0.61793924575994652</v>
      </c>
      <c r="L19" s="987">
        <f t="shared" si="1"/>
        <v>0.19514957053434551</v>
      </c>
      <c r="M19" s="315">
        <f>+(VLOOKUP($A19,[1]OECDTable14a!$A$15:$XO$66,11,0)/VLOOKUP($A19,[1]FX!$B$2:$D$54,3,0))/1000</f>
        <v>435.5327235684444</v>
      </c>
      <c r="N19" s="995">
        <f t="shared" si="6"/>
        <v>0.17896923904964035</v>
      </c>
      <c r="O19" s="315"/>
      <c r="P19" s="429">
        <f t="shared" si="4"/>
        <v>0</v>
      </c>
      <c r="Q19" s="429">
        <f t="shared" si="7"/>
        <v>0</v>
      </c>
      <c r="R19" s="1000">
        <f>TableA2!G19/TableA1!M19</f>
        <v>0.60249756813054178</v>
      </c>
    </row>
    <row r="20" spans="1:18" s="1974" customFormat="1" ht="14.25" customHeight="1" x14ac:dyDescent="0.35">
      <c r="A20" s="1977" t="s">
        <v>62</v>
      </c>
      <c r="B20" s="1963">
        <f>+(VLOOKUP($A20,[1]OECDTable14a!$A$15:$XO$66,10,0)/VLOOKUP($A20,[1]FX!$B$2:$D$54,3,0))/1000</f>
        <v>3375.6109571356801</v>
      </c>
      <c r="C20" s="1978">
        <f>+((VLOOKUP($A20,[1]OECDTable14a!$A$15:$XO$66,22,0)-VLOOKUP($A20,[1]OECDTable14a!$A$15:$XO$66,15,0))/VLOOKUP($A20,[1]FX!$B$2:$D$54,3,0))/1000</f>
        <v>333.98102830449204</v>
      </c>
      <c r="D20" s="1979">
        <f t="shared" si="2"/>
        <v>3041.629928831188</v>
      </c>
      <c r="E20" s="1980">
        <f t="shared" si="5"/>
        <v>2072.973263728305</v>
      </c>
      <c r="F20" s="1981">
        <f>+((VLOOKUP($A20,[1]OECDTable14a!$A$15:$XO$66,132,0)-VLOOKUP($A20,[1]OECDTable14a!$A$15:$XO$66,143,0)+VLOOKUP($A20,[1]OECDTable14a!$A$15:$XO$66,137,0))/VLOOKUP($A20,[1]FX!$B$2:$D$54,3,0))/1000</f>
        <v>1955.0417619077721</v>
      </c>
      <c r="G20" s="1981">
        <f>+((VLOOKUP($A20,[1]OECDTable14a!$A$15:$XO$66,232,0)-VLOOKUP($A20,[1]OECDTable14a!$A$15:$XO$66,243,0)+VLOOKUP($A20,[1]OECDTable14a!$A$15:$XO$66,237,0))/VLOOKUP($A20,[1]FX!$B$2:$D$54,3,0))/1000</f>
        <v>117.93150182053304</v>
      </c>
      <c r="H20" s="1981">
        <f>+((VLOOKUP($A20,[1]OECDTable14a!$A$15:$XO$66,332,0)-VLOOKUP($A20,[1]OECDTable14a!$A$15:$XO$66,343,0)+VLOOKUP($A20,[1]OECDTable14a!$A$15:$XO$66,337,0))/VLOOKUP($A20,[1]FX!$B$2:$D$54,3,0))/1000</f>
        <v>325.08409498491113</v>
      </c>
      <c r="I20" s="1978">
        <f t="shared" si="3"/>
        <v>643.57257011797174</v>
      </c>
      <c r="J20" s="1982">
        <f t="shared" si="8"/>
        <v>0.10687825363088524</v>
      </c>
      <c r="K20" s="1983">
        <f t="shared" si="9"/>
        <v>0.68153368826328253</v>
      </c>
      <c r="L20" s="1984">
        <f t="shared" si="1"/>
        <v>0.21158805810583223</v>
      </c>
      <c r="M20" s="1981">
        <f>+(VLOOKUP($A20,[1]OECDTable14a!$A$15:$XO$66,11,0)/VLOOKUP($A20,[1]FX!$B$2:$D$54,3,0))/1000</f>
        <v>594.59285605755611</v>
      </c>
      <c r="N20" s="1985">
        <f t="shared" si="6"/>
        <v>0.17614377474413942</v>
      </c>
      <c r="O20" s="1981"/>
      <c r="P20" s="1986">
        <f t="shared" si="4"/>
        <v>0</v>
      </c>
      <c r="Q20" s="1986">
        <f t="shared" si="7"/>
        <v>0</v>
      </c>
      <c r="R20" s="1987">
        <f>TableA2!G20/TableA1!M20</f>
        <v>0.57656308289188984</v>
      </c>
    </row>
    <row r="21" spans="1:18" ht="14.25" customHeight="1" x14ac:dyDescent="0.35">
      <c r="A21" s="15" t="s">
        <v>63</v>
      </c>
      <c r="B21" s="334">
        <f>+(VLOOKUP($A21,[1]OECDTable14a!$A$15:$XO$66,10,0)/VLOOKUP($A21,[1]FX!$B$2:$D$54,3,0))/1000</f>
        <v>194.86048960859924</v>
      </c>
      <c r="C21" s="986">
        <f>+((VLOOKUP($A21,[1]OECDTable14a!$A$15:$XO$66,22,0)-VLOOKUP($A21,[1]OECDTable14a!$A$15:$XO$66,15,0))/VLOOKUP($A21,[1]FX!$B$2:$D$54,3,0))/1000</f>
        <v>26.741065635678233</v>
      </c>
      <c r="D21" s="335">
        <f t="shared" si="2"/>
        <v>168.119423972921</v>
      </c>
      <c r="E21" s="314">
        <f t="shared" si="5"/>
        <v>65.374766181006336</v>
      </c>
      <c r="F21" s="315">
        <f>+((VLOOKUP($A21,[1]OECDTable14a!$A$15:$XO$66,132,0)-VLOOKUP($A21,[1]OECDTable14a!$A$15:$XO$66,143,0)+VLOOKUP($A21,[1]OECDTable14a!$A$15:$XO$66,137,0))/VLOOKUP($A21,[1]FX!$B$2:$D$54,3,0))/1000</f>
        <v>57.459378101921011</v>
      </c>
      <c r="G21" s="315">
        <f>+((VLOOKUP($A21,[1]OECDTable14a!$A$15:$XO$66,232,0)-VLOOKUP($A21,[1]OECDTable14a!$A$15:$XO$66,243,0)+VLOOKUP($A21,[1]OECDTable14a!$A$15:$XO$66,237,0))/VLOOKUP($A21,[1]FX!$B$2:$D$54,3,0))/1000</f>
        <v>7.9153880790853313</v>
      </c>
      <c r="H21" s="315">
        <f>+((VLOOKUP($A21,[1]OECDTable14a!$A$15:$XO$66,332,0)-VLOOKUP($A21,[1]OECDTable14a!$A$15:$XO$66,343,0)+VLOOKUP($A21,[1]OECDTable14a!$A$15:$XO$66,337,0))/VLOOKUP($A21,[1]FX!$B$2:$D$54,3,0))/1000</f>
        <v>30.928569891721814</v>
      </c>
      <c r="I21" s="986">
        <f t="shared" si="3"/>
        <v>71.816087900192855</v>
      </c>
      <c r="J21" s="336">
        <f t="shared" si="8"/>
        <v>0.18396785547340133</v>
      </c>
      <c r="K21" s="436">
        <f t="shared" si="9"/>
        <v>0.38885908978332123</v>
      </c>
      <c r="L21" s="987">
        <f t="shared" si="1"/>
        <v>0.42717305474327744</v>
      </c>
      <c r="M21" s="315">
        <f>+(VLOOKUP($A21,[1]OECDTable14a!$A$15:$XO$66,11,0)/VLOOKUP($A21,[1]FX!$B$2:$D$54,3,0))/1000</f>
        <v>38.144587366177234</v>
      </c>
      <c r="N21" s="995">
        <f t="shared" si="6"/>
        <v>0.19575331788807074</v>
      </c>
      <c r="O21" s="315"/>
      <c r="P21" s="429">
        <f t="shared" si="4"/>
        <v>0</v>
      </c>
      <c r="Q21" s="429">
        <f t="shared" si="7"/>
        <v>0</v>
      </c>
      <c r="R21" s="1000">
        <f>TableA2!G21/TableA1!M21</f>
        <v>0.46775242019107133</v>
      </c>
    </row>
    <row r="22" spans="1:18" ht="14.25" customHeight="1" x14ac:dyDescent="0.35">
      <c r="A22" s="15" t="s">
        <v>64</v>
      </c>
      <c r="B22" s="334">
        <f>+(VLOOKUP($A22,[1]OECDTable14a!$A$15:$XO$66,10,0)/VLOOKUP($A22,[1]FX!$B$2:$D$54,3,0))/1000</f>
        <v>121.71520320764681</v>
      </c>
      <c r="C22" s="986">
        <f>+((VLOOKUP($A22,[1]OECDTable14a!$A$15:$XO$66,22,0)-VLOOKUP($A22,[1]OECDTable14a!$A$15:$XO$66,15,0))/VLOOKUP($A22,[1]FX!$B$2:$D$54,3,0))/1000</f>
        <v>19.763708125620902</v>
      </c>
      <c r="D22" s="335">
        <f t="shared" si="2"/>
        <v>101.9514950820259</v>
      </c>
      <c r="E22" s="314">
        <f t="shared" si="5"/>
        <v>66.600399165868637</v>
      </c>
      <c r="F22" s="315">
        <f>+((VLOOKUP($A22,[1]OECDTable14a!$A$15:$XO$66,132,0)-VLOOKUP($A22,[1]OECDTable14a!$A$15:$XO$66,143,0)+VLOOKUP($A22,[1]OECDTable14a!$A$15:$XO$66,137,0))/VLOOKUP($A22,[1]FX!$B$2:$D$54,3,0))/1000</f>
        <v>63.378081676854649</v>
      </c>
      <c r="G22" s="315">
        <f>+((VLOOKUP($A22,[1]OECDTable14a!$A$15:$XO$66,232,0)-VLOOKUP($A22,[1]OECDTable14a!$A$15:$XO$66,243,0)+VLOOKUP($A22,[1]OECDTable14a!$A$15:$XO$66,237,0))/VLOOKUP($A22,[1]FX!$B$2:$D$54,3,0))/1000</f>
        <v>3.2223174890139892</v>
      </c>
      <c r="H22" s="315">
        <f>+((VLOOKUP($A22,[1]OECDTable14a!$A$15:$XO$66,332,0)-VLOOKUP($A22,[1]OECDTable14a!$A$15:$XO$66,343,0)+VLOOKUP($A22,[1]OECDTable14a!$A$15:$XO$66,337,0))/VLOOKUP($A22,[1]FX!$B$2:$D$54,3,0))/1000</f>
        <v>17.133366149660354</v>
      </c>
      <c r="I22" s="986">
        <f t="shared" si="3"/>
        <v>18.217729766496909</v>
      </c>
      <c r="J22" s="336">
        <f t="shared" si="8"/>
        <v>0.16805409411480984</v>
      </c>
      <c r="K22" s="436">
        <f t="shared" si="9"/>
        <v>0.65325573805744341</v>
      </c>
      <c r="L22" s="987">
        <f t="shared" si="1"/>
        <v>0.17869016782774677</v>
      </c>
      <c r="M22" s="315">
        <f>+(VLOOKUP($A22,[1]OECDTable14a!$A$15:$XO$66,11,0)/VLOOKUP($A22,[1]FX!$B$2:$D$54,3,0))/1000</f>
        <v>20.811649199430786</v>
      </c>
      <c r="N22" s="995">
        <f t="shared" si="6"/>
        <v>0.17098643925299944</v>
      </c>
      <c r="O22" s="315"/>
      <c r="P22" s="429">
        <f t="shared" si="4"/>
        <v>0</v>
      </c>
      <c r="Q22" s="429">
        <f t="shared" si="7"/>
        <v>0</v>
      </c>
      <c r="R22" s="1000">
        <f>TableA2!G22/TableA1!M22</f>
        <v>0.61749157545451261</v>
      </c>
    </row>
    <row r="23" spans="1:18" ht="14.25" customHeight="1" x14ac:dyDescent="0.35">
      <c r="A23" s="15" t="s">
        <v>65</v>
      </c>
      <c r="B23" s="334">
        <f>+(VLOOKUP($A23,[1]OECDTable14a!$A$15:$XO$66,10,0)/VLOOKUP($A23,[1]FX!$B$2:$D$54,3,0))/1000</f>
        <v>16.779599977895479</v>
      </c>
      <c r="C23" s="986">
        <f>+((VLOOKUP($A23,[1]OECDTable14a!$A$15:$XO$66,22,0)-VLOOKUP($A23,[1]OECDTable14a!$A$15:$XO$66,15,0))/VLOOKUP($A23,[1]FX!$B$2:$D$54,3,0))/1000</f>
        <v>2.3213715135631632</v>
      </c>
      <c r="D23" s="335">
        <f>B23-C23</f>
        <v>14.458228464332317</v>
      </c>
      <c r="E23" s="314">
        <f>+D$100*$D23</f>
        <v>8.7968397543178742</v>
      </c>
      <c r="F23" s="315">
        <f>+E$100*$E23</f>
        <v>7.8626017902984664</v>
      </c>
      <c r="G23" s="315">
        <f>+F$100*$E23</f>
        <v>0.93423796401940751</v>
      </c>
      <c r="H23" s="315">
        <f>+((VLOOKUP($A23,[1]OECDTable14a!$A$15:$XO$66,332,0)-VLOOKUP($A23,[1]OECDTable14a!$A$15:$XO$66,343,0)+VLOOKUP($A23,[1]OECDTable14a!$A$15:$XO$66,337,0))/VLOOKUP($A23,[1]FX!$B$2:$D$54,3,0))/1000</f>
        <v>2.7194512628269329</v>
      </c>
      <c r="I23" s="986">
        <f>D23-E23-H23</f>
        <v>2.9419374471875095</v>
      </c>
      <c r="J23" s="336">
        <f t="shared" si="8"/>
        <v>0.18809021240297005</v>
      </c>
      <c r="K23" s="436">
        <f t="shared" si="9"/>
        <v>0.60843137013771853</v>
      </c>
      <c r="L23" s="987">
        <f t="shared" si="1"/>
        <v>0.20347841745931136</v>
      </c>
      <c r="M23" s="315">
        <f>+(VLOOKUP($A23,[1]OECDTable14a!$A$15:$XO$66,11,0)/VLOOKUP($A23,[1]FX!$B$2:$D$54,3,0))/1000</f>
        <v>2.4532468919685462</v>
      </c>
      <c r="N23" s="995">
        <f t="shared" si="6"/>
        <v>0.14620413449666966</v>
      </c>
      <c r="O23" s="315"/>
      <c r="P23" s="429">
        <f t="shared" si="4"/>
        <v>0</v>
      </c>
      <c r="Q23" s="429">
        <f t="shared" si="7"/>
        <v>0</v>
      </c>
      <c r="R23" s="1000">
        <f>TableA2!G23/TableA1!M23</f>
        <v>0.61877180196157067</v>
      </c>
    </row>
    <row r="24" spans="1:18" ht="14.25" customHeight="1" x14ac:dyDescent="0.35">
      <c r="A24" s="15" t="s">
        <v>19</v>
      </c>
      <c r="B24" s="334">
        <f>+(VLOOKUP($A24,[1]OECDTable14a!$A$15:$XO$66,10,0)/VLOOKUP($A24,[1]FX!$B$2:$D$54,3,0))/1000</f>
        <v>290.61710602345232</v>
      </c>
      <c r="C24" s="986">
        <f>+((VLOOKUP($A24,[1]OECDTable14a!$A$15:$XO$66,22,0)-VLOOKUP($A24,[1]OECDTable14a!$A$15:$XO$66,15,0))/VLOOKUP($A24,[1]FX!$B$2:$D$54,3,0))/1000</f>
        <v>21.642864431009951</v>
      </c>
      <c r="D24" s="335">
        <f t="shared" si="2"/>
        <v>268.97424159244235</v>
      </c>
      <c r="E24" s="314">
        <f t="shared" si="5"/>
        <v>216.35996679454206</v>
      </c>
      <c r="F24" s="315">
        <f>+((VLOOKUP($A24,[1]OECDTable14a!$A$15:$XO$66,132,0)-VLOOKUP($A24,[1]OECDTable14a!$A$15:$XO$66,143,0)+VLOOKUP($A24,[1]OECDTable14a!$A$15:$XO$66,137,0))/VLOOKUP($A24,[1]FX!$B$2:$D$54,3,0))/1000</f>
        <v>198.23817651684283</v>
      </c>
      <c r="G24" s="315">
        <f>+((VLOOKUP($A24,[1]OECDTable14a!$A$15:$XO$66,232,0)-VLOOKUP($A24,[1]OECDTable14a!$A$15:$XO$66,243,0)+VLOOKUP($A24,[1]OECDTable14a!$A$15:$XO$66,237,0))/VLOOKUP($A24,[1]FX!$B$2:$D$54,3,0))/1000</f>
        <v>18.121790277699219</v>
      </c>
      <c r="H24" s="315">
        <f>+((VLOOKUP($A24,[1]OECDTable14a!$A$15:$XO$66,332,0)-VLOOKUP($A24,[1]OECDTable14a!$A$15:$XO$66,343,0)+VLOOKUP($A24,[1]OECDTable14a!$A$15:$XO$66,337,0))/VLOOKUP($A24,[1]FX!$B$2:$D$54,3,0))/1000</f>
        <v>25.388975322156163</v>
      </c>
      <c r="I24" s="986">
        <f t="shared" si="3"/>
        <v>27.22529947574413</v>
      </c>
      <c r="J24" s="336">
        <f t="shared" si="8"/>
        <v>9.43918464899932E-2</v>
      </c>
      <c r="K24" s="436">
        <f t="shared" si="9"/>
        <v>0.8043891694371873</v>
      </c>
      <c r="L24" s="987">
        <f t="shared" si="1"/>
        <v>0.10121898407281951</v>
      </c>
      <c r="M24" s="315">
        <f>+(VLOOKUP($A24,[1]OECDTable14a!$A$15:$XO$66,11,0)/VLOOKUP($A24,[1]FX!$B$2:$D$54,3,0))/1000</f>
        <v>62.974323996100523</v>
      </c>
      <c r="N24" s="995">
        <f t="shared" si="6"/>
        <v>0.21669173180404117</v>
      </c>
      <c r="O24" s="315"/>
      <c r="P24" s="429">
        <f t="shared" si="4"/>
        <v>0</v>
      </c>
      <c r="Q24" s="429">
        <f t="shared" si="7"/>
        <v>0</v>
      </c>
      <c r="R24" s="1000">
        <f>TableA2!G24/TableA1!M24</f>
        <v>0.85958509346182332</v>
      </c>
    </row>
    <row r="25" spans="1:18" ht="14.25" customHeight="1" x14ac:dyDescent="0.35">
      <c r="A25" s="15" t="s">
        <v>95</v>
      </c>
      <c r="B25" s="334">
        <f>+(VLOOKUP($A25,[1]OECDTable14a!$A$15:$XO$66,10,0)/VLOOKUP($A25,[1]FX!$B$2:$D$54,3,0))/1000</f>
        <v>299.09387264644505</v>
      </c>
      <c r="C25" s="986">
        <f>+((VLOOKUP($A25,[1]OECDTable14a!$A$15:$XO$66,22,0)-VLOOKUP($A25,[1]OECDTable14a!$A$15:$XO$66,15,0))/VLOOKUP($A25,[1]FX!$B$2:$D$54,3,0))/1000</f>
        <v>41.443413802445328</v>
      </c>
      <c r="D25" s="335">
        <f t="shared" si="2"/>
        <v>257.65045884399973</v>
      </c>
      <c r="E25" s="314">
        <f t="shared" si="5"/>
        <v>168.61095158963607</v>
      </c>
      <c r="F25" s="315">
        <f>+((VLOOKUP($A25,[1]OECDTable14a!$A$15:$XO$66,132,0)-VLOOKUP($A25,[1]OECDTable14a!$A$15:$XO$66,143,0)+VLOOKUP($A25,[1]OECDTable14a!$A$15:$XO$66,137,0))/VLOOKUP($A25,[1]FX!$B$2:$D$54,3,0))/1000</f>
        <v>156.86592670691022</v>
      </c>
      <c r="G25" s="315">
        <f>+((VLOOKUP($A25,[1]OECDTable14a!$A$15:$XO$66,232,0)-VLOOKUP($A25,[1]OECDTable14a!$A$15:$XO$66,243,0)+VLOOKUP($A25,[1]OECDTable14a!$A$15:$XO$66,237,0))/VLOOKUP($A25,[1]FX!$B$2:$D$54,3,0))/1000</f>
        <v>11.745024882725858</v>
      </c>
      <c r="H25" s="315">
        <f>+((VLOOKUP($A25,[1]OECDTable14a!$A$15:$XO$66,332,0)-VLOOKUP($A25,[1]OECDTable14a!$A$15:$XO$66,343,0)+VLOOKUP($A25,[1]OECDTable14a!$A$15:$XO$66,337,0))/VLOOKUP($A25,[1]FX!$B$2:$D$54,3,0))/1000</f>
        <v>36.217430231759373</v>
      </c>
      <c r="I25" s="986">
        <f t="shared" si="3"/>
        <v>52.822077022604283</v>
      </c>
      <c r="J25" s="336">
        <f t="shared" si="8"/>
        <v>0.1405680796931475</v>
      </c>
      <c r="K25" s="436">
        <f t="shared" si="9"/>
        <v>0.65441743184212753</v>
      </c>
      <c r="L25" s="987">
        <f t="shared" si="1"/>
        <v>0.20501448846472498</v>
      </c>
      <c r="M25" s="315">
        <f>+(VLOOKUP($A25,[1]OECDTable14a!$A$15:$XO$66,11,0)/VLOOKUP($A25,[1]FX!$B$2:$D$54,3,0))/1000</f>
        <v>38.970148858981077</v>
      </c>
      <c r="N25" s="995">
        <f t="shared" si="6"/>
        <v>0.1302940395072793</v>
      </c>
      <c r="O25" s="315"/>
      <c r="P25" s="429">
        <f t="shared" si="4"/>
        <v>0</v>
      </c>
      <c r="Q25" s="429">
        <f t="shared" si="7"/>
        <v>0</v>
      </c>
      <c r="R25" s="1000">
        <f>TableA2!G25/TableA1!M25</f>
        <v>0.58484805056438849</v>
      </c>
    </row>
    <row r="26" spans="1:18" ht="14.25" customHeight="1" x14ac:dyDescent="0.35">
      <c r="A26" s="15" t="s">
        <v>66</v>
      </c>
      <c r="B26" s="334">
        <f>+(VLOOKUP($A26,[1]OECDTable14a!$A$15:$XO$66,10,0)/VLOOKUP($A26,[1]FX!$B$2:$D$54,3,0))/1000</f>
        <v>1832.3473730090866</v>
      </c>
      <c r="C26" s="986">
        <f>+((VLOOKUP($A26,[1]OECDTable14a!$A$15:$XO$66,22,0)-VLOOKUP($A26,[1]OECDTable14a!$A$15:$XO$66,15,0))/VLOOKUP($A26,[1]FX!$B$2:$D$54,3,0))/1000</f>
        <v>243.08435894279324</v>
      </c>
      <c r="D26" s="335">
        <f t="shared" si="2"/>
        <v>1589.2630140662934</v>
      </c>
      <c r="E26" s="314">
        <f t="shared" si="5"/>
        <v>872.75122856867165</v>
      </c>
      <c r="F26" s="315">
        <f>+((VLOOKUP($A26,[1]OECDTable14a!$A$15:$XO$66,132,0)-VLOOKUP($A26,[1]OECDTable14a!$A$15:$XO$66,143,0)+VLOOKUP($A26,[1]OECDTable14a!$A$15:$XO$66,137,0))/VLOOKUP($A26,[1]FX!$B$2:$D$54,3,0))/1000</f>
        <v>795.37641170331563</v>
      </c>
      <c r="G26" s="315">
        <f>+((VLOOKUP($A26,[1]OECDTable14a!$A$15:$XO$66,232,0)-VLOOKUP($A26,[1]OECDTable14a!$A$15:$XO$66,243,0)+VLOOKUP($A26,[1]OECDTable14a!$A$15:$XO$66,237,0))/VLOOKUP($A26,[1]FX!$B$2:$D$54,3,0))/1000</f>
        <v>77.374816865355967</v>
      </c>
      <c r="H26" s="315">
        <f>+((VLOOKUP($A26,[1]OECDTable14a!$A$15:$XO$66,332,0)-VLOOKUP($A26,[1]OECDTable14a!$A$15:$XO$66,343,0)+VLOOKUP($A26,[1]OECDTable14a!$A$15:$XO$66,337,0))/VLOOKUP($A26,[1]FX!$B$2:$D$54,3,0))/1000</f>
        <v>228.77939442738332</v>
      </c>
      <c r="I26" s="986">
        <f t="shared" si="3"/>
        <v>487.73239107023846</v>
      </c>
      <c r="J26" s="336">
        <f t="shared" si="8"/>
        <v>0.14395313576324137</v>
      </c>
      <c r="K26" s="436">
        <f t="shared" si="9"/>
        <v>0.54915468418008895</v>
      </c>
      <c r="L26" s="987">
        <f t="shared" si="1"/>
        <v>0.30689218005666968</v>
      </c>
      <c r="M26" s="315">
        <f>+(VLOOKUP($A26,[1]OECDTable14a!$A$15:$XO$66,11,0)/VLOOKUP($A26,[1]FX!$B$2:$D$54,3,0))/1000</f>
        <v>330.98632631626811</v>
      </c>
      <c r="N26" s="995">
        <f t="shared" si="6"/>
        <v>0.18063514112650012</v>
      </c>
      <c r="O26" s="315"/>
      <c r="P26" s="429">
        <f t="shared" si="4"/>
        <v>0</v>
      </c>
      <c r="Q26" s="429">
        <f t="shared" si="7"/>
        <v>0</v>
      </c>
      <c r="R26" s="1000">
        <f>TableA2!G26/TableA1!M26</f>
        <v>0.56400182551213529</v>
      </c>
    </row>
    <row r="27" spans="1:18" ht="14.25" customHeight="1" x14ac:dyDescent="0.35">
      <c r="A27" s="15" t="s">
        <v>67</v>
      </c>
      <c r="B27" s="334">
        <f>+(VLOOKUP($A27,[1]OECDTable14a!$A$15:$XO$66,10,0)/VLOOKUP($A27,[1]FX!$B$2:$D$54,3,0))/1000</f>
        <v>4368.6301587942826</v>
      </c>
      <c r="C27" s="986">
        <f>+((VLOOKUP($A27,[1]OECDTable14a!$A$15:$XO$66,22,0)-VLOOKUP($A27,[1]OECDTable14a!$A$15:$XO$66,15,0))/VLOOKUP($A27,[1]FX!$B$2:$D$54,3,0))/1000</f>
        <v>341.88633673217913</v>
      </c>
      <c r="D27" s="335">
        <f t="shared" si="2"/>
        <v>4026.7438220621034</v>
      </c>
      <c r="E27" s="314">
        <f>K28*$D27</f>
        <v>2733.7570791303033</v>
      </c>
      <c r="F27" s="315">
        <f>+E$100*$E27</f>
        <v>2443.427856470912</v>
      </c>
      <c r="G27" s="315">
        <f>+F$100*$E27</f>
        <v>290.32922265939106</v>
      </c>
      <c r="H27" s="315">
        <f>+G$100*$D27</f>
        <v>557.16549740291418</v>
      </c>
      <c r="I27" s="986">
        <f t="shared" si="3"/>
        <v>735.82124552888592</v>
      </c>
      <c r="J27" s="336">
        <f t="shared" si="8"/>
        <v>0.13836626366700144</v>
      </c>
      <c r="K27" s="436">
        <f t="shared" si="9"/>
        <v>0.678900173423583</v>
      </c>
      <c r="L27" s="987">
        <f t="shared" si="1"/>
        <v>0.18273356290941559</v>
      </c>
      <c r="M27" s="315">
        <f>+(VLOOKUP($A27,[1]OECDTable14a!$A$15:$XO$66,11,0)/VLOOKUP($A27,[1]FX!$B$2:$D$54,3,0))/1000</f>
        <v>991.90930771224316</v>
      </c>
      <c r="N27" s="995">
        <f t="shared" si="6"/>
        <v>0.22705270797883348</v>
      </c>
      <c r="O27" s="315"/>
      <c r="P27" s="429">
        <f t="shared" si="4"/>
        <v>0</v>
      </c>
      <c r="Q27" s="429">
        <f t="shared" si="7"/>
        <v>0</v>
      </c>
      <c r="R27" s="1000">
        <f>TableA2!G27/TableA1!M27</f>
        <v>0.66539124322136312</v>
      </c>
    </row>
    <row r="28" spans="1:18" ht="14.25" customHeight="1" x14ac:dyDescent="0.35">
      <c r="A28" s="15" t="s">
        <v>68</v>
      </c>
      <c r="B28" s="334">
        <f>+(VLOOKUP($A28,[1]OECDTable14a!$A$15:$XO$66,10,0)/VLOOKUP($A28,[1]FX!$B$2:$D$54,3,0))/1000</f>
        <v>1382.7640271138193</v>
      </c>
      <c r="C28" s="986">
        <f>+((VLOOKUP($A28,[1]OECDTable14a!$A$15:$XO$66,22,0)-VLOOKUP($A28,[1]OECDTable14a!$A$15:$XO$66,15,0))/VLOOKUP($A28,[1]FX!$B$2:$D$54,3,0))/1000</f>
        <v>140.36833951063403</v>
      </c>
      <c r="D28" s="335">
        <f t="shared" si="2"/>
        <v>1242.3956876031853</v>
      </c>
      <c r="E28" s="314">
        <f>TableA2!B28</f>
        <v>843.46264777451415</v>
      </c>
      <c r="F28" s="315">
        <f>TableA2b!B28</f>
        <v>776.97252593029702</v>
      </c>
      <c r="G28" s="315">
        <f>E28-F28</f>
        <v>66.490121844217128</v>
      </c>
      <c r="H28" s="315">
        <f>+G$100*$D28</f>
        <v>171.9056492896479</v>
      </c>
      <c r="I28" s="986">
        <f t="shared" si="3"/>
        <v>227.0273905390232</v>
      </c>
      <c r="J28" s="336">
        <f t="shared" si="8"/>
        <v>0.13836626366700144</v>
      </c>
      <c r="K28" s="436">
        <f t="shared" si="9"/>
        <v>0.678900173423583</v>
      </c>
      <c r="L28" s="987">
        <f t="shared" si="1"/>
        <v>0.18273356290941553</v>
      </c>
      <c r="M28" s="315">
        <f>+(VLOOKUP($A28,[1]OECDTable14a!$A$15:$XO$66,11,0)/VLOOKUP($A28,[1]FX!$B$2:$D$54,3,0))/1000</f>
        <v>270.23681494398437</v>
      </c>
      <c r="N28" s="995">
        <f t="shared" si="6"/>
        <v>0.19543234394666559</v>
      </c>
      <c r="O28" s="315"/>
      <c r="P28" s="429">
        <f t="shared" si="4"/>
        <v>0</v>
      </c>
      <c r="Q28" s="429">
        <f t="shared" si="7"/>
        <v>0</v>
      </c>
      <c r="R28" s="1000">
        <f>TableA2!G28/TableA1!M28</f>
        <v>0.68014010711841522</v>
      </c>
    </row>
    <row r="29" spans="1:18" ht="14.25" customHeight="1" x14ac:dyDescent="0.35">
      <c r="A29" s="15" t="s">
        <v>69</v>
      </c>
      <c r="B29" s="334">
        <f>+(VLOOKUP($A29,[1]OECDTable14a!$A$15:$XO$66,10,0)/VLOOKUP($A29,[1]FX!$B$2:$D$54,3,0))/1000</f>
        <v>27.009231871472473</v>
      </c>
      <c r="C29" s="986">
        <f>+((VLOOKUP($A29,[1]OECDTable14a!$A$15:$XO$66,22,0)-VLOOKUP($A29,[1]OECDTable14a!$A$15:$XO$66,15,0))/VLOOKUP($A29,[1]FX!$B$2:$D$54,3,0))/1000</f>
        <v>3.1466940384335986</v>
      </c>
      <c r="D29" s="335">
        <f t="shared" si="2"/>
        <v>23.862537833038875</v>
      </c>
      <c r="E29" s="314">
        <f t="shared" si="5"/>
        <v>16.865578894016473</v>
      </c>
      <c r="F29" s="315">
        <f>+((VLOOKUP($A29,[1]OECDTable14a!$A$15:$XO$66,132,0)-VLOOKUP($A29,[1]OECDTable14a!$A$15:$XO$66,143,0)+VLOOKUP($A29,[1]OECDTable14a!$A$15:$XO$66,137,0))/VLOOKUP($A29,[1]FX!$B$2:$D$54,3,0))/1000</f>
        <v>15.789667712516593</v>
      </c>
      <c r="G29" s="315">
        <f>+((VLOOKUP($A29,[1]OECDTable14a!$A$15:$XO$66,232,0)-VLOOKUP($A29,[1]OECDTable14a!$A$15:$XO$66,243,0)+VLOOKUP($A29,[1]OECDTable14a!$A$15:$XO$66,237,0))/VLOOKUP($A29,[1]FX!$B$2:$D$54,3,0))/1000</f>
        <v>1.0759111814998796</v>
      </c>
      <c r="H29" s="315">
        <f>+((VLOOKUP($A29,[1]OECDTable14a!$A$15:$XO$66,332,0)-VLOOKUP($A29,[1]OECDTable14a!$A$15:$XO$66,343,0)+VLOOKUP($A29,[1]OECDTable14a!$A$15:$XO$66,337,0))/VLOOKUP($A29,[1]FX!$B$2:$D$54,3,0))/1000</f>
        <v>3.7631366181671786</v>
      </c>
      <c r="I29" s="986">
        <f t="shared" si="3"/>
        <v>3.2338223208552237</v>
      </c>
      <c r="J29" s="336">
        <f t="shared" si="8"/>
        <v>0.15770060353584556</v>
      </c>
      <c r="K29" s="436">
        <f t="shared" si="9"/>
        <v>0.70678060363995465</v>
      </c>
      <c r="L29" s="987">
        <f t="shared" si="1"/>
        <v>0.13551879282419974</v>
      </c>
      <c r="M29" s="315">
        <f>+(VLOOKUP($A29,[1]OECDTable14a!$A$15:$XO$66,11,0)/VLOOKUP($A29,[1]FX!$B$2:$D$54,3,0))/1000</f>
        <v>6.2093906898284157</v>
      </c>
      <c r="N29" s="995">
        <f t="shared" si="6"/>
        <v>0.22989882568214984</v>
      </c>
      <c r="O29" s="315"/>
      <c r="P29" s="429">
        <f t="shared" si="4"/>
        <v>0</v>
      </c>
      <c r="Q29" s="429">
        <f t="shared" si="7"/>
        <v>0</v>
      </c>
      <c r="R29" s="1000">
        <f>TableA2!G29/TableA1!M29</f>
        <v>0.58188385878069637</v>
      </c>
    </row>
    <row r="30" spans="1:18" ht="14.25" customHeight="1" x14ac:dyDescent="0.35">
      <c r="A30" s="15" t="s">
        <v>70</v>
      </c>
      <c r="B30" s="334">
        <f>+(VLOOKUP($A30,[1]OECDTable14a!$A$15:$XO$66,10,0)/VLOOKUP($A30,[1]FX!$B$2:$D$54,3,0))/1000</f>
        <v>57.78448393461386</v>
      </c>
      <c r="C30" s="986">
        <f>+((VLOOKUP($A30,[1]OECDTable14a!$A$15:$XO$66,22,0)-VLOOKUP($A30,[1]OECDTable14a!$A$15:$XO$66,15,0))/VLOOKUP($A30,[1]FX!$B$2:$D$54,3,0))/1000</f>
        <v>6.0478517931945444</v>
      </c>
      <c r="D30" s="335">
        <f t="shared" si="2"/>
        <v>51.736632141419314</v>
      </c>
      <c r="E30" s="314">
        <f t="shared" si="5"/>
        <v>39.231128397764564</v>
      </c>
      <c r="F30" s="315">
        <f>+((VLOOKUP($A30,[1]OECDTable14a!$A$15:$XO$66,132,0)-VLOOKUP($A30,[1]OECDTable14a!$A$15:$XO$66,143,0)+VLOOKUP($A30,[1]OECDTable14a!$A$15:$XO$66,137,0))/VLOOKUP($A30,[1]FX!$B$2:$D$54,3,0))/1000</f>
        <v>25.812973640810995</v>
      </c>
      <c r="G30" s="315">
        <f>+((VLOOKUP($A30,[1]OECDTable14a!$A$15:$XO$66,232,0)-VLOOKUP($A30,[1]OECDTable14a!$A$15:$XO$66,243,0)+VLOOKUP($A30,[1]OECDTable14a!$A$15:$XO$66,237,0))/VLOOKUP($A30,[1]FX!$B$2:$D$54,3,0))/1000</f>
        <v>13.418154756953573</v>
      </c>
      <c r="H30" s="315">
        <f>+((VLOOKUP($A30,[1]OECDTable14a!$A$15:$XO$66,332,0)-VLOOKUP($A30,[1]OECDTable14a!$A$15:$XO$66,343,0)+VLOOKUP($A30,[1]OECDTable14a!$A$15:$XO$66,337,0))/VLOOKUP($A30,[1]FX!$B$2:$D$54,3,0))/1000</f>
        <v>6.4658590442728343</v>
      </c>
      <c r="I30" s="986">
        <f t="shared" si="3"/>
        <v>6.0396446993819151</v>
      </c>
      <c r="J30" s="336">
        <f t="shared" si="8"/>
        <v>0.12497641954348236</v>
      </c>
      <c r="K30" s="436">
        <f t="shared" si="9"/>
        <v>0.75828531494915197</v>
      </c>
      <c r="L30" s="987">
        <f t="shared" si="1"/>
        <v>0.11673826550736564</v>
      </c>
      <c r="M30" s="315">
        <f>+(VLOOKUP($A30,[1]OECDTable14a!$A$15:$XO$66,11,0)/VLOOKUP($A30,[1]FX!$B$2:$D$54,3,0))/1000</f>
        <v>6.885751708794567</v>
      </c>
      <c r="N30" s="995">
        <f t="shared" si="6"/>
        <v>0.11916264090177135</v>
      </c>
      <c r="O30" s="315"/>
      <c r="P30" s="429">
        <f t="shared" si="4"/>
        <v>0</v>
      </c>
      <c r="Q30" s="429">
        <f t="shared" si="7"/>
        <v>0</v>
      </c>
      <c r="R30" s="1000">
        <f>TableA2!G30/TableA1!M30</f>
        <v>0.60683567954128137</v>
      </c>
    </row>
    <row r="31" spans="1:18" ht="14.25" customHeight="1" x14ac:dyDescent="0.35">
      <c r="A31" s="15" t="s">
        <v>71</v>
      </c>
      <c r="B31" s="334">
        <f>+(VLOOKUP($A31,[1]OECDTable14a!$A$15:$XO$66,10,0)/VLOOKUP($A31,[1]FX!$B$2:$D$54,3,0))/1000</f>
        <v>1148.0597847070599</v>
      </c>
      <c r="C31" s="986">
        <f>+((VLOOKUP($A31,[1]OECDTable14a!$A$15:$XO$66,22,0)-VLOOKUP($A31,[1]OECDTable14a!$A$15:$XO$66,15,0))/VLOOKUP($A31,[1]FX!$B$2:$D$54,3,0))/1000</f>
        <v>75.148910603285515</v>
      </c>
      <c r="D31" s="335">
        <f t="shared" si="2"/>
        <v>1072.9108741037744</v>
      </c>
      <c r="E31" s="314">
        <f t="shared" si="5"/>
        <v>580.51899302302263</v>
      </c>
      <c r="F31" s="315">
        <f>+((VLOOKUP($A31,[1]OECDTable14a!$A$15:$XO$66,132,0)-VLOOKUP($A31,[1]OECDTable14a!$A$15:$XO$66,143,0)+VLOOKUP($A31,[1]OECDTable14a!$A$15:$XO$66,137,0))/VLOOKUP($A31,[1]FX!$B$2:$D$54,3,0))/1000</f>
        <v>539.63509070108421</v>
      </c>
      <c r="G31" s="315">
        <f>+((VLOOKUP($A31,[1]OECDTable14a!$A$15:$XO$66,232,0)-VLOOKUP($A31,[1]OECDTable14a!$A$15:$XO$66,243,0)+VLOOKUP($A31,[1]OECDTable14a!$A$15:$XO$66,237,0))/VLOOKUP($A31,[1]FX!$B$2:$D$54,3,0))/1000</f>
        <v>40.883902321938415</v>
      </c>
      <c r="H31" s="315">
        <f>+((VLOOKUP($A31,[1]OECDTable14a!$A$15:$XO$66,332,0)-VLOOKUP($A31,[1]OECDTable14a!$A$15:$XO$66,343,0)+VLOOKUP($A31,[1]OECDTable14a!$A$15:$XO$66,337,0))/VLOOKUP($A31,[1]FX!$B$2:$D$54,3,0))/1000</f>
        <v>107.06274698678412</v>
      </c>
      <c r="I31" s="986">
        <f t="shared" si="3"/>
        <v>385.32913409396764</v>
      </c>
      <c r="J31" s="336">
        <f t="shared" si="8"/>
        <v>9.9787176708611466E-2</v>
      </c>
      <c r="K31" s="436">
        <f t="shared" si="9"/>
        <v>0.54106916709921749</v>
      </c>
      <c r="L31" s="987">
        <f t="shared" si="1"/>
        <v>0.35914365619217103</v>
      </c>
      <c r="M31" s="315">
        <f>+(VLOOKUP($A31,[1]OECDTable14a!$A$15:$XO$66,11,0)/VLOOKUP($A31,[1]FX!$B$2:$D$54,3,0))/1000</f>
        <v>142.10493803518077</v>
      </c>
      <c r="N31" s="995">
        <f t="shared" si="6"/>
        <v>0.12377834319093445</v>
      </c>
      <c r="O31" s="315"/>
      <c r="P31" s="429">
        <f t="shared" si="4"/>
        <v>0</v>
      </c>
      <c r="Q31" s="429">
        <f t="shared" si="7"/>
        <v>0</v>
      </c>
      <c r="R31" s="1000">
        <f>TableA2!G31/TableA1!M31</f>
        <v>0.7202929510322954</v>
      </c>
    </row>
    <row r="32" spans="1:18" ht="14.25" customHeight="1" x14ac:dyDescent="0.35">
      <c r="A32" s="15" t="s">
        <v>72</v>
      </c>
      <c r="B32" s="334">
        <f>+(VLOOKUP($A32,[1]OECDTable14a!$A$15:$XO$66,10,0)/VLOOKUP($A32,[1]FX!$B$2:$D$54,3,0))/1000</f>
        <v>757.99942106716617</v>
      </c>
      <c r="C32" s="986">
        <f>+((VLOOKUP($A32,[1]OECDTable14a!$A$15:$XO$66,22,0)-VLOOKUP($A32,[1]OECDTable14a!$A$15:$XO$66,15,0))/VLOOKUP($A32,[1]FX!$B$2:$D$54,3,0))/1000</f>
        <v>77.939664551676415</v>
      </c>
      <c r="D32" s="335">
        <f t="shared" si="2"/>
        <v>680.05975651548977</v>
      </c>
      <c r="E32" s="314">
        <f t="shared" si="5"/>
        <v>501.13845699981925</v>
      </c>
      <c r="F32" s="315">
        <f>+((VLOOKUP($A32,[1]OECDTable14a!$A$15:$XO$66,132,0)-VLOOKUP($A32,[1]OECDTable14a!$A$15:$XO$66,143,0)+VLOOKUP($A32,[1]OECDTable14a!$A$15:$XO$66,137,0))/VLOOKUP($A32,[1]FX!$B$2:$D$54,3,0))/1000</f>
        <v>450.70808365468542</v>
      </c>
      <c r="G32" s="315">
        <f>+((VLOOKUP($A32,[1]OECDTable14a!$A$15:$XO$66,232,0)-VLOOKUP($A32,[1]OECDTable14a!$A$15:$XO$66,243,0)+VLOOKUP($A32,[1]OECDTable14a!$A$15:$XO$66,237,0))/VLOOKUP($A32,[1]FX!$B$2:$D$54,3,0))/1000</f>
        <v>50.430373345133802</v>
      </c>
      <c r="H32" s="315">
        <f>+((VLOOKUP($A32,[1]OECDTable14a!$A$15:$XO$66,332,0)-VLOOKUP($A32,[1]OECDTable14a!$A$15:$XO$66,343,0)+VLOOKUP($A32,[1]OECDTable14a!$A$15:$XO$66,337,0))/VLOOKUP($A32,[1]FX!$B$2:$D$54,3,0))/1000</f>
        <v>90.792638902290108</v>
      </c>
      <c r="I32" s="986">
        <f t="shared" si="3"/>
        <v>88.128660613380404</v>
      </c>
      <c r="J32" s="336">
        <f t="shared" si="8"/>
        <v>0.13350685440864213</v>
      </c>
      <c r="K32" s="436">
        <f t="shared" si="9"/>
        <v>0.73690356207455543</v>
      </c>
      <c r="L32" s="987">
        <f t="shared" si="1"/>
        <v>0.12958958351680244</v>
      </c>
      <c r="M32" s="315">
        <f>+(VLOOKUP($A32,[1]OECDTable14a!$A$15:$XO$66,11,0)/VLOOKUP($A32,[1]FX!$B$2:$D$54,3,0))/1000</f>
        <v>123.94375257164849</v>
      </c>
      <c r="N32" s="995">
        <f t="shared" si="6"/>
        <v>0.16351431033700731</v>
      </c>
      <c r="O32" s="315"/>
      <c r="P32" s="429">
        <f t="shared" si="4"/>
        <v>0</v>
      </c>
      <c r="Q32" s="429">
        <f t="shared" si="7"/>
        <v>0</v>
      </c>
      <c r="R32" s="1000">
        <f>TableA2!G32/TableA1!M32</f>
        <v>0.57923135430182104</v>
      </c>
    </row>
    <row r="33" spans="1:18" ht="14.25" customHeight="1" x14ac:dyDescent="0.35">
      <c r="A33" s="15" t="s">
        <v>73</v>
      </c>
      <c r="B33" s="334">
        <f>+(VLOOKUP($A33,[1]OECDTable14a!$A$15:$XO$66,10,0)/VLOOKUP($A33,[1]FX!$B$2:$D$54,3,0))/1000</f>
        <v>175.57279589951008</v>
      </c>
      <c r="C33" s="986">
        <f>+((VLOOKUP($A33,[1]OECDTable14a!$A$15:$XO$66,22,0)-VLOOKUP($A33,[1]OECDTable14a!$A$15:$XO$66,15,0))/VLOOKUP($A33,[1]FX!$B$2:$D$54,3,0))/1000</f>
        <v>23.149636499938982</v>
      </c>
      <c r="D33" s="335">
        <f>B33-C33</f>
        <v>152.42315939957109</v>
      </c>
      <c r="E33" s="314">
        <f>+TableA2!B33</f>
        <v>117.72450705207552</v>
      </c>
      <c r="F33" s="315">
        <f>+((VLOOKUP($A33,[1]OECDTable14a!$A$15:$XO$66,132,0)-VLOOKUP($A33,[1]OECDTable14a!$A$15:$XO$66,143,0)+VLOOKUP($A33,[1]OECDTable14a!$A$15:$XO$66,137,0))/VLOOKUP($A33,[1]FX!$B$2:$D$54,3,0))/1000</f>
        <v>110.9119754528496</v>
      </c>
      <c r="G33" s="315">
        <f>+E33-F33</f>
        <v>6.8125315992259203</v>
      </c>
      <c r="H33" s="315">
        <f>+((VLOOKUP($A33,[1]OECDTable14a!$A$15:$XO$66,332,0)-VLOOKUP($A33,[1]OECDTable14a!$A$15:$XO$66,343,0)+VLOOKUP($A33,[1]OECDTable14a!$A$15:$XO$66,337,0))/VLOOKUP($A33,[1]FX!$B$2:$D$54,3,0))/1000</f>
        <v>20.029895918687561</v>
      </c>
      <c r="I33" s="986">
        <f>D33-E33-H33</f>
        <v>14.668756428808006</v>
      </c>
      <c r="J33" s="336">
        <f t="shared" si="8"/>
        <v>0.13140979361397442</v>
      </c>
      <c r="K33" s="436">
        <f t="shared" si="9"/>
        <v>0.77235314840486635</v>
      </c>
      <c r="L33" s="987">
        <f t="shared" si="1"/>
        <v>9.623705798115928E-2</v>
      </c>
      <c r="M33" s="315">
        <f>TableA2!G33/K33</f>
        <v>21.917823517599246</v>
      </c>
      <c r="N33" s="995">
        <f t="shared" si="6"/>
        <v>0.12483610234323554</v>
      </c>
      <c r="O33" s="315"/>
      <c r="P33" s="429">
        <f t="shared" si="4"/>
        <v>0</v>
      </c>
      <c r="Q33" s="429">
        <f t="shared" si="7"/>
        <v>0</v>
      </c>
      <c r="R33" s="1000">
        <f>TableA2!G33/TableA1!M33</f>
        <v>0.77235314840486635</v>
      </c>
    </row>
    <row r="34" spans="1:18" ht="14.25" customHeight="1" x14ac:dyDescent="0.35">
      <c r="A34" s="15" t="s">
        <v>74</v>
      </c>
      <c r="B34" s="334">
        <f>+(VLOOKUP($A34,[1]OECDTable14a!$A$15:$XO$66,10,0)/VLOOKUP($A34,[1]FX!$B$2:$D$54,3,0))/1000</f>
        <v>386.57842775329436</v>
      </c>
      <c r="C34" s="986">
        <f>+((VLOOKUP($A34,[1]OECDTable14a!$A$15:$XO$66,22,0)-VLOOKUP($A34,[1]OECDTable14a!$A$15:$XO$66,15,0))/VLOOKUP($A34,[1]FX!$B$2:$D$54,3,0))/1000</f>
        <v>38.771394491210316</v>
      </c>
      <c r="D34" s="335">
        <f t="shared" si="2"/>
        <v>347.80703326208402</v>
      </c>
      <c r="E34" s="314">
        <f t="shared" si="5"/>
        <v>244.0517414879925</v>
      </c>
      <c r="F34" s="315">
        <f>+((VLOOKUP($A34,[1]OECDTable14a!$A$15:$XO$66,132,0)-VLOOKUP($A34,[1]OECDTable14a!$A$15:$XO$66,143,0)+VLOOKUP($A34,[1]OECDTable14a!$A$15:$XO$66,137,0))/VLOOKUP($A34,[1]FX!$B$2:$D$54,3,0))/1000</f>
        <v>227.26315067631907</v>
      </c>
      <c r="G34" s="315">
        <f>+((VLOOKUP($A34,[1]OECDTable14a!$A$15:$XO$66,232,0)-VLOOKUP($A34,[1]OECDTable14a!$A$15:$XO$66,243,0)+VLOOKUP($A34,[1]OECDTable14a!$A$15:$XO$66,237,0))/VLOOKUP($A34,[1]FX!$B$2:$D$54,3,0))/1000</f>
        <v>16.788590811673419</v>
      </c>
      <c r="H34" s="315">
        <f>+((VLOOKUP($A34,[1]OECDTable14a!$A$15:$XO$66,332,0)-VLOOKUP($A34,[1]OECDTable14a!$A$15:$XO$66,343,0)+VLOOKUP($A34,[1]OECDTable14a!$A$15:$XO$66,337,0))/VLOOKUP($A34,[1]FX!$B$2:$D$54,3,0))/1000</f>
        <v>69.872188906802151</v>
      </c>
      <c r="I34" s="986">
        <f t="shared" si="3"/>
        <v>33.883102867289367</v>
      </c>
      <c r="J34" s="336">
        <f t="shared" si="8"/>
        <v>0.20089354792935185</v>
      </c>
      <c r="K34" s="436">
        <f t="shared" si="9"/>
        <v>0.70168719476150299</v>
      </c>
      <c r="L34" s="987">
        <f t="shared" si="1"/>
        <v>9.7419257309145149E-2</v>
      </c>
      <c r="M34" s="315">
        <f>+(VLOOKUP($A34,[1]OECDTable14a!$A$15:$XO$66,11,0)/VLOOKUP($A34,[1]FX!$B$2:$D$54,3,0))/1000</f>
        <v>68.419466015522744</v>
      </c>
      <c r="N34" s="995">
        <f t="shared" si="6"/>
        <v>0.17698728408918488</v>
      </c>
      <c r="O34" s="315"/>
      <c r="P34" s="429">
        <f t="shared" si="4"/>
        <v>0</v>
      </c>
      <c r="Q34" s="429">
        <f t="shared" si="7"/>
        <v>0</v>
      </c>
      <c r="R34" s="1000">
        <f>TableA2!G34/TableA1!M34</f>
        <v>0.63842057758461324</v>
      </c>
    </row>
    <row r="35" spans="1:18" ht="14.25" customHeight="1" x14ac:dyDescent="0.35">
      <c r="A35" s="15" t="s">
        <v>75</v>
      </c>
      <c r="B35" s="334">
        <f>+(VLOOKUP($A35,[1]OECDTable14a!$A$15:$XO$66,10,0)/VLOOKUP($A35,[1]FX!$B$2:$D$54,3,0))/1000</f>
        <v>477.06645443692798</v>
      </c>
      <c r="C35" s="986">
        <f>+((VLOOKUP($A35,[1]OECDTable14a!$A$15:$XO$66,22,0)-VLOOKUP($A35,[1]OECDTable14a!$A$15:$XO$66,15,0))/VLOOKUP($A35,[1]FX!$B$2:$D$54,3,0))/1000</f>
        <v>55.285051067780877</v>
      </c>
      <c r="D35" s="335">
        <f t="shared" si="2"/>
        <v>421.78140336914709</v>
      </c>
      <c r="E35" s="314">
        <f t="shared" si="5"/>
        <v>234.89932351770796</v>
      </c>
      <c r="F35" s="315">
        <f>+((VLOOKUP($A35,[1]OECDTable14a!$A$15:$XO$66,132,0)-VLOOKUP($A35,[1]OECDTable14a!$A$15:$XO$66,143,0)+VLOOKUP($A35,[1]OECDTable14a!$A$15:$XO$66,137,0))/VLOOKUP($A35,[1]FX!$B$2:$D$54,3,0))/1000</f>
        <v>219.12534818941506</v>
      </c>
      <c r="G35" s="315">
        <f>+((VLOOKUP($A35,[1]OECDTable14a!$A$15:$XO$66,232,0)-VLOOKUP($A35,[1]OECDTable14a!$A$15:$XO$66,243,0)+VLOOKUP($A35,[1]OECDTable14a!$A$15:$XO$66,237,0))/VLOOKUP($A35,[1]FX!$B$2:$D$54,3,0))/1000</f>
        <v>15.773975328292877</v>
      </c>
      <c r="H35" s="315">
        <f>+((VLOOKUP($A35,[1]OECDTable14a!$A$15:$XO$66,332,0)-VLOOKUP($A35,[1]OECDTable14a!$A$15:$XO$66,343,0)+VLOOKUP($A35,[1]OECDTable14a!$A$15:$XO$66,337,0))/VLOOKUP($A35,[1]FX!$B$2:$D$54,3,0))/1000</f>
        <v>59.604722111685902</v>
      </c>
      <c r="I35" s="986">
        <f t="shared" si="3"/>
        <v>127.27735773975323</v>
      </c>
      <c r="J35" s="336">
        <f t="shared" si="8"/>
        <v>0.14131661954645089</v>
      </c>
      <c r="K35" s="436">
        <f t="shared" si="9"/>
        <v>0.55692195445639847</v>
      </c>
      <c r="L35" s="987">
        <f t="shared" si="1"/>
        <v>0.30176142599715067</v>
      </c>
      <c r="M35" s="315">
        <f>+(VLOOKUP($A35,[1]OECDTable14a!$A$15:$XO$66,11,0)/VLOOKUP($A35,[1]FX!$B$2:$D$54,3,0))/1000</f>
        <v>54.658442764292346</v>
      </c>
      <c r="N35" s="995">
        <f t="shared" si="6"/>
        <v>0.11457196844578942</v>
      </c>
      <c r="O35" s="315"/>
      <c r="P35" s="429">
        <f t="shared" si="4"/>
        <v>1.4210854715202004E-14</v>
      </c>
      <c r="Q35" s="429">
        <f t="shared" si="7"/>
        <v>0</v>
      </c>
      <c r="R35" s="1000">
        <f>TableA2!G35/TableA1!M35</f>
        <v>0.66477054869318319</v>
      </c>
    </row>
    <row r="36" spans="1:18" ht="14.25" customHeight="1" x14ac:dyDescent="0.35">
      <c r="A36" s="15" t="s">
        <v>76</v>
      </c>
      <c r="B36" s="334">
        <f>+(VLOOKUP($A36,[1]OECDTable14a!$A$15:$XO$66,10,0)/VLOOKUP($A36,[1]FX!$B$2:$D$54,3,0))/1000</f>
        <v>199.42024645680905</v>
      </c>
      <c r="C36" s="986">
        <f>+((VLOOKUP($A36,[1]OECDTable14a!$A$15:$XO$66,22,0)-VLOOKUP($A36,[1]OECDTable14a!$A$15:$XO$66,15,0))/VLOOKUP($A36,[1]FX!$B$2:$D$54,3,0))/1000</f>
        <v>26.452146543205355</v>
      </c>
      <c r="D36" s="335">
        <f t="shared" si="2"/>
        <v>172.96809991360371</v>
      </c>
      <c r="E36" s="314">
        <f t="shared" si="5"/>
        <v>101.75390252856124</v>
      </c>
      <c r="F36" s="315">
        <f>+((VLOOKUP($A36,[1]OECDTable14a!$A$15:$XO$66,132,0)-VLOOKUP($A36,[1]OECDTable14a!$A$15:$XO$66,143,0)+VLOOKUP($A36,[1]OECDTable14a!$A$15:$XO$66,137,0))/VLOOKUP($A36,[1]FX!$B$2:$D$54,3,0))/1000</f>
        <v>93.25897817245766</v>
      </c>
      <c r="G36" s="315">
        <f>+((VLOOKUP($A36,[1]OECDTable14a!$A$15:$XO$66,232,0)-VLOOKUP($A36,[1]OECDTable14a!$A$15:$XO$66,243,0)+VLOOKUP($A36,[1]OECDTable14a!$A$15:$XO$66,237,0))/VLOOKUP($A36,[1]FX!$B$2:$D$54,3,0))/1000</f>
        <v>8.4949243561035814</v>
      </c>
      <c r="H36" s="315">
        <f>+((VLOOKUP($A36,[1]OECDTable14a!$A$15:$XO$66,332,0)-VLOOKUP($A36,[1]OECDTable14a!$A$15:$XO$66,343,0)+VLOOKUP($A36,[1]OECDTable14a!$A$15:$XO$66,337,0))/VLOOKUP($A36,[1]FX!$B$2:$D$54,3,0))/1000</f>
        <v>28.746567161199522</v>
      </c>
      <c r="I36" s="986">
        <f t="shared" si="3"/>
        <v>42.467630223842946</v>
      </c>
      <c r="J36" s="336">
        <f t="shared" si="8"/>
        <v>0.16619577353025339</v>
      </c>
      <c r="K36" s="436">
        <f t="shared" si="9"/>
        <v>0.58828132227495455</v>
      </c>
      <c r="L36" s="987">
        <f t="shared" si="1"/>
        <v>0.24552290419479206</v>
      </c>
      <c r="M36" s="315">
        <f>+(VLOOKUP($A36,[1]OECDTable14a!$A$15:$XO$66,11,0)/VLOOKUP($A36,[1]FX!$B$2:$D$54,3,0))/1000</f>
        <v>34.395042915337172</v>
      </c>
      <c r="N36" s="995">
        <f t="shared" si="6"/>
        <v>0.17247518006044857</v>
      </c>
      <c r="O36" s="315"/>
      <c r="P36" s="429">
        <f t="shared" si="4"/>
        <v>0</v>
      </c>
      <c r="Q36" s="429">
        <f t="shared" si="7"/>
        <v>0</v>
      </c>
      <c r="R36" s="1000">
        <f>TableA2!G36/TableA1!M36</f>
        <v>0.50303663672184851</v>
      </c>
    </row>
    <row r="37" spans="1:18" ht="14.25" customHeight="1" x14ac:dyDescent="0.35">
      <c r="A37" s="56" t="s">
        <v>96</v>
      </c>
      <c r="B37" s="334">
        <f>+(VLOOKUP($A37,[1]OECDTable14a!$A$15:$XO$66,10,0)/VLOOKUP($A37,[1]FX!$B$2:$D$54,3,0))/1000</f>
        <v>87.501420159949603</v>
      </c>
      <c r="C37" s="986">
        <f>+((VLOOKUP($A37,[1]OECDTable14a!$A$15:$XO$66,22,0)-VLOOKUP($A37,[1]OECDTable14a!$A$15:$XO$66,15,0))/VLOOKUP($A37,[1]FX!$B$2:$D$54,3,0))/1000</f>
        <v>8.4615758285560272</v>
      </c>
      <c r="D37" s="335">
        <f t="shared" si="2"/>
        <v>79.039844331393581</v>
      </c>
      <c r="E37" s="314">
        <f t="shared" si="5"/>
        <v>43.35690211044308</v>
      </c>
      <c r="F37" s="315">
        <f>+((VLOOKUP($A37,[1]OECDTable14a!$A$15:$XO$66,132,0)-VLOOKUP($A37,[1]OECDTable14a!$A$15:$XO$66,143,0)+VLOOKUP($A37,[1]OECDTable14a!$A$15:$XO$66,137,0))/VLOOKUP($A37,[1]FX!$B$2:$D$54,3,0))/1000</f>
        <v>40.681291929654115</v>
      </c>
      <c r="G37" s="315">
        <f>+((VLOOKUP($A37,[1]OECDTable14a!$A$15:$XO$66,232,0)-VLOOKUP($A37,[1]OECDTable14a!$A$15:$XO$66,243,0)+VLOOKUP($A37,[1]OECDTable14a!$A$15:$XO$66,237,0))/VLOOKUP($A37,[1]FX!$B$2:$D$54,3,0))/1000</f>
        <v>2.6756101807889676</v>
      </c>
      <c r="H37" s="315">
        <f>+((VLOOKUP($A37,[1]OECDTable14a!$A$15:$XO$66,332,0)-VLOOKUP($A37,[1]OECDTable14a!$A$15:$XO$66,343,0)+VLOOKUP($A37,[1]OECDTable14a!$A$15:$XO$66,337,0))/VLOOKUP($A37,[1]FX!$B$2:$D$54,3,0))/1000</f>
        <v>11.16217106467079</v>
      </c>
      <c r="I37" s="986">
        <f t="shared" si="3"/>
        <v>24.520771156279711</v>
      </c>
      <c r="J37" s="336">
        <f t="shared" si="8"/>
        <v>0.14122207804295134</v>
      </c>
      <c r="K37" s="436">
        <f t="shared" si="9"/>
        <v>0.54854488235906473</v>
      </c>
      <c r="L37" s="987">
        <f t="shared" si="1"/>
        <v>0.31023303959798393</v>
      </c>
      <c r="M37" s="315">
        <f>+(VLOOKUP($A37,[1]OECDTable14a!$A$15:$XO$66,11,0)/VLOOKUP($A37,[1]FX!$B$2:$D$54,3,0))/1000</f>
        <v>17.635143662959056</v>
      </c>
      <c r="N37" s="995">
        <f t="shared" si="6"/>
        <v>0.20154122791061696</v>
      </c>
      <c r="O37" s="315"/>
      <c r="P37" s="429">
        <f t="shared" si="4"/>
        <v>0</v>
      </c>
      <c r="Q37" s="429">
        <f t="shared" si="7"/>
        <v>0</v>
      </c>
      <c r="R37" s="1000">
        <f>TableA2!G37/TableA1!M37</f>
        <v>0.63554628339578056</v>
      </c>
    </row>
    <row r="38" spans="1:18" ht="14.25" customHeight="1" x14ac:dyDescent="0.35">
      <c r="A38" s="15" t="s">
        <v>78</v>
      </c>
      <c r="B38" s="334">
        <f>+(VLOOKUP($A38,[1]OECDTable14a!$A$15:$XO$66,10,0)/VLOOKUP($A38,[1]FX!$B$2:$D$54,3,0))/1000</f>
        <v>42.776714811253477</v>
      </c>
      <c r="C38" s="986">
        <f>+((VLOOKUP($A38,[1]OECDTable14a!$A$15:$XO$66,22,0)-VLOOKUP($A38,[1]OECDTable14a!$A$15:$XO$66,15,0))/VLOOKUP($A38,[1]FX!$B$2:$D$54,3,0))/1000</f>
        <v>5.8237055250377354</v>
      </c>
      <c r="D38" s="335">
        <f t="shared" si="2"/>
        <v>36.953009286215739</v>
      </c>
      <c r="E38" s="314">
        <f t="shared" si="5"/>
        <v>23.475728296395868</v>
      </c>
      <c r="F38" s="315">
        <f>+((VLOOKUP($A38,[1]OECDTable14a!$A$15:$XO$66,132,0)-VLOOKUP($A38,[1]OECDTable14a!$A$15:$XO$66,143,0)+VLOOKUP($A38,[1]OECDTable14a!$A$15:$XO$66,137,0))/VLOOKUP($A38,[1]FX!$B$2:$D$54,3,0))/1000</f>
        <v>22.013766401710626</v>
      </c>
      <c r="G38" s="315">
        <f>+((VLOOKUP($A38,[1]OECDTable14a!$A$15:$XO$66,232,0)-VLOOKUP($A38,[1]OECDTable14a!$A$15:$XO$66,243,0)+VLOOKUP($A38,[1]OECDTable14a!$A$15:$XO$66,237,0))/VLOOKUP($A38,[1]FX!$B$2:$D$54,3,0))/1000</f>
        <v>1.4619618946852413</v>
      </c>
      <c r="H38" s="315">
        <f>+((VLOOKUP($A38,[1]OECDTable14a!$A$15:$XO$66,332,0)-VLOOKUP($A38,[1]OECDTable14a!$A$15:$XO$66,343,0)+VLOOKUP($A38,[1]OECDTable14a!$A$15:$XO$66,337,0))/VLOOKUP($A38,[1]FX!$B$2:$D$54,3,0))/1000</f>
        <v>5.9998325309235545</v>
      </c>
      <c r="I38" s="986">
        <f t="shared" si="3"/>
        <v>7.4774484588963164</v>
      </c>
      <c r="J38" s="336">
        <f t="shared" si="8"/>
        <v>0.16236384118144392</v>
      </c>
      <c r="K38" s="436">
        <f t="shared" si="9"/>
        <v>0.63528596858153086</v>
      </c>
      <c r="L38" s="987">
        <f t="shared" si="1"/>
        <v>0.20235019023702527</v>
      </c>
      <c r="M38" s="315">
        <f>+(VLOOKUP($A38,[1]OECDTable14a!$A$15:$XO$66,11,0)/VLOOKUP($A38,[1]FX!$B$2:$D$54,3,0))/1000</f>
        <v>8.8670668179433694</v>
      </c>
      <c r="N38" s="995">
        <f t="shared" si="6"/>
        <v>0.20728723224932336</v>
      </c>
      <c r="O38" s="315"/>
      <c r="P38" s="429">
        <f t="shared" si="4"/>
        <v>0</v>
      </c>
      <c r="Q38" s="429">
        <f t="shared" si="7"/>
        <v>0</v>
      </c>
      <c r="R38" s="1000">
        <f>TableA2!G38/TableA1!M38</f>
        <v>0.61444135340093187</v>
      </c>
    </row>
    <row r="39" spans="1:18" x14ac:dyDescent="0.35">
      <c r="A39" s="15" t="s">
        <v>79</v>
      </c>
      <c r="B39" s="334">
        <f>+(VLOOKUP($A39,[1]OECDTable14a!$A$15:$XO$66,10,0)/VLOOKUP($A39,[1]FX!$B$2:$D$54,3,0))/1000</f>
        <v>1197.7898518175941</v>
      </c>
      <c r="C39" s="986">
        <f>+((VLOOKUP($A39,[1]OECDTable14a!$A$15:$XO$66,22,0)-VLOOKUP($A39,[1]OECDTable14a!$A$15:$XO$66,15,0))/VLOOKUP($A39,[1]FX!$B$2:$D$54,3,0))/1000</f>
        <v>125.42324759138432</v>
      </c>
      <c r="D39" s="335">
        <f t="shared" si="2"/>
        <v>1072.3666042262098</v>
      </c>
      <c r="E39" s="314">
        <f t="shared" si="5"/>
        <v>678.97508925214515</v>
      </c>
      <c r="F39" s="315">
        <f>+((VLOOKUP($A39,[1]OECDTable14a!$A$15:$XO$66,132,0)-VLOOKUP($A39,[1]OECDTable14a!$A$15:$XO$66,143,0)+VLOOKUP($A39,[1]OECDTable14a!$A$15:$XO$66,137,0))/VLOOKUP($A39,[1]FX!$B$2:$D$54,3,0))/1000</f>
        <v>641.19251291230933</v>
      </c>
      <c r="G39" s="315">
        <f>+((VLOOKUP($A39,[1]OECDTable14a!$A$15:$XO$66,232,0)-VLOOKUP($A39,[1]OECDTable14a!$A$15:$XO$66,243,0)+VLOOKUP($A39,[1]OECDTable14a!$A$15:$XO$66,237,0))/VLOOKUP($A39,[1]FX!$B$2:$D$54,3,0))/1000</f>
        <v>37.782576339835785</v>
      </c>
      <c r="H39" s="315">
        <f>+((VLOOKUP($A39,[1]OECDTable14a!$A$15:$XO$66,332,0)-VLOOKUP($A39,[1]OECDTable14a!$A$15:$XO$66,343,0)+VLOOKUP($A39,[1]OECDTable14a!$A$15:$XO$66,337,0))/VLOOKUP($A39,[1]FX!$B$2:$D$54,3,0))/1000</f>
        <v>163.01506445341309</v>
      </c>
      <c r="I39" s="986">
        <f t="shared" si="3"/>
        <v>230.37645052065156</v>
      </c>
      <c r="J39" s="336">
        <f t="shared" si="8"/>
        <v>0.1520143053793066</v>
      </c>
      <c r="K39" s="436">
        <f t="shared" si="9"/>
        <v>0.63315575716018768</v>
      </c>
      <c r="L39" s="987">
        <f t="shared" si="1"/>
        <v>0.21482993746050574</v>
      </c>
      <c r="M39" s="315">
        <f>+(VLOOKUP($A39,[1]OECDTable14a!$A$15:$XO$66,11,0)/VLOOKUP($A39,[1]FX!$B$2:$D$54,3,0))/1000</f>
        <v>209.80658985270483</v>
      </c>
      <c r="N39" s="995">
        <f t="shared" si="6"/>
        <v>0.17516143548413976</v>
      </c>
      <c r="O39" s="315"/>
      <c r="P39" s="429">
        <f t="shared" si="4"/>
        <v>0</v>
      </c>
      <c r="Q39" s="429">
        <f t="shared" si="7"/>
        <v>0</v>
      </c>
      <c r="R39" s="1000">
        <f>TableA2!G39/TableA1!M39</f>
        <v>0.63679998308435637</v>
      </c>
    </row>
    <row r="40" spans="1:18" x14ac:dyDescent="0.35">
      <c r="A40" s="15" t="s">
        <v>80</v>
      </c>
      <c r="B40" s="334">
        <f>+(VLOOKUP($A40,[1]OECDTable14a!$A$15:$XO$66,10,0)/VLOOKUP($A40,[1]FX!$B$2:$D$54,3,0))/1000</f>
        <v>497.91809946387843</v>
      </c>
      <c r="C40" s="986">
        <f>+((VLOOKUP($A40,[1]OECDTable14a!$A$15:$XO$66,22,0)-VLOOKUP($A40,[1]OECDTable14a!$A$15:$XO$66,15,0))/VLOOKUP($A40,[1]FX!$B$2:$D$54,3,0))/1000</f>
        <v>100.53206693522733</v>
      </c>
      <c r="D40" s="335">
        <f t="shared" si="2"/>
        <v>397.38603252865107</v>
      </c>
      <c r="E40" s="314">
        <f t="shared" si="5"/>
        <v>287.8253425286855</v>
      </c>
      <c r="F40" s="315">
        <f>+((VLOOKUP($A40,[1]OECDTable14a!$A$15:$XO$66,132,0)-VLOOKUP($A40,[1]OECDTable14a!$A$15:$XO$66,143,0)+VLOOKUP($A40,[1]OECDTable14a!$A$15:$XO$66,137,0))/VLOOKUP($A40,[1]FX!$B$2:$D$54,3,0))/1000</f>
        <v>269.43791827255546</v>
      </c>
      <c r="G40" s="315">
        <f>+((VLOOKUP($A40,[1]OECDTable14a!$A$15:$XO$66,232,0)-VLOOKUP($A40,[1]OECDTable14a!$A$15:$XO$66,243,0)+VLOOKUP($A40,[1]OECDTable14a!$A$15:$XO$66,237,0))/VLOOKUP($A40,[1]FX!$B$2:$D$54,3,0))/1000</f>
        <v>18.387424256130021</v>
      </c>
      <c r="H40" s="315">
        <f>+((VLOOKUP($A40,[1]OECDTable14a!$A$15:$XO$66,332,0)-VLOOKUP($A40,[1]OECDTable14a!$A$15:$XO$66,343,0)+VLOOKUP($A40,[1]OECDTable14a!$A$15:$XO$66,337,0))/VLOOKUP($A40,[1]FX!$B$2:$D$54,3,0))/1000</f>
        <v>77.441768019100763</v>
      </c>
      <c r="I40" s="986">
        <f t="shared" si="3"/>
        <v>32.118921980864812</v>
      </c>
      <c r="J40" s="336">
        <f t="shared" si="8"/>
        <v>0.19487793148219748</v>
      </c>
      <c r="K40" s="436">
        <f t="shared" si="9"/>
        <v>0.72429657554190363</v>
      </c>
      <c r="L40" s="987">
        <f t="shared" si="1"/>
        <v>8.0825492975898888E-2</v>
      </c>
      <c r="M40" s="315">
        <f>+(VLOOKUP($A40,[1]OECDTable14a!$A$15:$XO$66,11,0)/VLOOKUP($A40,[1]FX!$B$2:$D$54,3,0))/1000</f>
        <v>81.568223989047326</v>
      </c>
      <c r="N40" s="995">
        <f t="shared" si="6"/>
        <v>0.16381855585662378</v>
      </c>
      <c r="O40" s="315"/>
      <c r="P40" s="429">
        <f t="shared" si="4"/>
        <v>0</v>
      </c>
      <c r="Q40" s="429">
        <f t="shared" si="7"/>
        <v>0</v>
      </c>
      <c r="R40" s="1000">
        <f>TableA2!G40/TableA1!M40</f>
        <v>0.70678982289630321</v>
      </c>
    </row>
    <row r="41" spans="1:18" x14ac:dyDescent="0.35">
      <c r="A41" s="15" t="s">
        <v>1</v>
      </c>
      <c r="B41" s="334">
        <f>+(VLOOKUP($A41,[1]OECDTable14a!$A$15:$XO$66,10,0)/VLOOKUP($A41,[1]FX!$B$2:$D$54,3,0))/1000</f>
        <v>679.2893983775657</v>
      </c>
      <c r="C41" s="986">
        <f>+((VLOOKUP($A41,[1]OECDTable14a!$A$15:$XO$66,22,0)-VLOOKUP($A41,[1]OECDTable14a!$A$15:$XO$66,15,0))/VLOOKUP($A41,[1]FX!$B$2:$D$54,3,0))/1000</f>
        <v>20.130951463089978</v>
      </c>
      <c r="D41" s="335">
        <f t="shared" si="2"/>
        <v>659.15844691447569</v>
      </c>
      <c r="E41" s="314">
        <f t="shared" si="5"/>
        <v>483.52057116672086</v>
      </c>
      <c r="F41" s="315">
        <f>+((VLOOKUP($A41,[1]OECDTable14a!$A$15:$XO$66,132,0)-VLOOKUP($A41,[1]OECDTable14a!$A$15:$XO$66,143,0)+VLOOKUP($A41,[1]OECDTable14a!$A$15:$XO$66,137,0))/VLOOKUP($A41,[1]FX!$B$2:$D$54,3,0))/1000</f>
        <v>418.96218472725457</v>
      </c>
      <c r="G41" s="315">
        <f>+((VLOOKUP($A41,[1]OECDTable14a!$A$15:$XO$66,232,0)-VLOOKUP($A41,[1]OECDTable14a!$A$15:$XO$66,243,0)+VLOOKUP($A41,[1]OECDTable14a!$A$15:$XO$66,237,0))/VLOOKUP($A41,[1]FX!$B$2:$D$54,3,0))/1000</f>
        <v>64.558386439466275</v>
      </c>
      <c r="H41" s="315">
        <f>+((VLOOKUP($A41,[1]OECDTable14a!$A$15:$XO$66,332,0)-VLOOKUP($A41,[1]OECDTable14a!$A$15:$XO$66,343,0)+VLOOKUP($A41,[1]OECDTable14a!$A$15:$XO$66,337,0))/VLOOKUP($A41,[1]FX!$B$2:$D$54,3,0))/1000</f>
        <v>70.134861453000426</v>
      </c>
      <c r="I41" s="986">
        <f t="shared" si="3"/>
        <v>105.50301429475441</v>
      </c>
      <c r="J41" s="336">
        <f t="shared" si="8"/>
        <v>0.10640061093247322</v>
      </c>
      <c r="K41" s="436">
        <f t="shared" si="9"/>
        <v>0.73354225138141416</v>
      </c>
      <c r="L41" s="987">
        <f t="shared" ref="L41:L53" si="10">I41/D41</f>
        <v>0.16005713768611265</v>
      </c>
      <c r="M41" s="315">
        <f>+(VLOOKUP($A41,[1]OECDTable14a!$A$15:$XO$66,11,0)/VLOOKUP($A41,[1]FX!$B$2:$D$54,3,0))/1000</f>
        <v>140.29731644743609</v>
      </c>
      <c r="N41" s="995">
        <f t="shared" si="6"/>
        <v>0.20653541301031081</v>
      </c>
      <c r="O41" s="315"/>
      <c r="P41" s="429">
        <f t="shared" si="4"/>
        <v>0</v>
      </c>
      <c r="Q41" s="429">
        <f t="shared" si="7"/>
        <v>0</v>
      </c>
      <c r="R41" s="1000">
        <f>TableA2!G41/TableA1!M41</f>
        <v>0.69513860792272686</v>
      </c>
    </row>
    <row r="42" spans="1:18" x14ac:dyDescent="0.35">
      <c r="A42" s="15" t="s">
        <v>81</v>
      </c>
      <c r="B42" s="334">
        <f>+(VLOOKUP($A42,[1]OECDTable14a!$A$15:$XO$66,10,0)/VLOOKUP($A42,[1]FX!$B$2:$D$54,3,0))/1000</f>
        <v>859.38316380570791</v>
      </c>
      <c r="C42" s="986">
        <f>+((VLOOKUP($A42,[1]OECDTable14a!$A$15:$XO$66,22,0)-VLOOKUP($A42,[1]OECDTable14a!$A$15:$XO$66,15,0))/VLOOKUP($A42,[1]FX!$B$2:$D$54,3,0))/1000</f>
        <v>100.93627631379161</v>
      </c>
      <c r="D42" s="335">
        <f t="shared" si="2"/>
        <v>758.4468874919163</v>
      </c>
      <c r="E42" s="314">
        <f t="shared" si="5"/>
        <v>461.75718903871274</v>
      </c>
      <c r="F42" s="315">
        <f>+((VLOOKUP($A42,[1]OECDTable14a!$A$15:$XO$66,132,0)-VLOOKUP($A42,[1]OECDTable14a!$A$15:$XO$66,143,0)+VLOOKUP($A42,[1]OECDTable14a!$A$15:$XO$66,137,0))/VLOOKUP($A42,[1]FX!$B$2:$D$54,3,0))/1000</f>
        <v>436.54209967687609</v>
      </c>
      <c r="G42" s="315">
        <f>+((VLOOKUP($A42,[1]OECDTable14a!$A$15:$XO$66,232,0)-VLOOKUP($A42,[1]OECDTable14a!$A$15:$XO$66,243,0)+VLOOKUP($A42,[1]OECDTable14a!$A$15:$XO$66,237,0))/VLOOKUP($A42,[1]FX!$B$2:$D$54,3,0))/1000</f>
        <v>25.215089361836664</v>
      </c>
      <c r="H42" s="315">
        <f>+((VLOOKUP($A42,[1]OECDTable14a!$A$15:$XO$66,332,0)-VLOOKUP($A42,[1]OECDTable14a!$A$15:$XO$66,343,0)+VLOOKUP($A42,[1]OECDTable14a!$A$15:$XO$66,337,0))/VLOOKUP($A42,[1]FX!$B$2:$D$54,3,0))/1000</f>
        <v>81.860188697905045</v>
      </c>
      <c r="I42" s="986">
        <f t="shared" si="3"/>
        <v>214.82950975529852</v>
      </c>
      <c r="J42" s="336">
        <f t="shared" si="8"/>
        <v>0.10793133975222165</v>
      </c>
      <c r="K42" s="436">
        <f t="shared" si="9"/>
        <v>0.60881941326924394</v>
      </c>
      <c r="L42" s="987">
        <f t="shared" si="10"/>
        <v>0.28324924697853443</v>
      </c>
      <c r="M42" s="315">
        <f>+(VLOOKUP($A42,[1]OECDTable14a!$A$15:$XO$66,11,0)/VLOOKUP($A42,[1]FX!$B$2:$D$54,3,0))/1000</f>
        <v>126.14899101436797</v>
      </c>
      <c r="N42" s="995">
        <f t="shared" si="6"/>
        <v>0.1467901587177104</v>
      </c>
      <c r="O42" s="315"/>
      <c r="P42" s="429">
        <f t="shared" ref="P42:P73" si="11">E42-F42-G42</f>
        <v>0</v>
      </c>
      <c r="Q42" s="429">
        <f t="shared" si="7"/>
        <v>0</v>
      </c>
      <c r="R42" s="1000">
        <f>TableA2!G42/TableA1!M42</f>
        <v>0.49748317045874885</v>
      </c>
    </row>
    <row r="43" spans="1:18" x14ac:dyDescent="0.35">
      <c r="A43" s="15" t="s">
        <v>82</v>
      </c>
      <c r="B43" s="334">
        <f>+(VLOOKUP($A43,[1]OECDTable14a!$A$15:$XO$66,10,0)/VLOOKUP($A43,[1]FX!$B$2:$D$54,3,0))/1000</f>
        <v>2861.0928202033469</v>
      </c>
      <c r="C43" s="986">
        <f>+((VLOOKUP($A43,[1]OECDTable14a!$A$15:$XO$66,22,0)-VLOOKUP($A43,[1]OECDTable14a!$A$15:$XO$66,15,0))/VLOOKUP($A43,[1]FX!$B$2:$D$54,3,0))/1000</f>
        <v>349.55274274496026</v>
      </c>
      <c r="D43" s="335">
        <f t="shared" si="2"/>
        <v>2511.5400774583868</v>
      </c>
      <c r="E43" s="314">
        <f t="shared" si="5"/>
        <v>1619.5418191262634</v>
      </c>
      <c r="F43" s="315">
        <f>+((VLOOKUP($A43,[1]OECDTable14a!$A$15:$XO$66,132,0)-VLOOKUP($A43,[1]OECDTable14a!$A$15:$XO$66,143,0)+VLOOKUP($A43,[1]OECDTable14a!$A$15:$XO$66,137,0))/VLOOKUP($A43,[1]FX!$B$2:$D$54,3,0))/1000</f>
        <v>1440.0278055748649</v>
      </c>
      <c r="G43" s="315">
        <f>+((VLOOKUP($A43,[1]OECDTable14a!$A$15:$XO$66,232,0)-VLOOKUP($A43,[1]OECDTable14a!$A$15:$XO$66,243,0)+VLOOKUP($A43,[1]OECDTable14a!$A$15:$XO$66,237,0))/VLOOKUP($A43,[1]FX!$B$2:$D$54,3,0))/1000</f>
        <v>179.51401355139831</v>
      </c>
      <c r="H43" s="315">
        <f>+((VLOOKUP($A43,[1]OECDTable14a!$A$15:$XO$66,332,0)-VLOOKUP($A43,[1]OECDTable14a!$A$15:$XO$66,343,0)+VLOOKUP($A43,[1]OECDTable14a!$A$15:$XO$66,337,0))/VLOOKUP($A43,[1]FX!$B$2:$D$54,3,0))/1000</f>
        <v>311.14896607567084</v>
      </c>
      <c r="I43" s="986">
        <f t="shared" si="3"/>
        <v>580.8492922564526</v>
      </c>
      <c r="J43" s="336">
        <f t="shared" si="8"/>
        <v>0.12388771689064404</v>
      </c>
      <c r="K43" s="436">
        <f t="shared" si="9"/>
        <v>0.64484012565118909</v>
      </c>
      <c r="L43" s="987">
        <f t="shared" si="10"/>
        <v>0.23127215745816684</v>
      </c>
      <c r="M43" s="315">
        <f>+(VLOOKUP($A43,[1]OECDTable14a!$A$15:$XO$66,11,0)/VLOOKUP($A43,[1]FX!$B$2:$D$54,3,0))/1000</f>
        <v>374.44331558563579</v>
      </c>
      <c r="N43" s="995">
        <f t="shared" si="6"/>
        <v>0.13087422852608568</v>
      </c>
      <c r="O43" s="315"/>
      <c r="P43" s="429">
        <f t="shared" si="11"/>
        <v>0</v>
      </c>
      <c r="Q43" s="429">
        <f t="shared" si="7"/>
        <v>0</v>
      </c>
      <c r="R43" s="1000">
        <f>TableA2!G43/TableA1!M43</f>
        <v>0.54700314170304787</v>
      </c>
    </row>
    <row r="44" spans="1:18" x14ac:dyDescent="0.35">
      <c r="A44" s="15" t="s">
        <v>0</v>
      </c>
      <c r="B44" s="334">
        <f>+(VLOOKUP($A44,[1]OECDTable14a!$A$15:$XO$66,10,0))/1000</f>
        <v>18120.7137</v>
      </c>
      <c r="C44" s="986">
        <f>+((VLOOKUP($A44,[1]OECDTable14a!$A$15:$XO$66,22,0)-VLOOKUP($A44,[1]OECDTable14a!$A$15:$XO$66,15,0))/VLOOKUP($A44,[1]FX!$B$2:$D$54,3,0))/1000</f>
        <v>1198.5211999999999</v>
      </c>
      <c r="D44" s="335">
        <f t="shared" si="2"/>
        <v>16922.192500000001</v>
      </c>
      <c r="E44" s="314">
        <f t="shared" si="5"/>
        <v>9749.7634999999991</v>
      </c>
      <c r="F44" s="315">
        <f>+((VLOOKUP($A44,[1]OECDTable14a!$A$15:$XO$66,132,0)-VLOOKUP($A44,[1]OECDTable14a!$A$15:$XO$66,143,0)+VLOOKUP($A44,[1]OECDTable14a!$A$15:$XO$66,137,0))/VLOOKUP($A44,[1]FX!$B$2:$D$54,3,0))/1000</f>
        <v>8421.3765999999996</v>
      </c>
      <c r="G44" s="315">
        <f>+((VLOOKUP($A44,[1]OECDTable14a!$A$15:$XO$66,232,0)-VLOOKUP($A44,[1]OECDTable14a!$A$15:$XO$66,243,0)+VLOOKUP($A44,[1]OECDTable14a!$A$15:$XO$66,237,0))/VLOOKUP($A44,[1]FX!$B$2:$D$54,3,0))/1000</f>
        <v>1328.3869000000002</v>
      </c>
      <c r="H44" s="315">
        <f>+G$100*$D44</f>
        <v>2341.4605492787546</v>
      </c>
      <c r="I44" s="986">
        <f t="shared" si="3"/>
        <v>4830.9684507212478</v>
      </c>
      <c r="J44" s="336">
        <f t="shared" si="8"/>
        <v>0.13836626366700144</v>
      </c>
      <c r="K44" s="462">
        <f t="shared" si="9"/>
        <v>0.57615249915163169</v>
      </c>
      <c r="L44" s="987">
        <f t="shared" si="10"/>
        <v>0.28548123718136686</v>
      </c>
      <c r="M44" s="315">
        <f>+(VLOOKUP($A44,[1]OECDTable14a!$A$15:$XO$66,11,0)/VLOOKUP($A44,[1]FX!$B$2:$D$54,3,0))/1000</f>
        <v>2841.5457999999999</v>
      </c>
      <c r="N44" s="995">
        <f t="shared" si="6"/>
        <v>0.1568120244623698</v>
      </c>
      <c r="O44" s="315"/>
      <c r="P44" s="429">
        <f t="shared" si="11"/>
        <v>0</v>
      </c>
      <c r="Q44" s="429">
        <f t="shared" si="7"/>
        <v>0</v>
      </c>
      <c r="R44" s="1000">
        <f>TableA2!G44/TableA1!M44</f>
        <v>0.54579190664461574</v>
      </c>
    </row>
    <row r="45" spans="1:18" ht="40" customHeight="1" x14ac:dyDescent="0.35">
      <c r="A45" s="454" t="s">
        <v>99</v>
      </c>
      <c r="B45" s="334">
        <f>SUM(B46:B52)</f>
        <v>17713.814901017813</v>
      </c>
      <c r="C45" s="988">
        <f t="shared" ref="C45:I45" si="12">SUM(C46:C52)</f>
        <v>2096.2982094108293</v>
      </c>
      <c r="D45" s="434">
        <f t="shared" si="12"/>
        <v>15617.516691606983</v>
      </c>
      <c r="E45" s="442">
        <f t="shared" si="12"/>
        <v>9449.600738407149</v>
      </c>
      <c r="F45" s="433">
        <f t="shared" si="12"/>
        <v>8417.5286702232133</v>
      </c>
      <c r="G45" s="433">
        <f t="shared" si="12"/>
        <v>1032.0720681839359</v>
      </c>
      <c r="H45" s="433">
        <f t="shared" si="12"/>
        <v>1308.7596495123901</v>
      </c>
      <c r="I45" s="988">
        <f t="shared" si="12"/>
        <v>4859.1563036874422</v>
      </c>
      <c r="J45" s="436">
        <f t="shared" si="8"/>
        <v>8.3800752408718815E-2</v>
      </c>
      <c r="K45" s="436">
        <f t="shared" si="9"/>
        <v>0.60506423172164514</v>
      </c>
      <c r="L45" s="989">
        <f t="shared" si="10"/>
        <v>0.31113501586963588</v>
      </c>
      <c r="M45" s="334">
        <f>SUM(M46:M52)</f>
        <v>2552.8579683611897</v>
      </c>
      <c r="N45" s="453">
        <f t="shared" si="6"/>
        <v>0.14411678018688712</v>
      </c>
      <c r="O45" s="433"/>
      <c r="P45" s="429">
        <f t="shared" si="11"/>
        <v>0</v>
      </c>
      <c r="Q45" s="429">
        <f t="shared" si="7"/>
        <v>0</v>
      </c>
      <c r="R45" s="1000">
        <f>TableA2!G45/TableA1!M45</f>
        <v>0.58457282815343814</v>
      </c>
    </row>
    <row r="46" spans="1:18" x14ac:dyDescent="0.35">
      <c r="A46" s="455" t="s">
        <v>92</v>
      </c>
      <c r="B46" s="334">
        <f>+(VLOOKUP($A46,[1]OECDTable14a2014!$A$16:$AHG$59,13,0))/(VLOOKUP($A46,[1]FX!$B$2:$E$54,4,0))/1000</f>
        <v>2456.0437271988544</v>
      </c>
      <c r="C46" s="986">
        <f>+C101*B46</f>
        <v>290.65450307182704</v>
      </c>
      <c r="D46" s="337">
        <f t="shared" ref="D46:D52" si="13">B46-C46</f>
        <v>2165.3892241270273</v>
      </c>
      <c r="E46" s="314">
        <f>TableA2!B46</f>
        <v>1105.0676793002151</v>
      </c>
      <c r="F46" s="315">
        <f>+E46*E100</f>
        <v>987.70778556038204</v>
      </c>
      <c r="G46" s="315">
        <f>+E46-F46</f>
        <v>117.35989373983307</v>
      </c>
      <c r="H46" s="315">
        <f>+G$101*$D46</f>
        <v>155.61044333553789</v>
      </c>
      <c r="I46" s="986">
        <f t="shared" ref="I46:I52" si="14">D46-E46-H46</f>
        <v>904.71110149127435</v>
      </c>
      <c r="J46" s="336">
        <f t="shared" ref="J46:J53" si="15">H46/D46</f>
        <v>7.1862573989797132E-2</v>
      </c>
      <c r="K46" s="436">
        <f t="shared" ref="K46:K53" si="16">E46/D46</f>
        <v>0.51033212273683548</v>
      </c>
      <c r="L46" s="987">
        <f t="shared" si="10"/>
        <v>0.4178053032733674</v>
      </c>
      <c r="M46" s="315">
        <f>TableA2!G46/K46</f>
        <v>378.09416927395921</v>
      </c>
      <c r="N46" s="995">
        <f t="shared" si="6"/>
        <v>0.15394439646446356</v>
      </c>
      <c r="O46" s="315"/>
      <c r="P46" s="429">
        <f t="shared" si="11"/>
        <v>0</v>
      </c>
      <c r="Q46" s="429">
        <f t="shared" si="7"/>
        <v>0</v>
      </c>
      <c r="R46" s="1000">
        <f>TableA2!G46/TableA1!M46</f>
        <v>0.51033212273683548</v>
      </c>
    </row>
    <row r="47" spans="1:18" x14ac:dyDescent="0.35">
      <c r="A47" s="56" t="s">
        <v>101</v>
      </c>
      <c r="B47" s="334">
        <f>+[2]China!D7</f>
        <v>11063.07</v>
      </c>
      <c r="C47" s="986">
        <f>+[2]HavenRawData!$D$46</f>
        <v>1383.5163753552181</v>
      </c>
      <c r="D47" s="337">
        <f t="shared" si="13"/>
        <v>9679.5536246447809</v>
      </c>
      <c r="E47" s="314">
        <f>+[2]HavenRawData!$F$46</f>
        <v>6211.8447853385696</v>
      </c>
      <c r="F47" s="315">
        <f>+[2]China!$D$12</f>
        <v>5523.3790716286385</v>
      </c>
      <c r="G47" s="315">
        <f>+E47-F47</f>
        <v>688.46571370993115</v>
      </c>
      <c r="H47" s="315">
        <f>+[2]HavenRawData!$G$46</f>
        <v>795.34694435553956</v>
      </c>
      <c r="I47" s="986">
        <f t="shared" si="14"/>
        <v>2672.3618949506717</v>
      </c>
      <c r="J47" s="316">
        <f t="shared" si="15"/>
        <v>8.2167729545971402E-2</v>
      </c>
      <c r="K47" s="436">
        <f t="shared" si="16"/>
        <v>0.64174909569412408</v>
      </c>
      <c r="L47" s="987">
        <f t="shared" si="10"/>
        <v>0.27608317475990446</v>
      </c>
      <c r="M47" s="315">
        <f>TableA2!G47/K47</f>
        <v>1479.3116185671761</v>
      </c>
      <c r="N47" s="995">
        <f t="shared" si="6"/>
        <v>0.13371619438068963</v>
      </c>
      <c r="O47" s="315"/>
      <c r="P47" s="429">
        <f t="shared" si="11"/>
        <v>0</v>
      </c>
      <c r="Q47" s="429">
        <f t="shared" si="7"/>
        <v>0</v>
      </c>
      <c r="R47" s="1000">
        <f>TableA2!G47/TableA1!M47</f>
        <v>0.64174909569412408</v>
      </c>
    </row>
    <row r="48" spans="1:18" x14ac:dyDescent="0.35">
      <c r="A48" s="56" t="s">
        <v>93</v>
      </c>
      <c r="B48" s="334">
        <f>+(VLOOKUP($A48,[1]OECDTable14a!$A$15:$XO$66,10,0)/VLOOKUP($A48,[1]FX!$B$2:$D$54,3,0))/1000</f>
        <v>291.51959153295098</v>
      </c>
      <c r="C48" s="986">
        <f>+((VLOOKUP($A48,[1]OECDTable14a!$A$15:$XO$66,22,0)-VLOOKUP($A48,[1]OECDTable14a!$A$15:$XO$66,15,0))/VLOOKUP($A48,[1]FX!$B$2:$D$54,3,0))/1000</f>
        <v>31.164008619046871</v>
      </c>
      <c r="D48" s="337">
        <f t="shared" si="13"/>
        <v>260.35558291390413</v>
      </c>
      <c r="E48" s="314">
        <f>+TableA2!D48+TableA2!C48+TableA2!G48</f>
        <v>135.02409969740114</v>
      </c>
      <c r="F48" s="315">
        <f>+E48*E102</f>
        <v>97.612859020116034</v>
      </c>
      <c r="G48" s="315">
        <f>+E48-F48</f>
        <v>37.411240677285107</v>
      </c>
      <c r="H48" s="315">
        <f>+G$101*$D48</f>
        <v>18.709822340807197</v>
      </c>
      <c r="I48" s="986">
        <f t="shared" si="14"/>
        <v>106.6216608756958</v>
      </c>
      <c r="J48" s="336">
        <f t="shared" si="15"/>
        <v>7.1862573989797132E-2</v>
      </c>
      <c r="K48" s="436">
        <f t="shared" si="16"/>
        <v>0.51861418981766827</v>
      </c>
      <c r="L48" s="987">
        <f t="shared" si="10"/>
        <v>0.40952323619253461</v>
      </c>
      <c r="M48" s="315">
        <f>TableA2!G48/K48</f>
        <v>33.292185865701477</v>
      </c>
      <c r="N48" s="995">
        <f t="shared" si="6"/>
        <v>0.1142022245936716</v>
      </c>
      <c r="O48" s="315"/>
      <c r="P48" s="429">
        <f t="shared" si="11"/>
        <v>0</v>
      </c>
      <c r="Q48" s="429">
        <f t="shared" si="7"/>
        <v>0</v>
      </c>
      <c r="R48" s="1000">
        <f>TableA2!G48/TableA1!M48</f>
        <v>0.51861418981766827</v>
      </c>
    </row>
    <row r="49" spans="1:23" x14ac:dyDescent="0.35">
      <c r="A49" s="56" t="s">
        <v>94</v>
      </c>
      <c r="B49" s="334">
        <f>+(VLOOKUP($A49,[1]OECDTable14a!$A$15:$XO$66,10,0)/VLOOKUP($A49,[1]FX!$B$2:$D$54,3,0))/1000</f>
        <v>54.743277431512311</v>
      </c>
      <c r="C49" s="986">
        <f>+((VLOOKUP($A49,[1]OECDTable14a!$A$15:$XO$66,22,0)-VLOOKUP($A49,[1]OECDTable14a!$A$15:$XO$66,15,0))/VLOOKUP($A49,[1]FX!$B$2:$D$54,3,0))/1000</f>
        <v>6.1139990822831773</v>
      </c>
      <c r="D49" s="337">
        <f t="shared" si="13"/>
        <v>48.629278349229132</v>
      </c>
      <c r="E49" s="314">
        <f>+((VLOOKUP($A49,[1]OECDTable14a!$A$15:$XO$66,132,0)+VLOOKUP($A49,[1]OECDTable14a!$A$15:$XO$66,232,0)-VLOOKUP($A49,[1]OECDTable14a!$A$15:$XO$66,143,0)-VLOOKUP($A49,[1]OECDTable14a!$A$15:$XO$66,243,0)+VLOOKUP($A49,[1]OECDTable14a!$A$15:$XO$66,137,0)+VLOOKUP($A49,[1]OECDTable14a!$A$15:$XO$66,237,0))/VLOOKUP($A49,[1]FX!$B$2:$D$54,3,0))/1000</f>
        <v>29.987501894855708</v>
      </c>
      <c r="F49" s="315">
        <f>+((VLOOKUP($A49,[1]OECDTable14a!$A$15:$XO$66,132,0)-VLOOKUP($A49,[1]OECDTable14a!$A$15:$XO$66,143,0)+VLOOKUP($A49,[1]OECDTable14a!$A$15:$XO$66,137,0))/VLOOKUP($A49,[1]FX!$B$2:$D$54,3,0))/1000</f>
        <v>27.462161051015293</v>
      </c>
      <c r="G49" s="315">
        <f>+((VLOOKUP($A49,[1]OECDTable14a!$A$15:$XO$66,232,0)-VLOOKUP($A49,[1]OECDTable14a!$A$15:$XO$66,243,0)+VLOOKUP($A49,[1]OECDTable14a!$A$15:$XO$66,237,0))/VLOOKUP($A49,[1]FX!$B$2:$D$54,3,0))/1000</f>
        <v>2.5253408438404121</v>
      </c>
      <c r="H49" s="315">
        <f>+((VLOOKUP($A49,[1]OECDTable14a!$A$15:$XO$66,332,0)-VLOOKUP($A49,[1]OECDTable14a!$A$15:$XO$66,343,0)+VLOOKUP($A49,[1]OECDTable14a!$A$15:$XO$66,337,0))/VLOOKUP($A49,[1]FX!$B$2:$D$54,3,0))/1000</f>
        <v>8.0721776098757676</v>
      </c>
      <c r="I49" s="986">
        <f t="shared" si="14"/>
        <v>10.569598844497657</v>
      </c>
      <c r="J49" s="336">
        <f t="shared" si="15"/>
        <v>0.16599418876640037</v>
      </c>
      <c r="K49" s="436">
        <f t="shared" si="16"/>
        <v>0.61665529312406642</v>
      </c>
      <c r="L49" s="987">
        <f t="shared" si="10"/>
        <v>0.21735051810953318</v>
      </c>
      <c r="M49" s="315">
        <f>+(VLOOKUP($A49,[1]OECDTable14a!$A$15:$XO$66,11,0)/VLOOKUP($A49,[1]FX!$B$2:$D$54,3,0))/1000</f>
        <v>2.9123871029003596</v>
      </c>
      <c r="N49" s="995">
        <f t="shared" si="6"/>
        <v>5.3200817334036324E-2</v>
      </c>
      <c r="O49" s="315"/>
      <c r="P49" s="429">
        <f t="shared" si="11"/>
        <v>0</v>
      </c>
      <c r="Q49" s="429">
        <f t="shared" si="7"/>
        <v>0</v>
      </c>
      <c r="R49" s="1000">
        <f>TableA2!G49/TableA1!M49</f>
        <v>0.89316181056889166</v>
      </c>
    </row>
    <row r="50" spans="1:23" x14ac:dyDescent="0.35">
      <c r="A50" s="56" t="s">
        <v>102</v>
      </c>
      <c r="B50" s="334">
        <f>+[2]HavenRawData!$C$45</f>
        <v>2132.7545428709068</v>
      </c>
      <c r="C50" s="986">
        <f>+[2]HavenRawData!$D$45</f>
        <v>190.70240490295976</v>
      </c>
      <c r="D50" s="337">
        <f t="shared" si="13"/>
        <v>1942.0521379679471</v>
      </c>
      <c r="E50" s="314">
        <f>+[2]HavenRawData!$F$45</f>
        <v>919.01579786888453</v>
      </c>
      <c r="F50" s="315">
        <f>+[2]India!$G$6</f>
        <v>806.65022403685839</v>
      </c>
      <c r="G50" s="315">
        <f>+E50-F50</f>
        <v>112.36557383202614</v>
      </c>
      <c r="H50" s="315">
        <f>+[2]HavenRawData!$G$45</f>
        <v>187.32261644323668</v>
      </c>
      <c r="I50" s="986">
        <f t="shared" si="14"/>
        <v>835.7137236558259</v>
      </c>
      <c r="J50" s="336">
        <f t="shared" si="15"/>
        <v>9.6456018240190206E-2</v>
      </c>
      <c r="K50" s="436">
        <f t="shared" si="16"/>
        <v>0.47321891101774971</v>
      </c>
      <c r="L50" s="987">
        <f t="shared" si="10"/>
        <v>0.43032507074206011</v>
      </c>
      <c r="M50" s="315">
        <f>TableA2!G50/K50</f>
        <v>440.0519879308286</v>
      </c>
      <c r="N50" s="995">
        <f t="shared" si="6"/>
        <v>0.20633034842278353</v>
      </c>
      <c r="O50" s="315"/>
      <c r="P50" s="429">
        <f t="shared" si="11"/>
        <v>0</v>
      </c>
      <c r="Q50" s="429">
        <f t="shared" si="7"/>
        <v>0</v>
      </c>
      <c r="R50" s="1000">
        <f>TableA2!G50/TableA1!M50</f>
        <v>0.47321891101774971</v>
      </c>
    </row>
    <row r="51" spans="1:23" x14ac:dyDescent="0.35">
      <c r="A51" s="56" t="s">
        <v>103</v>
      </c>
      <c r="B51" s="334">
        <f>+(VLOOKUP($A51,[1]OECDTable14a!$A$15:$XO$66,10,0)/VLOOKUP($A51,[1]FX!$B$2:$D$54,3,0))/1000</f>
        <v>1365.8652475111858</v>
      </c>
      <c r="C51" s="986">
        <f>+((VLOOKUP($A51,[1]OECDTable14a!$A$15:$XO$66,22,0)-VLOOKUP($A51,[1]OECDTable14a!$A$15:$XO$66,15,0))/VLOOKUP($A51,[1]FX!$B$2:$D$54,3,0))/1000</f>
        <v>152.16687220462228</v>
      </c>
      <c r="D51" s="337">
        <f t="shared" si="13"/>
        <v>1213.6983753065635</v>
      </c>
      <c r="E51" s="314">
        <f>+TableA2!D51+TableA2!C51+TableA2!G51</f>
        <v>856.3415010588692</v>
      </c>
      <c r="F51" s="315">
        <f>+((VLOOKUP($A51,[1]OECDTable14a!$A$15:$XO$66,132,0)-VLOOKUP($A51,[1]OECDTable14a!$A$15:$XO$66,143,0)+VLOOKUP($A51,[1]OECDTable14a!$A$15:$XO$66,137,0))/VLOOKUP($A51,[1]FX!$B$2:$D$54,3,0))/1000</f>
        <v>810.92385311543865</v>
      </c>
      <c r="G51" s="315">
        <f>+E51-F51</f>
        <v>45.417647943430552</v>
      </c>
      <c r="H51" s="315">
        <f>+G$101*$D51</f>
        <v>87.219489296764493</v>
      </c>
      <c r="I51" s="986">
        <f t="shared" si="14"/>
        <v>270.13738495092986</v>
      </c>
      <c r="J51" s="336">
        <f t="shared" si="15"/>
        <v>7.1862573989797132E-2</v>
      </c>
      <c r="K51" s="436">
        <f t="shared" si="16"/>
        <v>0.70556368738861419</v>
      </c>
      <c r="L51" s="987">
        <f t="shared" si="10"/>
        <v>0.22257373862158863</v>
      </c>
      <c r="M51" s="315">
        <f>+(VLOOKUP($A51,[1]OECDTable14a!$A$15:$XO$66,11,0)/VLOOKUP($A51,[1]FX!$B$2:$D$54,3,0))/1000</f>
        <v>161.82892513905608</v>
      </c>
      <c r="N51" s="995">
        <f t="shared" si="6"/>
        <v>0.11848088633482183</v>
      </c>
      <c r="O51" s="315"/>
      <c r="P51" s="429">
        <f t="shared" si="11"/>
        <v>0</v>
      </c>
      <c r="Q51" s="429">
        <f t="shared" si="7"/>
        <v>0</v>
      </c>
      <c r="R51" s="1000">
        <f>TableA2!G51/TableA1!M51</f>
        <v>0.53194208667215126</v>
      </c>
    </row>
    <row r="52" spans="1:23" x14ac:dyDescent="0.35">
      <c r="A52" s="15" t="s">
        <v>97</v>
      </c>
      <c r="B52" s="334">
        <f>+(VLOOKUP($A52,[1]OECDTable14a2014!$A$16:$AHG$59,13,0))/(VLOOKUP($A52,[1]FX!$B$2:$E$54,4,0))/1000</f>
        <v>349.818514472402</v>
      </c>
      <c r="C52" s="986">
        <f>([1]OECDTable14a2014!$Y$59-[1]OECDTable14a2014!$R$59)/1000/[1]FX!$E$46</f>
        <v>41.980046174871852</v>
      </c>
      <c r="D52" s="337">
        <f t="shared" si="13"/>
        <v>307.83846829753014</v>
      </c>
      <c r="E52" s="314">
        <f>([1]OECDTable14a2014!$EL$59-[1]OECDTable14a2014!$ES$59+[1]OECDTable14a2014!$EM$59+[1]OECDTable14a2014!$IG$59-[1]OECDTable14a2014!$IR$59+[1]OECDTable14a2014!$IL$59)/[1]FX!$E$46/1000</f>
        <v>192.31937324835505</v>
      </c>
      <c r="F52" s="315">
        <f>+E52*'[1]OECDTable14a2014(small)'!$D$46/('[1]OECDTable14a2014(small)'!$D$46+'[1]OECDTable14a2014(small)'!$E$46)</f>
        <v>163.79271581076557</v>
      </c>
      <c r="G52" s="315">
        <f>+E52-F52</f>
        <v>28.526657437589478</v>
      </c>
      <c r="H52" s="315">
        <f>([1]OECDTable14a2014!$MF$59-[1]OECDTable14a2014!$MQ$59+[1]OECDTable14a2014!$MK$59)/[1]FX!$E$46/1000</f>
        <v>56.478156130628307</v>
      </c>
      <c r="I52" s="986">
        <f t="shared" si="14"/>
        <v>59.040938918546786</v>
      </c>
      <c r="J52" s="336">
        <f t="shared" si="15"/>
        <v>0.18346685663742773</v>
      </c>
      <c r="K52" s="436">
        <f t="shared" si="16"/>
        <v>0.62474119726478017</v>
      </c>
      <c r="L52" s="987">
        <f t="shared" si="10"/>
        <v>0.1917919460977921</v>
      </c>
      <c r="M52" s="315">
        <f>TableA2!G52/K52</f>
        <v>57.36669448156789</v>
      </c>
      <c r="N52" s="995">
        <f t="shared" si="6"/>
        <v>0.16398987505875331</v>
      </c>
      <c r="O52" s="315"/>
      <c r="P52" s="429">
        <f t="shared" si="11"/>
        <v>0</v>
      </c>
      <c r="Q52" s="429">
        <f t="shared" si="7"/>
        <v>0</v>
      </c>
      <c r="R52" s="1000">
        <f>TableA2!G52/TableA1!M52</f>
        <v>0.62474119726478017</v>
      </c>
    </row>
    <row r="53" spans="1:23" ht="40" customHeight="1" x14ac:dyDescent="0.35">
      <c r="A53" s="454" t="s">
        <v>100</v>
      </c>
      <c r="B53" s="425">
        <f>SUM(B54:B89)</f>
        <v>1018.652050927711</v>
      </c>
      <c r="C53" s="433">
        <f t="shared" ref="C53:I53" si="17">SUM(C54:C89)</f>
        <v>80.912276689999999</v>
      </c>
      <c r="D53" s="425">
        <f t="shared" si="17"/>
        <v>937.73977423771089</v>
      </c>
      <c r="E53" s="442">
        <f t="shared" si="17"/>
        <v>687.54671431433303</v>
      </c>
      <c r="F53" s="433">
        <f t="shared" si="17"/>
        <v>555.54858798470366</v>
      </c>
      <c r="G53" s="433">
        <f t="shared" si="17"/>
        <v>131.99812632962932</v>
      </c>
      <c r="H53" s="433">
        <f t="shared" si="17"/>
        <v>129.52069133600003</v>
      </c>
      <c r="I53" s="988">
        <f t="shared" si="17"/>
        <v>120.6723685873779</v>
      </c>
      <c r="J53" s="436">
        <f t="shared" si="15"/>
        <v>0.13812007861273395</v>
      </c>
      <c r="K53" s="436">
        <f t="shared" si="16"/>
        <v>0.73319564041446372</v>
      </c>
      <c r="L53" s="989">
        <f t="shared" si="10"/>
        <v>0.12868428097280243</v>
      </c>
      <c r="M53" s="425">
        <f>SUM(M54:M89)</f>
        <v>149.58288092316121</v>
      </c>
      <c r="N53" s="453">
        <f t="shared" si="6"/>
        <v>0.14684394027080441</v>
      </c>
      <c r="O53" s="433"/>
      <c r="P53" s="429">
        <f t="shared" si="11"/>
        <v>0</v>
      </c>
      <c r="Q53" s="429">
        <f>1-J53-K53-L53</f>
        <v>0</v>
      </c>
      <c r="R53" s="1000">
        <f>TableA2!G53/TableA1!M53</f>
        <v>0.72001898069467207</v>
      </c>
    </row>
    <row r="54" spans="1:23" x14ac:dyDescent="0.35">
      <c r="A54" s="456" t="s">
        <v>272</v>
      </c>
      <c r="B54" s="320">
        <f>VLOOKUP($A54,[1]UNnataccount.xls!$A$1:$I$232,2,0)/1000000000</f>
        <v>2.81149</v>
      </c>
      <c r="C54" s="420">
        <f>VLOOKUP(A54,[1]UNnataccount.xls!$A$1:$I$232,3,0)/1000000000</f>
        <v>0.30302600000000002</v>
      </c>
      <c r="D54" s="321">
        <f t="shared" ref="D54:D89" si="18">+B54-C54</f>
        <v>2.508464</v>
      </c>
      <c r="E54" s="418">
        <f>VLOOKUP(A54,[1]UNnataccount.xls!$A$1:$I$232,4,0)/1000000000</f>
        <v>1.8902000000000001</v>
      </c>
      <c r="F54" s="420">
        <f>VLOOKUP(A54,[1]UNnataccount.xls!$A$1:$I$232,5,0)/1000000000</f>
        <v>1.4903599999999999</v>
      </c>
      <c r="G54" s="428">
        <f t="shared" ref="G54:G89" si="19">+E54-F54</f>
        <v>0.3998400000000002</v>
      </c>
      <c r="H54" s="420">
        <f>VLOOKUP(A54,[1]UNnataccount.xls!$A$1:$I$232,7,0)/1000000000</f>
        <v>0.35965999999999998</v>
      </c>
      <c r="I54" s="990">
        <f t="shared" ref="I54:I89" si="20">D54-E54-H54</f>
        <v>0.25860399999999995</v>
      </c>
      <c r="J54" s="322">
        <f t="shared" ref="J54:J89" si="21">H54/D54</f>
        <v>0.14337857748805644</v>
      </c>
      <c r="K54" s="436">
        <f t="shared" ref="K54:K89" si="22">E54/D54</f>
        <v>0.75352885271624392</v>
      </c>
      <c r="L54" s="991">
        <f t="shared" ref="L54:L89" si="23">I54/D54</f>
        <v>0.10309256979569965</v>
      </c>
      <c r="M54" s="315">
        <f>TableA2!G54/K54</f>
        <v>0.3392066529086869</v>
      </c>
      <c r="N54" s="995">
        <f t="shared" ref="N54" si="24">M54/B54</f>
        <v>0.12065013672774468</v>
      </c>
      <c r="O54" s="315"/>
      <c r="P54" s="429">
        <f t="shared" si="11"/>
        <v>0</v>
      </c>
      <c r="Q54" s="429">
        <f t="shared" si="7"/>
        <v>0</v>
      </c>
      <c r="R54" s="1000">
        <f>TableA2!G54/TableA1!M54</f>
        <v>0.75352885271624392</v>
      </c>
    </row>
    <row r="55" spans="1:23" x14ac:dyDescent="0.35">
      <c r="A55" s="457" t="s">
        <v>273</v>
      </c>
      <c r="B55" s="320">
        <f>VLOOKUP($A55,[1]UNnataccount.xls!$A$1:$I$232,2,0)/1000000000</f>
        <v>0.28305000000000002</v>
      </c>
      <c r="C55" s="420">
        <f>VLOOKUP(A55,[1]UNnataccount.xls!$A$1:$I$232,3,0)/1000000000</f>
        <v>4.5657999999999997E-2</v>
      </c>
      <c r="D55" s="321">
        <f t="shared" si="18"/>
        <v>0.23739200000000002</v>
      </c>
      <c r="E55" s="418">
        <f>VLOOKUP(A55,[1]UNnataccount.xls!$A$1:$I$232,4,0)/1000000000</f>
        <v>0.17888200000000001</v>
      </c>
      <c r="F55" s="420">
        <f>VLOOKUP(A55,[1]UNnataccount.xls!$A$1:$I$232,5,0)/1000000000</f>
        <v>0.141043</v>
      </c>
      <c r="G55" s="428">
        <f t="shared" si="19"/>
        <v>3.7839000000000012E-2</v>
      </c>
      <c r="H55" s="420">
        <f>VLOOKUP(A55,[1]UNnataccount.xls!$A$1:$I$232,7,0)/1000000000</f>
        <v>3.4036928000000001E-2</v>
      </c>
      <c r="I55" s="990">
        <f t="shared" si="20"/>
        <v>2.4473072000000005E-2</v>
      </c>
      <c r="J55" s="322">
        <f t="shared" si="21"/>
        <v>0.14337858057558805</v>
      </c>
      <c r="K55" s="436">
        <f t="shared" si="22"/>
        <v>0.75353002628563726</v>
      </c>
      <c r="L55" s="991">
        <f t="shared" si="23"/>
        <v>0.1030913931387747</v>
      </c>
      <c r="M55" s="315">
        <f>TableA2!G55/K55</f>
        <v>3.2101276865151331E-2</v>
      </c>
      <c r="N55" s="995">
        <f t="shared" ref="N55:N89" si="25">M55/B55</f>
        <v>0.11341203626621207</v>
      </c>
      <c r="O55" s="315"/>
      <c r="P55" s="429">
        <f t="shared" si="11"/>
        <v>0</v>
      </c>
      <c r="Q55" s="429">
        <f t="shared" si="7"/>
        <v>0</v>
      </c>
      <c r="R55" s="1000">
        <f>TableA2!G55/TableA1!M55</f>
        <v>0.75353002628563714</v>
      </c>
    </row>
    <row r="56" spans="1:23" x14ac:dyDescent="0.35">
      <c r="A56" s="456" t="s">
        <v>319</v>
      </c>
      <c r="B56" s="320">
        <f>VLOOKUP($A56,[1]UNnataccount.xls!$A$1:$I$232,2,0)/1000000000</f>
        <v>1.36486</v>
      </c>
      <c r="C56" s="420">
        <f>VLOOKUP(A56,[1]UNnataccount.xls!$A$1:$I$232,3,0)/1000000000</f>
        <v>0.14710699999999999</v>
      </c>
      <c r="D56" s="321">
        <f t="shared" si="18"/>
        <v>1.2177530000000001</v>
      </c>
      <c r="E56" s="418">
        <f>VLOOKUP(A56,[1]UNnataccount.xls!$A$1:$I$232,4,0)/1000000000</f>
        <v>0.91761499999999996</v>
      </c>
      <c r="F56" s="420">
        <f>VLOOKUP(A56,[1]UNnataccount.xls!$A$1:$I$232,5,0)/1000000000</f>
        <v>0.72351100000000002</v>
      </c>
      <c r="G56" s="428">
        <f t="shared" si="19"/>
        <v>0.19410399999999994</v>
      </c>
      <c r="H56" s="420">
        <f>VLOOKUP(A56,[1]UNnataccount.xls!$A$1:$I$232,7,0)/1000000000</f>
        <v>0.17460000000000001</v>
      </c>
      <c r="I56" s="990">
        <f t="shared" si="20"/>
        <v>0.12553800000000012</v>
      </c>
      <c r="J56" s="322">
        <f t="shared" si="21"/>
        <v>0.14337882969699109</v>
      </c>
      <c r="K56" s="436">
        <f t="shared" si="22"/>
        <v>0.75353129904011729</v>
      </c>
      <c r="L56" s="991">
        <f t="shared" si="23"/>
        <v>0.10308987126289167</v>
      </c>
      <c r="M56" s="315">
        <f>TableA2!G56/K56</f>
        <v>0.16467000130991757</v>
      </c>
      <c r="N56" s="995">
        <f t="shared" si="25"/>
        <v>0.12064973792910451</v>
      </c>
      <c r="O56" s="315"/>
      <c r="P56" s="429">
        <f t="shared" si="11"/>
        <v>0</v>
      </c>
      <c r="Q56" s="429">
        <f t="shared" si="7"/>
        <v>0</v>
      </c>
      <c r="R56" s="1000">
        <f>TableA2!G56/TableA1!M56</f>
        <v>0.75353129904011729</v>
      </c>
    </row>
    <row r="57" spans="1:23" x14ac:dyDescent="0.35">
      <c r="A57" s="456" t="s">
        <v>274</v>
      </c>
      <c r="B57" s="320">
        <f>VLOOKUP($A57,[1]UNnataccount.xls!$A$1:$I$232,2,0)/1000000000</f>
        <v>2.5</v>
      </c>
      <c r="C57" s="420">
        <f>VLOOKUP(A57,[1]UNnataccount.xls!$A$1:$I$232,3,0)/1000000000</f>
        <v>0.269453</v>
      </c>
      <c r="D57" s="321">
        <f t="shared" si="18"/>
        <v>2.2305470000000001</v>
      </c>
      <c r="E57" s="418">
        <f>VLOOKUP(A57,[1]UNnataccount.xls!$A$1:$I$232,4,0)/1000000000</f>
        <v>1.6807799999999999</v>
      </c>
      <c r="F57" s="420">
        <f>VLOOKUP(A57,[1]UNnataccount.xls!$A$1:$I$232,5,0)/1000000000</f>
        <v>1.32524</v>
      </c>
      <c r="G57" s="428">
        <f t="shared" si="19"/>
        <v>0.35553999999999997</v>
      </c>
      <c r="H57" s="420">
        <f>VLOOKUP(A57,[1]UNnataccount.xls!$A$1:$I$232,7,0)/1000000000</f>
        <v>0.31981300000000001</v>
      </c>
      <c r="I57" s="990">
        <f t="shared" si="20"/>
        <v>0.2299540000000001</v>
      </c>
      <c r="J57" s="322">
        <f t="shared" si="21"/>
        <v>0.14337873176400229</v>
      </c>
      <c r="K57" s="436">
        <f t="shared" si="22"/>
        <v>0.7535281704442901</v>
      </c>
      <c r="L57" s="991">
        <f t="shared" si="23"/>
        <v>0.10309309779170764</v>
      </c>
      <c r="M57" s="315">
        <f>TableA2!G57/K57</f>
        <v>0.30162641413391406</v>
      </c>
      <c r="N57" s="995">
        <f t="shared" si="25"/>
        <v>0.12065056565356562</v>
      </c>
      <c r="O57" s="315"/>
      <c r="P57" s="429">
        <f t="shared" si="11"/>
        <v>0</v>
      </c>
      <c r="Q57" s="429">
        <f t="shared" si="7"/>
        <v>0</v>
      </c>
      <c r="R57" s="1000">
        <f>TableA2!G57/TableA1!M57</f>
        <v>0.7535281704442901</v>
      </c>
    </row>
    <row r="58" spans="1:23" x14ac:dyDescent="0.35">
      <c r="A58" s="456" t="s">
        <v>320</v>
      </c>
      <c r="B58" s="320">
        <f>VLOOKUP($A58,[1]UNnataccount.xls!$A$1:$I$232,2,0)/1000000000</f>
        <v>11.24</v>
      </c>
      <c r="C58" s="420">
        <f>VLOOKUP(A58,[1]UNnataccount.xls!$A$1:$I$232,3,0)/1000000000</f>
        <v>1.21146</v>
      </c>
      <c r="D58" s="321">
        <f t="shared" si="18"/>
        <v>10.02854</v>
      </c>
      <c r="E58" s="418">
        <f>VLOOKUP(A58,[1]UNnataccount.xls!$A$1:$I$232,4,0)/1000000000</f>
        <v>7.5567900000000003</v>
      </c>
      <c r="F58" s="420">
        <f>VLOOKUP(A58,[1]UNnataccount.xls!$A$1:$I$232,5,0)/1000000000</f>
        <v>5.9583000000000004</v>
      </c>
      <c r="G58" s="428">
        <f t="shared" si="19"/>
        <v>1.59849</v>
      </c>
      <c r="H58" s="420">
        <f>VLOOKUP(A58,[1]UNnataccount.xls!$A$1:$I$232,7,0)/1000000000</f>
        <v>1.43788</v>
      </c>
      <c r="I58" s="990">
        <f t="shared" si="20"/>
        <v>1.0338699999999992</v>
      </c>
      <c r="J58" s="322">
        <f t="shared" si="21"/>
        <v>0.14337879691360858</v>
      </c>
      <c r="K58" s="436">
        <f t="shared" si="22"/>
        <v>0.7535284298611763</v>
      </c>
      <c r="L58" s="991">
        <f t="shared" si="23"/>
        <v>0.10309277322521516</v>
      </c>
      <c r="M58" s="315">
        <f>TableA2!G58/K58</f>
        <v>1.356113398652073</v>
      </c>
      <c r="N58" s="995">
        <f t="shared" si="25"/>
        <v>0.12065065824306699</v>
      </c>
      <c r="O58" s="315"/>
      <c r="P58" s="429">
        <f t="shared" si="11"/>
        <v>0</v>
      </c>
      <c r="Q58" s="429">
        <f t="shared" si="7"/>
        <v>0</v>
      </c>
      <c r="R58" s="1000">
        <f>TableA2!G58/TableA1!M58</f>
        <v>0.7535284298611763</v>
      </c>
    </row>
    <row r="59" spans="1:23" x14ac:dyDescent="0.35">
      <c r="A59" s="456" t="s">
        <v>276</v>
      </c>
      <c r="B59" s="320">
        <f>VLOOKUP($A59,[1]UNnataccount.xls!$A$1:$I$232,2,0)/1000000000</f>
        <v>31.125900000000001</v>
      </c>
      <c r="C59" s="420">
        <f>VLOOKUP(A59,[1]UNnataccount.xls!$A$1:$I$232,3,0)/1000000000</f>
        <v>3.3547799999999999</v>
      </c>
      <c r="D59" s="321">
        <f t="shared" si="18"/>
        <v>27.771120000000003</v>
      </c>
      <c r="E59" s="418">
        <f>VLOOKUP(A59,[1]UNnataccount.xls!$A$1:$I$232,4,0)/1000000000</f>
        <v>22.1172</v>
      </c>
      <c r="F59" s="420">
        <f>VLOOKUP(A59,[1]UNnataccount.xls!$A$1:$I$232,5,0)/1000000000</f>
        <v>17.797499999999999</v>
      </c>
      <c r="G59" s="428">
        <f t="shared" si="19"/>
        <v>4.319700000000001</v>
      </c>
      <c r="H59" s="420">
        <f>VLOOKUP(A59,[1]UNnataccount.xls!$A$1:$I$232,7,0)/1000000000</f>
        <v>3.9817800000000001</v>
      </c>
      <c r="I59" s="990">
        <f t="shared" si="20"/>
        <v>1.6721400000000028</v>
      </c>
      <c r="J59" s="322">
        <f t="shared" si="21"/>
        <v>0.14337844494568458</v>
      </c>
      <c r="K59" s="436">
        <f t="shared" si="22"/>
        <v>0.7964100835688297</v>
      </c>
      <c r="L59" s="991">
        <f t="shared" si="23"/>
        <v>6.0211471485485737E-2</v>
      </c>
      <c r="M59" s="315">
        <f>TableA2!G59/K59</f>
        <v>1.3114600399327221</v>
      </c>
      <c r="N59" s="995">
        <f t="shared" si="25"/>
        <v>4.2134043993353514E-2</v>
      </c>
      <c r="O59" s="315"/>
      <c r="P59" s="429">
        <f t="shared" si="11"/>
        <v>0</v>
      </c>
      <c r="Q59" s="429">
        <f t="shared" si="7"/>
        <v>0</v>
      </c>
      <c r="R59" s="1000">
        <f>TableA2!G59/TableA1!M59</f>
        <v>0.7964100835688297</v>
      </c>
    </row>
    <row r="60" spans="1:23" x14ac:dyDescent="0.35">
      <c r="A60" s="456" t="s">
        <v>212</v>
      </c>
      <c r="B60" s="320">
        <f>VLOOKUP($A60,[1]UNnataccount.xls!$A$1:$I$232,2,0)/1000000000</f>
        <v>4.5841500000000002</v>
      </c>
      <c r="C60" s="420">
        <f>VLOOKUP(A60,[1]UNnataccount.xls!$A$1:$I$232,3,0)/1000000000</f>
        <v>0.494085</v>
      </c>
      <c r="D60" s="321">
        <f t="shared" si="18"/>
        <v>4.0900650000000001</v>
      </c>
      <c r="E60" s="418">
        <f>VLOOKUP(A60,[1]UNnataccount.xls!$A$1:$I$232,4,0)/1000000000</f>
        <v>3.0819800000000002</v>
      </c>
      <c r="F60" s="420">
        <f>VLOOKUP(A60,[1]UNnataccount.xls!$A$1:$I$232,5,0)/1000000000</f>
        <v>2.43005</v>
      </c>
      <c r="G60" s="428">
        <f t="shared" si="19"/>
        <v>0.65193000000000012</v>
      </c>
      <c r="H60" s="420">
        <f>VLOOKUP(A60,[1]UNnataccount.xls!$A$1:$I$232,7,0)/1000000000</f>
        <v>0.58642799999999995</v>
      </c>
      <c r="I60" s="990">
        <f t="shared" si="20"/>
        <v>0.42165699999999995</v>
      </c>
      <c r="J60" s="322">
        <f t="shared" si="21"/>
        <v>0.14337865046154522</v>
      </c>
      <c r="K60" s="436">
        <f t="shared" si="22"/>
        <v>0.75352836690859437</v>
      </c>
      <c r="L60" s="991">
        <f t="shared" si="23"/>
        <v>0.10309298262986039</v>
      </c>
      <c r="M60" s="315">
        <f>TableA2!G60/K60</f>
        <v>0.55307937736941837</v>
      </c>
      <c r="N60" s="995">
        <f t="shared" si="25"/>
        <v>0.12065036645166897</v>
      </c>
      <c r="O60" s="315"/>
      <c r="P60" s="429">
        <f t="shared" si="11"/>
        <v>0</v>
      </c>
      <c r="Q60" s="429">
        <f t="shared" si="7"/>
        <v>0</v>
      </c>
      <c r="R60" s="1000">
        <f>TableA2!G60/TableA1!M60</f>
        <v>0.75352836690859437</v>
      </c>
    </row>
    <row r="61" spans="1:23" x14ac:dyDescent="0.35">
      <c r="A61" s="456" t="s">
        <v>277</v>
      </c>
      <c r="B61" s="320">
        <f>VLOOKUP($A61,[1]UNnataccount.xls!$A$1:$I$232,2,0)/1000000000</f>
        <v>1.74255</v>
      </c>
      <c r="C61" s="420">
        <f>VLOOKUP(A61,[1]UNnataccount.xls!$A$1:$I$232,3,0)/1000000000</f>
        <v>0.18781400000000001</v>
      </c>
      <c r="D61" s="321">
        <f t="shared" si="18"/>
        <v>1.5547360000000001</v>
      </c>
      <c r="E61" s="418">
        <f>VLOOKUP(A61,[1]UNnataccount.xls!$A$1:$I$232,4,0)/1000000000</f>
        <v>1.17154</v>
      </c>
      <c r="F61" s="420">
        <f>VLOOKUP(A61,[1]UNnataccount.xls!$A$1:$I$232,5,0)/1000000000</f>
        <v>0.92371999999999999</v>
      </c>
      <c r="G61" s="428">
        <f t="shared" si="19"/>
        <v>0.24782000000000004</v>
      </c>
      <c r="H61" s="420">
        <f>VLOOKUP(A61,[1]UNnataccount.xls!$A$1:$I$232,7,0)/1000000000</f>
        <v>0.222915</v>
      </c>
      <c r="I61" s="990">
        <f t="shared" si="20"/>
        <v>0.16028100000000009</v>
      </c>
      <c r="J61" s="451">
        <f t="shared" si="21"/>
        <v>0.14337803974436816</v>
      </c>
      <c r="K61" s="436">
        <f t="shared" si="22"/>
        <v>0.75352985973181297</v>
      </c>
      <c r="L61" s="991">
        <f t="shared" si="23"/>
        <v>0.10309210052381888</v>
      </c>
      <c r="M61" s="315">
        <f>TableA2!G61/K61</f>
        <v>0.21023851670109431</v>
      </c>
      <c r="N61" s="995">
        <f t="shared" si="25"/>
        <v>0.1206499191995032</v>
      </c>
      <c r="O61" s="315"/>
      <c r="P61" s="429">
        <f t="shared" si="11"/>
        <v>0</v>
      </c>
      <c r="Q61" s="429">
        <f t="shared" si="7"/>
        <v>0</v>
      </c>
      <c r="R61" s="1000">
        <f>TableA2!G61/TableA1!M61</f>
        <v>0.75352985973181297</v>
      </c>
    </row>
    <row r="62" spans="1:23" x14ac:dyDescent="0.35">
      <c r="A62" s="457" t="s">
        <v>213</v>
      </c>
      <c r="B62" s="320">
        <f>VLOOKUP($A62,[1]UNnataccount.xls!$A$1:$I$232,2,0)/1000000000</f>
        <v>5.9276499999999999</v>
      </c>
      <c r="C62" s="420">
        <f>VLOOKUP(A62,[1]UNnataccount.xls!$A$1:$I$232,3,0)/1000000000</f>
        <v>0.59425499999999998</v>
      </c>
      <c r="D62" s="321">
        <f t="shared" si="18"/>
        <v>5.3333949999999994</v>
      </c>
      <c r="E62" s="418">
        <f>VLOOKUP(A62,[1]UNnataccount.xls!$A$1:$I$232,4,0)/1000000000</f>
        <v>4.8467700000000002</v>
      </c>
      <c r="F62" s="420">
        <f>VLOOKUP(A62,[1]UNnataccount.xls!$A$1:$I$232,5,0)/1000000000</f>
        <v>2.6453500000000001</v>
      </c>
      <c r="G62" s="428">
        <f t="shared" si="19"/>
        <v>2.2014200000000002</v>
      </c>
      <c r="H62" s="420">
        <f>J62*D62</f>
        <v>0.24331249999999954</v>
      </c>
      <c r="I62" s="990">
        <f>L62*D62</f>
        <v>0.24331249999999954</v>
      </c>
      <c r="J62" s="451">
        <f>(1-K62)/2</f>
        <v>4.5620566262202511E-2</v>
      </c>
      <c r="K62" s="436">
        <f t="shared" si="22"/>
        <v>0.90875886747559498</v>
      </c>
      <c r="L62" s="991">
        <f>(1-K62)/2</f>
        <v>4.5620566262202511E-2</v>
      </c>
      <c r="M62" s="315">
        <f>TableA2!G62/K62</f>
        <v>0.23525932747582406</v>
      </c>
      <c r="N62" s="995">
        <f t="shared" si="25"/>
        <v>3.9688464648861534E-2</v>
      </c>
      <c r="O62" s="315"/>
      <c r="P62" s="429">
        <f t="shared" si="11"/>
        <v>0</v>
      </c>
      <c r="Q62" s="429">
        <f t="shared" si="7"/>
        <v>5.5511151231257827E-17</v>
      </c>
      <c r="R62" s="1000">
        <f>TableA2!G62/TableA1!M62</f>
        <v>0.90875886747559498</v>
      </c>
    </row>
    <row r="63" spans="1:23" x14ac:dyDescent="0.35">
      <c r="A63" s="457" t="s">
        <v>278</v>
      </c>
      <c r="B63" s="320">
        <f>VLOOKUP($A63,[1]UNnataccount.xls!$A$1:$I$232,2,0)/1000000000</f>
        <v>0.40300000000000002</v>
      </c>
      <c r="C63" s="420">
        <f>VLOOKUP(A63,[1]UNnataccount.xls!$A$1:$I$232,3,0)/1000000000</f>
        <v>4.5951496000000001E-2</v>
      </c>
      <c r="D63" s="321">
        <f t="shared" si="18"/>
        <v>0.35704850400000004</v>
      </c>
      <c r="E63" s="418">
        <f>VLOOKUP(A63,[1]UNnataccount.xls!$A$1:$I$232,4,0)/1000000000</f>
        <v>0.26904600000000001</v>
      </c>
      <c r="F63" s="420">
        <f>VLOOKUP(A63,[1]UNnataccount.xls!$A$1:$I$232,5,0)/1000000000</f>
        <v>0.21213499999999999</v>
      </c>
      <c r="G63" s="428">
        <f t="shared" si="19"/>
        <v>5.6911000000000017E-2</v>
      </c>
      <c r="H63" s="420">
        <f>VLOOKUP(A63,[1]UNnataccount.xls!$A$1:$I$232,7,0)/1000000000</f>
        <v>5.1193111999999999E-2</v>
      </c>
      <c r="I63" s="990">
        <f t="shared" si="20"/>
        <v>3.6809392000000038E-2</v>
      </c>
      <c r="J63" s="322">
        <f t="shared" si="21"/>
        <v>0.1433785926183295</v>
      </c>
      <c r="K63" s="436">
        <f t="shared" si="22"/>
        <v>0.75352787362469942</v>
      </c>
      <c r="L63" s="991">
        <f t="shared" si="23"/>
        <v>0.10309353375697111</v>
      </c>
      <c r="M63" s="315">
        <f>TableA2!G63/K63</f>
        <v>4.8281940553827792E-2</v>
      </c>
      <c r="N63" s="995">
        <f t="shared" si="25"/>
        <v>0.11980630410379103</v>
      </c>
      <c r="O63" s="315"/>
      <c r="P63" s="429">
        <f t="shared" si="11"/>
        <v>0</v>
      </c>
      <c r="Q63" s="429">
        <f t="shared" si="7"/>
        <v>0</v>
      </c>
      <c r="R63" s="1000">
        <f>TableA2!G63/TableA1!M63</f>
        <v>0.75352787362469942</v>
      </c>
      <c r="S63" s="106"/>
      <c r="T63" s="106"/>
      <c r="U63" s="106"/>
      <c r="V63" s="106"/>
      <c r="W63" s="106"/>
    </row>
    <row r="64" spans="1:23" x14ac:dyDescent="0.35">
      <c r="A64" s="456" t="s">
        <v>321</v>
      </c>
      <c r="B64" s="320">
        <f>VLOOKUP($A64,[1]UNnataccount.xls!$A$1:$I$232,2,0)/1000000000</f>
        <v>0.9</v>
      </c>
      <c r="C64" s="420">
        <f>VLOOKUP(A64,[1]UNnataccount.xls!$A$1:$I$232,3,0)/1000000000</f>
        <v>9.7003104000000007E-2</v>
      </c>
      <c r="D64" s="321">
        <f t="shared" si="18"/>
        <v>0.80299689600000002</v>
      </c>
      <c r="E64" s="418">
        <f>VLOOKUP(A64,[1]UNnataccount.xls!$A$1:$I$232,4,0)/1000000000</f>
        <v>0.60508099999999998</v>
      </c>
      <c r="F64" s="420">
        <f>VLOOKUP(A64,[1]UNnataccount.xls!$A$1:$I$232,5,0)/1000000000</f>
        <v>0.47708800000000001</v>
      </c>
      <c r="G64" s="428">
        <f t="shared" si="19"/>
        <v>0.12799299999999997</v>
      </c>
      <c r="H64" s="420">
        <f>VLOOKUP(A64,[1]UNnataccount.xls!$A$1:$I$232,7,0)/1000000000</f>
        <v>0.115133</v>
      </c>
      <c r="I64" s="990">
        <f t="shared" si="20"/>
        <v>8.2782896000000036E-2</v>
      </c>
      <c r="J64" s="322">
        <f t="shared" si="21"/>
        <v>0.14337913455645537</v>
      </c>
      <c r="K64" s="436">
        <f t="shared" si="22"/>
        <v>0.75352844203273228</v>
      </c>
      <c r="L64" s="991">
        <f t="shared" si="23"/>
        <v>0.10309242341081233</v>
      </c>
      <c r="M64" s="315">
        <f>TableA2!G64/K64</f>
        <v>0.10858530008406207</v>
      </c>
      <c r="N64" s="995">
        <f t="shared" si="25"/>
        <v>0.12065033342673563</v>
      </c>
      <c r="O64" s="315"/>
      <c r="P64" s="429">
        <f t="shared" si="11"/>
        <v>0</v>
      </c>
      <c r="Q64" s="429">
        <f t="shared" si="7"/>
        <v>0</v>
      </c>
      <c r="R64" s="1000">
        <f>TableA2!G64/TableA1!M64</f>
        <v>0.75352844203273228</v>
      </c>
      <c r="S64" s="106"/>
      <c r="T64" s="106"/>
      <c r="U64" s="106"/>
      <c r="V64" s="106"/>
      <c r="W64" s="106"/>
    </row>
    <row r="65" spans="1:23" x14ac:dyDescent="0.35">
      <c r="A65" s="457" t="s">
        <v>291</v>
      </c>
      <c r="B65" s="320">
        <f>VLOOKUP($A65,[1]UNnataccount.xls!$A$1:$I$232,2,0)/1000000000</f>
        <v>3.6764899999999998</v>
      </c>
      <c r="C65" s="420">
        <f>VLOOKUP(A65,[1]UNnataccount.xls!$A$1:$I$232,3,0)/1000000000</f>
        <v>0.59901599999999999</v>
      </c>
      <c r="D65" s="321">
        <f t="shared" si="18"/>
        <v>3.0774739999999996</v>
      </c>
      <c r="E65" s="418">
        <f>VLOOKUP(A65,[1]UNnataccount.xls!$A$1:$I$232,4,0)/1000000000</f>
        <v>2.3189600000000001</v>
      </c>
      <c r="F65" s="420">
        <f>VLOOKUP(A65,[1]UNnataccount.xls!$A$1:$I$232,5,0)/1000000000</f>
        <v>1.82843</v>
      </c>
      <c r="G65" s="428">
        <f t="shared" si="19"/>
        <v>0.49053000000000013</v>
      </c>
      <c r="H65" s="420">
        <f>VLOOKUP(A65,[1]UNnataccount.xls!$A$1:$I$232,7,0)/1000000000</f>
        <v>0.44124400000000003</v>
      </c>
      <c r="I65" s="990">
        <f t="shared" si="20"/>
        <v>0.31726999999999944</v>
      </c>
      <c r="J65" s="322">
        <f t="shared" si="21"/>
        <v>0.14337862805664647</v>
      </c>
      <c r="K65" s="436">
        <f t="shared" si="22"/>
        <v>0.7535270809761514</v>
      </c>
      <c r="L65" s="991">
        <f t="shared" si="23"/>
        <v>0.10309429096720216</v>
      </c>
      <c r="M65" s="315">
        <f>TableA2!G65/K65</f>
        <v>0.41615226302652908</v>
      </c>
      <c r="N65" s="995">
        <f t="shared" si="25"/>
        <v>0.11319281788513748</v>
      </c>
      <c r="O65" s="315"/>
      <c r="P65" s="429">
        <f t="shared" si="11"/>
        <v>0</v>
      </c>
      <c r="Q65" s="429">
        <f t="shared" si="7"/>
        <v>0</v>
      </c>
      <c r="R65" s="1000">
        <f>TableA2!G65/TableA1!M65</f>
        <v>0.7535270809761514</v>
      </c>
      <c r="S65" s="106"/>
      <c r="T65" s="106"/>
      <c r="U65" s="106"/>
      <c r="V65" s="106"/>
      <c r="W65" s="106"/>
    </row>
    <row r="66" spans="1:23" x14ac:dyDescent="0.35">
      <c r="A66" s="457" t="s">
        <v>280</v>
      </c>
      <c r="B66" s="320">
        <f>VLOOKUP($A66,[1]UNnataccount.xls!$A$1:$I$232,2,0)/1000000000</f>
        <v>2.88</v>
      </c>
      <c r="C66" s="420">
        <f>VLOOKUP(A66,[1]UNnataccount.xls!$A$1:$I$232,3,0)/1000000000</f>
        <v>0.31041000000000002</v>
      </c>
      <c r="D66" s="321">
        <f t="shared" si="18"/>
        <v>2.5695899999999998</v>
      </c>
      <c r="E66" s="418">
        <f>VLOOKUP(A66,[1]UNnataccount.xls!$A$1:$I$232,4,0)/1000000000</f>
        <v>2.0247299999999999</v>
      </c>
      <c r="F66" s="420">
        <f>VLOOKUP(A66,[1]UNnataccount.xls!$A$1:$I$232,5,0)/1000000000</f>
        <v>1.6186499999999999</v>
      </c>
      <c r="G66" s="428">
        <f t="shared" si="19"/>
        <v>0.40608</v>
      </c>
      <c r="H66" s="420">
        <f>VLOOKUP(A66,[1]UNnataccount.xls!$A$1:$I$232,7,0)/1000000000</f>
        <v>0.36842399999999997</v>
      </c>
      <c r="I66" s="990">
        <f t="shared" si="20"/>
        <v>0.17643599999999993</v>
      </c>
      <c r="J66" s="322">
        <f t="shared" si="21"/>
        <v>0.14337851563868165</v>
      </c>
      <c r="K66" s="436">
        <f t="shared" si="22"/>
        <v>0.78795839024902803</v>
      </c>
      <c r="L66" s="991">
        <f t="shared" si="23"/>
        <v>6.8663094112290268E-2</v>
      </c>
      <c r="M66" s="315">
        <f>TableA2!G66/K66</f>
        <v>0.39264256060808106</v>
      </c>
      <c r="N66" s="995">
        <f t="shared" si="25"/>
        <v>0.13633422243336149</v>
      </c>
      <c r="O66" s="315"/>
      <c r="P66" s="429">
        <f t="shared" si="11"/>
        <v>0</v>
      </c>
      <c r="Q66" s="429">
        <f t="shared" si="7"/>
        <v>0</v>
      </c>
      <c r="R66" s="1000">
        <f>TableA2!G66/TableA1!M66</f>
        <v>0.78795839024902803</v>
      </c>
      <c r="S66" s="106"/>
      <c r="T66" s="106"/>
      <c r="U66" s="106"/>
      <c r="V66" s="106"/>
      <c r="W66" s="106"/>
    </row>
    <row r="67" spans="1:23" x14ac:dyDescent="0.35">
      <c r="A67" s="457" t="s">
        <v>116</v>
      </c>
      <c r="B67" s="320">
        <f>VLOOKUP($A67,[1]UNnataccount.xls!$A$1:$I$232,2,0)/1000000000</f>
        <v>19.560600000000001</v>
      </c>
      <c r="C67" s="420">
        <f>VLOOKUP(A67,[1]UNnataccount.xls!$A$1:$I$232,3,0)/1000000000</f>
        <v>2.7704499999999999</v>
      </c>
      <c r="D67" s="321">
        <f t="shared" si="18"/>
        <v>16.790150000000001</v>
      </c>
      <c r="E67" s="418">
        <f>VLOOKUP(A67,[1]UNnataccount.xls!$A$1:$I$232,4,0)/1000000000</f>
        <v>9.9627499999999998</v>
      </c>
      <c r="F67" s="420">
        <f>VLOOKUP(A67,[1]UNnataccount.xls!$A$1:$I$232,5,0)/1000000000</f>
        <v>7.8599600000000001</v>
      </c>
      <c r="G67" s="428">
        <f t="shared" si="19"/>
        <v>2.1027899999999997</v>
      </c>
      <c r="H67" s="420">
        <f>VLOOKUP(A67,[1]UNnataccount.xls!$A$1:$I$232,7,0)/1000000000</f>
        <v>2.4073500000000001</v>
      </c>
      <c r="I67" s="990">
        <f t="shared" si="20"/>
        <v>4.4200500000000007</v>
      </c>
      <c r="J67" s="322">
        <f t="shared" si="21"/>
        <v>0.14337870715866147</v>
      </c>
      <c r="K67" s="436">
        <f t="shared" si="22"/>
        <v>0.59336873107149124</v>
      </c>
      <c r="L67" s="991">
        <f t="shared" si="23"/>
        <v>0.26325256176984724</v>
      </c>
      <c r="M67" s="315">
        <f>TableA2!G67/K67</f>
        <v>2.1793699807282128</v>
      </c>
      <c r="N67" s="995">
        <f t="shared" si="25"/>
        <v>0.11141631548767485</v>
      </c>
      <c r="O67" s="315"/>
      <c r="P67" s="429">
        <f t="shared" si="11"/>
        <v>0</v>
      </c>
      <c r="Q67" s="429">
        <f t="shared" si="7"/>
        <v>0</v>
      </c>
      <c r="R67" s="1000">
        <f>TableA2!G67/TableA1!M67</f>
        <v>0.59336873107149124</v>
      </c>
      <c r="S67" s="106"/>
      <c r="T67" s="106"/>
      <c r="U67" s="106"/>
      <c r="V67" s="106"/>
      <c r="W67" s="106"/>
    </row>
    <row r="68" spans="1:23" x14ac:dyDescent="0.35">
      <c r="A68" s="457" t="s">
        <v>281</v>
      </c>
      <c r="B68" s="320">
        <f>VLOOKUP($A68,[1]UNnataccount.xls!$A$1:$I$232,2,0)/1000000000</f>
        <v>6.1666699999999999</v>
      </c>
      <c r="C68" s="420">
        <f>VLOOKUP(A68,[1]UNnataccount.xls!$A$1:$I$232,3,0)/1000000000</f>
        <v>-5.4545499999999997E-2</v>
      </c>
      <c r="D68" s="321">
        <f t="shared" si="18"/>
        <v>6.2212154999999996</v>
      </c>
      <c r="E68" s="418">
        <f>VLOOKUP(A68,[1]UNnataccount.xls!$A$1:$I$232,4,0)/1000000000</f>
        <v>4.6878599999999997</v>
      </c>
      <c r="F68" s="420">
        <f>VLOOKUP(A68,[1]UNnataccount.xls!$A$1:$I$232,5,0)/1000000000</f>
        <v>3.69624</v>
      </c>
      <c r="G68" s="428">
        <f t="shared" si="19"/>
        <v>0.99161999999999972</v>
      </c>
      <c r="H68" s="420">
        <f>VLOOKUP(A68,[1]UNnataccount.xls!$A$1:$I$232,7,0)/1000000000</f>
        <v>0.89198900000000003</v>
      </c>
      <c r="I68" s="990">
        <f t="shared" si="20"/>
        <v>0.64136649999999984</v>
      </c>
      <c r="J68" s="322">
        <f t="shared" si="21"/>
        <v>0.14337857288499331</v>
      </c>
      <c r="K68" s="436">
        <f t="shared" si="22"/>
        <v>0.75352798822030842</v>
      </c>
      <c r="L68" s="991">
        <f t="shared" si="23"/>
        <v>0.1030934388946983</v>
      </c>
      <c r="M68" s="315">
        <f>TableA2!G68/K68</f>
        <v>0.84126404049992964</v>
      </c>
      <c r="N68" s="995">
        <f t="shared" si="25"/>
        <v>0.13642112201559831</v>
      </c>
      <c r="O68" s="315"/>
      <c r="P68" s="429">
        <f t="shared" si="11"/>
        <v>0</v>
      </c>
      <c r="Q68" s="429">
        <f t="shared" si="7"/>
        <v>0</v>
      </c>
      <c r="R68" s="1000">
        <f>TableA2!G68/TableA1!M68</f>
        <v>0.75352798822030842</v>
      </c>
      <c r="S68" s="106"/>
      <c r="T68" s="106"/>
      <c r="U68" s="106"/>
      <c r="V68" s="106"/>
      <c r="W68" s="106"/>
    </row>
    <row r="69" spans="1:23" x14ac:dyDescent="0.35">
      <c r="A69" s="457" t="s">
        <v>294</v>
      </c>
      <c r="B69" s="320">
        <f>VLOOKUP($A69,[1]UNnataccount.xls!$A$1:$I$232,2,0)/1000000000</f>
        <v>0.99700800000000001</v>
      </c>
      <c r="C69" s="420">
        <f>VLOOKUP(A69,[1]UNnataccount.xls!$A$1:$I$232,3,0)/1000000000</f>
        <v>0.10692500000000001</v>
      </c>
      <c r="D69" s="321">
        <f t="shared" si="18"/>
        <v>0.89008299999999996</v>
      </c>
      <c r="E69" s="418">
        <f>VLOOKUP(A69,[1]UNnataccount.xls!$A$1:$I$232,4,0)/1000000000</f>
        <v>0.50683400000000001</v>
      </c>
      <c r="F69" s="420">
        <f>VLOOKUP(A69,[1]UNnataccount.xls!$A$1:$I$232,5,0)/1000000000</f>
        <v>0.46714</v>
      </c>
      <c r="G69" s="428">
        <f t="shared" si="19"/>
        <v>3.9694000000000007E-2</v>
      </c>
      <c r="H69" s="420">
        <f>VLOOKUP(A69,[1]UNnataccount.xls!$A$1:$I$232,7,0)/1000000000</f>
        <v>0.12311999999999999</v>
      </c>
      <c r="I69" s="990">
        <f t="shared" si="20"/>
        <v>0.26012899999999994</v>
      </c>
      <c r="J69" s="322">
        <f t="shared" si="21"/>
        <v>0.13832417875636316</v>
      </c>
      <c r="K69" s="436">
        <f t="shared" si="22"/>
        <v>0.56942330097305538</v>
      </c>
      <c r="L69" s="991">
        <f t="shared" si="23"/>
        <v>0.29225252027058146</v>
      </c>
      <c r="M69" s="315">
        <f>TableA2!G69/K69</f>
        <v>0.13074565770803062</v>
      </c>
      <c r="N69" s="995">
        <f t="shared" si="25"/>
        <v>0.13113802267186483</v>
      </c>
      <c r="O69" s="315"/>
      <c r="P69" s="429">
        <f t="shared" si="11"/>
        <v>0</v>
      </c>
      <c r="Q69" s="429">
        <f t="shared" si="7"/>
        <v>0</v>
      </c>
      <c r="R69" s="1000">
        <f>TableA2!G69/TableA1!M69</f>
        <v>0.56942330097305549</v>
      </c>
      <c r="S69" s="106"/>
      <c r="T69" s="106"/>
      <c r="U69" s="106"/>
      <c r="V69" s="106"/>
      <c r="W69" s="106"/>
    </row>
    <row r="70" spans="1:23" x14ac:dyDescent="0.35">
      <c r="A70" s="457" t="s">
        <v>282</v>
      </c>
      <c r="B70" s="320">
        <f>VLOOKUP($A70,[1]UNnataccount.xls!$A$1:$I$232,2,0)/1000000000</f>
        <v>4.2681800000000001</v>
      </c>
      <c r="C70" s="420">
        <f>VLOOKUP(A70,[1]UNnataccount.xls!$A$1:$I$232,3,0)/1000000000</f>
        <v>8.4848488E-2</v>
      </c>
      <c r="D70" s="321">
        <f t="shared" si="18"/>
        <v>4.1833315120000005</v>
      </c>
      <c r="E70" s="418">
        <f>VLOOKUP(A70,[1]UNnataccount.xls!$A$1:$I$232,4,0)/1000000000</f>
        <v>3.1522600000000001</v>
      </c>
      <c r="F70" s="420">
        <f>VLOOKUP(A70,[1]UNnataccount.xls!$A$1:$I$232,5,0)/1000000000</f>
        <v>2.4854599999999998</v>
      </c>
      <c r="G70" s="428">
        <f t="shared" si="19"/>
        <v>0.66680000000000028</v>
      </c>
      <c r="H70" s="420">
        <f>VLOOKUP(A70,[1]UNnataccount.xls!$A$1:$I$232,7,0)/1000000000</f>
        <v>0.5998</v>
      </c>
      <c r="I70" s="990">
        <f t="shared" si="20"/>
        <v>0.43127151200000047</v>
      </c>
      <c r="J70" s="322">
        <f t="shared" si="21"/>
        <v>0.14337854847971224</v>
      </c>
      <c r="K70" s="436">
        <f t="shared" si="22"/>
        <v>0.75352861492273715</v>
      </c>
      <c r="L70" s="991">
        <f t="shared" si="23"/>
        <v>0.10309283659755063</v>
      </c>
      <c r="M70" s="315">
        <f>TableA2!G70/K70</f>
        <v>0.56569185503818853</v>
      </c>
      <c r="N70" s="995">
        <f t="shared" si="25"/>
        <v>0.13253701930054226</v>
      </c>
      <c r="O70" s="315"/>
      <c r="P70" s="429">
        <f t="shared" si="11"/>
        <v>0</v>
      </c>
      <c r="Q70" s="429">
        <f t="shared" si="7"/>
        <v>0</v>
      </c>
      <c r="R70" s="1000">
        <f>TableA2!G70/TableA1!M70</f>
        <v>0.75352861492273715</v>
      </c>
      <c r="S70" s="106"/>
      <c r="T70" s="106"/>
      <c r="U70" s="106"/>
      <c r="V70" s="106"/>
      <c r="W70" s="106"/>
    </row>
    <row r="71" spans="1:23" x14ac:dyDescent="0.35">
      <c r="A71" s="457" t="s">
        <v>295</v>
      </c>
      <c r="B71" s="320">
        <f>VLOOKUP($A71,[1]UNnataccount.xls!$A$1:$I$232,2,0)/1000000000</f>
        <v>2.5099999999999998</v>
      </c>
      <c r="C71" s="420">
        <f>VLOOKUP(A71,[1]UNnataccount.xls!$A$1:$I$232,3,0)/1000000000</f>
        <v>0.27053100000000002</v>
      </c>
      <c r="D71" s="321">
        <f t="shared" si="18"/>
        <v>2.2394689999999997</v>
      </c>
      <c r="E71" s="418">
        <f>VLOOKUP(A71,[1]UNnataccount.xls!$A$1:$I$232,4,0)/1000000000</f>
        <v>1.6875</v>
      </c>
      <c r="F71" s="420">
        <f>VLOOKUP(A71,[1]UNnataccount.xls!$A$1:$I$232,5,0)/1000000000</f>
        <v>1.3305499999999999</v>
      </c>
      <c r="G71" s="428">
        <f t="shared" si="19"/>
        <v>0.3569500000000001</v>
      </c>
      <c r="H71" s="420">
        <f>VLOOKUP(A71,[1]UNnataccount.xls!$A$1:$I$232,7,0)/1000000000</f>
        <v>0.32109199999999999</v>
      </c>
      <c r="I71" s="990">
        <f t="shared" si="20"/>
        <v>0.23087699999999972</v>
      </c>
      <c r="J71" s="322">
        <f t="shared" si="21"/>
        <v>0.14337863127375286</v>
      </c>
      <c r="K71" s="436">
        <f t="shared" si="22"/>
        <v>0.75352684051442564</v>
      </c>
      <c r="L71" s="991">
        <f t="shared" si="23"/>
        <v>0.10309452821182154</v>
      </c>
      <c r="M71" s="315">
        <f>TableA2!G71/K71</f>
        <v>0.3028332737878518</v>
      </c>
      <c r="N71" s="995">
        <f t="shared" si="25"/>
        <v>0.12065070668838718</v>
      </c>
      <c r="O71" s="315"/>
      <c r="P71" s="429">
        <f t="shared" si="11"/>
        <v>0</v>
      </c>
      <c r="Q71" s="429">
        <f t="shared" si="7"/>
        <v>0</v>
      </c>
      <c r="R71" s="1000">
        <f>TableA2!G71/TableA1!M71</f>
        <v>0.75352684051442564</v>
      </c>
    </row>
    <row r="72" spans="1:23" x14ac:dyDescent="0.35">
      <c r="A72" s="457" t="s">
        <v>220</v>
      </c>
      <c r="B72" s="320">
        <f>VLOOKUP($A72,[1]UNnataccount.xls!$A$1:$I$232,2,0)/1000000000</f>
        <v>309.40199999999999</v>
      </c>
      <c r="C72" s="420">
        <f>VLOOKUP(A72,[1]UNnataccount.xls!$A$1:$I$232,3,0)/1000000000</f>
        <v>18.6477</v>
      </c>
      <c r="D72" s="421">
        <f t="shared" si="18"/>
        <v>290.7543</v>
      </c>
      <c r="E72" s="418">
        <f>VLOOKUP(A72,[1]UNnataccount.xls!$A$1:$I$232,4,0)/1000000000</f>
        <v>219.09200000000001</v>
      </c>
      <c r="F72" s="420">
        <f>VLOOKUP(A72,[1]UNnataccount.xls!$A$1:$I$232,5,0)/1000000000</f>
        <v>172.74700000000001</v>
      </c>
      <c r="G72" s="428">
        <f t="shared" si="19"/>
        <v>46.344999999999999</v>
      </c>
      <c r="H72" s="420">
        <f>VLOOKUP(A72,[1]UNnataccount.xls!$A$1:$I$232,7,0)/1000000000</f>
        <v>41.688000000000002</v>
      </c>
      <c r="I72" s="990">
        <f t="shared" si="20"/>
        <v>29.974299999999985</v>
      </c>
      <c r="J72" s="322">
        <f t="shared" si="21"/>
        <v>0.14337879095855161</v>
      </c>
      <c r="K72" s="436">
        <f t="shared" si="22"/>
        <v>0.7535296984429809</v>
      </c>
      <c r="L72" s="991">
        <f t="shared" si="23"/>
        <v>0.10309151059846745</v>
      </c>
      <c r="M72" s="315">
        <f>TableA2!G72/K72</f>
        <v>39.31722938222299</v>
      </c>
      <c r="N72" s="995">
        <f t="shared" si="25"/>
        <v>0.12707490378931938</v>
      </c>
      <c r="O72" s="315"/>
      <c r="P72" s="429">
        <f t="shared" si="11"/>
        <v>0</v>
      </c>
      <c r="Q72" s="429">
        <f t="shared" si="7"/>
        <v>0</v>
      </c>
      <c r="R72" s="1000">
        <f>TableA2!G72/TableA1!M72</f>
        <v>0.7535296984429809</v>
      </c>
    </row>
    <row r="73" spans="1:23" x14ac:dyDescent="0.35">
      <c r="A73" s="457" t="s">
        <v>284</v>
      </c>
      <c r="B73" s="320">
        <f>VLOOKUP($A73,[1]UNnataccount.xls!$A$1:$I$232,2,0)/1000000000</f>
        <v>6.7924199999999999</v>
      </c>
      <c r="C73" s="420">
        <f>VLOOKUP(A73,[1]UNnataccount.xls!$A$1:$I$232,3,0)/1000000000</f>
        <v>0.73209500000000005</v>
      </c>
      <c r="D73" s="321">
        <f t="shared" si="18"/>
        <v>6.0603249999999997</v>
      </c>
      <c r="E73" s="418">
        <f>VLOOKUP(A73,[1]UNnataccount.xls!$A$1:$I$232,4,0)/1000000000</f>
        <v>4.56663</v>
      </c>
      <c r="F73" s="420">
        <f>VLOOKUP(A73,[1]UNnataccount.xls!$A$1:$I$232,5,0)/1000000000</f>
        <v>3.6006499999999999</v>
      </c>
      <c r="G73" s="428">
        <f t="shared" si="19"/>
        <v>0.96598000000000006</v>
      </c>
      <c r="H73" s="420">
        <f>VLOOKUP(A73,[1]UNnataccount.xls!$A$1:$I$232,7,0)/1000000000</f>
        <v>0.86892000000000003</v>
      </c>
      <c r="I73" s="990">
        <f t="shared" si="20"/>
        <v>0.62477499999999975</v>
      </c>
      <c r="J73" s="322">
        <f t="shared" si="21"/>
        <v>0.14337844917558054</v>
      </c>
      <c r="K73" s="436">
        <f t="shared" si="22"/>
        <v>0.75352889490250108</v>
      </c>
      <c r="L73" s="991">
        <f t="shared" si="23"/>
        <v>0.10309265592191834</v>
      </c>
      <c r="M73" s="315">
        <f>TableA2!G73/K73</f>
        <v>0.81950672917446787</v>
      </c>
      <c r="N73" s="995">
        <f t="shared" si="25"/>
        <v>0.12065018493769053</v>
      </c>
      <c r="O73" s="315"/>
      <c r="P73" s="429">
        <f t="shared" si="11"/>
        <v>0</v>
      </c>
      <c r="Q73" s="429">
        <f t="shared" si="7"/>
        <v>0</v>
      </c>
      <c r="R73" s="1000">
        <f>TableA2!G73/TableA1!M73</f>
        <v>0.75352889490250108</v>
      </c>
    </row>
    <row r="74" spans="1:23" x14ac:dyDescent="0.35">
      <c r="A74" s="457" t="s">
        <v>285</v>
      </c>
      <c r="B74" s="320">
        <f>VLOOKUP($A74,[1]UNnataccount.xls!$A$1:$I$232,2,0)/1000000000</f>
        <v>49.459299999999999</v>
      </c>
      <c r="C74" s="420">
        <f>VLOOKUP(A74,[1]UNnataccount.xls!$A$1:$I$232,3,0)/1000000000</f>
        <v>5.3307799999999999</v>
      </c>
      <c r="D74" s="321">
        <f t="shared" si="18"/>
        <v>44.128520000000002</v>
      </c>
      <c r="E74" s="418">
        <f>VLOOKUP(A74,[1]UNnataccount.xls!$A$1:$I$232,4,0)/1000000000</f>
        <v>33.252099999999999</v>
      </c>
      <c r="F74" s="420">
        <f>VLOOKUP(A74,[1]UNnataccount.xls!$A$1:$I$232,5,0)/1000000000</f>
        <v>26.218299999999999</v>
      </c>
      <c r="G74" s="428">
        <f t="shared" si="19"/>
        <v>7.0337999999999994</v>
      </c>
      <c r="H74" s="420">
        <f>VLOOKUP(A74,[1]UNnataccount.xls!$A$1:$I$232,7,0)/1000000000</f>
        <v>6.3270799999999996</v>
      </c>
      <c r="I74" s="990">
        <f t="shared" si="20"/>
        <v>4.5493400000000035</v>
      </c>
      <c r="J74" s="322">
        <f t="shared" si="21"/>
        <v>0.1433784772296918</v>
      </c>
      <c r="K74" s="436">
        <f t="shared" si="22"/>
        <v>0.75352855704202171</v>
      </c>
      <c r="L74" s="991">
        <f t="shared" si="23"/>
        <v>0.10309296572828645</v>
      </c>
      <c r="M74" s="315">
        <f>TableA2!G74/K74</f>
        <v>5.9672854571711271</v>
      </c>
      <c r="N74" s="995">
        <f t="shared" si="25"/>
        <v>0.12065042281575208</v>
      </c>
      <c r="O74" s="315"/>
      <c r="P74" s="429">
        <f t="shared" ref="P74:P91" si="26">E74-F74-G74</f>
        <v>0</v>
      </c>
      <c r="Q74" s="429">
        <f t="shared" si="7"/>
        <v>0</v>
      </c>
      <c r="R74" s="1000">
        <f>TableA2!G74/TableA1!M74</f>
        <v>0.75352855704202171</v>
      </c>
    </row>
    <row r="75" spans="1:23" x14ac:dyDescent="0.35">
      <c r="A75" s="457" t="s">
        <v>286</v>
      </c>
      <c r="B75" s="320">
        <f>VLOOKUP($A75,[1]UNnataccount.xls!$A$1:$I$232,2,0)/1000000000</f>
        <v>6.2891700000000004</v>
      </c>
      <c r="C75" s="420">
        <f>VLOOKUP(A75,[1]UNnataccount.xls!$A$1:$I$232,3,0)/1000000000</f>
        <v>0.67785399999999996</v>
      </c>
      <c r="D75" s="321">
        <f t="shared" si="18"/>
        <v>5.6113160000000004</v>
      </c>
      <c r="E75" s="418">
        <f>VLOOKUP(A75,[1]UNnataccount.xls!$A$1:$I$232,4,0)/1000000000</f>
        <v>4.7388899999999996</v>
      </c>
      <c r="F75" s="420">
        <f>VLOOKUP(A75,[1]UNnataccount.xls!$A$1:$I$232,5,0)/1000000000</f>
        <v>3.8815400000000002</v>
      </c>
      <c r="G75" s="428">
        <f t="shared" si="19"/>
        <v>0.85734999999999939</v>
      </c>
      <c r="H75" s="420">
        <f>J75*D75</f>
        <v>0.43621300000000041</v>
      </c>
      <c r="I75" s="990">
        <f>L75*D75</f>
        <v>0.43621300000000041</v>
      </c>
      <c r="J75" s="451">
        <f>(1-K75)/2</f>
        <v>7.7738092098181666E-2</v>
      </c>
      <c r="K75" s="436">
        <f t="shared" si="22"/>
        <v>0.84452381580363667</v>
      </c>
      <c r="L75" s="991">
        <f>(1-K75)/2</f>
        <v>7.7738092098181666E-2</v>
      </c>
      <c r="M75" s="315">
        <f>TableA2!G75/K75</f>
        <v>0.79041820669650498</v>
      </c>
      <c r="N75" s="995">
        <f t="shared" si="25"/>
        <v>0.12567925603799943</v>
      </c>
      <c r="O75" s="315"/>
      <c r="P75" s="429">
        <f t="shared" si="26"/>
        <v>0</v>
      </c>
      <c r="Q75" s="429">
        <f t="shared" ref="Q75:Q91" si="27">1-J75-K75-L75</f>
        <v>0</v>
      </c>
      <c r="R75" s="1000">
        <f>TableA2!G75/TableA1!M75</f>
        <v>0.84452381580363667</v>
      </c>
    </row>
    <row r="76" spans="1:23" x14ac:dyDescent="0.35">
      <c r="A76" s="457" t="s">
        <v>287</v>
      </c>
      <c r="B76" s="320">
        <f>VLOOKUP($A76,[1]UNnataccount.xls!$A$1:$I$232,2,0)/1000000000</f>
        <v>45.415500000000002</v>
      </c>
      <c r="C76" s="420">
        <f>VLOOKUP(A76,[1]UNnataccount.xls!$A$1:$I$232,3,0)/1000000000</f>
        <v>11.9496</v>
      </c>
      <c r="D76" s="321">
        <f t="shared" si="18"/>
        <v>33.465900000000005</v>
      </c>
      <c r="E76" s="418">
        <f>VLOOKUP(A76,[1]UNnataccount.xls!$A$1:$I$232,4,0)/1000000000</f>
        <v>25.217500000000001</v>
      </c>
      <c r="F76" s="420">
        <f>VLOOKUP(A76,[1]UNnataccount.xls!$A$1:$I$232,5,0)/1000000000</f>
        <v>19.883199999999999</v>
      </c>
      <c r="G76" s="428">
        <f t="shared" si="19"/>
        <v>5.3343000000000025</v>
      </c>
      <c r="H76" s="420">
        <f>VLOOKUP(A76,[1]UNnataccount.xls!$A$1:$I$232,7,0)/1000000000</f>
        <v>4.7983000000000002</v>
      </c>
      <c r="I76" s="990">
        <f t="shared" si="20"/>
        <v>3.4501000000000035</v>
      </c>
      <c r="J76" s="322">
        <f t="shared" si="21"/>
        <v>0.14337878258167266</v>
      </c>
      <c r="K76" s="436">
        <f t="shared" si="22"/>
        <v>0.75352821827591665</v>
      </c>
      <c r="L76" s="991">
        <f t="shared" si="23"/>
        <v>0.10309299914241073</v>
      </c>
      <c r="M76" s="315">
        <f>TableA2!G76/K76</f>
        <v>4.5254310552592445</v>
      </c>
      <c r="N76" s="995">
        <f t="shared" si="25"/>
        <v>9.9645078337995713E-2</v>
      </c>
      <c r="O76" s="315"/>
      <c r="P76" s="429">
        <f t="shared" si="26"/>
        <v>0</v>
      </c>
      <c r="Q76" s="429">
        <f t="shared" si="27"/>
        <v>0</v>
      </c>
      <c r="R76" s="1000">
        <f>TableA2!G76/TableA1!M76</f>
        <v>0.75352821827591665</v>
      </c>
    </row>
    <row r="77" spans="1:23" x14ac:dyDescent="0.35">
      <c r="A77" s="458" t="s">
        <v>301</v>
      </c>
      <c r="B77" s="320">
        <f>VLOOKUP($A77,[1]UNnataccount.xls!$A$1:$I$232,2,0)/1000000000</f>
        <v>9.74648</v>
      </c>
      <c r="C77" s="420">
        <f>VLOOKUP(A77,[1]UNnataccount.xls!$A$1:$I$232,3,0)/1000000000</f>
        <v>1.2155400000000001</v>
      </c>
      <c r="D77" s="321">
        <f t="shared" si="18"/>
        <v>8.5309399999999993</v>
      </c>
      <c r="E77" s="418">
        <f>VLOOKUP(A77,[1]UNnataccount.xls!$A$1:$I$232,4,0)/1000000000</f>
        <v>5.8736199999999998</v>
      </c>
      <c r="F77" s="420">
        <f>VLOOKUP(A77,[1]UNnataccount.xls!$A$1:$I$232,5,0)/1000000000</f>
        <v>5.2669600000000001</v>
      </c>
      <c r="G77" s="428">
        <f t="shared" si="19"/>
        <v>0.60665999999999976</v>
      </c>
      <c r="H77" s="420">
        <f>VLOOKUP(A77,[1]UNnataccount.xls!$A$1:$I$232,7,0)/1000000000</f>
        <v>1.22315</v>
      </c>
      <c r="I77" s="990">
        <f t="shared" si="20"/>
        <v>1.4341699999999995</v>
      </c>
      <c r="J77" s="322">
        <f t="shared" si="21"/>
        <v>0.14337810370252282</v>
      </c>
      <c r="K77" s="436">
        <f t="shared" si="22"/>
        <v>0.68850794871374088</v>
      </c>
      <c r="L77" s="991">
        <f t="shared" si="23"/>
        <v>0.16811394758373632</v>
      </c>
      <c r="M77" s="315">
        <f>TableA2!G77/K77</f>
        <v>1.1485197832171641</v>
      </c>
      <c r="N77" s="995">
        <f t="shared" si="25"/>
        <v>0.11783944390355945</v>
      </c>
      <c r="O77" s="315"/>
      <c r="P77" s="429">
        <f t="shared" si="26"/>
        <v>0</v>
      </c>
      <c r="Q77" s="429">
        <f t="shared" si="27"/>
        <v>0</v>
      </c>
      <c r="R77" s="1000">
        <f>TableA2!G77/TableA1!M77</f>
        <v>0.68850794871374088</v>
      </c>
    </row>
    <row r="78" spans="1:23" x14ac:dyDescent="0.35">
      <c r="A78" s="458" t="s">
        <v>302</v>
      </c>
      <c r="B78" s="320">
        <f>VLOOKUP($A78,[1]UNnataccount.xls!$A$1:$I$232,2,0)/1000000000</f>
        <v>0.17943300000000001</v>
      </c>
      <c r="C78" s="420">
        <f>VLOOKUP(A78,[1]UNnataccount.xls!$A$1:$I$232,3,0)/1000000000</f>
        <v>8.3093660000000003E-3</v>
      </c>
      <c r="D78" s="321">
        <f t="shared" si="18"/>
        <v>0.171123634</v>
      </c>
      <c r="E78" s="418">
        <f>VLOOKUP(A78,[1]UNnataccount.xls!$A$1:$I$232,4,0)/1000000000</f>
        <v>0.12894600000000001</v>
      </c>
      <c r="F78" s="420">
        <f>VLOOKUP(A78,[1]UNnataccount.xls!$A$1:$I$232,5,0)/1000000000</f>
        <v>0.10167</v>
      </c>
      <c r="G78" s="428">
        <f t="shared" si="19"/>
        <v>2.7276000000000009E-2</v>
      </c>
      <c r="H78" s="420">
        <f>VLOOKUP(A78,[1]UNnataccount.xls!$A$1:$I$232,7,0)/1000000000</f>
        <v>2.4535404E-2</v>
      </c>
      <c r="I78" s="990">
        <f t="shared" si="20"/>
        <v>1.7642229999999991E-2</v>
      </c>
      <c r="J78" s="322">
        <f t="shared" si="21"/>
        <v>0.14337823143704392</v>
      </c>
      <c r="K78" s="436">
        <f t="shared" si="22"/>
        <v>0.75352537218792359</v>
      </c>
      <c r="L78" s="991">
        <f t="shared" si="23"/>
        <v>0.10309639637503253</v>
      </c>
      <c r="M78" s="315">
        <f>TableA2!G78/K78</f>
        <v>2.3140240055050731E-2</v>
      </c>
      <c r="N78" s="995">
        <f t="shared" si="25"/>
        <v>0.12896312303227794</v>
      </c>
      <c r="O78" s="315"/>
      <c r="P78" s="429">
        <f t="shared" si="26"/>
        <v>0</v>
      </c>
      <c r="Q78" s="429">
        <f t="shared" si="27"/>
        <v>0</v>
      </c>
      <c r="R78" s="1000">
        <f>TableA2!G78/TableA1!M78</f>
        <v>0.75352537218792359</v>
      </c>
    </row>
    <row r="79" spans="1:23" x14ac:dyDescent="0.35">
      <c r="A79" s="457" t="s">
        <v>296</v>
      </c>
      <c r="B79" s="320">
        <f>VLOOKUP($A79,[1]UNnataccount.xls!$A$1:$I$232,2,0)/1000000000</f>
        <v>5.74</v>
      </c>
      <c r="C79" s="420">
        <f>VLOOKUP(A79,[1]UNnataccount.xls!$A$1:$I$232,3,0)/1000000000</f>
        <v>0.61866399999999999</v>
      </c>
      <c r="D79" s="321">
        <f t="shared" si="18"/>
        <v>5.1213360000000003</v>
      </c>
      <c r="E79" s="418">
        <f>VLOOKUP(A79,[1]UNnataccount.xls!$A$1:$I$232,4,0)/1000000000</f>
        <v>3.85907</v>
      </c>
      <c r="F79" s="420">
        <f>VLOOKUP(A79,[1]UNnataccount.xls!$A$1:$I$232,5,0)/1000000000</f>
        <v>3.0427599999999999</v>
      </c>
      <c r="G79" s="428">
        <f t="shared" si="19"/>
        <v>0.81631000000000009</v>
      </c>
      <c r="H79" s="420">
        <f>VLOOKUP(A79,[1]UNnataccount.xls!$A$1:$I$232,7,0)/1000000000</f>
        <v>0.73429</v>
      </c>
      <c r="I79" s="990">
        <f t="shared" si="20"/>
        <v>0.52797600000000033</v>
      </c>
      <c r="J79" s="322">
        <f t="shared" si="21"/>
        <v>0.14337860277083947</v>
      </c>
      <c r="K79" s="436">
        <f t="shared" si="22"/>
        <v>0.75352798566624013</v>
      </c>
      <c r="L79" s="991">
        <f t="shared" si="23"/>
        <v>0.10309341156292036</v>
      </c>
      <c r="M79" s="315">
        <f>TableA2!G79/K79</f>
        <v>0.69253300464827017</v>
      </c>
      <c r="N79" s="995">
        <f t="shared" si="25"/>
        <v>0.12065034924185891</v>
      </c>
      <c r="O79" s="315"/>
      <c r="P79" s="429">
        <f t="shared" si="26"/>
        <v>0</v>
      </c>
      <c r="Q79" s="429">
        <f t="shared" si="27"/>
        <v>0</v>
      </c>
      <c r="R79" s="1000">
        <f>TableA2!G79/TableA1!M79</f>
        <v>0.75352798566624013</v>
      </c>
    </row>
    <row r="80" spans="1:23" x14ac:dyDescent="0.35">
      <c r="A80" s="457" t="s">
        <v>288</v>
      </c>
      <c r="B80" s="320">
        <f>VLOOKUP($A80,[1]UNnataccount.xls!$A$1:$I$232,2,0)/1000000000</f>
        <v>0.79469999999999996</v>
      </c>
      <c r="C80" s="420">
        <f>VLOOKUP(A80,[1]UNnataccount.xls!$A$1:$I$232,3,0)/1000000000</f>
        <v>8.5653744000000004E-2</v>
      </c>
      <c r="D80" s="321">
        <f t="shared" si="18"/>
        <v>0.70904625599999993</v>
      </c>
      <c r="E80" s="418">
        <f>VLOOKUP(A80,[1]UNnataccount.xls!$A$1:$I$232,4,0)/1000000000</f>
        <v>0.53428699999999996</v>
      </c>
      <c r="F80" s="420">
        <f>VLOOKUP(A80,[1]UNnataccount.xls!$A$1:$I$232,5,0)/1000000000</f>
        <v>0.421269</v>
      </c>
      <c r="G80" s="428">
        <f t="shared" si="19"/>
        <v>0.11301799999999995</v>
      </c>
      <c r="H80" s="420">
        <f>VLOOKUP(A80,[1]UNnataccount.xls!$A$1:$I$232,7,0)/1000000000</f>
        <v>0.101662</v>
      </c>
      <c r="I80" s="990">
        <f t="shared" si="20"/>
        <v>7.3097255999999972E-2</v>
      </c>
      <c r="J80" s="322">
        <f t="shared" si="21"/>
        <v>0.14337851605551671</v>
      </c>
      <c r="K80" s="436">
        <f t="shared" si="22"/>
        <v>0.75352911813414891</v>
      </c>
      <c r="L80" s="991">
        <f t="shared" si="23"/>
        <v>0.10309236581033435</v>
      </c>
      <c r="M80" s="315">
        <f>TableA2!G80/K80</f>
        <v>9.5880738064773374E-2</v>
      </c>
      <c r="N80" s="995">
        <f t="shared" si="25"/>
        <v>0.12065023035708239</v>
      </c>
      <c r="O80" s="315"/>
      <c r="P80" s="429">
        <f t="shared" si="26"/>
        <v>0</v>
      </c>
      <c r="Q80" s="429">
        <f t="shared" si="27"/>
        <v>0</v>
      </c>
      <c r="R80" s="1000">
        <f>TableA2!G80/TableA1!M80</f>
        <v>0.75352911813414891</v>
      </c>
    </row>
    <row r="81" spans="1:18" x14ac:dyDescent="0.35">
      <c r="A81" s="457" t="s">
        <v>289</v>
      </c>
      <c r="B81" s="320">
        <f>VLOOKUP($A81,[1]UNnataccount.xls!$A$1:$I$232,2,0)/1000000000</f>
        <v>11.692299999999999</v>
      </c>
      <c r="C81" s="420">
        <f>VLOOKUP(A81,[1]UNnataccount.xls!$A$1:$I$232,3,0)/1000000000</f>
        <v>1.2602100000000001</v>
      </c>
      <c r="D81" s="321">
        <f t="shared" si="18"/>
        <v>10.432089999999999</v>
      </c>
      <c r="E81" s="418">
        <f>VLOOKUP(A81,[1]UNnataccount.xls!$A$1:$I$232,4,0)/1000000000</f>
        <v>7.8608700000000002</v>
      </c>
      <c r="F81" s="420">
        <f>VLOOKUP(A81,[1]UNnataccount.xls!$A$1:$I$232,5,0)/1000000000</f>
        <v>6.1980599999999999</v>
      </c>
      <c r="G81" s="428">
        <f t="shared" si="19"/>
        <v>1.6628100000000003</v>
      </c>
      <c r="H81" s="420">
        <f>VLOOKUP(A81,[1]UNnataccount.xls!$A$1:$I$232,7,0)/1000000000</f>
        <v>1.4957400000000001</v>
      </c>
      <c r="I81" s="990">
        <f t="shared" si="20"/>
        <v>1.0754799999999984</v>
      </c>
      <c r="J81" s="322">
        <f t="shared" si="21"/>
        <v>0.1433787476910188</v>
      </c>
      <c r="K81" s="436">
        <f t="shared" si="22"/>
        <v>0.75352781657366852</v>
      </c>
      <c r="L81" s="991">
        <f t="shared" si="23"/>
        <v>0.10309343573531272</v>
      </c>
      <c r="M81" s="315">
        <f>TableA2!G81/K81</f>
        <v>1.4106844851905704</v>
      </c>
      <c r="N81" s="995">
        <f t="shared" si="25"/>
        <v>0.12065072613519756</v>
      </c>
      <c r="O81" s="315"/>
      <c r="P81" s="429">
        <f t="shared" si="26"/>
        <v>0</v>
      </c>
      <c r="Q81" s="429">
        <f t="shared" si="27"/>
        <v>0</v>
      </c>
      <c r="R81" s="1000">
        <f>TableA2!G81/TableA1!M81</f>
        <v>0.75352781657366852</v>
      </c>
    </row>
    <row r="82" spans="1:18" x14ac:dyDescent="0.35">
      <c r="A82" s="457" t="s">
        <v>297</v>
      </c>
      <c r="B82" s="320">
        <f>VLOOKUP($A82,[1]UNnataccount.xls!$A$1:$I$232,2,0)/1000000000</f>
        <v>1.4377200000000001</v>
      </c>
      <c r="C82" s="420">
        <f>VLOOKUP(A82,[1]UNnataccount.xls!$A$1:$I$232,3,0)/1000000000</f>
        <v>0.15495900000000001</v>
      </c>
      <c r="D82" s="321">
        <f t="shared" si="18"/>
        <v>1.282761</v>
      </c>
      <c r="E82" s="418">
        <f>VLOOKUP(A82,[1]UNnataccount.xls!$A$1:$I$232,4,0)/1000000000</f>
        <v>0.96659899999999999</v>
      </c>
      <c r="F82" s="420">
        <f>VLOOKUP(A82,[1]UNnataccount.xls!$A$1:$I$232,5,0)/1000000000</f>
        <v>0.76213299999999995</v>
      </c>
      <c r="G82" s="428">
        <f t="shared" si="19"/>
        <v>0.20446600000000004</v>
      </c>
      <c r="H82" s="420">
        <f>VLOOKUP(A82,[1]UNnataccount.xls!$A$1:$I$232,7,0)/1000000000</f>
        <v>0.183921</v>
      </c>
      <c r="I82" s="990">
        <f t="shared" si="20"/>
        <v>0.13224100000000005</v>
      </c>
      <c r="J82" s="322">
        <f t="shared" si="21"/>
        <v>0.14337900824861372</v>
      </c>
      <c r="K82" s="436">
        <f t="shared" si="22"/>
        <v>0.75353008081786077</v>
      </c>
      <c r="L82" s="991">
        <f t="shared" si="23"/>
        <v>0.10309091093352546</v>
      </c>
      <c r="M82" s="315">
        <f>TableA2!G82/K82</f>
        <v>0.17346089204313267</v>
      </c>
      <c r="N82" s="995">
        <f t="shared" si="25"/>
        <v>0.12064998194581188</v>
      </c>
      <c r="O82" s="315"/>
      <c r="P82" s="429">
        <f t="shared" si="26"/>
        <v>0</v>
      </c>
      <c r="Q82" s="429">
        <f t="shared" si="27"/>
        <v>0</v>
      </c>
      <c r="R82" s="1000">
        <f>TableA2!G82/TableA1!M82</f>
        <v>0.75353008081786077</v>
      </c>
    </row>
    <row r="83" spans="1:18" x14ac:dyDescent="0.35">
      <c r="A83" s="457" t="s">
        <v>225</v>
      </c>
      <c r="B83" s="425">
        <f>[2]HavenRawData!C$36</f>
        <v>305.19402000000002</v>
      </c>
      <c r="C83" s="498">
        <f>[2]HavenRawData!D$36</f>
        <v>17.706880000000002</v>
      </c>
      <c r="D83" s="421">
        <f t="shared" si="18"/>
        <v>287.48714000000001</v>
      </c>
      <c r="E83" s="419">
        <f>[2]HavenRawData!$F$36</f>
        <v>193.44101831433295</v>
      </c>
      <c r="F83" s="420">
        <f>VLOOKUP(A83,[1]UNnataccount.xls!$A$1:$I$232,5,0)/1000000000</f>
        <v>157.35499999999999</v>
      </c>
      <c r="G83" s="315">
        <f t="shared" si="19"/>
        <v>36.086018314332961</v>
      </c>
      <c r="H83" s="420">
        <f>VLOOKUP(A83,[1]UNnataccount.xls!$A$1:$I$232,7,0)/1000000000</f>
        <v>37.973399999999998</v>
      </c>
      <c r="I83" s="992">
        <f t="shared" si="20"/>
        <v>56.072721685667062</v>
      </c>
      <c r="J83" s="338">
        <f t="shared" si="21"/>
        <v>0.13208729962668939</v>
      </c>
      <c r="K83" s="436">
        <f t="shared" si="22"/>
        <v>0.67286842226867238</v>
      </c>
      <c r="L83" s="993">
        <f t="shared" si="23"/>
        <v>0.1950442781046382</v>
      </c>
      <c r="M83" s="315">
        <f>TableA2!G83/K83</f>
        <v>66.12066819194888</v>
      </c>
      <c r="N83" s="995">
        <f t="shared" si="25"/>
        <v>0.21665125742617394</v>
      </c>
      <c r="O83" s="315"/>
      <c r="P83" s="429">
        <f t="shared" si="26"/>
        <v>0</v>
      </c>
      <c r="Q83" s="429">
        <f t="shared" si="27"/>
        <v>0</v>
      </c>
      <c r="R83" s="1000">
        <f>TableA2!G83/TableA1!M83</f>
        <v>0.67286842226867238</v>
      </c>
    </row>
    <row r="84" spans="1:18" x14ac:dyDescent="0.35">
      <c r="A84" s="457" t="s">
        <v>298</v>
      </c>
      <c r="B84" s="320">
        <f>VLOOKUP($A84,[1]UNnataccount.xls!$A$1:$I$232,2,0)/1000000000</f>
        <v>0.87828200000000001</v>
      </c>
      <c r="C84" s="420">
        <f>VLOOKUP(A84,[1]UNnataccount.xls!$A$1:$I$232,3,0)/1000000000</f>
        <v>9.4662256E-2</v>
      </c>
      <c r="D84" s="321">
        <f t="shared" si="18"/>
        <v>0.78361974400000001</v>
      </c>
      <c r="E84" s="418">
        <f>VLOOKUP(A84,[1]UNnataccount.xls!$A$1:$I$232,4,0)/1000000000</f>
        <v>0.59048</v>
      </c>
      <c r="F84" s="420">
        <f>VLOOKUP(A84,[1]UNnataccount.xls!$A$1:$I$232,5,0)/1000000000</f>
        <v>0.46557500000000002</v>
      </c>
      <c r="G84" s="428">
        <f t="shared" si="19"/>
        <v>0.12490499999999999</v>
      </c>
      <c r="H84" s="420">
        <f>VLOOKUP(A84,[1]UNnataccount.xls!$A$1:$I$232,7,0)/1000000000</f>
        <v>0.112354</v>
      </c>
      <c r="I84" s="990">
        <f t="shared" si="20"/>
        <v>8.0785744000000007E-2</v>
      </c>
      <c r="J84" s="322">
        <f t="shared" si="21"/>
        <v>0.14337821482966615</v>
      </c>
      <c r="K84" s="436">
        <f t="shared" si="22"/>
        <v>0.7535287421241903</v>
      </c>
      <c r="L84" s="991">
        <f t="shared" si="23"/>
        <v>0.10309304304614357</v>
      </c>
      <c r="M84" s="315">
        <f>TableA2!G84/K84</f>
        <v>0.10596491352793042</v>
      </c>
      <c r="N84" s="995">
        <f t="shared" si="25"/>
        <v>0.12065021659094734</v>
      </c>
      <c r="O84" s="315"/>
      <c r="P84" s="429">
        <f t="shared" si="26"/>
        <v>0</v>
      </c>
      <c r="Q84" s="429">
        <f t="shared" si="27"/>
        <v>0</v>
      </c>
      <c r="R84" s="1000">
        <f>TableA2!G84/TableA1!M84</f>
        <v>0.7535287421241903</v>
      </c>
    </row>
    <row r="85" spans="1:18" x14ac:dyDescent="0.35">
      <c r="A85" s="457" t="s">
        <v>299</v>
      </c>
      <c r="B85" s="320">
        <f>VLOOKUP($A85,[1]UNnataccount.xls!$A$1:$I$232,2,0)/1000000000</f>
        <v>1.6491400000000001</v>
      </c>
      <c r="C85" s="420">
        <f>VLOOKUP(A85,[1]UNnataccount.xls!$A$1:$I$232,3,0)/1000000000</f>
        <v>0.17774699999999999</v>
      </c>
      <c r="D85" s="321">
        <f t="shared" si="18"/>
        <v>1.471393</v>
      </c>
      <c r="E85" s="418">
        <f>VLOOKUP(A85,[1]UNnataccount.xls!$A$1:$I$232,4,0)/1000000000</f>
        <v>1.1087400000000001</v>
      </c>
      <c r="F85" s="420">
        <f>VLOOKUP(A85,[1]UNnataccount.xls!$A$1:$I$232,5,0)/1000000000</f>
        <v>0.87420699999999996</v>
      </c>
      <c r="G85" s="428">
        <f t="shared" si="19"/>
        <v>0.2345330000000001</v>
      </c>
      <c r="H85" s="420">
        <f>VLOOKUP(A85,[1]UNnataccount.xls!$A$1:$I$232,7,0)/1000000000</f>
        <v>0.21096699999999999</v>
      </c>
      <c r="I85" s="990">
        <f t="shared" si="20"/>
        <v>0.1516859999999999</v>
      </c>
      <c r="J85" s="322">
        <f t="shared" si="21"/>
        <v>0.14337909722283576</v>
      </c>
      <c r="K85" s="436">
        <f t="shared" si="22"/>
        <v>0.75353083778433094</v>
      </c>
      <c r="L85" s="991">
        <f t="shared" si="23"/>
        <v>0.10309006499283326</v>
      </c>
      <c r="M85" s="315">
        <f>TableA2!G85/K85</f>
        <v>0.19896863204809062</v>
      </c>
      <c r="N85" s="995">
        <f t="shared" si="25"/>
        <v>0.12064993393410542</v>
      </c>
      <c r="O85" s="315"/>
      <c r="P85" s="429">
        <f t="shared" si="26"/>
        <v>0</v>
      </c>
      <c r="Q85" s="429">
        <f t="shared" si="27"/>
        <v>0</v>
      </c>
      <c r="R85" s="1000">
        <f>TableA2!G85/TableA1!M85</f>
        <v>0.75353083778433094</v>
      </c>
    </row>
    <row r="86" spans="1:18" x14ac:dyDescent="0.35">
      <c r="A86" s="459" t="s">
        <v>322</v>
      </c>
      <c r="B86" s="320">
        <f>VLOOKUP($A86,[1]UNnataccount.xls!$A$1:$I$232,2,0)/1000000000</f>
        <v>0.75520600000000004</v>
      </c>
      <c r="C86" s="420">
        <f>VLOOKUP(A86,[1]UNnataccount.xls!$A$1:$I$232,3,0)/1000000000</f>
        <v>8.1396999999999997E-2</v>
      </c>
      <c r="D86" s="321">
        <f t="shared" si="18"/>
        <v>0.6738090000000001</v>
      </c>
      <c r="E86" s="418">
        <f>VLOOKUP(A86,[1]UNnataccount.xls!$A$1:$I$232,4,0)/1000000000</f>
        <v>0.50773400000000002</v>
      </c>
      <c r="F86" s="420">
        <f>VLOOKUP(A86,[1]UNnataccount.xls!$A$1:$I$232,5,0)/1000000000</f>
        <v>0.40033299999999999</v>
      </c>
      <c r="G86" s="428">
        <f t="shared" si="19"/>
        <v>0.10740100000000002</v>
      </c>
      <c r="H86" s="420">
        <f>VLOOKUP(A86,[1]UNnataccount.xls!$A$1:$I$232,7,0)/1000000000</f>
        <v>9.6609751999999993E-2</v>
      </c>
      <c r="I86" s="990">
        <f t="shared" si="20"/>
        <v>6.946524800000009E-2</v>
      </c>
      <c r="J86" s="322">
        <f t="shared" si="21"/>
        <v>0.14337854199038597</v>
      </c>
      <c r="K86" s="436">
        <f t="shared" si="22"/>
        <v>0.75352807694762158</v>
      </c>
      <c r="L86" s="991">
        <f t="shared" si="23"/>
        <v>0.10309338106199246</v>
      </c>
      <c r="M86" s="315">
        <f>TableA2!G86/K86</f>
        <v>9.1115872255377817E-2</v>
      </c>
      <c r="N86" s="995">
        <f t="shared" si="25"/>
        <v>0.12065035534063263</v>
      </c>
      <c r="O86" s="315"/>
      <c r="P86" s="429">
        <f t="shared" si="26"/>
        <v>0</v>
      </c>
      <c r="Q86" s="429">
        <f t="shared" si="27"/>
        <v>0</v>
      </c>
      <c r="R86" s="1000">
        <f>TableA2!G86/TableA1!M86</f>
        <v>0.75352807694762158</v>
      </c>
    </row>
    <row r="87" spans="1:18" x14ac:dyDescent="0.35">
      <c r="A87" s="457" t="s">
        <v>300</v>
      </c>
      <c r="B87" s="320">
        <f>VLOOKUP($A87,[1]UNnataccount.xls!$A$1:$I$232,2,0)/1000000000</f>
        <v>0.63200000000000001</v>
      </c>
      <c r="C87" s="420">
        <f>VLOOKUP(A87,[1]UNnataccount.xls!$A$1:$I$232,3,0)/1000000000</f>
        <v>6.8117735999999998E-2</v>
      </c>
      <c r="D87" s="321">
        <f t="shared" si="18"/>
        <v>0.56388226399999997</v>
      </c>
      <c r="E87" s="418">
        <f>VLOOKUP(A87,[1]UNnataccount.xls!$A$1:$I$232,4,0)/1000000000</f>
        <v>0.424902</v>
      </c>
      <c r="F87" s="420">
        <f>VLOOKUP(A87,[1]UNnataccount.xls!$A$1:$I$232,5,0)/1000000000</f>
        <v>0.33502199999999999</v>
      </c>
      <c r="G87" s="428">
        <f t="shared" si="19"/>
        <v>8.9880000000000015E-2</v>
      </c>
      <c r="H87" s="420">
        <f>VLOOKUP(A87,[1]UNnataccount.xls!$A$1:$I$232,7,0)/1000000000</f>
        <v>8.0848639999999999E-2</v>
      </c>
      <c r="I87" s="990">
        <f t="shared" si="20"/>
        <v>5.8131623999999965E-2</v>
      </c>
      <c r="J87" s="451">
        <f t="shared" si="21"/>
        <v>0.14337858301569137</v>
      </c>
      <c r="K87" s="436">
        <f t="shared" si="22"/>
        <v>0.75352964107415166</v>
      </c>
      <c r="L87" s="991">
        <f t="shared" si="23"/>
        <v>0.10309177591015696</v>
      </c>
      <c r="M87" s="315">
        <f>TableA2!G87/K87</f>
        <v>7.6250887646695603E-2</v>
      </c>
      <c r="N87" s="995">
        <f t="shared" si="25"/>
        <v>0.12065013868148039</v>
      </c>
      <c r="O87" s="315"/>
      <c r="P87" s="429">
        <f t="shared" si="26"/>
        <v>0</v>
      </c>
      <c r="Q87" s="429">
        <f t="shared" si="27"/>
        <v>0</v>
      </c>
      <c r="R87" s="1000">
        <f>TableA2!G87/TableA1!M87</f>
        <v>0.75352964107415166</v>
      </c>
    </row>
    <row r="88" spans="1:18" x14ac:dyDescent="0.35">
      <c r="A88" s="457" t="s">
        <v>210</v>
      </c>
      <c r="B88" s="320">
        <f>VLOOKUP($A88,[1]UNnataccount.xls!$A$1:$I$232,2,0)/1000000000</f>
        <v>52.132300000000001</v>
      </c>
      <c r="C88" s="420">
        <f>VLOOKUP(A88,[1]UNnataccount.xls!$A$1:$I$232,3,0)/1000000000</f>
        <v>5.6188799999999999</v>
      </c>
      <c r="D88" s="321">
        <f t="shared" si="18"/>
        <v>46.513420000000004</v>
      </c>
      <c r="E88" s="418">
        <f>VLOOKUP(A88,[1]UNnataccount.xls!$A$1:$I$232,4,0)/1000000000</f>
        <v>35.049199999999999</v>
      </c>
      <c r="F88" s="420">
        <f>VLOOKUP(A88,[1]UNnataccount.xls!$A$1:$I$232,5,0)/1000000000</f>
        <v>27.635200000000001</v>
      </c>
      <c r="G88" s="428">
        <f t="shared" si="19"/>
        <v>7.4139999999999979</v>
      </c>
      <c r="H88" s="420">
        <f>VLOOKUP(A88,[1]UNnataccount.xls!$A$1:$I$232,7,0)/1000000000</f>
        <v>6.6690300000000002</v>
      </c>
      <c r="I88" s="990">
        <f t="shared" si="20"/>
        <v>4.7951900000000043</v>
      </c>
      <c r="J88" s="451">
        <f t="shared" si="21"/>
        <v>0.14337862062174744</v>
      </c>
      <c r="K88" s="436">
        <f t="shared" si="22"/>
        <v>0.75352876653662526</v>
      </c>
      <c r="L88" s="991">
        <f t="shared" si="23"/>
        <v>0.1030926128416273</v>
      </c>
      <c r="M88" s="315">
        <f>TableA2!G88/K88</f>
        <v>6.2897797807824443</v>
      </c>
      <c r="N88" s="995">
        <f t="shared" si="25"/>
        <v>0.12065034116627205</v>
      </c>
      <c r="O88" s="315"/>
      <c r="P88" s="429">
        <f t="shared" si="26"/>
        <v>0</v>
      </c>
      <c r="Q88" s="429">
        <f t="shared" si="27"/>
        <v>0</v>
      </c>
      <c r="R88" s="1000">
        <f>TableA2!G88/TableA1!M88</f>
        <v>0.75352876653662526</v>
      </c>
    </row>
    <row r="89" spans="1:18" x14ac:dyDescent="0.35">
      <c r="A89" s="457" t="s">
        <v>290</v>
      </c>
      <c r="B89" s="320">
        <f>[2]HavenRawData!C$42</f>
        <v>107.52048192771085</v>
      </c>
      <c r="C89" s="420">
        <f>[2]HavenRawData!D$42</f>
        <v>5.644999999999996</v>
      </c>
      <c r="D89" s="321">
        <f t="shared" si="18"/>
        <v>101.87548192771085</v>
      </c>
      <c r="E89" s="418">
        <f>TableA2!B89</f>
        <v>81.677350000000004</v>
      </c>
      <c r="F89" s="420">
        <f>E89*E101</f>
        <v>72.948981984703636</v>
      </c>
      <c r="G89" s="428">
        <f t="shared" si="19"/>
        <v>8.7283680152963683</v>
      </c>
      <c r="H89" s="420">
        <f>VLOOKUP(A89,[1]UNnataccount.xls!$A$1:$I$232,7,0)/1000000000</f>
        <v>13.815899999999999</v>
      </c>
      <c r="I89" s="994">
        <f t="shared" si="20"/>
        <v>6.3822319277108477</v>
      </c>
      <c r="J89" s="451">
        <f t="shared" si="21"/>
        <v>0.13561555477895587</v>
      </c>
      <c r="K89" s="436">
        <f t="shared" si="22"/>
        <v>0.80173706621537155</v>
      </c>
      <c r="L89" s="993">
        <f t="shared" si="23"/>
        <v>6.2647379005672563E-2</v>
      </c>
      <c r="M89" s="315">
        <f>TableA2!G89/K89</f>
        <v>12.246720793824949</v>
      </c>
      <c r="N89" s="995">
        <f t="shared" si="25"/>
        <v>0.11390128256734169</v>
      </c>
      <c r="O89" s="315"/>
      <c r="P89" s="429">
        <f t="shared" si="26"/>
        <v>0</v>
      </c>
      <c r="Q89" s="429">
        <f t="shared" si="27"/>
        <v>0</v>
      </c>
      <c r="R89" s="1000">
        <f>TableA2!G89/TableA1!M89</f>
        <v>0.80173706621537144</v>
      </c>
    </row>
    <row r="90" spans="1:18" ht="40" customHeight="1" x14ac:dyDescent="0.35">
      <c r="A90" s="478" t="s">
        <v>474</v>
      </c>
      <c r="B90" s="445">
        <f>74782-B9-B45-B53</f>
        <v>9565.9455890727513</v>
      </c>
      <c r="C90" s="446">
        <f>B90*C45/B45</f>
        <v>1132.0584934272067</v>
      </c>
      <c r="D90" s="447">
        <f t="shared" ref="D90:D91" si="28">+B90-C90</f>
        <v>8433.8870956455448</v>
      </c>
      <c r="E90" s="446">
        <f>K90*D90</f>
        <v>4259.654706389314</v>
      </c>
      <c r="F90" s="446">
        <f>+E90*E101</f>
        <v>3804.4509822790787</v>
      </c>
      <c r="G90" s="446">
        <f>E90-F90</f>
        <v>455.20372411023527</v>
      </c>
      <c r="H90" s="446">
        <f>J90*D90</f>
        <v>706.76608434528089</v>
      </c>
      <c r="I90" s="448">
        <f t="shared" ref="I90" si="29">D90-E90-H90</f>
        <v>3467.4663049109499</v>
      </c>
      <c r="J90" s="449">
        <f>J45</f>
        <v>8.3800752408718815E-2</v>
      </c>
      <c r="K90" s="449">
        <f>K45-0.1</f>
        <v>0.50506423172164516</v>
      </c>
      <c r="L90" s="984">
        <f t="shared" ref="L90:L91" si="30">I90/D90</f>
        <v>0.41113501586963608</v>
      </c>
      <c r="M90" s="433">
        <f>B90*M45/B45</f>
        <v>1378.6132777401201</v>
      </c>
      <c r="N90" s="460">
        <f t="shared" ref="N90:N91" si="31">M90/B90</f>
        <v>0.14411678018688712</v>
      </c>
      <c r="O90" s="433"/>
      <c r="P90" s="429">
        <f t="shared" si="26"/>
        <v>0</v>
      </c>
      <c r="Q90" s="429">
        <f t="shared" si="27"/>
        <v>0</v>
      </c>
      <c r="R90" s="1000">
        <f>TableA2!G90/TableA1!M90</f>
        <v>0.48795947745344731</v>
      </c>
    </row>
    <row r="91" spans="1:18" ht="40" customHeight="1" thickBot="1" x14ac:dyDescent="0.4">
      <c r="A91" s="477" t="s">
        <v>499</v>
      </c>
      <c r="B91" s="422">
        <f>B90+B53+B45+B9</f>
        <v>74782</v>
      </c>
      <c r="C91" s="427">
        <f>C90+C53+C45+C9</f>
        <v>7514.9035341355975</v>
      </c>
      <c r="D91" s="444">
        <f t="shared" si="28"/>
        <v>67267.096465864408</v>
      </c>
      <c r="E91" s="450">
        <f>E90+E53+E45+E9</f>
        <v>40756.104983635028</v>
      </c>
      <c r="F91" s="427">
        <f>F90+F53+F45+F9</f>
        <v>36346.893264988052</v>
      </c>
      <c r="G91" s="427">
        <f>E91-F91</f>
        <v>4409.2117186469768</v>
      </c>
      <c r="H91" s="427">
        <f>H90+H53+H45+H9</f>
        <v>8030.3108870760998</v>
      </c>
      <c r="I91" s="423">
        <f>I90+I53+I45+I9</f>
        <v>18480.680595153288</v>
      </c>
      <c r="J91" s="424">
        <f>H91/D91</f>
        <v>0.11937947836281575</v>
      </c>
      <c r="K91" s="673">
        <f>E91/D91</f>
        <v>0.60588470626671487</v>
      </c>
      <c r="L91" s="985">
        <f t="shared" si="30"/>
        <v>0.27473581537046954</v>
      </c>
      <c r="M91" s="998">
        <f>M90+M53+M45+M9</f>
        <v>11940.064507492207</v>
      </c>
      <c r="N91" s="476">
        <f t="shared" si="31"/>
        <v>0.15966495289631472</v>
      </c>
      <c r="O91" s="433"/>
      <c r="P91" s="429">
        <f t="shared" si="26"/>
        <v>0</v>
      </c>
      <c r="Q91" s="429">
        <f t="shared" si="27"/>
        <v>0</v>
      </c>
      <c r="R91" s="1000">
        <f>TableA2!G91/TableA1!M91</f>
        <v>0.58030850288727776</v>
      </c>
    </row>
    <row r="92" spans="1:18" ht="16" thickTop="1" x14ac:dyDescent="0.35">
      <c r="D92" s="7"/>
    </row>
    <row r="93" spans="1:18" s="2" customFormat="1" ht="16" thickBot="1" x14ac:dyDescent="0.4">
      <c r="B93" s="1"/>
      <c r="C93" s="1"/>
      <c r="D93" s="1"/>
      <c r="E93" s="1"/>
      <c r="F93" s="1"/>
      <c r="G93" s="1"/>
      <c r="H93" s="1"/>
      <c r="I93" s="1"/>
      <c r="J93" s="1"/>
      <c r="K93" s="1"/>
      <c r="L93" s="1"/>
    </row>
    <row r="94" spans="1:18" s="2" customFormat="1" ht="41.25" customHeight="1" thickBot="1" x14ac:dyDescent="0.4">
      <c r="A94" s="2045" t="s">
        <v>511</v>
      </c>
      <c r="B94" s="2046"/>
      <c r="C94" s="2046"/>
      <c r="D94" s="2046"/>
      <c r="E94" s="2046"/>
      <c r="F94" s="2046"/>
      <c r="G94" s="2046"/>
      <c r="H94" s="2046"/>
      <c r="I94" s="2046"/>
      <c r="J94" s="2046"/>
      <c r="K94" s="2046"/>
      <c r="L94" s="2046"/>
      <c r="M94" s="2046"/>
      <c r="N94" s="2047"/>
    </row>
    <row r="95" spans="1:18" s="2" customFormat="1" x14ac:dyDescent="0.35">
      <c r="A95" s="1"/>
      <c r="B95" s="1"/>
      <c r="C95" s="1"/>
      <c r="D95" s="1"/>
      <c r="E95" s="1"/>
      <c r="F95" s="1"/>
      <c r="G95" s="1"/>
      <c r="H95" s="1"/>
      <c r="I95" s="1"/>
      <c r="J95" s="1"/>
      <c r="K95" s="1"/>
      <c r="L95" s="1"/>
    </row>
    <row r="96" spans="1:18" s="2" customFormat="1" x14ac:dyDescent="0.35">
      <c r="A96" s="430" t="s">
        <v>147</v>
      </c>
      <c r="B96" s="443">
        <f>B91-B90-B53-B45-B9</f>
        <v>0</v>
      </c>
      <c r="C96" s="443">
        <f t="shared" ref="C96:I96" si="32">C91-C90-C53-C45-C9</f>
        <v>0</v>
      </c>
      <c r="D96" s="443">
        <f t="shared" si="32"/>
        <v>0</v>
      </c>
      <c r="E96" s="443">
        <f t="shared" si="32"/>
        <v>0</v>
      </c>
      <c r="F96" s="443">
        <f t="shared" si="32"/>
        <v>0</v>
      </c>
      <c r="G96" s="443">
        <f t="shared" si="32"/>
        <v>0</v>
      </c>
      <c r="H96" s="443">
        <f t="shared" si="32"/>
        <v>0</v>
      </c>
      <c r="I96" s="443">
        <f t="shared" si="32"/>
        <v>0</v>
      </c>
      <c r="J96" s="1"/>
      <c r="K96" s="1"/>
      <c r="L96" s="1"/>
    </row>
    <row r="97" spans="1:12" x14ac:dyDescent="0.35">
      <c r="C97" s="339"/>
      <c r="D97" s="339"/>
      <c r="E97" s="339"/>
      <c r="F97" s="339"/>
      <c r="G97" s="339"/>
      <c r="H97" s="339"/>
    </row>
    <row r="98" spans="1:12" s="2" customFormat="1" x14ac:dyDescent="0.35">
      <c r="A98" s="1"/>
      <c r="B98" s="339"/>
      <c r="C98" s="340"/>
      <c r="D98" s="340"/>
      <c r="E98" s="340"/>
      <c r="F98" s="340"/>
      <c r="G98" s="340"/>
      <c r="H98" s="339"/>
      <c r="K98" s="1"/>
      <c r="L98" s="1"/>
    </row>
    <row r="99" spans="1:12" x14ac:dyDescent="0.35">
      <c r="A99" s="339" t="s">
        <v>264</v>
      </c>
      <c r="B99" s="341"/>
      <c r="C99" s="341" t="s">
        <v>265</v>
      </c>
      <c r="D99" s="341" t="s">
        <v>266</v>
      </c>
      <c r="E99" s="341" t="s">
        <v>259</v>
      </c>
      <c r="F99" s="341" t="s">
        <v>260</v>
      </c>
      <c r="G99" s="341" t="s">
        <v>28</v>
      </c>
      <c r="H99" s="339"/>
    </row>
    <row r="100" spans="1:12" x14ac:dyDescent="0.35">
      <c r="B100" s="339" t="s">
        <v>263</v>
      </c>
      <c r="C100" s="342"/>
      <c r="D100" s="342">
        <f>+SUMIF(E112:E146,"&gt;0")/(SUM(D112:D146)-D130-D129-D125-D127-D116-D115-D112)</f>
        <v>0.60843137013771853</v>
      </c>
      <c r="E100" s="342">
        <f>+(SUM(F112:F146)-F127)/(SUM(E112:E146))</f>
        <v>0.89379845602384167</v>
      </c>
      <c r="F100" s="342">
        <f>1-E100</f>
        <v>0.10620154397615833</v>
      </c>
      <c r="G100" s="342">
        <f>+SUM(H112:H146)/(SUM(D112:D146)-D112-D115-D116-D117-D113-D129-D130-D146)</f>
        <v>0.13836626366700144</v>
      </c>
      <c r="H100" s="339"/>
    </row>
    <row r="101" spans="1:12" x14ac:dyDescent="0.35">
      <c r="B101" s="339" t="s">
        <v>99</v>
      </c>
      <c r="C101" s="342">
        <f>SUM(C47:C52)/SUM(B47:B52)</f>
        <v>0.11834256037587806</v>
      </c>
      <c r="D101" s="342">
        <f>SUM(E47:E52)/SUM(D47:D52)</f>
        <v>0.62031326117594032</v>
      </c>
      <c r="E101" s="342">
        <f>+SUM(F49:F52,F47)/+SUM(E49:E52,E47)</f>
        <v>0.89313600385790715</v>
      </c>
      <c r="F101" s="342"/>
      <c r="G101" s="342">
        <f>+SUM(H150:H156)/(SUM(D150:D156)-D150-D152-D155)</f>
        <v>7.1862573989797132E-2</v>
      </c>
      <c r="H101" s="339"/>
      <c r="K101" s="342"/>
    </row>
    <row r="102" spans="1:12" x14ac:dyDescent="0.35">
      <c r="B102" s="339" t="s">
        <v>268</v>
      </c>
      <c r="C102" s="343">
        <f>+(SUM(C54:C70)+SUM(C72:C89))/(SUM(B54:B70)+SUM(B72:B89))</f>
        <v>7.936070120941871E-2</v>
      </c>
      <c r="D102" s="339"/>
      <c r="E102" s="344">
        <f>+(SUM(E54:E70)+SUM(E72:E83))/(SUM(D54:D70)+SUM(D72:D83))</f>
        <v>0.72292916034155064</v>
      </c>
      <c r="F102" s="339"/>
      <c r="G102" s="344">
        <f>+[2]HavenRawData!$G$53</f>
        <v>0</v>
      </c>
      <c r="H102" s="344"/>
    </row>
    <row r="103" spans="1:12" x14ac:dyDescent="0.35">
      <c r="B103" s="339"/>
      <c r="C103" s="339"/>
      <c r="D103" s="339"/>
      <c r="E103" s="339"/>
      <c r="F103" s="339"/>
      <c r="G103" s="339"/>
      <c r="H103" s="339"/>
    </row>
    <row r="104" spans="1:12" x14ac:dyDescent="0.35">
      <c r="B104" s="339"/>
      <c r="C104" s="339"/>
      <c r="D104" s="339"/>
      <c r="E104" s="339"/>
      <c r="F104" s="339"/>
      <c r="G104" s="339"/>
      <c r="H104" s="339"/>
    </row>
    <row r="105" spans="1:12" x14ac:dyDescent="0.35">
      <c r="B105" s="339"/>
      <c r="C105" s="339"/>
      <c r="D105" s="339"/>
      <c r="E105" s="339"/>
      <c r="F105" s="339"/>
      <c r="G105" s="339"/>
      <c r="H105" s="339"/>
    </row>
    <row r="108" spans="1:12" hidden="1" x14ac:dyDescent="0.35">
      <c r="C108" s="269" t="s">
        <v>263</v>
      </c>
    </row>
    <row r="109" spans="1:12" hidden="1" x14ac:dyDescent="0.35">
      <c r="D109" s="1" t="s">
        <v>15</v>
      </c>
      <c r="E109" s="1" t="s">
        <v>27</v>
      </c>
      <c r="F109" s="1" t="s">
        <v>259</v>
      </c>
      <c r="G109" s="1" t="s">
        <v>260</v>
      </c>
      <c r="H109" s="1" t="s">
        <v>28</v>
      </c>
      <c r="I109" s="1" t="s">
        <v>29</v>
      </c>
    </row>
    <row r="110" spans="1:12" hidden="1" x14ac:dyDescent="0.35"/>
    <row r="111" spans="1:12" hidden="1" x14ac:dyDescent="0.35"/>
    <row r="112" spans="1:12" hidden="1" x14ac:dyDescent="0.35">
      <c r="D112" s="1">
        <v>1134.35890542318</v>
      </c>
    </row>
    <row r="113" spans="4:9" hidden="1" x14ac:dyDescent="0.35">
      <c r="D113" s="1">
        <v>332.67976030849803</v>
      </c>
      <c r="E113" s="1">
        <v>216.83707476995184</v>
      </c>
      <c r="F113" s="1">
        <v>203.4286798002349</v>
      </c>
      <c r="G113" s="1">
        <v>13.408394969716932</v>
      </c>
    </row>
    <row r="114" spans="4:9" hidden="1" x14ac:dyDescent="0.35">
      <c r="D114" s="1">
        <v>411.19137057357608</v>
      </c>
      <c r="E114" s="1">
        <v>283.38418404296965</v>
      </c>
      <c r="F114" s="1">
        <v>261.0124226564588</v>
      </c>
      <c r="G114" s="1">
        <v>22.371761386510865</v>
      </c>
      <c r="H114" s="1">
        <v>66.945153322930281</v>
      </c>
      <c r="I114" s="1">
        <v>60.862033207676149</v>
      </c>
    </row>
    <row r="115" spans="4:9" hidden="1" x14ac:dyDescent="0.35">
      <c r="D115" s="1">
        <v>1386.6959372933113</v>
      </c>
    </row>
    <row r="116" spans="4:9" hidden="1" x14ac:dyDescent="0.35">
      <c r="D116" s="1">
        <v>201.44372958371886</v>
      </c>
    </row>
    <row r="117" spans="4:9" hidden="1" x14ac:dyDescent="0.35">
      <c r="D117" s="1">
        <v>169.18445042939175</v>
      </c>
      <c r="E117" s="1">
        <v>112.15354438741807</v>
      </c>
      <c r="F117" s="1">
        <v>105.46442400528483</v>
      </c>
      <c r="G117" s="1">
        <v>6.6891203821332379</v>
      </c>
    </row>
    <row r="118" spans="4:9" hidden="1" x14ac:dyDescent="0.35">
      <c r="D118" s="1">
        <v>258.92896557577268</v>
      </c>
      <c r="E118" s="1">
        <v>171.31642871995703</v>
      </c>
      <c r="F118" s="1">
        <v>156.43854767909247</v>
      </c>
      <c r="G118" s="1">
        <v>14.877881040864565</v>
      </c>
      <c r="H118" s="1">
        <v>56.930632364567465</v>
      </c>
      <c r="I118" s="1">
        <v>30.681904491248183</v>
      </c>
    </row>
    <row r="119" spans="4:9" hidden="1" x14ac:dyDescent="0.35">
      <c r="D119" s="1">
        <v>19.484306151216813</v>
      </c>
      <c r="E119" s="1">
        <v>14.300084621791608</v>
      </c>
      <c r="F119" s="1">
        <v>13.555235404959081</v>
      </c>
      <c r="G119" s="1">
        <v>0.74484921683252769</v>
      </c>
      <c r="H119" s="1">
        <v>3.2878283253425074</v>
      </c>
      <c r="I119" s="1">
        <v>1.8963932040826976</v>
      </c>
    </row>
    <row r="120" spans="4:9" hidden="1" x14ac:dyDescent="0.35">
      <c r="D120" s="1">
        <v>203.2608780037686</v>
      </c>
      <c r="E120" s="1">
        <v>127.77114186183469</v>
      </c>
      <c r="F120" s="1">
        <v>121.94743245506339</v>
      </c>
      <c r="G120" s="1">
        <v>5.8237094067712958</v>
      </c>
      <c r="H120" s="1">
        <v>40.825855450896626</v>
      </c>
      <c r="I120" s="1">
        <v>34.663880691037278</v>
      </c>
    </row>
    <row r="121" spans="4:9" hidden="1" x14ac:dyDescent="0.35">
      <c r="D121" s="1">
        <v>2117.4668028600613</v>
      </c>
      <c r="E121" s="1">
        <v>1308.4658390810716</v>
      </c>
      <c r="F121" s="1">
        <v>1208.8882825990756</v>
      </c>
      <c r="G121" s="1">
        <v>99.57755648199597</v>
      </c>
      <c r="H121" s="1">
        <v>395.77822658011507</v>
      </c>
      <c r="I121" s="1">
        <v>413.2227371988746</v>
      </c>
    </row>
    <row r="122" spans="4:9" hidden="1" x14ac:dyDescent="0.35">
      <c r="D122" s="1">
        <v>3041.629928831188</v>
      </c>
      <c r="E122" s="1">
        <v>2072.973263728305</v>
      </c>
      <c r="F122" s="1">
        <v>1955.0417619077721</v>
      </c>
      <c r="G122" s="1">
        <v>117.93150182053304</v>
      </c>
      <c r="H122" s="1">
        <v>325.08409498491113</v>
      </c>
      <c r="I122" s="1">
        <v>643.57257011797174</v>
      </c>
    </row>
    <row r="123" spans="4:9" hidden="1" x14ac:dyDescent="0.35">
      <c r="D123" s="1">
        <v>168.119423972921</v>
      </c>
      <c r="E123" s="1">
        <v>65.374766181006336</v>
      </c>
      <c r="F123" s="1">
        <v>57.459378101921011</v>
      </c>
      <c r="G123" s="1">
        <v>7.9153880790853313</v>
      </c>
      <c r="H123" s="1">
        <v>30.928569891721814</v>
      </c>
      <c r="I123" s="1">
        <v>71.816087900192855</v>
      </c>
    </row>
    <row r="124" spans="4:9" hidden="1" x14ac:dyDescent="0.35">
      <c r="D124" s="1">
        <v>101.9514950820259</v>
      </c>
      <c r="E124" s="1">
        <v>66.600399165868637</v>
      </c>
      <c r="F124" s="1">
        <v>63.378081676854649</v>
      </c>
      <c r="G124" s="1">
        <v>3.2223174890139892</v>
      </c>
      <c r="H124" s="1">
        <v>17.133366149660354</v>
      </c>
      <c r="I124" s="1">
        <v>18.217729766496909</v>
      </c>
    </row>
    <row r="125" spans="4:9" hidden="1" x14ac:dyDescent="0.35">
      <c r="D125" s="1">
        <v>14.458228464332317</v>
      </c>
      <c r="H125" s="1">
        <v>2.7194512628269329</v>
      </c>
    </row>
    <row r="126" spans="4:9" hidden="1" x14ac:dyDescent="0.35">
      <c r="D126" s="1">
        <v>268.97424159244235</v>
      </c>
      <c r="E126" s="1">
        <v>216.35996679454206</v>
      </c>
      <c r="F126" s="1">
        <v>198.23817651684283</v>
      </c>
      <c r="G126" s="1">
        <v>18.121790277699219</v>
      </c>
      <c r="H126" s="1">
        <v>25.388975322156163</v>
      </c>
      <c r="I126" s="1">
        <v>27.22529947574413</v>
      </c>
    </row>
    <row r="127" spans="4:9" hidden="1" x14ac:dyDescent="0.35">
      <c r="D127" s="1">
        <v>257.65045884399973</v>
      </c>
      <c r="F127" s="1">
        <v>156.86592670691022</v>
      </c>
      <c r="H127" s="1">
        <v>36.217430231759373</v>
      </c>
    </row>
    <row r="128" spans="4:9" hidden="1" x14ac:dyDescent="0.35">
      <c r="D128" s="1">
        <v>1589.2630140662934</v>
      </c>
      <c r="E128" s="1">
        <v>872.75122856867165</v>
      </c>
      <c r="F128" s="1">
        <v>795.37641170331563</v>
      </c>
      <c r="G128" s="1">
        <v>77.374816865355967</v>
      </c>
      <c r="H128" s="1">
        <v>228.77939442738332</v>
      </c>
      <c r="I128" s="1">
        <v>487.73239107023846</v>
      </c>
    </row>
    <row r="129" spans="4:9" hidden="1" x14ac:dyDescent="0.35">
      <c r="D129" s="1">
        <v>4026.7438220621034</v>
      </c>
    </row>
    <row r="130" spans="4:9" hidden="1" x14ac:dyDescent="0.35">
      <c r="D130" s="1">
        <v>1242.3956876031853</v>
      </c>
    </row>
    <row r="131" spans="4:9" hidden="1" x14ac:dyDescent="0.35">
      <c r="D131" s="1">
        <v>23.862537833038875</v>
      </c>
      <c r="E131" s="1">
        <v>16.865578894016473</v>
      </c>
      <c r="F131" s="1">
        <v>15.789667712516593</v>
      </c>
      <c r="G131" s="1">
        <v>1.0759111814998796</v>
      </c>
      <c r="H131" s="1">
        <v>3.7631366181671786</v>
      </c>
      <c r="I131" s="1">
        <v>3.2338223208552237</v>
      </c>
    </row>
    <row r="132" spans="4:9" hidden="1" x14ac:dyDescent="0.35">
      <c r="D132" s="1">
        <v>51.736632141419314</v>
      </c>
      <c r="E132" s="1">
        <v>39.231128397764564</v>
      </c>
      <c r="F132" s="1">
        <v>25.812973640810995</v>
      </c>
      <c r="G132" s="1">
        <v>13.418154756953573</v>
      </c>
      <c r="H132" s="1">
        <v>6.4658590442728343</v>
      </c>
      <c r="I132" s="1">
        <v>6.0396446993819151</v>
      </c>
    </row>
    <row r="133" spans="4:9" hidden="1" x14ac:dyDescent="0.35">
      <c r="D133" s="1">
        <v>1072.9108741037744</v>
      </c>
      <c r="E133" s="1">
        <v>580.51899302302263</v>
      </c>
      <c r="F133" s="1">
        <v>539.63509070108421</v>
      </c>
      <c r="G133" s="1">
        <v>40.883902321938415</v>
      </c>
      <c r="H133" s="1">
        <v>107.06274698678412</v>
      </c>
      <c r="I133" s="1">
        <v>385.32913409396764</v>
      </c>
    </row>
    <row r="134" spans="4:9" hidden="1" x14ac:dyDescent="0.35">
      <c r="D134" s="1">
        <v>680.05975651548977</v>
      </c>
      <c r="E134" s="1">
        <v>501.13845699981925</v>
      </c>
      <c r="F134" s="1">
        <v>450.70808365468542</v>
      </c>
      <c r="G134" s="1">
        <v>50.430373345133802</v>
      </c>
      <c r="H134" s="1">
        <v>90.792638902290108</v>
      </c>
      <c r="I134" s="1">
        <v>88.128660613380404</v>
      </c>
    </row>
    <row r="135" spans="4:9" hidden="1" x14ac:dyDescent="0.35">
      <c r="D135" s="1">
        <v>152.42315939957109</v>
      </c>
      <c r="E135" s="1">
        <v>117.72450705207552</v>
      </c>
      <c r="F135" s="1">
        <v>110.9119754528496</v>
      </c>
      <c r="G135" s="1">
        <v>6.8125315992259203</v>
      </c>
      <c r="H135" s="1">
        <v>20.029895918687561</v>
      </c>
      <c r="I135" s="1">
        <v>14.668756428808006</v>
      </c>
    </row>
    <row r="136" spans="4:9" hidden="1" x14ac:dyDescent="0.35">
      <c r="D136" s="1">
        <v>347.80703326208402</v>
      </c>
      <c r="E136" s="1">
        <v>244.0517414879925</v>
      </c>
      <c r="F136" s="1">
        <v>227.26315067631907</v>
      </c>
      <c r="G136" s="1">
        <v>16.788590811673419</v>
      </c>
      <c r="H136" s="1">
        <v>69.872188906802151</v>
      </c>
      <c r="I136" s="1">
        <v>33.883102867289367</v>
      </c>
    </row>
    <row r="137" spans="4:9" hidden="1" x14ac:dyDescent="0.35">
      <c r="D137" s="1">
        <v>421.78140336914709</v>
      </c>
      <c r="E137" s="1">
        <v>234.89932351770796</v>
      </c>
      <c r="F137" s="1">
        <v>219.12534818941506</v>
      </c>
      <c r="G137" s="1">
        <v>15.773975328292877</v>
      </c>
      <c r="H137" s="1">
        <v>59.604722111685902</v>
      </c>
      <c r="I137" s="1">
        <v>127.27735773975323</v>
      </c>
    </row>
    <row r="138" spans="4:9" hidden="1" x14ac:dyDescent="0.35">
      <c r="D138" s="1">
        <v>172.96809991360371</v>
      </c>
      <c r="E138" s="1">
        <v>101.75390252856124</v>
      </c>
      <c r="F138" s="1">
        <v>93.25897817245766</v>
      </c>
      <c r="G138" s="1">
        <v>8.4949243561035814</v>
      </c>
      <c r="H138" s="1">
        <v>28.746567161199522</v>
      </c>
      <c r="I138" s="1">
        <v>42.467630223842946</v>
      </c>
    </row>
    <row r="139" spans="4:9" hidden="1" x14ac:dyDescent="0.35">
      <c r="D139" s="1">
        <v>79.039844331393581</v>
      </c>
      <c r="E139" s="1">
        <v>43.35690211044308</v>
      </c>
      <c r="F139" s="1">
        <v>40.681291929654115</v>
      </c>
      <c r="G139" s="1">
        <v>2.6756101807889676</v>
      </c>
      <c r="H139" s="1">
        <v>11.16217106467079</v>
      </c>
      <c r="I139" s="1">
        <v>24.520771156279711</v>
      </c>
    </row>
    <row r="140" spans="4:9" hidden="1" x14ac:dyDescent="0.35">
      <c r="D140" s="1">
        <v>36.953009286215739</v>
      </c>
      <c r="E140" s="1">
        <v>23.475728296395868</v>
      </c>
      <c r="F140" s="1">
        <v>22.013766401710626</v>
      </c>
      <c r="G140" s="1">
        <v>1.4619618946852413</v>
      </c>
      <c r="H140" s="1">
        <v>5.9998325309235545</v>
      </c>
      <c r="I140" s="1">
        <v>7.4774484588963164</v>
      </c>
    </row>
    <row r="141" spans="4:9" hidden="1" x14ac:dyDescent="0.35">
      <c r="D141" s="1">
        <v>1072.3666042262098</v>
      </c>
      <c r="E141" s="1">
        <v>678.97508925214515</v>
      </c>
      <c r="F141" s="1">
        <v>641.19251291230933</v>
      </c>
      <c r="G141" s="1">
        <v>37.782576339835785</v>
      </c>
      <c r="H141" s="1">
        <v>163.01506445341309</v>
      </c>
      <c r="I141" s="1">
        <v>230.37645052065156</v>
      </c>
    </row>
    <row r="142" spans="4:9" hidden="1" x14ac:dyDescent="0.35">
      <c r="D142" s="1">
        <v>397.38603252865107</v>
      </c>
      <c r="E142" s="1">
        <v>287.8253425286855</v>
      </c>
      <c r="F142" s="1">
        <v>269.43791827255546</v>
      </c>
      <c r="G142" s="1">
        <v>18.387424256130021</v>
      </c>
      <c r="H142" s="1">
        <v>77.441768019100763</v>
      </c>
      <c r="I142" s="1">
        <v>32.118921980864812</v>
      </c>
    </row>
    <row r="143" spans="4:9" hidden="1" x14ac:dyDescent="0.35">
      <c r="D143" s="1">
        <v>659.15844691447569</v>
      </c>
      <c r="E143" s="1">
        <v>483.52057116672086</v>
      </c>
      <c r="F143" s="1">
        <v>418.96218472725457</v>
      </c>
      <c r="G143" s="1">
        <v>64.558386439466275</v>
      </c>
      <c r="H143" s="1">
        <v>70.134861453000426</v>
      </c>
      <c r="I143" s="1">
        <v>105.50301429475441</v>
      </c>
    </row>
    <row r="144" spans="4:9" hidden="1" x14ac:dyDescent="0.35">
      <c r="D144" s="1">
        <v>758.4468874919163</v>
      </c>
      <c r="E144" s="1">
        <v>461.75718903871274</v>
      </c>
      <c r="F144" s="1">
        <v>436.54209967687609</v>
      </c>
      <c r="G144" s="1">
        <v>25.215089361836664</v>
      </c>
      <c r="H144" s="1">
        <v>81.860188697905045</v>
      </c>
      <c r="I144" s="1">
        <v>214.82950975529852</v>
      </c>
    </row>
    <row r="145" spans="3:9" hidden="1" x14ac:dyDescent="0.35">
      <c r="D145" s="1">
        <v>2511.5400774583868</v>
      </c>
      <c r="E145" s="1">
        <v>1619.5418191262634</v>
      </c>
      <c r="F145" s="1">
        <v>1440.0278055748649</v>
      </c>
      <c r="G145" s="1">
        <v>179.51401355139831</v>
      </c>
      <c r="H145" s="1">
        <v>311.14896607567084</v>
      </c>
      <c r="I145" s="1">
        <v>580.8492922564526</v>
      </c>
    </row>
    <row r="146" spans="3:9" hidden="1" x14ac:dyDescent="0.35">
      <c r="D146" s="1">
        <v>16922.192500000001</v>
      </c>
      <c r="E146" s="1">
        <v>9749.7634999999991</v>
      </c>
      <c r="F146" s="1">
        <v>8421.3765999999996</v>
      </c>
      <c r="G146" s="1">
        <v>1328.3869000000002</v>
      </c>
    </row>
    <row r="147" spans="3:9" hidden="1" x14ac:dyDescent="0.35"/>
    <row r="148" spans="3:9" hidden="1" x14ac:dyDescent="0.35"/>
    <row r="149" spans="3:9" hidden="1" x14ac:dyDescent="0.35">
      <c r="C149" s="269" t="s">
        <v>267</v>
      </c>
    </row>
    <row r="150" spans="3:9" hidden="1" x14ac:dyDescent="0.35">
      <c r="D150" s="1">
        <v>2165.3892241270273</v>
      </c>
      <c r="E150" s="1">
        <v>1305.6038000000001</v>
      </c>
    </row>
    <row r="151" spans="3:9" hidden="1" x14ac:dyDescent="0.35">
      <c r="D151" s="1">
        <v>9679.5536246447809</v>
      </c>
      <c r="E151" s="1">
        <v>6211.8447853385696</v>
      </c>
      <c r="H151" s="1">
        <v>795.34694435553956</v>
      </c>
      <c r="I151" s="1">
        <v>2672.3618949506717</v>
      </c>
    </row>
    <row r="152" spans="3:9" hidden="1" x14ac:dyDescent="0.35">
      <c r="D152" s="1">
        <v>260.35558291390413</v>
      </c>
      <c r="E152" s="1">
        <v>135.02409969740114</v>
      </c>
    </row>
    <row r="153" spans="3:9" hidden="1" x14ac:dyDescent="0.35">
      <c r="D153" s="1">
        <v>48.629278349229132</v>
      </c>
      <c r="E153" s="1">
        <v>29.987501894855708</v>
      </c>
      <c r="H153" s="1">
        <v>8.0721776098757676</v>
      </c>
      <c r="I153" s="1">
        <v>10.569598844497657</v>
      </c>
    </row>
    <row r="154" spans="3:9" hidden="1" x14ac:dyDescent="0.35">
      <c r="D154" s="1">
        <v>1942.0521379679471</v>
      </c>
      <c r="E154" s="1">
        <v>919.01579786888453</v>
      </c>
      <c r="H154" s="1">
        <v>0.87791571834518378</v>
      </c>
      <c r="I154" s="1">
        <v>1022.1584243807174</v>
      </c>
    </row>
    <row r="155" spans="3:9" hidden="1" x14ac:dyDescent="0.35">
      <c r="D155" s="1">
        <v>1213.6983753065635</v>
      </c>
      <c r="E155" s="1">
        <v>856.3415010588692</v>
      </c>
    </row>
    <row r="156" spans="3:9" hidden="1" x14ac:dyDescent="0.35">
      <c r="D156" s="1">
        <v>307.83846829753014</v>
      </c>
      <c r="E156" s="1">
        <v>192.31937324835505</v>
      </c>
      <c r="H156" s="1">
        <v>56.478156130628307</v>
      </c>
      <c r="I156" s="1">
        <v>59.040938918546786</v>
      </c>
    </row>
    <row r="157" spans="3:9" hidden="1" x14ac:dyDescent="0.35"/>
    <row r="158" spans="3:9" hidden="1" x14ac:dyDescent="0.35"/>
  </sheetData>
  <mergeCells count="15">
    <mergeCell ref="A94:N94"/>
    <mergeCell ref="A3:N3"/>
    <mergeCell ref="M6:M8"/>
    <mergeCell ref="N6:N8"/>
    <mergeCell ref="B7:B8"/>
    <mergeCell ref="C7:C8"/>
    <mergeCell ref="D7:D8"/>
    <mergeCell ref="B6:I6"/>
    <mergeCell ref="E7:E8"/>
    <mergeCell ref="H7:H8"/>
    <mergeCell ref="I7:I8"/>
    <mergeCell ref="J6:L6"/>
    <mergeCell ref="J7:J8"/>
    <mergeCell ref="K7:K8"/>
    <mergeCell ref="L7:L8"/>
  </mergeCells>
  <phoneticPr fontId="62" type="noConversion"/>
  <pageMargins left="0.75" right="0.75" top="1" bottom="1" header="0.5" footer="0.5"/>
  <pageSetup scale="42" fitToHeight="3" orientation="portrait" horizontalDpi="4294967292" verticalDpi="4294967292"/>
  <ignoredErrors>
    <ignoredError sqref="B11:B13 B33:B44 B23:B32 B14:B22 C11:C13 C15:C44" emptyCellReference="1"/>
    <ignoredError sqref="C14" formula="1" emptyCellReference="1"/>
    <ignoredError sqref="D91 G91 I45 D45" formula="1"/>
  </ignoredErrors>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2:N97"/>
  <sheetViews>
    <sheetView workbookViewId="0">
      <pane xSplit="1" ySplit="9" topLeftCell="B10" activePane="bottomRight" state="frozen"/>
      <selection activeCell="AR8" sqref="AR8"/>
      <selection pane="topRight" activeCell="AR8" sqref="AR8"/>
      <selection pane="bottomLeft" activeCell="AR8" sqref="AR8"/>
      <selection pane="bottomRight" activeCell="I12" sqref="I12"/>
    </sheetView>
  </sheetViews>
  <sheetFormatPr baseColWidth="10" defaultColWidth="10.81640625" defaultRowHeight="15.5" x14ac:dyDescent="0.35"/>
  <cols>
    <col min="1" max="1" width="16.6328125" style="1" customWidth="1"/>
    <col min="2" max="2" width="12.1796875" style="1" customWidth="1"/>
    <col min="3" max="3" width="11.81640625" style="1" customWidth="1"/>
    <col min="4" max="7" width="11.36328125" style="1" customWidth="1"/>
    <col min="8" max="8" width="11.81640625" style="1" customWidth="1"/>
    <col min="9" max="12" width="11.36328125" style="1" customWidth="1"/>
    <col min="13" max="13" width="12.6328125" style="1" customWidth="1"/>
    <col min="14" max="16384" width="10.81640625" style="1"/>
  </cols>
  <sheetData>
    <row r="2" spans="1:14" ht="11.25" customHeight="1" x14ac:dyDescent="0.35"/>
    <row r="3" spans="1:14" ht="16" thickBot="1" x14ac:dyDescent="0.4"/>
    <row r="4" spans="1:14" ht="32.25" customHeight="1" thickTop="1" x14ac:dyDescent="0.35">
      <c r="A4" s="2048" t="s">
        <v>149</v>
      </c>
      <c r="B4" s="2049"/>
      <c r="C4" s="2049"/>
      <c r="D4" s="2049"/>
      <c r="E4" s="2049"/>
      <c r="F4" s="2049"/>
      <c r="G4" s="2049"/>
      <c r="H4" s="2049"/>
      <c r="I4" s="2049"/>
      <c r="J4" s="2049"/>
      <c r="K4" s="2049"/>
      <c r="L4" s="2049"/>
      <c r="M4" s="2050"/>
    </row>
    <row r="5" spans="1:14" ht="12" customHeight="1" x14ac:dyDescent="0.35">
      <c r="A5" s="11"/>
      <c r="B5" s="879"/>
      <c r="C5" s="879"/>
      <c r="D5" s="879"/>
      <c r="E5" s="879"/>
      <c r="F5" s="879"/>
      <c r="G5" s="879"/>
      <c r="H5" s="879"/>
      <c r="I5" s="879"/>
      <c r="J5" s="879"/>
      <c r="K5" s="879"/>
      <c r="L5" s="879"/>
      <c r="M5" s="12"/>
    </row>
    <row r="6" spans="1:14" ht="16" thickBot="1" x14ac:dyDescent="0.4">
      <c r="A6" s="13"/>
      <c r="B6" s="10" t="s">
        <v>20</v>
      </c>
      <c r="C6" s="10" t="s">
        <v>21</v>
      </c>
      <c r="D6" s="10" t="s">
        <v>22</v>
      </c>
      <c r="E6" s="10" t="s">
        <v>23</v>
      </c>
      <c r="F6" s="10" t="s">
        <v>24</v>
      </c>
      <c r="G6" s="10" t="s">
        <v>25</v>
      </c>
      <c r="H6" s="10" t="s">
        <v>26</v>
      </c>
      <c r="I6" s="10" t="s">
        <v>33</v>
      </c>
      <c r="J6" s="10" t="s">
        <v>34</v>
      </c>
      <c r="K6" s="10" t="s">
        <v>37</v>
      </c>
      <c r="L6" s="10" t="s">
        <v>105</v>
      </c>
      <c r="M6" s="14" t="s">
        <v>138</v>
      </c>
    </row>
    <row r="7" spans="1:14" ht="21" customHeight="1" x14ac:dyDescent="0.35">
      <c r="A7" s="13"/>
      <c r="B7" s="2127" t="s">
        <v>53</v>
      </c>
      <c r="C7" s="2325"/>
      <c r="D7" s="2325"/>
      <c r="E7" s="2325"/>
      <c r="F7" s="2325"/>
      <c r="G7" s="2325"/>
      <c r="H7" s="2325"/>
      <c r="I7" s="2325"/>
      <c r="J7" s="2325"/>
      <c r="K7" s="2325"/>
      <c r="L7" s="2325"/>
      <c r="M7" s="2312"/>
    </row>
    <row r="8" spans="1:14" ht="85" customHeight="1" x14ac:dyDescent="0.35">
      <c r="A8" s="13"/>
      <c r="B8" s="2182" t="s">
        <v>49</v>
      </c>
      <c r="C8" s="2152" t="s">
        <v>7</v>
      </c>
      <c r="D8" s="875" t="s">
        <v>50</v>
      </c>
      <c r="E8" s="876" t="s">
        <v>106</v>
      </c>
      <c r="F8" s="874" t="s">
        <v>91</v>
      </c>
      <c r="G8" s="874" t="s">
        <v>146</v>
      </c>
      <c r="H8" s="2152" t="s">
        <v>46</v>
      </c>
      <c r="I8" s="875" t="s">
        <v>50</v>
      </c>
      <c r="J8" s="876" t="s">
        <v>106</v>
      </c>
      <c r="K8" s="874" t="s">
        <v>91</v>
      </c>
      <c r="L8" s="877" t="s">
        <v>146</v>
      </c>
      <c r="M8" s="2318" t="s">
        <v>51</v>
      </c>
      <c r="N8" s="26"/>
    </row>
    <row r="9" spans="1:14" ht="33" customHeight="1" x14ac:dyDescent="0.35">
      <c r="A9" s="13"/>
      <c r="B9" s="2130"/>
      <c r="C9" s="2153"/>
      <c r="D9" s="878"/>
      <c r="E9" s="878"/>
      <c r="F9" s="878"/>
      <c r="G9" s="878"/>
      <c r="H9" s="2153"/>
      <c r="I9" s="878"/>
      <c r="J9" s="878"/>
      <c r="K9" s="878"/>
      <c r="L9" s="401"/>
      <c r="M9" s="2224"/>
      <c r="N9" s="26"/>
    </row>
    <row r="10" spans="1:14" ht="14.25" customHeight="1" x14ac:dyDescent="0.35">
      <c r="A10" s="71" t="s">
        <v>54</v>
      </c>
      <c r="B10" s="76">
        <f>+VLOOKUP($A10,[3]Allincome!$A$12:$I$46,7,0)/1000</f>
        <v>24.475167180103998</v>
      </c>
      <c r="C10" s="72">
        <f>+VLOOKUP($A10,[3]Div!$A$12:$I$46,7,0)/1000</f>
        <v>8.7910436546697994</v>
      </c>
      <c r="D10" s="73">
        <f>C10</f>
        <v>8.7910436546697994</v>
      </c>
      <c r="E10" s="73">
        <v>0</v>
      </c>
      <c r="F10" s="73">
        <v>0</v>
      </c>
      <c r="G10" s="73">
        <v>0</v>
      </c>
      <c r="H10" s="72">
        <f>+VLOOKUP($A10,[3]Int!$A$12:$I$46,7,0)/1000</f>
        <v>4.5856187542265001</v>
      </c>
      <c r="I10" s="73">
        <f>+VLOOKUP($A10,'[3]Int(PA)'!$A$12:$I$46,7,0)/1000</f>
        <v>3.9086332556915999</v>
      </c>
      <c r="J10" s="73">
        <f>+VLOOKUP($A10,'[3]Int(AP)'!$A$12:$I$46,7,0)/1000</f>
        <v>0.12021940040574</v>
      </c>
      <c r="K10" s="73">
        <f>($H10-$I10-$J10)*0.7</f>
        <v>0.38973626869041211</v>
      </c>
      <c r="L10" s="74">
        <f>H10-I10-J10-K10</f>
        <v>0.16702982943874811</v>
      </c>
      <c r="M10" s="924">
        <f>TableB2!F10</f>
        <v>11.103764369975</v>
      </c>
      <c r="N10" s="26"/>
    </row>
    <row r="11" spans="1:14" ht="14.25" customHeight="1" x14ac:dyDescent="0.35">
      <c r="A11" s="13" t="s">
        <v>55</v>
      </c>
      <c r="B11" s="297">
        <f>+VLOOKUP($A11,[3]Allincome!$A$12:$I$46,7,0)/1000</f>
        <v>1.7981142540210999</v>
      </c>
      <c r="C11" s="308">
        <f>+VLOOKUP($A11,[3]Div!$A$12:$I$46,7,0)/1000</f>
        <v>8.8086522462561998</v>
      </c>
      <c r="D11" s="46">
        <f>+VLOOKUP($A11,'[3]Div(PA)'!$A$12:$I$46,7,0)/1000</f>
        <v>8.8086522462561998</v>
      </c>
      <c r="E11" s="46">
        <f>+VLOOKUP($A11,'[3]Div(AP)'!$A$12:$I$46,7,0)/1000</f>
        <v>0</v>
      </c>
      <c r="F11" s="46">
        <f>+VLOOKUP($A11,'[3]Div(FellowResUCP)'!$A$12:$I$46,7,0)/1000</f>
        <v>0</v>
      </c>
      <c r="G11" s="46">
        <f>+VLOOKUP($A11,'[3]Div(FellowForeignUCP)'!$A$12:$I$46,7,0)/1000</f>
        <v>0</v>
      </c>
      <c r="H11" s="308">
        <f>+VLOOKUP($A11,[3]Int!$A$12:$I$46,7,0)/1000</f>
        <v>1.7570715474210001</v>
      </c>
      <c r="I11" s="46">
        <f>+VLOOKUP($A11,'[3]Int(PA)'!$A$12:$I$46,7,0)/1000</f>
        <v>0.93288962839711997</v>
      </c>
      <c r="J11" s="46">
        <f>+VLOOKUP($A11,'[3]Int(AP)'!$A$12:$I$46,7,0)/1000</f>
        <v>0.45812534664447996</v>
      </c>
      <c r="K11" s="46">
        <f>+VLOOKUP($A11,'[3]Int(FellowResUCP)'!$A$12:$I$46,7,0)/1000</f>
        <v>6.1009428729894996E-2</v>
      </c>
      <c r="L11" s="402">
        <f>+VLOOKUP($A11,'[3]Int(FellowForeignUCP)'!$A$12:$I$46,7,0)/1000</f>
        <v>0.30504714364947</v>
      </c>
      <c r="M11" s="925">
        <f>TableB2!F11</f>
        <v>-8.7676095396560996</v>
      </c>
      <c r="N11" s="26"/>
    </row>
    <row r="12" spans="1:14" ht="14.25" customHeight="1" x14ac:dyDescent="0.35">
      <c r="A12" s="13" t="s">
        <v>2</v>
      </c>
      <c r="B12" s="297">
        <f>+VLOOKUP($A12,[3]Allincome!$A$12:$I$46,7,0)/1000</f>
        <v>29.690515806988003</v>
      </c>
      <c r="C12" s="308">
        <f>+VLOOKUP($A12,[3]Div!$A$12:$I$46,7,0)/1000</f>
        <v>25.384359400998001</v>
      </c>
      <c r="D12" s="46">
        <f>+VLOOKUP($A12,'[3]Div(PA)'!$A$12:$I$46,7,0)/1000</f>
        <v>25.230171935662998</v>
      </c>
      <c r="E12" s="46">
        <f>+VLOOKUP($A12,'[3]Div(AP)'!$A$12:$I$46,7,0)/1000</f>
        <v>0</v>
      </c>
      <c r="F12" s="46">
        <f>+VLOOKUP($A12,'[3]Div(FellowResUCP)'!$A$12:$I$46,7,0)/1000</f>
        <v>1.885745978924E-2</v>
      </c>
      <c r="G12" s="46">
        <f>+VLOOKUP($A12,'[3]Div(FellowForeignUCP)'!$A$12:$I$46,7,0)/1000</f>
        <v>0.13754853022739999</v>
      </c>
      <c r="H12" s="308">
        <f>+VLOOKUP($A12,[3]Int!$A$12:$I$46,7,0)/1000</f>
        <v>5.1148086522462997</v>
      </c>
      <c r="I12" s="46">
        <f>+VLOOKUP($A12,'[3]Int(PA)'!$A$12:$I$46,7,0)/1000</f>
        <v>2.6777592900721001</v>
      </c>
      <c r="J12" s="46">
        <f>+VLOOKUP($A12,'[3]Int(AP)'!$A$12:$I$46,7,0)/1000</f>
        <v>0.33388796450361002</v>
      </c>
      <c r="K12" s="46">
        <f>+VLOOKUP($A12,'[3]Int(FellowResUCP)'!$A$12:$I$46,7,0)/1000</f>
        <v>0.47476428175262997</v>
      </c>
      <c r="L12" s="402">
        <f>+VLOOKUP($A12,'[3]Int(FellowForeignUCP)'!$A$12:$I$46,7,0)/1000</f>
        <v>1.6283971159179</v>
      </c>
      <c r="M12" s="925">
        <f>TableB2!F12</f>
        <v>-0.80865224625623999</v>
      </c>
      <c r="N12" s="26"/>
    </row>
    <row r="13" spans="1:14" ht="14.25" customHeight="1" x14ac:dyDescent="0.35">
      <c r="A13" s="13" t="s">
        <v>56</v>
      </c>
      <c r="B13" s="297"/>
      <c r="C13" s="308"/>
      <c r="D13" s="46"/>
      <c r="E13" s="46"/>
      <c r="F13" s="46"/>
      <c r="G13" s="46"/>
      <c r="H13" s="308"/>
      <c r="I13" s="46"/>
      <c r="J13" s="46"/>
      <c r="K13" s="46"/>
      <c r="L13" s="402"/>
      <c r="M13" s="925">
        <f>TableB2!F13</f>
        <v>13.377923805054001</v>
      </c>
      <c r="N13" s="26"/>
    </row>
    <row r="14" spans="1:14" ht="14.25" customHeight="1" x14ac:dyDescent="0.35">
      <c r="A14" s="13" t="s">
        <v>57</v>
      </c>
      <c r="B14" s="297">
        <f>+VLOOKUP($A14,[3]Allincome!$A$12:$I$46,7,0)/1000</f>
        <v>10.311207324123</v>
      </c>
      <c r="C14" s="308">
        <f>+VLOOKUP($A14,[3]Div!$A$12:$I$46,7,0)/1000</f>
        <v>4.5849523142074</v>
      </c>
      <c r="D14" s="46">
        <f>+VLOOKUP($A14,'[3]Div(PA)'!$A$12:$I$46,7,0)/1000</f>
        <v>4.5837248192016</v>
      </c>
      <c r="E14" s="46">
        <f>+VLOOKUP($A14,'[3]Div(AP)'!$A$12:$I$46,7,0)/1000</f>
        <v>1.7452175256999998E-7</v>
      </c>
      <c r="F14" s="46">
        <v>0</v>
      </c>
      <c r="G14" s="46">
        <v>0</v>
      </c>
      <c r="H14" s="308">
        <f>+VLOOKUP($A14,[3]Int!$A$12:$I$46,7,0)/1000</f>
        <v>2.0460496507304997</v>
      </c>
      <c r="I14" s="46">
        <f>+VLOOKUP($A14,'[3]Int(PA)'!$A$12:$I$46,7,0)/1000</f>
        <v>1.5643684203411001</v>
      </c>
      <c r="J14" s="46">
        <f>+VLOOKUP($A14,'[3]Int(AP)'!$A$12:$I$46,7,0)/1000</f>
        <v>1.8131840061226999E-2</v>
      </c>
      <c r="K14" s="46">
        <v>0</v>
      </c>
      <c r="L14" s="402">
        <f>H14-I14-J14-K14</f>
        <v>0.46354939032817261</v>
      </c>
      <c r="M14" s="925">
        <f>TableB2!F14</f>
        <v>3.6802053591849999</v>
      </c>
      <c r="N14" s="26"/>
    </row>
    <row r="15" spans="1:14" ht="14.25" customHeight="1" x14ac:dyDescent="0.35">
      <c r="A15" s="13" t="s">
        <v>58</v>
      </c>
      <c r="B15" s="297">
        <f>+VLOOKUP($A15,[3]Allincome!$A$12:$I$46,7,0)/1000</f>
        <v>14.590330581873001</v>
      </c>
      <c r="C15" s="308">
        <f>+VLOOKUP($A15,[3]Div!$A$12:$I$46,7,0)/1000</f>
        <v>10.907534664335</v>
      </c>
      <c r="D15" s="46">
        <f>+VLOOKUP($A15,'[3]Div(PA)'!$A$12:$I$46,7,0)/1000</f>
        <v>10.907534664335</v>
      </c>
      <c r="E15" s="46">
        <f>+VLOOKUP($A15,'[3]Div(AP)'!$A$12:$I$46,7,0)/1000</f>
        <v>0</v>
      </c>
      <c r="F15" s="46">
        <f>+VLOOKUP($A15,'[3]Div(FellowResUCP)'!$A$12:$I$46,7,0)/1000</f>
        <v>0</v>
      </c>
      <c r="G15" s="46">
        <f>+VLOOKUP($A15,'[3]Div(FellowForeignUCP)'!$A$12:$I$46,7,0)/1000</f>
        <v>0</v>
      </c>
      <c r="H15" s="308">
        <f>+VLOOKUP($A15,[3]Int!$A$12:$I$46,7,0)/1000</f>
        <v>0.59561663888097993</v>
      </c>
      <c r="I15" s="46">
        <f>+VLOOKUP($A15,'[3]Int(PA)'!$A$12:$I$46,7,0)/1000</f>
        <v>0.43849875980969999</v>
      </c>
      <c r="J15" s="46">
        <f>+VLOOKUP($A15,'[3]Int(AP)'!$A$12:$I$46,7,0)/1000</f>
        <v>4.8794372382385005E-3</v>
      </c>
      <c r="K15" s="46">
        <f>+VLOOKUP($A15,'[3]Int(FellowResUCP)'!$A$12:$I$46,7,0)/1000</f>
        <v>1.6264790794127998E-3</v>
      </c>
      <c r="L15" s="402">
        <f>+VLOOKUP($A15,'[3]Int(FellowForeignUCP)'!$A$12:$I$46,7,0)/1000</f>
        <v>0.15077461066157</v>
      </c>
      <c r="M15" s="925">
        <f>TableB2!F15</f>
        <v>3.0872606026104998</v>
      </c>
      <c r="N15" s="26"/>
    </row>
    <row r="16" spans="1:14" ht="14.25" customHeight="1" x14ac:dyDescent="0.35">
      <c r="A16" s="13" t="s">
        <v>59</v>
      </c>
      <c r="B16" s="297">
        <f>+VLOOKUP($A16,[3]Allincome!$A$12:$I$46,7,0)/1000</f>
        <v>5.5642787046124003</v>
      </c>
      <c r="C16" s="308">
        <f>+VLOOKUP($A16,[3]Div!$A$12:$I$46,7,0)/1000</f>
        <v>5.2588693609302002</v>
      </c>
      <c r="D16" s="46">
        <f>+VLOOKUP($A16,'[3]Div(PA)'!$A$12:$I$46,7,0)/1000</f>
        <v>5.2588693609302002</v>
      </c>
      <c r="E16" s="46">
        <f>+VLOOKUP($A16,'[3]Div(AP)'!$A$12:$I$46,7,0)/1000</f>
        <v>0</v>
      </c>
      <c r="F16" s="46">
        <f>+VLOOKUP($A16,'[3]Div(FellowResUCP)'!$A$12:$I$46,7,0)/1000</f>
        <v>0</v>
      </c>
      <c r="G16" s="46">
        <f>+VLOOKUP($A16,'[3]Div(FellowForeignUCP)'!$A$12:$I$46,7,0)/1000</f>
        <v>0</v>
      </c>
      <c r="H16" s="308">
        <f>+VLOOKUP($A16,[3]Int!$A$12:$I$46,7,0)/1000</f>
        <v>0.52576798406043002</v>
      </c>
      <c r="I16" s="46">
        <f>+VLOOKUP($A16,'[3]Int(PA)'!$A$12:$I$46,7,0)/1000</f>
        <v>0.30972135486364999</v>
      </c>
      <c r="J16" s="46">
        <f>+VLOOKUP($A16,'[3]Int(AP)'!$A$12:$I$46,7,0)/1000</f>
        <v>0.18080708954114</v>
      </c>
      <c r="K16" s="46">
        <f>+VLOOKUP($A16,'[3]Int(FellowResUCP)'!$A$12:$I$46,7,0)/1000</f>
        <v>0</v>
      </c>
      <c r="L16" s="402">
        <f>+VLOOKUP($A16,'[3]Int(FellowForeignUCP)'!$A$12:$I$46,7,0)/1000</f>
        <v>3.5239539655633999E-2</v>
      </c>
      <c r="M16" s="925">
        <f>TableB2!F16</f>
        <v>-0.22065602045975002</v>
      </c>
      <c r="N16" s="26"/>
    </row>
    <row r="17" spans="1:14" ht="14.25" customHeight="1" x14ac:dyDescent="0.35">
      <c r="A17" s="13" t="s">
        <v>60</v>
      </c>
      <c r="B17" s="297">
        <f>+VLOOKUP($A17,[3]Allincome!$A$12:$I$46,7,0)/1000</f>
        <v>1.3545235718247</v>
      </c>
      <c r="C17" s="308">
        <f>+VLOOKUP($A17,[3]Div!$A$12:$I$46,7,0)/1000</f>
        <v>0.72318469217970005</v>
      </c>
      <c r="D17" s="46">
        <f>+VLOOKUP($A17,'[3]Div(PA)'!$A$12:$I$46,7,0)/1000</f>
        <v>0.72318469217970005</v>
      </c>
      <c r="E17" s="46">
        <f>+VLOOKUP($A17,'[3]Div(AP)'!$A$12:$I$46,7,0)/1000</f>
        <v>0</v>
      </c>
      <c r="F17" s="46">
        <f>+VLOOKUP($A17,'[3]Div(FellowResUCP)'!$A$12:$I$46,7,0)/1000</f>
        <v>0</v>
      </c>
      <c r="G17" s="46">
        <f>+VLOOKUP($A17,'[3]Div(FellowForeignUCP)'!$A$12:$I$46,7,0)/1000</f>
        <v>0</v>
      </c>
      <c r="H17" s="308">
        <f>+VLOOKUP($A17,[3]Int!$A$12:$I$46,7,0)/1000</f>
        <v>4.7377703826954998E-2</v>
      </c>
      <c r="I17" s="46">
        <f>+VLOOKUP($A17,'[3]Int(PA)'!$A$12:$I$46,7,0)/1000</f>
        <v>4.1320022185246996E-2</v>
      </c>
      <c r="J17" s="46">
        <f>+VLOOKUP($A17,'[3]Int(AP)'!$A$12:$I$46,7,0)/1000</f>
        <v>2.1663893510815001E-3</v>
      </c>
      <c r="K17" s="46">
        <f>+VLOOKUP($A17,'[3]Int(FellowResUCP)'!$A$12:$I$46,7,0)/1000</f>
        <v>1.2756516916251001E-4</v>
      </c>
      <c r="L17" s="402">
        <f>+VLOOKUP($A17,'[3]Int(FellowForeignUCP)'!$A$12:$I$46,7,0)/1000</f>
        <v>3.7626178591236999E-3</v>
      </c>
      <c r="M17" s="925">
        <f>TableB2!F17</f>
        <v>0.58396228508042003</v>
      </c>
      <c r="N17" s="26"/>
    </row>
    <row r="18" spans="1:14" ht="14.25" customHeight="1" x14ac:dyDescent="0.35">
      <c r="A18" s="13" t="s">
        <v>61</v>
      </c>
      <c r="B18" s="297">
        <f>+VLOOKUP($A18,[3]Allincome!$A$12:$I$46,7,0)/1000</f>
        <v>4.4248474764281998</v>
      </c>
      <c r="C18" s="308">
        <f>+VLOOKUP($A18,[3]Div!$A$12:$I$46,7,0)/1000</f>
        <v>5.4220743205768001</v>
      </c>
      <c r="D18" s="46">
        <f>C18</f>
        <v>5.4220743205768001</v>
      </c>
      <c r="E18" s="46">
        <f>+VLOOKUP($A18,'[3]Div(AP)'!$A$12:$I$46,7,0)/1000</f>
        <v>0</v>
      </c>
      <c r="F18" s="46">
        <f>+VLOOKUP($A18,'[3]Div(FellowResUCP)'!$A$12:$I$46,7,0)/1000</f>
        <v>0</v>
      </c>
      <c r="G18" s="46">
        <f>+VLOOKUP($A18,'[3]Div(FellowForeignUCP)'!$A$12:$I$46,7,0)/1000</f>
        <v>0</v>
      </c>
      <c r="H18" s="308">
        <f>+VLOOKUP($A18,[3]Int!$A$12:$I$46,7,0)/1000</f>
        <v>1.0316139767054999</v>
      </c>
      <c r="I18" s="46"/>
      <c r="J18" s="46"/>
      <c r="K18" s="46"/>
      <c r="L18" s="402"/>
      <c r="M18" s="925">
        <f>TableB2!F18</f>
        <v>-2.0288408208541</v>
      </c>
      <c r="N18" s="26"/>
    </row>
    <row r="19" spans="1:14" ht="14.25" customHeight="1" x14ac:dyDescent="0.35">
      <c r="A19" s="13" t="s">
        <v>48</v>
      </c>
      <c r="B19" s="297">
        <f>+VLOOKUP($A19,[3]Allincome!$A$12:$I$46,7,0)/1000</f>
        <v>29.414050289440002</v>
      </c>
      <c r="C19" s="308">
        <f>+VLOOKUP($A19,[3]Div!$A$12:$I$46,7,0)/1000</f>
        <v>15.593480865224999</v>
      </c>
      <c r="D19" s="46">
        <f>+VLOOKUP($A19,'[3]Div(PA)'!$A$12:$I$46,7,0)/1000</f>
        <v>15.593480865224999</v>
      </c>
      <c r="E19" s="46">
        <f>+VLOOKUP($A19,'[3]Div(AP)'!$A$12:$I$46,7,0)/1000</f>
        <v>0</v>
      </c>
      <c r="F19" s="46">
        <f>+VLOOKUP($A19,'[3]Div(FellowResUCP)'!$A$12:$I$46,7,0)/1000</f>
        <v>0</v>
      </c>
      <c r="G19" s="46">
        <f>+VLOOKUP($A19,'[3]Div(FellowForeignUCP)'!$A$12:$I$46,7,0)/1000</f>
        <v>0</v>
      </c>
      <c r="H19" s="308">
        <f>+VLOOKUP($A19,[3]Int!$A$12:$I$46,7,0)/1000</f>
        <v>6.2594013709707994</v>
      </c>
      <c r="I19" s="46">
        <f>+VLOOKUP($A19,'[3]Int(PA)'!$A$12:$I$46,7,0)/1000</f>
        <v>1.8825373510127998</v>
      </c>
      <c r="J19" s="46">
        <f>+VLOOKUP($A19,'[3]Int(AP)'!$A$12:$I$46,7,0)/1000</f>
        <v>0.81285110396101001</v>
      </c>
      <c r="K19" s="46">
        <f>+VLOOKUP($A19,'[3]Int(FellowResUCP)'!$A$12:$I$46,7,0)/1000</f>
        <v>1.2851262248872</v>
      </c>
      <c r="L19" s="402">
        <f>+VLOOKUP($A19,'[3]Int(FellowForeignUCP)'!$A$12:$I$46,7,0)/1000</f>
        <v>2.2788866911098</v>
      </c>
      <c r="M19" s="925">
        <f>TableB2!F19</f>
        <v>7.5611680532446002</v>
      </c>
      <c r="N19" s="26"/>
    </row>
    <row r="20" spans="1:14" ht="14.25" customHeight="1" x14ac:dyDescent="0.35">
      <c r="A20" s="13" t="s">
        <v>62</v>
      </c>
      <c r="B20" s="297">
        <f>+VLOOKUP($A20,[3]Allincome!$A$12:$I$46,7,0)/1000</f>
        <v>43.616195230172004</v>
      </c>
      <c r="C20" s="308">
        <f>+VLOOKUP($A20,[3]Div!$A$12:$I$46,7,0)/1000</f>
        <v>21.960066555739999</v>
      </c>
      <c r="D20" s="46">
        <f>+VLOOKUP($A20,'[3]Div(PA)'!$A$12:$I$46,7,0)/1000</f>
        <v>21.960066555739999</v>
      </c>
      <c r="E20" s="46">
        <f>+VLOOKUP($A20,'[3]Div(AP)'!$A$12:$I$46,7,0)/1000</f>
        <v>0</v>
      </c>
      <c r="F20" s="46">
        <f>+VLOOKUP($A20,'[3]Div(FellowResUCP)'!$A$12:$I$46,7,0)/1000</f>
        <v>0</v>
      </c>
      <c r="G20" s="46">
        <f>+VLOOKUP($A20,'[3]Div(FellowForeignUCP)'!$A$12:$I$46,7,0)/1000</f>
        <v>0</v>
      </c>
      <c r="H20" s="308">
        <f>+VLOOKUP($A20,[3]Int!$A$12:$I$46,7,0)/1000</f>
        <v>16.804215196894003</v>
      </c>
      <c r="I20" s="46">
        <f>+VLOOKUP($A20,'[3]Int(PA)'!$A$12:$I$46,7,0)/1000</f>
        <v>4.6511369938991001</v>
      </c>
      <c r="J20" s="46">
        <f>+VLOOKUP($A20,'[3]Int(AP)'!$A$12:$I$46,7,0)/1000</f>
        <v>7.9556295063783002</v>
      </c>
      <c r="K20" s="46">
        <f>+VLOOKUP($A20,'[3]Int(FellowResUCP)'!$A$12:$I$46,7,0)/1000</f>
        <v>0.81198003327787005</v>
      </c>
      <c r="L20" s="402">
        <f>+VLOOKUP($A20,'[3]Int(FellowForeignUCP)'!$A$12:$I$46,7,0)/1000</f>
        <v>3.3843594009982998</v>
      </c>
      <c r="M20" s="925">
        <f>TableB2!F20</f>
        <v>4.8530227398779999</v>
      </c>
      <c r="N20" s="26"/>
    </row>
    <row r="21" spans="1:14" ht="14.25" customHeight="1" x14ac:dyDescent="0.35">
      <c r="A21" s="13" t="s">
        <v>63</v>
      </c>
      <c r="B21" s="297">
        <f>+VLOOKUP($A21,[3]Allincome!$A$12:$I$46,7,0)/1000</f>
        <v>1.1568235296728</v>
      </c>
      <c r="C21" s="308">
        <f>+VLOOKUP($A21,[3]Div!$A$12:$I$46,7,0)/1000</f>
        <v>0.62594856905157992</v>
      </c>
      <c r="D21" s="46">
        <f>+VLOOKUP($A21,'[3]Div(PA)'!$A$12:$I$46,7,0)/1000</f>
        <v>0.62594856905157992</v>
      </c>
      <c r="E21" s="46">
        <f>+VLOOKUP($A21,'[3]Div(AP)'!$A$12:$I$46,7,0)/1000</f>
        <v>0</v>
      </c>
      <c r="F21" s="46">
        <f>+VLOOKUP($A21,'[3]Div(FellowResUCP)'!$A$12:$I$46,7,0)/1000</f>
        <v>0</v>
      </c>
      <c r="G21" s="46">
        <f>+VLOOKUP($A21,'[3]Div(FellowForeignUCP)'!$A$12:$I$46,7,0)/1000</f>
        <v>0</v>
      </c>
      <c r="H21" s="308">
        <f>+VLOOKUP($A21,[3]Int!$A$12:$I$46,7,0)/1000</f>
        <v>6.4186108707708994E-2</v>
      </c>
      <c r="I21" s="46">
        <f>+VLOOKUP($A21,'[3]Int(PA)'!$A$12:$I$46,7,0)/1000</f>
        <v>6.4186108707708994E-2</v>
      </c>
      <c r="J21" s="46">
        <f>+VLOOKUP($A21,'[3]Int(AP)'!$A$12:$I$46,7,0)/1000</f>
        <v>0</v>
      </c>
      <c r="K21" s="46">
        <f>+VLOOKUP($A21,'[3]Int(FellowResUCP)'!$A$12:$I$46,7,0)/1000</f>
        <v>0</v>
      </c>
      <c r="L21" s="402">
        <f>+VLOOKUP($A21,'[3]Int(FellowForeignUCP)'!$A$12:$I$46,7,0)/1000</f>
        <v>0</v>
      </c>
      <c r="M21" s="925">
        <f>TableB2!F21</f>
        <v>0.46668885191347997</v>
      </c>
      <c r="N21" s="26"/>
    </row>
    <row r="22" spans="1:14" ht="14.25" customHeight="1" x14ac:dyDescent="0.35">
      <c r="A22" s="13" t="s">
        <v>64</v>
      </c>
      <c r="B22" s="297">
        <f>+VLOOKUP($A22,[3]Allincome!$A$12:$I$46,7,0)/1000</f>
        <v>13.056997127444999</v>
      </c>
      <c r="C22" s="308">
        <f>+VLOOKUP($A22,[3]Div!$A$12:$I$46,7,0)/1000</f>
        <v>6.0308644132753999</v>
      </c>
      <c r="D22" s="46">
        <f>+VLOOKUP($A22,'[3]Div(PA)'!$A$12:$I$46,7,0)/1000</f>
        <v>6.0226260521357995</v>
      </c>
      <c r="E22" s="46">
        <f>+VLOOKUP($A22,'[3]Div(AP)'!$A$12:$I$46,7,0)/1000</f>
        <v>0</v>
      </c>
      <c r="F22" s="46">
        <f>+VLOOKUP($A22,'[3]Div(FellowResUCP)'!$A$12:$I$46,7,0)/1000</f>
        <v>0</v>
      </c>
      <c r="G22" s="46">
        <f>+VLOOKUP($A22,'[3]Div(FellowForeignUCP)'!$A$12:$I$46,7,0)/1000</f>
        <v>8.2383611395660007E-3</v>
      </c>
      <c r="H22" s="308">
        <f>+VLOOKUP($A22,[3]Int!$A$12:$I$46,7,0)/1000</f>
        <v>1.3269259618759999</v>
      </c>
      <c r="I22" s="46">
        <f>+VLOOKUP($A22,'[3]Int(PA)'!$A$12:$I$46,7,0)/1000</f>
        <v>0.77238577118419005</v>
      </c>
      <c r="J22" s="46">
        <f>+VLOOKUP($A22,'[3]Int(AP)'!$A$12:$I$46,7,0)/1000</f>
        <v>0.16163285743962999</v>
      </c>
      <c r="K22" s="46">
        <f>+VLOOKUP($A22,'[3]Int(FellowResUCP)'!$A$12:$I$46,7,0)/1000</f>
        <v>2.6658341511637002E-2</v>
      </c>
      <c r="L22" s="402">
        <f>+VLOOKUP($A22,'[3]Int(FellowForeignUCP)'!$A$12:$I$46,7,0)/1000</f>
        <v>0.36624899174051001</v>
      </c>
      <c r="M22" s="925">
        <f>TableB2!F22</f>
        <v>5.6992067487124007</v>
      </c>
      <c r="N22" s="26"/>
    </row>
    <row r="23" spans="1:14" ht="14.25" customHeight="1" x14ac:dyDescent="0.35">
      <c r="A23" s="13" t="s">
        <v>65</v>
      </c>
      <c r="B23" s="297">
        <f>+VLOOKUP($A23,[3]Allincome!$A$12:$I$46,7,0)/1000</f>
        <v>0.23185674178387</v>
      </c>
      <c r="C23" s="308">
        <f>+VLOOKUP($A23,[3]Div!$A$12:$I$46,7,0)/1000</f>
        <v>2.2275108968346998E-2</v>
      </c>
      <c r="D23" s="46">
        <f>+VLOOKUP($A23,'[3]Div(PA)'!$A$12:$I$46,7,0)/1000</f>
        <v>2.2275108968346998E-2</v>
      </c>
      <c r="E23" s="46">
        <f>+VLOOKUP($A23,'[3]Div(AP)'!$A$12:$I$46,7,0)/1000</f>
        <v>0</v>
      </c>
      <c r="F23" s="46">
        <f>+VLOOKUP($A23,'[3]Div(FellowResUCP)'!$A$12:$I$46,7,0)/1000</f>
        <v>0</v>
      </c>
      <c r="G23" s="46">
        <f>+VLOOKUP($A23,'[3]Div(FellowForeignUCP)'!$A$12:$I$46,7,0)/1000</f>
        <v>0</v>
      </c>
      <c r="H23" s="308">
        <f>+VLOOKUP($A23,[3]Int!$A$12:$I$46,7,0)/1000</f>
        <v>0.3024122775427</v>
      </c>
      <c r="I23" s="46">
        <f>+VLOOKUP($A23,'[3]Int(PA)'!$A$12:$I$46,7,0)/1000</f>
        <v>0.23883192907143999</v>
      </c>
      <c r="J23" s="46">
        <f>+VLOOKUP($A23,'[3]Int(AP)'!$A$12:$I$46,7,0)/1000</f>
        <v>5.9364909197466998E-3</v>
      </c>
      <c r="K23" s="46">
        <f>+VLOOKUP($A23,'[3]Int(FellowResUCP)'!$A$12:$I$46,7,0)/1000</f>
        <v>1.4860181612648001E-3</v>
      </c>
      <c r="L23" s="402">
        <f>+VLOOKUP($A23,'[3]Int(FellowForeignUCP)'!$A$12:$I$46,7,0)/1000</f>
        <v>5.6157839390246996E-2</v>
      </c>
      <c r="M23" s="925">
        <f>TableB2!F23</f>
        <v>-9.2830644727175005E-2</v>
      </c>
      <c r="N23" s="26"/>
    </row>
    <row r="24" spans="1:14" ht="14.25" customHeight="1" x14ac:dyDescent="0.35">
      <c r="A24" s="13" t="s">
        <v>19</v>
      </c>
      <c r="B24" s="297">
        <f>+VLOOKUP($A24,[3]Allincome!$A$12:$I$46,7,0)/1000</f>
        <v>70.252911813643991</v>
      </c>
      <c r="C24" s="308">
        <f>+VLOOKUP($A24,[3]Div!$A$12:$I$46,7,0)/1000</f>
        <v>17.183582917359999</v>
      </c>
      <c r="D24" s="46">
        <f>+VLOOKUP($A24,'[3]Div(PA)'!$A$12:$I$46,7,0)/1000</f>
        <v>17.183582917359999</v>
      </c>
      <c r="E24" s="46">
        <f>+VLOOKUP($A24,'[3]Div(AP)'!$A$12:$I$46,7,0)/1000</f>
        <v>0</v>
      </c>
      <c r="F24" s="46">
        <v>0</v>
      </c>
      <c r="G24" s="46">
        <v>0</v>
      </c>
      <c r="H24" s="308">
        <f>+VLOOKUP($A24,[3]Int!$A$12:$I$46,7,0)/1000</f>
        <v>6.4814198557958997</v>
      </c>
      <c r="I24" s="46">
        <f>+VLOOKUP($A24,'[3]Int(PA)'!$A$12:$I$46,7,0)/1000</f>
        <v>2.1231281198002998</v>
      </c>
      <c r="J24" s="46">
        <f>+VLOOKUP($A24,'[3]Int(AP)'!$A$12:$I$46,7,0)/1000</f>
        <v>1.1014975041596999</v>
      </c>
      <c r="K24" s="46">
        <v>0.13</v>
      </c>
      <c r="L24" s="402">
        <f>H24-I24-J24-K24</f>
        <v>3.1267942318359001</v>
      </c>
      <c r="M24" s="925">
        <f>TableB2!F24</f>
        <v>46.587909040488</v>
      </c>
      <c r="N24" s="26"/>
    </row>
    <row r="25" spans="1:14" ht="14.25" customHeight="1" x14ac:dyDescent="0.35">
      <c r="A25" s="31" t="s">
        <v>95</v>
      </c>
      <c r="B25" s="297"/>
      <c r="C25" s="308"/>
      <c r="D25" s="46"/>
      <c r="E25" s="46"/>
      <c r="F25" s="46"/>
      <c r="G25" s="46"/>
      <c r="H25" s="308"/>
      <c r="I25" s="46"/>
      <c r="J25" s="46"/>
      <c r="K25" s="46"/>
      <c r="L25" s="402"/>
      <c r="M25" s="925">
        <f>TableB2!F25</f>
        <v>3.7119999999999997</v>
      </c>
      <c r="N25" s="43"/>
    </row>
    <row r="26" spans="1:14" ht="14.25" customHeight="1" x14ac:dyDescent="0.35">
      <c r="A26" s="13" t="s">
        <v>66</v>
      </c>
      <c r="B26" s="297">
        <f>+VLOOKUP($A26,[3]Allincome!$A$12:$I$46,7,0)/1000</f>
        <v>14.82697615086</v>
      </c>
      <c r="C26" s="308">
        <f>+VLOOKUP($A26,[3]Div!$A$12:$I$46,7,0)/1000</f>
        <v>3.4079789240155001</v>
      </c>
      <c r="D26" s="46">
        <f>+VLOOKUP($A26,'[3]Div(PA)'!$A$12:$I$46,7,0)/1000</f>
        <v>3.4079789240155001</v>
      </c>
      <c r="E26" s="46">
        <f>+VLOOKUP($A26,'[3]Div(AP)'!$A$12:$I$46,7,0)/1000</f>
        <v>0</v>
      </c>
      <c r="F26" s="46">
        <f>+VLOOKUP($A26,'[3]Div(FellowResUCP)'!$A$12:$I$46,7,0)/1000</f>
        <v>0</v>
      </c>
      <c r="G26" s="46">
        <f>+VLOOKUP($A26,'[3]Div(FellowForeignUCP)'!$A$12:$I$46,7,0)/1000</f>
        <v>0</v>
      </c>
      <c r="H26" s="308">
        <f>+VLOOKUP($A26,[3]Int!$A$12:$I$46,7,0)/1000</f>
        <v>3.9515052689960997</v>
      </c>
      <c r="I26" s="46">
        <f>+VLOOKUP($A26,'[3]Int(PA)'!$A$12:$I$46,7,0)/1000</f>
        <v>1.3100221852468001</v>
      </c>
      <c r="J26" s="46">
        <f>+VLOOKUP($A26,'[3]Int(AP)'!$A$12:$I$46,7,0)/1000</f>
        <v>1.5885446478091998</v>
      </c>
      <c r="K26" s="46">
        <f>+VLOOKUP($A26,'[3]Int(FellowResUCP)'!$A$12:$I$46,7,0)/1000</f>
        <v>0.25785135884636995</v>
      </c>
      <c r="L26" s="402">
        <f>+VLOOKUP($A26,'[3]Int(FellowForeignUCP)'!$A$12:$I$46,7,0)/1000</f>
        <v>0.79508707709373005</v>
      </c>
      <c r="M26" s="925">
        <f>TableB2!F26</f>
        <v>7.4674919578479999</v>
      </c>
      <c r="N26" s="26"/>
    </row>
    <row r="27" spans="1:14" ht="14.25" customHeight="1" x14ac:dyDescent="0.35">
      <c r="A27" s="13" t="s">
        <v>67</v>
      </c>
      <c r="B27" s="297">
        <f>+VLOOKUP($A27,[3]Allincome!$A$12:$I$46,7,0)/1000</f>
        <v>24.191275703023997</v>
      </c>
      <c r="C27" s="308">
        <f>+VLOOKUP($A27,[3]Div!$A$12:$I$46,7,0)/1000</f>
        <v>12.265056118767999</v>
      </c>
      <c r="D27" s="46">
        <f>C27</f>
        <v>12.265056118767999</v>
      </c>
      <c r="E27" s="46">
        <v>0</v>
      </c>
      <c r="F27" s="46">
        <v>0</v>
      </c>
      <c r="G27" s="46">
        <v>0</v>
      </c>
      <c r="H27" s="308">
        <f>+VLOOKUP($A27,[3]Int!$A$12:$I$46,7,0)/1000</f>
        <v>0.50577551005228993</v>
      </c>
      <c r="I27" s="46">
        <f>H27</f>
        <v>0.50577551005228993</v>
      </c>
      <c r="J27" s="46">
        <v>0</v>
      </c>
      <c r="K27" s="46">
        <v>0</v>
      </c>
      <c r="L27" s="402">
        <v>0</v>
      </c>
      <c r="M27" s="925">
        <f>[3]Retained!$G$28/1000</f>
        <v>11.420444074204001</v>
      </c>
      <c r="N27" s="26"/>
    </row>
    <row r="28" spans="1:14" ht="14.25" customHeight="1" x14ac:dyDescent="0.35">
      <c r="A28" s="13" t="s">
        <v>68</v>
      </c>
      <c r="B28" s="297">
        <f>+VLOOKUP($A28,[3]Allincome!$A$12:$I$46,7,0)/1000</f>
        <v>10.584100000000001</v>
      </c>
      <c r="C28" s="308">
        <f>+VLOOKUP($A28,[3]Div!$A$12:$I$46,7,0)/1000</f>
        <v>8.3502999999999989</v>
      </c>
      <c r="D28" s="46">
        <f>C28</f>
        <v>8.3502999999999989</v>
      </c>
      <c r="E28" s="46">
        <v>0</v>
      </c>
      <c r="F28" s="46">
        <v>0</v>
      </c>
      <c r="G28" s="46">
        <v>0</v>
      </c>
      <c r="H28" s="308">
        <f>+VLOOKUP($A28,[3]Int!$A$12:$I$46,7,0)/1000</f>
        <v>0.22080000000000002</v>
      </c>
      <c r="I28" s="46"/>
      <c r="J28" s="46"/>
      <c r="K28" s="46"/>
      <c r="L28" s="402"/>
      <c r="M28" s="925">
        <f>TableB2!F28</f>
        <v>1.3939033431979</v>
      </c>
      <c r="N28" s="26"/>
    </row>
    <row r="29" spans="1:14" x14ac:dyDescent="0.35">
      <c r="A29" s="13" t="s">
        <v>69</v>
      </c>
      <c r="B29" s="297">
        <f>+VLOOKUP($A29,[3]Allincome!$A$12:$I$46,7,0)/1000</f>
        <v>1.1680532445923</v>
      </c>
      <c r="C29" s="308">
        <f>+VLOOKUP($A29,[3]Div!$A$12:$I$46,7,0)/1000</f>
        <v>0.62229617304493001</v>
      </c>
      <c r="D29" s="46">
        <f>+VLOOKUP($A29,'[3]Div(PA)'!$A$12:$I$46,7,0)/1000</f>
        <v>0.62229617304493001</v>
      </c>
      <c r="E29" s="46">
        <f>+VLOOKUP($A29,'[3]Div(AP)'!$A$12:$I$46,7,0)/1000</f>
        <v>0</v>
      </c>
      <c r="F29" s="46">
        <f>+VLOOKUP($A29,'[3]Div(FellowResUCP)'!$A$12:$I$46,7,0)/1000</f>
        <v>0</v>
      </c>
      <c r="G29" s="46">
        <f>+VLOOKUP($A29,'[3]Div(FellowForeignUCP)'!$A$12:$I$46,7,0)/1000</f>
        <v>0</v>
      </c>
      <c r="H29" s="308">
        <f>+VLOOKUP($A29,[3]Int!$A$12:$I$46,7,0)/1000</f>
        <v>7.0992789794786001E-2</v>
      </c>
      <c r="I29" s="46">
        <f>+VLOOKUP($A29,'[3]Int(PA)'!$A$12:$I$46,7,0)/1000</f>
        <v>4.4370493621742002E-2</v>
      </c>
      <c r="J29" s="46">
        <f>+VLOOKUP($A29,'[3]Int(AP)'!$A$12:$I$46,7,0)/1000</f>
        <v>0</v>
      </c>
      <c r="K29" s="46">
        <f>+VLOOKUP($A29,'[3]Int(FellowResUCP)'!$A$12:$I$46,7,0)/1000</f>
        <v>3.3277870216305997E-3</v>
      </c>
      <c r="L29" s="402">
        <f>+VLOOKUP($A29,'[3]Int(FellowForeignUCP)'!$A$12:$I$46,7,0)/1000</f>
        <v>2.3294509151414001E-2</v>
      </c>
      <c r="M29" s="925">
        <f>TableB2!F29</f>
        <v>0.47587354409318</v>
      </c>
    </row>
    <row r="30" spans="1:14" x14ac:dyDescent="0.35">
      <c r="A30" s="13" t="s">
        <v>70</v>
      </c>
      <c r="B30" s="297">
        <f>+VLOOKUP($A30,[3]Allincome!$A$12:$I$46,7,0)/1000</f>
        <v>108.83749306711</v>
      </c>
      <c r="C30" s="308">
        <f>+VLOOKUP($A30,[3]Div!$A$12:$I$46,7,0)/1000</f>
        <v>59.244592346090002</v>
      </c>
      <c r="D30" s="1722">
        <f>C30</f>
        <v>59.244592346090002</v>
      </c>
      <c r="E30" s="1722">
        <v>0</v>
      </c>
      <c r="F30" s="1722">
        <v>0</v>
      </c>
      <c r="G30" s="1722">
        <v>0</v>
      </c>
      <c r="H30" s="308">
        <f>+VLOOKUP($A30,[3]Int!$A$12:$I$46,7,0)/1000</f>
        <v>41.278979478647003</v>
      </c>
      <c r="I30" s="122"/>
      <c r="J30" s="122"/>
      <c r="K30" s="122"/>
      <c r="L30" s="395"/>
      <c r="M30" s="925">
        <f>TableB2!F30</f>
        <v>8.3139212423738016</v>
      </c>
    </row>
    <row r="31" spans="1:14" x14ac:dyDescent="0.35">
      <c r="A31" s="13" t="s">
        <v>71</v>
      </c>
      <c r="B31" s="297"/>
      <c r="C31" s="308"/>
      <c r="D31" s="46"/>
      <c r="E31" s="46"/>
      <c r="F31" s="46"/>
      <c r="G31" s="46"/>
      <c r="H31" s="308"/>
      <c r="I31" s="46"/>
      <c r="J31" s="46"/>
      <c r="K31" s="46"/>
      <c r="L31" s="402"/>
      <c r="M31" s="925">
        <f>TableB2!F31</f>
        <v>10.738041491899999</v>
      </c>
    </row>
    <row r="32" spans="1:14" x14ac:dyDescent="0.35">
      <c r="A32" s="13" t="s">
        <v>72</v>
      </c>
      <c r="B32" s="297">
        <f>+VLOOKUP($A32,[3]Allincome!$A$12:$I$46,7,0)/1000</f>
        <v>191.09794786466998</v>
      </c>
      <c r="C32" s="308">
        <f>+VLOOKUP($A32,[3]Div!$A$12:$I$46,7,0)/1000</f>
        <v>119.01397670548999</v>
      </c>
      <c r="D32" s="46">
        <f>C32</f>
        <v>119.01397670548999</v>
      </c>
      <c r="E32" s="46">
        <v>0</v>
      </c>
      <c r="F32" s="46">
        <v>0</v>
      </c>
      <c r="G32" s="46">
        <v>0</v>
      </c>
      <c r="H32" s="308">
        <f>+VLOOKUP($A32,[3]Int!$A$12:$I$46,7,0)/1000</f>
        <v>29.928563505269</v>
      </c>
      <c r="I32" s="46"/>
      <c r="J32" s="46"/>
      <c r="K32" s="46"/>
      <c r="L32" s="402"/>
      <c r="M32" s="925">
        <f>TableB2!F32</f>
        <v>42.155296727676003</v>
      </c>
    </row>
    <row r="33" spans="1:13" x14ac:dyDescent="0.35">
      <c r="A33" s="13" t="s">
        <v>73</v>
      </c>
      <c r="B33" s="297">
        <f>+VLOOKUP($A33,[3]Allincome!$A$12:$I$46,7,0)/1000</f>
        <v>6.0932924278342995</v>
      </c>
      <c r="C33" s="308">
        <f>+VLOOKUP($A33,[3]Div!$A$12:$I$46,7,0)/1000</f>
        <v>4.2455724445684</v>
      </c>
      <c r="D33" s="46">
        <f>+VLOOKUP($A33,'[3]Div(PA)'!$A$12:$I$46,7,0)/1000</f>
        <v>4.2455724445684</v>
      </c>
      <c r="E33" s="46">
        <f>+VLOOKUP($A33,'[3]Div(AP)'!$A$12:$I$46,7,0)/1000</f>
        <v>0</v>
      </c>
      <c r="F33" s="46">
        <f>+VLOOKUP($A33,'[3]Div(FellowResUCP)'!$A$12:$I$46,7,0)/1000</f>
        <v>0</v>
      </c>
      <c r="G33" s="46">
        <f>+VLOOKUP($A33,'[3]Div(FellowForeignUCP)'!$A$12:$I$46,7,0)/1000</f>
        <v>0</v>
      </c>
      <c r="H33" s="308">
        <f>+VLOOKUP($A33,[3]Int!$A$12:$I$46,7,0)/1000</f>
        <v>0.84855668665457995</v>
      </c>
      <c r="I33" s="46">
        <f>+VLOOKUP($A33,'[3]Int(PA)'!$A$12:$I$46,7,0)/1000</f>
        <v>0.63450006972528006</v>
      </c>
      <c r="J33" s="46">
        <f>+VLOOKUP($A33,'[3]Int(AP)'!$A$12:$I$46,7,0)/1000</f>
        <v>5.0202203318923E-2</v>
      </c>
      <c r="K33" s="46">
        <f>+VLOOKUP($A33,'[3]Int(FellowResUCP)'!$A$12:$I$46,7,0)/1000</f>
        <v>0</v>
      </c>
      <c r="L33" s="402">
        <f>+VLOOKUP($A33,'[3]Int(FellowForeignUCP)'!$A$12:$I$46,7,0)/1000</f>
        <v>0.16524891925811999</v>
      </c>
      <c r="M33" s="925">
        <f>TableB2!F33</f>
        <v>0.99846604378747994</v>
      </c>
    </row>
    <row r="34" spans="1:13" x14ac:dyDescent="0.35">
      <c r="A34" s="15" t="s">
        <v>74</v>
      </c>
      <c r="B34" s="297">
        <f>+VLOOKUP($A34,[3]Allincome!$A$12:$I$46,7,0)/1000</f>
        <v>9.0377342112769004</v>
      </c>
      <c r="C34" s="308">
        <f>+VLOOKUP($A34,[3]Div!$A$12:$I$46,7,0)/1000</f>
        <v>4.8090968837965002</v>
      </c>
      <c r="D34" s="46">
        <f>C34</f>
        <v>4.8090968837965002</v>
      </c>
      <c r="E34" s="46">
        <f>+VLOOKUP($A34,'[3]Div(AP)'!$A$12:$I$46,7,0)/1000</f>
        <v>0</v>
      </c>
      <c r="F34" s="46">
        <v>0</v>
      </c>
      <c r="G34" s="46">
        <v>0</v>
      </c>
      <c r="H34" s="308">
        <f>+VLOOKUP($A34,[3]Int!$A$12:$I$46,7,0)/1000</f>
        <v>3.6378854953312998</v>
      </c>
      <c r="I34" s="46">
        <f>+VLOOKUP($A34,'[3]Int(PA)'!$A$12:$I$46,7,0)/1000</f>
        <v>3.6378854953312998</v>
      </c>
      <c r="J34" s="46">
        <f>+VLOOKUP($A34,'[3]Int(AP)'!$A$12:$I$46,7,0)/1000</f>
        <v>0</v>
      </c>
      <c r="K34" s="46">
        <f>($H34-$I34-$J34)*0.25</f>
        <v>0</v>
      </c>
      <c r="L34" s="402">
        <f>($H34-$I34-$J34)*0.75</f>
        <v>0</v>
      </c>
      <c r="M34" s="925">
        <f>TableB2!F34</f>
        <v>-1.3215034162916</v>
      </c>
    </row>
    <row r="35" spans="1:13" x14ac:dyDescent="0.35">
      <c r="A35" s="13" t="s">
        <v>75</v>
      </c>
      <c r="B35" s="297">
        <f>+VLOOKUP($A35,[3]Allincome!$A$12:$I$46,7,0)/1000</f>
        <v>18.797649992042999</v>
      </c>
      <c r="C35" s="308">
        <f>+VLOOKUP($A35,[3]Div!$A$12:$I$46,7,0)/1000</f>
        <v>8.0529680123069998</v>
      </c>
      <c r="D35" s="46">
        <f>+VLOOKUP($A35,'[3]Div(PA)'!$A$12:$I$46,7,0)/1000</f>
        <v>7.9649355471857994</v>
      </c>
      <c r="E35" s="46">
        <f>+VLOOKUP($A35,'[3]Div(AP)'!$A$12:$I$46,7,0)/1000</f>
        <v>3.9785687761922001E-4</v>
      </c>
      <c r="F35" s="46">
        <f>+VLOOKUP($A35,'[3]Div(FellowResUCP)'!$A$12:$I$46,7,0)/1000</f>
        <v>6.7900907113680993E-3</v>
      </c>
      <c r="G35" s="46">
        <f>+VLOOKUP($A35,'[3]Div(FellowForeignUCP)'!$A$12:$I$46,7,0)/1000</f>
        <v>8.0844517532226004E-2</v>
      </c>
      <c r="H35" s="308">
        <f>+VLOOKUP($A35,[3]Int!$A$12:$I$46,7,0)/1000</f>
        <v>2.6548193729775997</v>
      </c>
      <c r="I35" s="46">
        <f>+VLOOKUP($A35,'[3]Int(PA)'!$A$12:$I$46,7,0)/1000</f>
        <v>1.1392499071666999</v>
      </c>
      <c r="J35" s="46">
        <f>+VLOOKUP($A35,'[3]Int(AP)'!$A$12:$I$46,7,0)/1000</f>
        <v>0.15351970717734001</v>
      </c>
      <c r="K35" s="46">
        <f>+VLOOKUP($A35,'[3]Int(FellowResUCP)'!$A$12:$I$46,7,0)/1000</f>
        <v>0.10742135695719</v>
      </c>
      <c r="L35" s="402">
        <f>+VLOOKUP($A35,'[3]Int(FellowForeignUCP)'!$A$12:$I$46,7,0)/1000</f>
        <v>1.2546284016763001</v>
      </c>
      <c r="M35" s="925">
        <f>TableB2!F35</f>
        <v>8.0898626067583006</v>
      </c>
    </row>
    <row r="36" spans="1:13" x14ac:dyDescent="0.35">
      <c r="A36" s="13" t="s">
        <v>76</v>
      </c>
      <c r="B36" s="297">
        <f>+VLOOKUP($A36,[3]Allincome!$A$12:$I$46,7,0)/1000</f>
        <v>5.2479201331115002</v>
      </c>
      <c r="C36" s="308">
        <f>+VLOOKUP($A36,[3]Div!$A$12:$I$46,7,0)/1000</f>
        <v>3.1669439822518002</v>
      </c>
      <c r="D36" s="46">
        <f>+VLOOKUP($A36,'[3]Div(PA)'!$A$12:$I$46,7,0)/1000</f>
        <v>3.1125901275652001</v>
      </c>
      <c r="E36" s="46">
        <f>+VLOOKUP($A36,'[3]Div(AP)'!$A$12:$I$46,7,0)/1000</f>
        <v>2.8840820854132001E-2</v>
      </c>
      <c r="F36" s="46">
        <f>+VLOOKUP($A36,'[3]Div(FellowResUCP)'!$A$12:$I$46,7,0)/1000</f>
        <v>4.4370493621741997E-3</v>
      </c>
      <c r="G36" s="46">
        <f>+VLOOKUP($A36,'[3]Div(FellowForeignUCP)'!$A$12:$I$46,7,0)/1000</f>
        <v>1.9966722129783999E-2</v>
      </c>
      <c r="H36" s="308">
        <f>+VLOOKUP($A36,[3]Int!$A$12:$I$46,7,0)/1000</f>
        <v>1.0970604547975999</v>
      </c>
      <c r="I36" s="46">
        <f>+VLOOKUP($A36,'[3]Int(PA)'!$A$12:$I$46,7,0)/1000</f>
        <v>0.83749306711036997</v>
      </c>
      <c r="J36" s="46">
        <f>+VLOOKUP($A36,'[3]Int(AP)'!$A$12:$I$46,7,0)/1000</f>
        <v>0.21075984470327</v>
      </c>
      <c r="K36" s="46">
        <f>+VLOOKUP($A36,'[3]Int(FellowResUCP)'!$A$12:$I$46,7,0)/1000</f>
        <v>2.1075984470327002E-2</v>
      </c>
      <c r="L36" s="402">
        <f>+VLOOKUP($A36,'[3]Int(FellowForeignUCP)'!$A$12:$I$46,7,0)/1000</f>
        <v>2.6622296173045002E-2</v>
      </c>
      <c r="M36" s="925">
        <f>TableB2!F36</f>
        <v>0.98502495840266002</v>
      </c>
    </row>
    <row r="37" spans="1:13" x14ac:dyDescent="0.35">
      <c r="A37" s="13" t="s">
        <v>77</v>
      </c>
      <c r="B37" s="297">
        <f>+VLOOKUP($A37,[3]Allincome!$A$12:$I$46,7,0)/1000</f>
        <v>4.5050524159733998</v>
      </c>
      <c r="C37" s="308">
        <f>+VLOOKUP($A37,[3]Div!$A$12:$I$46,7,0)/1000</f>
        <v>3.3260375463117002</v>
      </c>
      <c r="D37" s="46">
        <f>+VLOOKUP($A37,'[3]Div(PA)'!$A$12:$I$46,7,0)/1000</f>
        <v>3.3260375463117002</v>
      </c>
      <c r="E37" s="46">
        <f>+VLOOKUP($A37,'[3]Div(AP)'!$A$12:$I$46,7,0)/1000</f>
        <v>0</v>
      </c>
      <c r="F37" s="46">
        <f>+VLOOKUP($A37,'[3]Div(FellowResUCP)'!$A$12:$I$46,7,0)/1000</f>
        <v>0</v>
      </c>
      <c r="G37" s="46">
        <f>+VLOOKUP($A37,'[3]Div(FellowForeignUCP)'!$A$12:$I$46,7,0)/1000</f>
        <v>0</v>
      </c>
      <c r="H37" s="308">
        <f>+VLOOKUP($A37,[3]Int!$A$12:$I$46,7,0)/1000</f>
        <v>0.39209983361065004</v>
      </c>
      <c r="I37" s="46">
        <f>+VLOOKUP($A37,'[3]Int(PA)'!$A$12:$I$46,7,0)/1000</f>
        <v>0.30730227398779997</v>
      </c>
      <c r="J37" s="46">
        <f>+VLOOKUP($A37,'[3]Int(AP)'!$A$12:$I$46,7,0)/1000</f>
        <v>3.4054353854686998E-4</v>
      </c>
      <c r="K37" s="46">
        <f>+VLOOKUP($A37,'[3]Int(FellowResUCP)'!$A$12:$I$46,7,0)/1000</f>
        <v>0</v>
      </c>
      <c r="L37" s="402">
        <f>+VLOOKUP($A37,'[3]Int(FellowForeignUCP)'!$A$12:$I$46,7,0)/1000</f>
        <v>8.4457016084304004E-2</v>
      </c>
      <c r="M37" s="925">
        <f>TableB2!F37</f>
        <v>0.78691503605103008</v>
      </c>
    </row>
    <row r="38" spans="1:13" x14ac:dyDescent="0.35">
      <c r="A38" s="15" t="s">
        <v>78</v>
      </c>
      <c r="B38" s="297">
        <f>+VLOOKUP($A38,[3]Allincome!$A$12:$I$46,7,0)/1000</f>
        <v>1.0951081530782001</v>
      </c>
      <c r="C38" s="308">
        <f>+VLOOKUP($A38,[3]Div!$A$12:$I$46,7,0)/1000</f>
        <v>0.53209095951191998</v>
      </c>
      <c r="D38" s="46">
        <f>+VLOOKUP($A38,'[3]Div(PA)'!$A$12:$I$46,7,0)/1000</f>
        <v>0.53209095951191998</v>
      </c>
      <c r="E38" s="46">
        <f>+VLOOKUP($A38,'[3]Div(AP)'!$A$12:$I$46,7,0)/1000</f>
        <v>0</v>
      </c>
      <c r="F38" s="46">
        <f>+VLOOKUP($A38,'[3]Div(FellowResUCP)'!$A$12:$I$46,7,0)/1000</f>
        <v>0</v>
      </c>
      <c r="G38" s="46">
        <f>+VLOOKUP($A38,'[3]Div(FellowForeignUCP)'!$A$12:$I$46,7,0)/1000</f>
        <v>0</v>
      </c>
      <c r="H38" s="308">
        <f>+VLOOKUP($A38,[3]Int!$A$12:$I$46,7,0)/1000</f>
        <v>7.3647254575706991E-2</v>
      </c>
      <c r="I38" s="46">
        <f>+VLOOKUP($A38,'[3]Int(PA)'!$A$12:$I$46,7,0)/1000</f>
        <v>5.7788130892956001E-2</v>
      </c>
      <c r="J38" s="46">
        <f>+VLOOKUP($A38,'[3]Int(AP)'!$A$12:$I$46,7,0)/1000</f>
        <v>5.7659456461453002E-3</v>
      </c>
      <c r="K38" s="46">
        <f>+VLOOKUP($A38,'[3]Int(FellowResUCP)'!$A$12:$I$46,7,0)/1000</f>
        <v>2.5513033832500001E-5</v>
      </c>
      <c r="L38" s="402">
        <f>+VLOOKUP($A38,'[3]Int(FellowForeignUCP)'!$A$12:$I$46,7,0)/1000</f>
        <v>1.0067665002772999E-2</v>
      </c>
      <c r="M38" s="925">
        <f>TableB2!F38</f>
        <v>0.48937104825291</v>
      </c>
    </row>
    <row r="39" spans="1:13" x14ac:dyDescent="0.35">
      <c r="A39" s="13" t="s">
        <v>79</v>
      </c>
      <c r="B39" s="297">
        <f>+VLOOKUP($A39,[3]Allincome!$A$12:$I$46,7,0)/1000</f>
        <v>24.561286744314998</v>
      </c>
      <c r="C39" s="308"/>
      <c r="D39" s="46"/>
      <c r="E39" s="46"/>
      <c r="F39" s="46"/>
      <c r="G39" s="46"/>
      <c r="H39" s="308">
        <f>+VLOOKUP($A39,[3]Int!$A$12:$I$46,7,0)/1000</f>
        <v>6.0499168053245</v>
      </c>
      <c r="I39" s="46">
        <f>+VLOOKUP($A39,'[3]Int(PA)'!$A$12:$I$46,7,0)/1000</f>
        <v>1.4309484193011999</v>
      </c>
      <c r="J39" s="46">
        <f>+VLOOKUP($A39,'[3]Int(AP)'!$A$12:$I$46,7,0)/1000</f>
        <v>1.5507487520798999</v>
      </c>
      <c r="K39" s="46">
        <f>($H39-$I39-$J39)*0.28</f>
        <v>0.8591014975041521</v>
      </c>
      <c r="L39" s="402">
        <f>H39-I39-J39-K39</f>
        <v>2.209118136439248</v>
      </c>
      <c r="M39" s="925">
        <f>TableB2!F39</f>
        <v>5.4685524126455691</v>
      </c>
    </row>
    <row r="40" spans="1:13" x14ac:dyDescent="0.35">
      <c r="A40" s="13" t="s">
        <v>80</v>
      </c>
      <c r="B40" s="297">
        <f>+VLOOKUP($A40,[3]Allincome!$A$12:$I$46,7,0)/1000</f>
        <v>21.367491962559001</v>
      </c>
      <c r="C40" s="308">
        <f>+VLOOKUP($A40,[3]Div!$A$12:$I$46,7,0)/1000</f>
        <v>13.67563142847</v>
      </c>
      <c r="D40" s="46">
        <f>+VLOOKUP($A40,'[3]Div(PA)'!$A$12:$I$46,7,0)/1000</f>
        <v>13.67563142847</v>
      </c>
      <c r="E40" s="46">
        <f>+VLOOKUP($A40,'[3]Div(AP)'!$A$12:$I$46,7,0)/1000</f>
        <v>0</v>
      </c>
      <c r="F40" s="46">
        <f>+VLOOKUP($A40,'[3]Div(FellowResUCP)'!$A$12:$I$46,7,0)/1000</f>
        <v>0</v>
      </c>
      <c r="G40" s="46">
        <f>+VLOOKUP($A40,'[3]Div(FellowForeignUCP)'!$A$12:$I$46,7,0)/1000</f>
        <v>0</v>
      </c>
      <c r="H40" s="308">
        <f>+VLOOKUP($A40,[3]Int!$A$12:$I$46,7,0)/1000</f>
        <v>2.2160796270153003</v>
      </c>
      <c r="I40" s="46">
        <f>+VLOOKUP($A40,'[3]Int(PA)'!$A$12:$I$46,7,0)/1000</f>
        <v>0.78571174356115003</v>
      </c>
      <c r="J40" s="46">
        <f>+VLOOKUP($A40,'[3]Int(AP)'!$A$12:$I$46,7,0)/1000</f>
        <v>0.27878946057205001</v>
      </c>
      <c r="K40" s="46">
        <f>+VLOOKUP($A40,'[3]Int(FellowResUCP)'!$A$12:$I$46,7,0)/1000</f>
        <v>4.6860356138706996E-2</v>
      </c>
      <c r="L40" s="402">
        <f>+VLOOKUP($A40,'[3]Int(FellowForeignUCP)'!$A$12:$I$46,7,0)/1000</f>
        <v>1.1047180667434</v>
      </c>
      <c r="M40" s="925">
        <f>TableB2!F40</f>
        <v>5.4757809070740997</v>
      </c>
    </row>
    <row r="41" spans="1:13" x14ac:dyDescent="0.35">
      <c r="A41" s="13" t="s">
        <v>1</v>
      </c>
      <c r="B41" s="297">
        <f>+VLOOKUP($A41,[3]Allincome!$A$12:$I$46,7,0)/1000</f>
        <v>66.922345011144003</v>
      </c>
      <c r="C41" s="308">
        <f>+VLOOKUP($A41,[3]Div!$A$12:$I$46,7,0)/1000</f>
        <v>42.610408115972</v>
      </c>
      <c r="D41" s="46">
        <f>C41</f>
        <v>42.610408115972</v>
      </c>
      <c r="E41" s="46">
        <v>0</v>
      </c>
      <c r="F41" s="46">
        <v>0</v>
      </c>
      <c r="G41" s="46">
        <v>0</v>
      </c>
      <c r="H41" s="308">
        <f>+VLOOKUP($A41,[3]Int!$A$12:$I$46,7,0)/1000</f>
        <v>7.5165766644743002</v>
      </c>
      <c r="I41" s="46"/>
      <c r="J41" s="46"/>
      <c r="K41" s="46"/>
      <c r="L41" s="402"/>
      <c r="M41" s="925">
        <f>TableB2!F41</f>
        <v>16.795360230697</v>
      </c>
    </row>
    <row r="42" spans="1:13" x14ac:dyDescent="0.35">
      <c r="A42" s="13" t="s">
        <v>81</v>
      </c>
      <c r="B42" s="297">
        <f>+VLOOKUP($A42,[3]Allincome!$A$12:$I$46,7,0)/1000</f>
        <v>3.54413</v>
      </c>
      <c r="C42" s="308">
        <f>+VLOOKUP($A42,[3]Div!$A$12:$I$46,7,0)/1000</f>
        <v>3.0356700000000001</v>
      </c>
      <c r="D42" s="46">
        <f>+VLOOKUP($A42,'[3]Div(PA)'!$A$12:$I$46,7,0)/1000</f>
        <v>3.0356700000000001</v>
      </c>
      <c r="E42" s="46">
        <f>+VLOOKUP($A42,'[3]Div(AP)'!$A$12:$I$46,7,0)/1000</f>
        <v>0</v>
      </c>
      <c r="F42" s="46">
        <f>+VLOOKUP($A42,'[3]Div(FellowResUCP)'!$A$12:$I$46,7,0)/1000</f>
        <v>0</v>
      </c>
      <c r="G42" s="46">
        <f>+VLOOKUP($A42,'[3]Div(FellowForeignUCP)'!$A$12:$I$46,7,0)/1000</f>
        <v>0</v>
      </c>
      <c r="H42" s="308">
        <f>+VLOOKUP($A42,[3]Int!$A$12:$I$46,7,0)/1000</f>
        <v>0.14435000000000001</v>
      </c>
      <c r="I42" s="46">
        <f>+VLOOKUP($A42,'[3]Int(PA)'!$A$12:$I$46,7,0)/1000</f>
        <v>0.10979999999999999</v>
      </c>
      <c r="J42" s="46">
        <f>+VLOOKUP($A42,'[3]Int(AP)'!$A$12:$I$46,7,0)/1000</f>
        <v>1.8400000000000001E-3</v>
      </c>
      <c r="K42" s="46">
        <f>+VLOOKUP($A42,'[3]Int(FellowResUCP)'!$A$12:$I$46,7,0)/1000</f>
        <v>0</v>
      </c>
      <c r="L42" s="402">
        <f>+VLOOKUP($A42,'[3]Int(FellowForeignUCP)'!$A$12:$I$46,7,0)/1000</f>
        <v>3.2710000000000003E-2</v>
      </c>
      <c r="M42" s="925">
        <f>TableB2!F42</f>
        <v>0.36410999999999999</v>
      </c>
    </row>
    <row r="43" spans="1:13" x14ac:dyDescent="0.35">
      <c r="A43" s="13" t="s">
        <v>82</v>
      </c>
      <c r="B43" s="297">
        <f>+VLOOKUP($A43,[3]Allincome!$A$12:$I$46,7,0)/1000</f>
        <v>80.513368983956994</v>
      </c>
      <c r="C43" s="308"/>
      <c r="D43" s="46"/>
      <c r="E43" s="46"/>
      <c r="F43" s="46"/>
      <c r="G43" s="46"/>
      <c r="H43" s="308"/>
      <c r="I43" s="46"/>
      <c r="J43" s="46"/>
      <c r="K43" s="46"/>
      <c r="L43" s="402"/>
      <c r="M43" s="925">
        <f>TableB2!F43</f>
        <v>37.084277579431578</v>
      </c>
    </row>
    <row r="44" spans="1:13" x14ac:dyDescent="0.35">
      <c r="A44" s="13" t="s">
        <v>0</v>
      </c>
      <c r="B44" s="297">
        <f>+VLOOKUP($A44,[3]Allincome!$A$12:$I$46,7,0)/1000</f>
        <v>170.38</v>
      </c>
      <c r="C44" s="308">
        <f>+VLOOKUP($A44,[3]Div!$A$12:$I$46,7,0)/1000</f>
        <v>50.49</v>
      </c>
      <c r="D44" s="46">
        <f>C44</f>
        <v>50.49</v>
      </c>
      <c r="E44" s="46">
        <v>0</v>
      </c>
      <c r="F44" s="46">
        <v>0</v>
      </c>
      <c r="G44" s="46">
        <v>0</v>
      </c>
      <c r="H44" s="308">
        <f>+VLOOKUP($A44,[3]Int!$A$12:$I$46,7,0)/1000</f>
        <v>39.143000000000001</v>
      </c>
      <c r="I44" s="46">
        <f>+VLOOKUP($A44,'[3]Int(PA)'!$A$12:$I$46,7,0)/1000</f>
        <v>32.843000000000004</v>
      </c>
      <c r="J44" s="46">
        <f>+VLOOKUP($A44,'[3]Int(AP)'!$A$12:$I$46,7,0)/1000</f>
        <v>6.3</v>
      </c>
      <c r="K44" s="46">
        <f>($H44-$I44-$J44)*0.25</f>
        <v>-6.6613381477509392E-16</v>
      </c>
      <c r="L44" s="402">
        <f>($H44-$I44-$J44)*0.75</f>
        <v>-1.9984014443252818E-15</v>
      </c>
      <c r="M44" s="925">
        <f>TableB2!F44</f>
        <v>80.747</v>
      </c>
    </row>
    <row r="45" spans="1:13" ht="46.5" x14ac:dyDescent="0.35">
      <c r="A45" s="281" t="s">
        <v>99</v>
      </c>
      <c r="B45" s="298"/>
      <c r="C45" s="308"/>
      <c r="D45" s="46"/>
      <c r="E45" s="46"/>
      <c r="F45" s="46"/>
      <c r="G45" s="46"/>
      <c r="H45" s="308"/>
      <c r="I45" s="46"/>
      <c r="J45" s="46"/>
      <c r="K45" s="46"/>
      <c r="L45" s="402"/>
      <c r="M45" s="925">
        <f>TableB2!F45</f>
        <v>0</v>
      </c>
    </row>
    <row r="46" spans="1:13" x14ac:dyDescent="0.35">
      <c r="A46" s="95" t="s">
        <v>92</v>
      </c>
      <c r="B46" s="298">
        <f>+TableB2!C46</f>
        <v>28.6</v>
      </c>
      <c r="C46" s="308">
        <f>+TableB2!D46</f>
        <v>16.713376362039998</v>
      </c>
      <c r="D46" s="46">
        <f>C46</f>
        <v>16.713376362039998</v>
      </c>
      <c r="E46" s="46">
        <v>0</v>
      </c>
      <c r="F46" s="46">
        <v>0</v>
      </c>
      <c r="G46" s="46">
        <v>0</v>
      </c>
      <c r="H46" s="308">
        <f>TableB2!E46</f>
        <v>4.7060989875599999</v>
      </c>
      <c r="I46" s="46">
        <f>H46</f>
        <v>4.7060989875599999</v>
      </c>
      <c r="J46" s="46">
        <v>0</v>
      </c>
      <c r="K46" s="46">
        <v>0</v>
      </c>
      <c r="L46" s="402">
        <v>0</v>
      </c>
      <c r="M46" s="925">
        <f>TableB2!F46</f>
        <v>7.1451487725799998</v>
      </c>
    </row>
    <row r="47" spans="1:13" x14ac:dyDescent="0.35">
      <c r="A47" s="282" t="s">
        <v>101</v>
      </c>
      <c r="B47" s="298">
        <f>+TableB2!C47</f>
        <v>129.19020003003806</v>
      </c>
      <c r="C47" s="308">
        <f>+TableB2!D47</f>
        <v>90.433140021026631</v>
      </c>
      <c r="D47" s="46">
        <f t="shared" ref="D47:D89" si="0">C47</f>
        <v>90.433140021026631</v>
      </c>
      <c r="E47" s="46">
        <v>0</v>
      </c>
      <c r="F47" s="46">
        <v>0</v>
      </c>
      <c r="G47" s="46">
        <v>0</v>
      </c>
      <c r="H47" s="308">
        <f>TableB2!E47</f>
        <v>0</v>
      </c>
      <c r="I47" s="46">
        <f t="shared" ref="I47:I89" si="1">H47</f>
        <v>0</v>
      </c>
      <c r="J47" s="46">
        <v>0</v>
      </c>
      <c r="K47" s="46">
        <v>0</v>
      </c>
      <c r="L47" s="402">
        <v>0</v>
      </c>
      <c r="M47" s="925">
        <f>TableB2!F47</f>
        <v>38.757060009011425</v>
      </c>
    </row>
    <row r="48" spans="1:13" x14ac:dyDescent="0.35">
      <c r="A48" s="282" t="s">
        <v>93</v>
      </c>
      <c r="B48" s="298">
        <f>+TableB2!C48</f>
        <v>5.31</v>
      </c>
      <c r="C48" s="308">
        <f>+TableB2!D48</f>
        <v>3.2548936231000001</v>
      </c>
      <c r="D48" s="46">
        <f t="shared" si="0"/>
        <v>3.2548936231000001</v>
      </c>
      <c r="E48" s="46">
        <v>0</v>
      </c>
      <c r="F48" s="46">
        <v>0</v>
      </c>
      <c r="G48" s="46">
        <v>0</v>
      </c>
      <c r="H48" s="308">
        <f>TableB2!E48</f>
        <v>0.51574077109999994</v>
      </c>
      <c r="I48" s="46">
        <f t="shared" si="1"/>
        <v>0.51574077109999994</v>
      </c>
      <c r="J48" s="46">
        <v>0</v>
      </c>
      <c r="K48" s="46">
        <v>0</v>
      </c>
      <c r="L48" s="402">
        <v>0</v>
      </c>
      <c r="M48" s="925">
        <f>TableB2!F48</f>
        <v>1.5393656057999996</v>
      </c>
    </row>
    <row r="49" spans="1:13" x14ac:dyDescent="0.35">
      <c r="A49" s="282" t="s">
        <v>94</v>
      </c>
      <c r="B49" s="298">
        <f>+TableB2!C49</f>
        <v>2.04</v>
      </c>
      <c r="C49" s="308">
        <f>+TableB2!D49</f>
        <v>1.9856036526</v>
      </c>
      <c r="D49" s="46">
        <f t="shared" si="0"/>
        <v>1.9856036526</v>
      </c>
      <c r="E49" s="46">
        <v>0</v>
      </c>
      <c r="F49" s="46">
        <v>0</v>
      </c>
      <c r="G49" s="46">
        <v>0</v>
      </c>
      <c r="H49" s="308">
        <f>TableB2!E49</f>
        <v>1.0689373862</v>
      </c>
      <c r="I49" s="46">
        <f t="shared" si="1"/>
        <v>1.0689373862</v>
      </c>
      <c r="J49" s="46">
        <v>0</v>
      </c>
      <c r="K49" s="46">
        <v>0</v>
      </c>
      <c r="L49" s="402">
        <v>0</v>
      </c>
      <c r="M49" s="925">
        <f>TableB2!F49</f>
        <v>-1.0145410388</v>
      </c>
    </row>
    <row r="50" spans="1:13" x14ac:dyDescent="0.35">
      <c r="A50" s="282" t="s">
        <v>102</v>
      </c>
      <c r="B50" s="298">
        <f>+TableB2!C50</f>
        <v>13.7</v>
      </c>
      <c r="C50" s="308">
        <f>+TableB2!D50</f>
        <v>10.231280761199999</v>
      </c>
      <c r="D50" s="46">
        <f t="shared" si="0"/>
        <v>10.231280761199999</v>
      </c>
      <c r="E50" s="46">
        <v>0</v>
      </c>
      <c r="F50" s="46">
        <v>0</v>
      </c>
      <c r="G50" s="46">
        <v>0</v>
      </c>
      <c r="H50" s="308">
        <f>TableB2!E50</f>
        <v>6.7355001169000008</v>
      </c>
      <c r="I50" s="46">
        <f t="shared" si="1"/>
        <v>6.7355001169000008</v>
      </c>
      <c r="J50" s="46">
        <v>0</v>
      </c>
      <c r="K50" s="46">
        <v>0</v>
      </c>
      <c r="L50" s="402">
        <v>0</v>
      </c>
      <c r="M50" s="925">
        <f>TableB2!F50</f>
        <v>-3.2667808781000005</v>
      </c>
    </row>
    <row r="51" spans="1:13" x14ac:dyDescent="0.35">
      <c r="A51" s="282" t="s">
        <v>103</v>
      </c>
      <c r="B51" s="298">
        <f>+TableB2!C51</f>
        <v>41</v>
      </c>
      <c r="C51" s="308">
        <f>+TableB2!D51</f>
        <v>28.695729999999998</v>
      </c>
      <c r="D51" s="46">
        <f t="shared" si="0"/>
        <v>28.695729999999998</v>
      </c>
      <c r="E51" s="46">
        <v>0</v>
      </c>
      <c r="F51" s="46">
        <v>0</v>
      </c>
      <c r="G51" s="46">
        <v>0</v>
      </c>
      <c r="H51" s="308">
        <f>TableB2!E51</f>
        <v>9.3334899999999994</v>
      </c>
      <c r="I51" s="46">
        <f t="shared" si="1"/>
        <v>9.3334899999999994</v>
      </c>
      <c r="J51" s="46">
        <v>0</v>
      </c>
      <c r="K51" s="46">
        <v>0</v>
      </c>
      <c r="L51" s="402">
        <v>0</v>
      </c>
      <c r="M51" s="925">
        <f>TableB2!F51</f>
        <v>2.9707800000000031</v>
      </c>
    </row>
    <row r="52" spans="1:13" x14ac:dyDescent="0.35">
      <c r="A52" s="282" t="s">
        <v>97</v>
      </c>
      <c r="B52" s="298">
        <f>+TableB2!C52</f>
        <v>7.06</v>
      </c>
      <c r="C52" s="308">
        <f>+TableB2!D52</f>
        <v>6.9219943913000002</v>
      </c>
      <c r="D52" s="46">
        <f t="shared" si="0"/>
        <v>6.9219943913000002</v>
      </c>
      <c r="E52" s="46">
        <v>0</v>
      </c>
      <c r="F52" s="46">
        <v>0</v>
      </c>
      <c r="G52" s="46">
        <v>0</v>
      </c>
      <c r="H52" s="308">
        <f>TableB2!E52</f>
        <v>0.46488415110000003</v>
      </c>
      <c r="I52" s="46">
        <f t="shared" si="1"/>
        <v>0.46488415110000003</v>
      </c>
      <c r="J52" s="46">
        <v>0</v>
      </c>
      <c r="K52" s="46">
        <v>0</v>
      </c>
      <c r="L52" s="402">
        <v>0</v>
      </c>
      <c r="M52" s="925">
        <f>TableB2!F52</f>
        <v>-0.32687854240000058</v>
      </c>
    </row>
    <row r="53" spans="1:13" ht="31" x14ac:dyDescent="0.35">
      <c r="A53" s="281" t="s">
        <v>100</v>
      </c>
      <c r="B53" s="298"/>
      <c r="C53" s="308"/>
      <c r="D53" s="46"/>
      <c r="E53" s="46"/>
      <c r="F53" s="46"/>
      <c r="G53" s="46"/>
      <c r="H53" s="308"/>
      <c r="I53" s="46"/>
      <c r="J53" s="46"/>
      <c r="K53" s="46"/>
      <c r="L53" s="402"/>
      <c r="M53" s="925"/>
    </row>
    <row r="54" spans="1:13" x14ac:dyDescent="0.35">
      <c r="A54" s="282" t="s">
        <v>272</v>
      </c>
      <c r="B54" s="298">
        <f>+TableB2!C54</f>
        <v>3.6200000000000003E-2</v>
      </c>
      <c r="C54" s="308">
        <f>+TableB2!D54</f>
        <v>2.5340000000000001E-2</v>
      </c>
      <c r="D54" s="46">
        <f t="shared" si="0"/>
        <v>2.5340000000000001E-2</v>
      </c>
      <c r="E54" s="46">
        <v>0</v>
      </c>
      <c r="F54" s="46">
        <v>0</v>
      </c>
      <c r="G54" s="46">
        <v>0</v>
      </c>
      <c r="H54" s="308">
        <f>TableB2!E54</f>
        <v>0</v>
      </c>
      <c r="I54" s="46">
        <f t="shared" si="1"/>
        <v>0</v>
      </c>
      <c r="J54" s="46">
        <v>0</v>
      </c>
      <c r="K54" s="46">
        <v>0</v>
      </c>
      <c r="L54" s="402">
        <v>0</v>
      </c>
      <c r="M54" s="925">
        <f>TableB2!F54</f>
        <v>1.086E-2</v>
      </c>
    </row>
    <row r="55" spans="1:13" x14ac:dyDescent="0.35">
      <c r="A55" s="282" t="s">
        <v>273</v>
      </c>
      <c r="B55" s="298">
        <f>+TableB2!C55</f>
        <v>0.1085</v>
      </c>
      <c r="C55" s="308">
        <f>+TableB2!D55</f>
        <v>7.5950000000000004E-2</v>
      </c>
      <c r="D55" s="46">
        <f t="shared" si="0"/>
        <v>7.5950000000000004E-2</v>
      </c>
      <c r="E55" s="46">
        <v>0</v>
      </c>
      <c r="F55" s="46">
        <v>0</v>
      </c>
      <c r="G55" s="46">
        <v>0</v>
      </c>
      <c r="H55" s="308">
        <f>TableB2!E55</f>
        <v>0</v>
      </c>
      <c r="I55" s="46">
        <f t="shared" si="1"/>
        <v>0</v>
      </c>
      <c r="J55" s="46">
        <v>0</v>
      </c>
      <c r="K55" s="46">
        <v>0</v>
      </c>
      <c r="L55" s="402">
        <v>0</v>
      </c>
      <c r="M55" s="925">
        <f>TableB2!F55</f>
        <v>3.2549999999999996E-2</v>
      </c>
    </row>
    <row r="56" spans="1:13" x14ac:dyDescent="0.35">
      <c r="A56" s="289" t="str">
        <f>+TableA1!A56</f>
        <v>Antigua and Barbuda</v>
      </c>
      <c r="B56" s="298">
        <f>+TableB2!C56</f>
        <v>7.690000000000001E-2</v>
      </c>
      <c r="C56" s="308">
        <f>+TableB2!D56</f>
        <v>5.3830000000000003E-2</v>
      </c>
      <c r="D56" s="46">
        <f t="shared" si="0"/>
        <v>5.3830000000000003E-2</v>
      </c>
      <c r="E56" s="46">
        <v>0</v>
      </c>
      <c r="F56" s="46">
        <v>0</v>
      </c>
      <c r="G56" s="46">
        <v>0</v>
      </c>
      <c r="H56" s="308">
        <f>TableB2!E56</f>
        <v>0</v>
      </c>
      <c r="I56" s="46">
        <f t="shared" si="1"/>
        <v>0</v>
      </c>
      <c r="J56" s="46">
        <v>0</v>
      </c>
      <c r="K56" s="46">
        <v>0</v>
      </c>
      <c r="L56" s="402">
        <v>0</v>
      </c>
      <c r="M56" s="925">
        <f>TableB2!F56</f>
        <v>2.3070000000000004E-2</v>
      </c>
    </row>
    <row r="57" spans="1:13" x14ac:dyDescent="0.35">
      <c r="A57" s="282" t="s">
        <v>274</v>
      </c>
      <c r="B57" s="298">
        <f>+TableB2!C57</f>
        <v>9.8715083800000006E-2</v>
      </c>
      <c r="C57" s="308">
        <f>+TableB2!D57</f>
        <v>6.9100558660000005E-2</v>
      </c>
      <c r="D57" s="46">
        <f t="shared" si="0"/>
        <v>6.9100558660000005E-2</v>
      </c>
      <c r="E57" s="46">
        <v>0</v>
      </c>
      <c r="F57" s="46">
        <v>0</v>
      </c>
      <c r="G57" s="46">
        <v>0</v>
      </c>
      <c r="H57" s="308">
        <f>TableB2!E57</f>
        <v>0</v>
      </c>
      <c r="I57" s="46">
        <f t="shared" si="1"/>
        <v>0</v>
      </c>
      <c r="J57" s="46">
        <v>0</v>
      </c>
      <c r="K57" s="46">
        <v>0</v>
      </c>
      <c r="L57" s="402">
        <v>0</v>
      </c>
      <c r="M57" s="925">
        <f>TableB2!F57</f>
        <v>2.961452514E-2</v>
      </c>
    </row>
    <row r="58" spans="1:13" x14ac:dyDescent="0.35">
      <c r="A58" s="282" t="s">
        <v>275</v>
      </c>
      <c r="B58" s="298">
        <f>+TableB2!C58</f>
        <v>2.4410858728483822</v>
      </c>
      <c r="C58" s="308">
        <f>+TableB2!D58</f>
        <v>1.7087601109938677</v>
      </c>
      <c r="D58" s="46">
        <f t="shared" si="0"/>
        <v>1.7087601109938677</v>
      </c>
      <c r="E58" s="46">
        <v>0</v>
      </c>
      <c r="F58" s="46">
        <v>0</v>
      </c>
      <c r="G58" s="46">
        <v>0</v>
      </c>
      <c r="H58" s="308">
        <f>TableB2!E58</f>
        <v>0</v>
      </c>
      <c r="I58" s="46">
        <f t="shared" si="1"/>
        <v>0</v>
      </c>
      <c r="J58" s="46">
        <v>0</v>
      </c>
      <c r="K58" s="46">
        <v>0</v>
      </c>
      <c r="L58" s="402">
        <v>0</v>
      </c>
      <c r="M58" s="925">
        <f>TableB2!F58</f>
        <v>0.73232576185451459</v>
      </c>
    </row>
    <row r="59" spans="1:13" x14ac:dyDescent="0.35">
      <c r="A59" s="282" t="s">
        <v>276</v>
      </c>
      <c r="B59" s="298">
        <f>+TableB2!C59</f>
        <v>0.72000805649591415</v>
      </c>
      <c r="C59" s="308">
        <f>+TableB2!D59</f>
        <v>0.50400563954713995</v>
      </c>
      <c r="D59" s="46">
        <f t="shared" si="0"/>
        <v>0.50400563954713995</v>
      </c>
      <c r="E59" s="46">
        <v>0</v>
      </c>
      <c r="F59" s="46">
        <v>0</v>
      </c>
      <c r="G59" s="46">
        <v>0</v>
      </c>
      <c r="H59" s="308">
        <f>TableB2!E59</f>
        <v>0</v>
      </c>
      <c r="I59" s="46">
        <f t="shared" si="1"/>
        <v>0</v>
      </c>
      <c r="J59" s="46">
        <v>0</v>
      </c>
      <c r="K59" s="46">
        <v>0</v>
      </c>
      <c r="L59" s="402">
        <v>0</v>
      </c>
      <c r="M59" s="925">
        <f>TableB2!F59</f>
        <v>0.21600241694877423</v>
      </c>
    </row>
    <row r="60" spans="1:13" x14ac:dyDescent="0.35">
      <c r="A60" s="289" t="str">
        <f>+TableA1!A60</f>
        <v>Barbados</v>
      </c>
      <c r="B60" s="298">
        <f>+TableB2!C60</f>
        <v>2.1307224236508158</v>
      </c>
      <c r="C60" s="308">
        <f>+TableB2!D60</f>
        <v>1.4915056965555711</v>
      </c>
      <c r="D60" s="46">
        <f t="shared" si="0"/>
        <v>1.4915056965555711</v>
      </c>
      <c r="E60" s="46">
        <v>0</v>
      </c>
      <c r="F60" s="46">
        <v>0</v>
      </c>
      <c r="G60" s="46">
        <v>0</v>
      </c>
      <c r="H60" s="308">
        <f>TableB2!E60</f>
        <v>0</v>
      </c>
      <c r="I60" s="46">
        <f t="shared" si="1"/>
        <v>0</v>
      </c>
      <c r="J60" s="46">
        <v>0</v>
      </c>
      <c r="K60" s="46">
        <v>0</v>
      </c>
      <c r="L60" s="402">
        <v>0</v>
      </c>
      <c r="M60" s="925">
        <f>TableB2!F60</f>
        <v>0.63921672709524469</v>
      </c>
    </row>
    <row r="61" spans="1:13" x14ac:dyDescent="0.35">
      <c r="A61" s="282" t="s">
        <v>277</v>
      </c>
      <c r="B61" s="298">
        <f>+TableB2!C61</f>
        <v>6.6200000000000009E-2</v>
      </c>
      <c r="C61" s="308">
        <f>+TableB2!D61</f>
        <v>4.6340000000000006E-2</v>
      </c>
      <c r="D61" s="46">
        <f t="shared" si="0"/>
        <v>4.6340000000000006E-2</v>
      </c>
      <c r="E61" s="46">
        <v>0</v>
      </c>
      <c r="F61" s="46">
        <v>0</v>
      </c>
      <c r="G61" s="46">
        <v>0</v>
      </c>
      <c r="H61" s="308">
        <f>TableB2!E61</f>
        <v>0</v>
      </c>
      <c r="I61" s="46">
        <f t="shared" si="1"/>
        <v>0</v>
      </c>
      <c r="J61" s="46">
        <v>0</v>
      </c>
      <c r="K61" s="46">
        <v>0</v>
      </c>
      <c r="L61" s="402">
        <v>0</v>
      </c>
      <c r="M61" s="925">
        <f>TableB2!F61</f>
        <v>1.9860000000000003E-2</v>
      </c>
    </row>
    <row r="62" spans="1:13" x14ac:dyDescent="0.35">
      <c r="A62" s="282" t="s">
        <v>213</v>
      </c>
      <c r="B62" s="298">
        <f>+TableB2!C62</f>
        <v>47.722737121784164</v>
      </c>
      <c r="C62" s="308">
        <f>+TableB2!D62</f>
        <v>33.405915985248917</v>
      </c>
      <c r="D62" s="46">
        <f t="shared" si="0"/>
        <v>33.405915985248917</v>
      </c>
      <c r="E62" s="46">
        <v>0</v>
      </c>
      <c r="F62" s="46">
        <v>0</v>
      </c>
      <c r="G62" s="46">
        <v>0</v>
      </c>
      <c r="H62" s="308">
        <f>TableB2!E62</f>
        <v>0</v>
      </c>
      <c r="I62" s="46">
        <f t="shared" si="1"/>
        <v>0</v>
      </c>
      <c r="J62" s="46">
        <v>0</v>
      </c>
      <c r="K62" s="46">
        <v>0</v>
      </c>
      <c r="L62" s="402">
        <v>0</v>
      </c>
      <c r="M62" s="925">
        <f>TableB2!F62</f>
        <v>14.316821136535248</v>
      </c>
    </row>
    <row r="63" spans="1:13" x14ac:dyDescent="0.35">
      <c r="A63" s="282" t="s">
        <v>278</v>
      </c>
      <c r="B63" s="298">
        <f>+TableB2!C63</f>
        <v>1E-4</v>
      </c>
      <c r="C63" s="308">
        <f>+TableB2!D63</f>
        <v>7.0000000000000007E-5</v>
      </c>
      <c r="D63" s="46">
        <f t="shared" si="0"/>
        <v>7.0000000000000007E-5</v>
      </c>
      <c r="E63" s="46">
        <v>0</v>
      </c>
      <c r="F63" s="46">
        <v>0</v>
      </c>
      <c r="G63" s="46">
        <v>0</v>
      </c>
      <c r="H63" s="308">
        <f>TableB2!E63</f>
        <v>0</v>
      </c>
      <c r="I63" s="46">
        <f t="shared" si="1"/>
        <v>0</v>
      </c>
      <c r="J63" s="46">
        <v>0</v>
      </c>
      <c r="K63" s="46">
        <v>0</v>
      </c>
      <c r="L63" s="402">
        <v>0</v>
      </c>
      <c r="M63" s="925">
        <f>TableB2!F63</f>
        <v>3.0000000000000001E-5</v>
      </c>
    </row>
    <row r="64" spans="1:13" x14ac:dyDescent="0.35">
      <c r="A64" s="282" t="s">
        <v>279</v>
      </c>
      <c r="B64" s="298">
        <f>+TableB2!C64</f>
        <v>0.53559617448905006</v>
      </c>
      <c r="C64" s="308">
        <f>+TableB2!D64</f>
        <v>0.37491732214233509</v>
      </c>
      <c r="D64" s="46">
        <f t="shared" si="0"/>
        <v>0.37491732214233509</v>
      </c>
      <c r="E64" s="46">
        <v>0</v>
      </c>
      <c r="F64" s="46">
        <v>0</v>
      </c>
      <c r="G64" s="46">
        <v>0</v>
      </c>
      <c r="H64" s="308">
        <f>TableB2!E64</f>
        <v>0</v>
      </c>
      <c r="I64" s="46">
        <f t="shared" si="1"/>
        <v>0</v>
      </c>
      <c r="J64" s="46">
        <v>0</v>
      </c>
      <c r="K64" s="46">
        <v>0</v>
      </c>
      <c r="L64" s="402">
        <v>0</v>
      </c>
      <c r="M64" s="925">
        <f>TableB2!F64</f>
        <v>0.160678852346715</v>
      </c>
    </row>
    <row r="65" spans="1:13" x14ac:dyDescent="0.35">
      <c r="A65" s="282" t="s">
        <v>291</v>
      </c>
      <c r="B65" s="298">
        <f>+TableB2!C65</f>
        <v>32.253212825518716</v>
      </c>
      <c r="C65" s="308">
        <f>+TableB2!D65</f>
        <v>22.5772489778631</v>
      </c>
      <c r="D65" s="46">
        <f t="shared" si="0"/>
        <v>22.5772489778631</v>
      </c>
      <c r="E65" s="46">
        <v>0</v>
      </c>
      <c r="F65" s="46">
        <v>0</v>
      </c>
      <c r="G65" s="46">
        <v>0</v>
      </c>
      <c r="H65" s="308">
        <f>TableB2!E65</f>
        <v>0</v>
      </c>
      <c r="I65" s="46">
        <f t="shared" si="1"/>
        <v>0</v>
      </c>
      <c r="J65" s="46">
        <v>0</v>
      </c>
      <c r="K65" s="46">
        <v>0</v>
      </c>
      <c r="L65" s="402">
        <v>0</v>
      </c>
      <c r="M65" s="925">
        <f>TableB2!F65</f>
        <v>9.6759638476556145</v>
      </c>
    </row>
    <row r="66" spans="1:13" x14ac:dyDescent="0.35">
      <c r="A66" s="282" t="s">
        <v>280</v>
      </c>
      <c r="B66" s="298">
        <f>+TableB2!C66</f>
        <v>0.48729023846046576</v>
      </c>
      <c r="C66" s="308">
        <f>+TableB2!D66</f>
        <v>0.34110316692232601</v>
      </c>
      <c r="D66" s="46">
        <f t="shared" si="0"/>
        <v>0.34110316692232601</v>
      </c>
      <c r="E66" s="46">
        <v>0</v>
      </c>
      <c r="F66" s="46">
        <v>0</v>
      </c>
      <c r="G66" s="46">
        <v>0</v>
      </c>
      <c r="H66" s="308">
        <f>TableB2!E66</f>
        <v>0</v>
      </c>
      <c r="I66" s="46">
        <f t="shared" si="1"/>
        <v>0</v>
      </c>
      <c r="J66" s="46">
        <v>0</v>
      </c>
      <c r="K66" s="46">
        <v>0</v>
      </c>
      <c r="L66" s="402">
        <v>0</v>
      </c>
      <c r="M66" s="925">
        <f>TableB2!F66</f>
        <v>0.14618707153813973</v>
      </c>
    </row>
    <row r="67" spans="1:13" x14ac:dyDescent="0.35">
      <c r="A67" s="289" t="str">
        <f>+TableA1!A67</f>
        <v>Cyprus</v>
      </c>
      <c r="B67" s="298">
        <f>+TableB2!C67</f>
        <v>5.2637361260589266</v>
      </c>
      <c r="C67" s="308">
        <f>+TableB2!D67</f>
        <v>3.6846152882412486</v>
      </c>
      <c r="D67" s="46">
        <f t="shared" si="0"/>
        <v>3.6846152882412486</v>
      </c>
      <c r="E67" s="46">
        <v>0</v>
      </c>
      <c r="F67" s="46">
        <v>0</v>
      </c>
      <c r="G67" s="46">
        <v>0</v>
      </c>
      <c r="H67" s="308">
        <f>TableB2!E67</f>
        <v>0</v>
      </c>
      <c r="I67" s="46">
        <f t="shared" si="1"/>
        <v>0</v>
      </c>
      <c r="J67" s="46">
        <v>0</v>
      </c>
      <c r="K67" s="46">
        <v>0</v>
      </c>
      <c r="L67" s="402">
        <v>0</v>
      </c>
      <c r="M67" s="925">
        <f>TableB2!F67</f>
        <v>1.579120837817678</v>
      </c>
    </row>
    <row r="68" spans="1:13" x14ac:dyDescent="0.35">
      <c r="A68" s="282" t="s">
        <v>281</v>
      </c>
      <c r="B68" s="298">
        <f>+TableB2!C68</f>
        <v>2.3281000000000001</v>
      </c>
      <c r="C68" s="308">
        <f>+TableB2!D68</f>
        <v>1.62967</v>
      </c>
      <c r="D68" s="46">
        <f t="shared" si="0"/>
        <v>1.62967</v>
      </c>
      <c r="E68" s="46">
        <v>0</v>
      </c>
      <c r="F68" s="46">
        <v>0</v>
      </c>
      <c r="G68" s="46">
        <v>0</v>
      </c>
      <c r="H68" s="308">
        <f>TableB2!E68</f>
        <v>0</v>
      </c>
      <c r="I68" s="46">
        <f t="shared" si="1"/>
        <v>0</v>
      </c>
      <c r="J68" s="46">
        <v>0</v>
      </c>
      <c r="K68" s="46">
        <v>0</v>
      </c>
      <c r="L68" s="402">
        <v>0</v>
      </c>
      <c r="M68" s="925">
        <f>TableB2!F68</f>
        <v>0.69843</v>
      </c>
    </row>
    <row r="69" spans="1:13" x14ac:dyDescent="0.35">
      <c r="A69" s="289" t="str">
        <f>+TableA1!A69</f>
        <v>Grenada</v>
      </c>
      <c r="B69" s="298">
        <f>+TableB2!C69</f>
        <v>1.52E-2</v>
      </c>
      <c r="C69" s="308">
        <f>+TableB2!D69</f>
        <v>1.064E-2</v>
      </c>
      <c r="D69" s="46">
        <f t="shared" si="0"/>
        <v>1.064E-2</v>
      </c>
      <c r="E69" s="46">
        <v>0</v>
      </c>
      <c r="F69" s="46">
        <v>0</v>
      </c>
      <c r="G69" s="46">
        <v>0</v>
      </c>
      <c r="H69" s="308">
        <f>TableB2!E69</f>
        <v>0</v>
      </c>
      <c r="I69" s="46">
        <f t="shared" si="1"/>
        <v>0</v>
      </c>
      <c r="J69" s="46">
        <v>0</v>
      </c>
      <c r="K69" s="46">
        <v>0</v>
      </c>
      <c r="L69" s="402">
        <v>0</v>
      </c>
      <c r="M69" s="925">
        <f>TableB2!F69</f>
        <v>4.5599999999999998E-3</v>
      </c>
    </row>
    <row r="70" spans="1:13" x14ac:dyDescent="0.35">
      <c r="A70" s="282" t="s">
        <v>282</v>
      </c>
      <c r="B70" s="298">
        <f>+TableB2!C70</f>
        <v>0.76690416711093745</v>
      </c>
      <c r="C70" s="308">
        <f>+TableB2!D70</f>
        <v>0.53683291697765623</v>
      </c>
      <c r="D70" s="46">
        <f t="shared" si="0"/>
        <v>0.53683291697765623</v>
      </c>
      <c r="E70" s="46">
        <v>0</v>
      </c>
      <c r="F70" s="46">
        <v>0</v>
      </c>
      <c r="G70" s="46">
        <v>0</v>
      </c>
      <c r="H70" s="308">
        <f>TableB2!E70</f>
        <v>0</v>
      </c>
      <c r="I70" s="46">
        <f t="shared" si="1"/>
        <v>0</v>
      </c>
      <c r="J70" s="46">
        <v>0</v>
      </c>
      <c r="K70" s="46">
        <v>0</v>
      </c>
      <c r="L70" s="402">
        <v>0</v>
      </c>
      <c r="M70" s="925">
        <f>TableB2!F70</f>
        <v>0.23007125013328122</v>
      </c>
    </row>
    <row r="71" spans="1:13" x14ac:dyDescent="0.35">
      <c r="A71" s="282" t="s">
        <v>283</v>
      </c>
      <c r="B71" s="298">
        <f>+TableB2!C71</f>
        <v>0.30164808972880497</v>
      </c>
      <c r="C71" s="308">
        <f>+TableB2!D71</f>
        <v>0.21115366281016348</v>
      </c>
      <c r="D71" s="46">
        <f t="shared" si="0"/>
        <v>0.21115366281016348</v>
      </c>
      <c r="E71" s="46">
        <v>0</v>
      </c>
      <c r="F71" s="46">
        <v>0</v>
      </c>
      <c r="G71" s="46">
        <v>0</v>
      </c>
      <c r="H71" s="308">
        <f>TableB2!E71</f>
        <v>0</v>
      </c>
      <c r="I71" s="46">
        <f t="shared" si="1"/>
        <v>0</v>
      </c>
      <c r="J71" s="46">
        <v>0</v>
      </c>
      <c r="K71" s="46">
        <v>0</v>
      </c>
      <c r="L71" s="402">
        <v>0</v>
      </c>
      <c r="M71" s="925">
        <f>TableB2!F71</f>
        <v>9.0494426918641485E-2</v>
      </c>
    </row>
    <row r="72" spans="1:13" x14ac:dyDescent="0.35">
      <c r="A72" s="282" t="s">
        <v>220</v>
      </c>
      <c r="B72" s="298">
        <f>+TableB2!C72</f>
        <v>137</v>
      </c>
      <c r="C72" s="308">
        <f>+TableB2!D72</f>
        <v>95.9</v>
      </c>
      <c r="D72" s="46">
        <f t="shared" si="0"/>
        <v>95.9</v>
      </c>
      <c r="E72" s="46">
        <v>0</v>
      </c>
      <c r="F72" s="46">
        <v>0</v>
      </c>
      <c r="G72" s="46">
        <v>0</v>
      </c>
      <c r="H72" s="308">
        <f>TableB2!E72</f>
        <v>0</v>
      </c>
      <c r="I72" s="46">
        <f t="shared" si="1"/>
        <v>0</v>
      </c>
      <c r="J72" s="46">
        <v>0</v>
      </c>
      <c r="K72" s="46">
        <v>0</v>
      </c>
      <c r="L72" s="402">
        <v>0</v>
      </c>
      <c r="M72" s="925">
        <f>TableB2!F72</f>
        <v>41.1</v>
      </c>
    </row>
    <row r="73" spans="1:13" x14ac:dyDescent="0.35">
      <c r="A73" s="282" t="s">
        <v>284</v>
      </c>
      <c r="B73" s="298">
        <f>+TableB2!C73</f>
        <v>0.6025320598192031</v>
      </c>
      <c r="C73" s="308">
        <f>+TableB2!D73</f>
        <v>0.42177244187344221</v>
      </c>
      <c r="D73" s="46">
        <f t="shared" si="0"/>
        <v>0.42177244187344221</v>
      </c>
      <c r="E73" s="46">
        <v>0</v>
      </c>
      <c r="F73" s="46">
        <v>0</v>
      </c>
      <c r="G73" s="46">
        <v>0</v>
      </c>
      <c r="H73" s="308">
        <f>TableB2!E73</f>
        <v>0</v>
      </c>
      <c r="I73" s="46">
        <f t="shared" si="1"/>
        <v>0</v>
      </c>
      <c r="J73" s="46">
        <v>0</v>
      </c>
      <c r="K73" s="46">
        <v>0</v>
      </c>
      <c r="L73" s="402">
        <v>0</v>
      </c>
      <c r="M73" s="925">
        <f>TableB2!F73</f>
        <v>0.18075961794576093</v>
      </c>
    </row>
    <row r="74" spans="1:13" x14ac:dyDescent="0.35">
      <c r="A74" s="282" t="s">
        <v>285</v>
      </c>
      <c r="B74" s="298">
        <f>+TableB2!C74</f>
        <v>0.436</v>
      </c>
      <c r="C74" s="308">
        <f>+TableB2!D74</f>
        <v>0.30520000000000003</v>
      </c>
      <c r="D74" s="46">
        <f t="shared" si="0"/>
        <v>0.30520000000000003</v>
      </c>
      <c r="E74" s="46">
        <v>0</v>
      </c>
      <c r="F74" s="46">
        <v>0</v>
      </c>
      <c r="G74" s="46">
        <v>0</v>
      </c>
      <c r="H74" s="308">
        <f>TableB2!E74</f>
        <v>0</v>
      </c>
      <c r="I74" s="46">
        <f t="shared" si="1"/>
        <v>0</v>
      </c>
      <c r="J74" s="46">
        <v>0</v>
      </c>
      <c r="K74" s="46">
        <v>0</v>
      </c>
      <c r="L74" s="402">
        <v>0</v>
      </c>
      <c r="M74" s="925">
        <f>TableB2!F74</f>
        <v>0.1308</v>
      </c>
    </row>
    <row r="75" spans="1:13" x14ac:dyDescent="0.35">
      <c r="A75" s="282" t="s">
        <v>286</v>
      </c>
      <c r="B75" s="298">
        <f>+TableB2!C75</f>
        <v>7.4999999999999997E-3</v>
      </c>
      <c r="C75" s="308">
        <f>+TableB2!D75</f>
        <v>5.2499999999999995E-3</v>
      </c>
      <c r="D75" s="46">
        <f t="shared" si="0"/>
        <v>5.2499999999999995E-3</v>
      </c>
      <c r="E75" s="46">
        <v>0</v>
      </c>
      <c r="F75" s="46">
        <v>0</v>
      </c>
      <c r="G75" s="46">
        <v>0</v>
      </c>
      <c r="H75" s="308">
        <f>TableB2!E75</f>
        <v>0</v>
      </c>
      <c r="I75" s="46">
        <f t="shared" si="1"/>
        <v>0</v>
      </c>
      <c r="J75" s="46">
        <v>0</v>
      </c>
      <c r="K75" s="46">
        <v>0</v>
      </c>
      <c r="L75" s="402">
        <v>0</v>
      </c>
      <c r="M75" s="925">
        <f>TableB2!F75</f>
        <v>2.2499999999999998E-3</v>
      </c>
    </row>
    <row r="76" spans="1:13" x14ac:dyDescent="0.35">
      <c r="A76" s="282" t="s">
        <v>287</v>
      </c>
      <c r="B76" s="298">
        <f>+TableB2!C76</f>
        <v>6.43</v>
      </c>
      <c r="C76" s="308">
        <f>+TableB2!D76</f>
        <v>4.5009999999999994</v>
      </c>
      <c r="D76" s="46">
        <f t="shared" si="0"/>
        <v>4.5009999999999994</v>
      </c>
      <c r="E76" s="46">
        <v>0</v>
      </c>
      <c r="F76" s="46">
        <v>0</v>
      </c>
      <c r="G76" s="46">
        <v>0</v>
      </c>
      <c r="H76" s="308">
        <f>TableB2!E76</f>
        <v>0</v>
      </c>
      <c r="I76" s="46">
        <f t="shared" si="1"/>
        <v>0</v>
      </c>
      <c r="J76" s="46">
        <v>0</v>
      </c>
      <c r="K76" s="46">
        <v>0</v>
      </c>
      <c r="L76" s="402">
        <v>0</v>
      </c>
      <c r="M76" s="925">
        <f>TableB2!F76</f>
        <v>1.9289999999999998</v>
      </c>
    </row>
    <row r="77" spans="1:13" x14ac:dyDescent="0.35">
      <c r="A77" s="282" t="s">
        <v>301</v>
      </c>
      <c r="B77" s="298">
        <f>+TableB2!C77</f>
        <v>10.1</v>
      </c>
      <c r="C77" s="308">
        <f>+TableB2!D77</f>
        <v>7.07</v>
      </c>
      <c r="D77" s="46">
        <f t="shared" si="0"/>
        <v>7.07</v>
      </c>
      <c r="E77" s="46">
        <v>0</v>
      </c>
      <c r="F77" s="46">
        <v>0</v>
      </c>
      <c r="G77" s="46">
        <v>0</v>
      </c>
      <c r="H77" s="308">
        <f>TableB2!E77</f>
        <v>0</v>
      </c>
      <c r="I77" s="46">
        <f t="shared" si="1"/>
        <v>0</v>
      </c>
      <c r="J77" s="46">
        <v>0</v>
      </c>
      <c r="K77" s="46">
        <v>0</v>
      </c>
      <c r="L77" s="402">
        <v>0</v>
      </c>
      <c r="M77" s="925">
        <f>TableB2!F77</f>
        <v>3.03</v>
      </c>
    </row>
    <row r="78" spans="1:13" x14ac:dyDescent="0.35">
      <c r="A78" s="282" t="s">
        <v>302</v>
      </c>
      <c r="B78" s="298">
        <f>+TableB2!C78</f>
        <v>0.12425690030132812</v>
      </c>
      <c r="C78" s="308">
        <f>+TableB2!D78</f>
        <v>8.6979830210929684E-2</v>
      </c>
      <c r="D78" s="46">
        <f t="shared" si="0"/>
        <v>8.6979830210929684E-2</v>
      </c>
      <c r="E78" s="46">
        <v>0</v>
      </c>
      <c r="F78" s="46">
        <v>0</v>
      </c>
      <c r="G78" s="46">
        <v>0</v>
      </c>
      <c r="H78" s="308">
        <f>TableB2!E78</f>
        <v>0</v>
      </c>
      <c r="I78" s="46">
        <f t="shared" si="1"/>
        <v>0</v>
      </c>
      <c r="J78" s="46">
        <v>0</v>
      </c>
      <c r="K78" s="46">
        <v>0</v>
      </c>
      <c r="L78" s="402">
        <v>0</v>
      </c>
      <c r="M78" s="925">
        <f>TableB2!F78</f>
        <v>3.7277070090398434E-2</v>
      </c>
    </row>
    <row r="79" spans="1:13" x14ac:dyDescent="0.35">
      <c r="A79" s="289" t="str">
        <f>+TableA1!A79</f>
        <v>Monaco</v>
      </c>
      <c r="B79" s="298">
        <f>+TableB2!C79</f>
        <v>0</v>
      </c>
      <c r="C79" s="308">
        <f>+TableB2!D79</f>
        <v>0</v>
      </c>
      <c r="D79" s="46">
        <f t="shared" si="0"/>
        <v>0</v>
      </c>
      <c r="E79" s="46">
        <v>0</v>
      </c>
      <c r="F79" s="46">
        <v>0</v>
      </c>
      <c r="G79" s="46">
        <v>0</v>
      </c>
      <c r="H79" s="308">
        <f>TableB2!E79</f>
        <v>0</v>
      </c>
      <c r="I79" s="46">
        <f t="shared" si="1"/>
        <v>0</v>
      </c>
      <c r="J79" s="46">
        <v>0</v>
      </c>
      <c r="K79" s="46">
        <v>0</v>
      </c>
      <c r="L79" s="402">
        <v>0</v>
      </c>
      <c r="M79" s="925">
        <f>TableB2!F79</f>
        <v>0</v>
      </c>
    </row>
    <row r="80" spans="1:13" x14ac:dyDescent="0.35">
      <c r="A80" s="282" t="s">
        <v>288</v>
      </c>
      <c r="B80" s="298">
        <f>+TableB2!C80</f>
        <v>3.5999999999999999E-3</v>
      </c>
      <c r="C80" s="308">
        <f>+TableB2!D80</f>
        <v>2.5199999999999997E-3</v>
      </c>
      <c r="D80" s="46">
        <f t="shared" si="0"/>
        <v>2.5199999999999997E-3</v>
      </c>
      <c r="E80" s="46">
        <v>0</v>
      </c>
      <c r="F80" s="46">
        <v>0</v>
      </c>
      <c r="G80" s="46">
        <v>0</v>
      </c>
      <c r="H80" s="308">
        <f>TableB2!E80</f>
        <v>0</v>
      </c>
      <c r="I80" s="46">
        <f t="shared" si="1"/>
        <v>0</v>
      </c>
      <c r="J80" s="46">
        <v>0</v>
      </c>
      <c r="K80" s="46">
        <v>0</v>
      </c>
      <c r="L80" s="402">
        <v>0</v>
      </c>
      <c r="M80" s="925">
        <f>TableB2!F80</f>
        <v>1.08E-3</v>
      </c>
    </row>
    <row r="81" spans="1:14" x14ac:dyDescent="0.35">
      <c r="A81" s="282" t="s">
        <v>289</v>
      </c>
      <c r="B81" s="298">
        <f>+TableB2!C81</f>
        <v>4.0199999999999996</v>
      </c>
      <c r="C81" s="308">
        <f>+TableB2!D81</f>
        <v>2.8140000000000001</v>
      </c>
      <c r="D81" s="46">
        <f t="shared" si="0"/>
        <v>2.8140000000000001</v>
      </c>
      <c r="E81" s="46">
        <v>0</v>
      </c>
      <c r="F81" s="46">
        <v>0</v>
      </c>
      <c r="G81" s="46">
        <v>0</v>
      </c>
      <c r="H81" s="308">
        <f>TableB2!E81</f>
        <v>0</v>
      </c>
      <c r="I81" s="46">
        <f t="shared" si="1"/>
        <v>0</v>
      </c>
      <c r="J81" s="46">
        <v>0</v>
      </c>
      <c r="K81" s="46">
        <v>0</v>
      </c>
      <c r="L81" s="402">
        <v>0</v>
      </c>
      <c r="M81" s="925">
        <f>TableB2!F81</f>
        <v>1.2059999999999997</v>
      </c>
    </row>
    <row r="82" spans="1:14" x14ac:dyDescent="0.35">
      <c r="A82" s="289" t="str">
        <f>+TableA1!A82</f>
        <v>Seychelles</v>
      </c>
      <c r="B82" s="298">
        <f>+TableB2!C82</f>
        <v>6.9929293879999993E-2</v>
      </c>
      <c r="C82" s="308">
        <f>+TableB2!D82</f>
        <v>4.8950505716000001E-2</v>
      </c>
      <c r="D82" s="46">
        <f t="shared" si="0"/>
        <v>4.8950505716000001E-2</v>
      </c>
      <c r="E82" s="46">
        <v>0</v>
      </c>
      <c r="F82" s="46">
        <v>0</v>
      </c>
      <c r="G82" s="46">
        <v>0</v>
      </c>
      <c r="H82" s="308">
        <f>TableB2!E82</f>
        <v>0</v>
      </c>
      <c r="I82" s="46">
        <f t="shared" si="1"/>
        <v>0</v>
      </c>
      <c r="J82" s="46">
        <v>0</v>
      </c>
      <c r="K82" s="46">
        <v>0</v>
      </c>
      <c r="L82" s="402">
        <v>0</v>
      </c>
      <c r="M82" s="925">
        <f>TableB2!F82</f>
        <v>2.0978788163999996E-2</v>
      </c>
    </row>
    <row r="83" spans="1:14" x14ac:dyDescent="0.35">
      <c r="A83" s="282" t="s">
        <v>225</v>
      </c>
      <c r="B83" s="298">
        <f>+TableB2!C83</f>
        <v>48.948502210899605</v>
      </c>
      <c r="C83" s="308">
        <f>+TableB2!D83</f>
        <v>34.263951547629723</v>
      </c>
      <c r="D83" s="46">
        <f t="shared" si="0"/>
        <v>34.263951547629723</v>
      </c>
      <c r="E83" s="46">
        <v>0</v>
      </c>
      <c r="F83" s="46">
        <v>0</v>
      </c>
      <c r="G83" s="46">
        <v>0</v>
      </c>
      <c r="H83" s="308">
        <f>TableB2!E83</f>
        <v>0</v>
      </c>
      <c r="I83" s="46">
        <f t="shared" si="1"/>
        <v>0</v>
      </c>
      <c r="J83" s="46">
        <v>0</v>
      </c>
      <c r="K83" s="46">
        <v>0</v>
      </c>
      <c r="L83" s="402">
        <v>0</v>
      </c>
      <c r="M83" s="925">
        <f>TableB2!F83</f>
        <v>14.684550663269881</v>
      </c>
    </row>
    <row r="84" spans="1:14" x14ac:dyDescent="0.35">
      <c r="A84" s="289" t="str">
        <f>+TableA1!A84</f>
        <v>St. Kitts and Nevis</v>
      </c>
      <c r="B84" s="298">
        <f>+TableB2!C84</f>
        <v>3.0000000000000003E-4</v>
      </c>
      <c r="C84" s="308">
        <f>+TableB2!D84</f>
        <v>2.1000000000000001E-4</v>
      </c>
      <c r="D84" s="46">
        <f t="shared" si="0"/>
        <v>2.1000000000000001E-4</v>
      </c>
      <c r="E84" s="46">
        <v>0</v>
      </c>
      <c r="F84" s="46">
        <v>0</v>
      </c>
      <c r="G84" s="46">
        <v>0</v>
      </c>
      <c r="H84" s="308">
        <f>TableB2!E84</f>
        <v>0</v>
      </c>
      <c r="I84" s="46">
        <f t="shared" si="1"/>
        <v>0</v>
      </c>
      <c r="J84" s="46">
        <v>0</v>
      </c>
      <c r="K84" s="46">
        <v>0</v>
      </c>
      <c r="L84" s="402">
        <v>0</v>
      </c>
      <c r="M84" s="925">
        <f>TableB2!F84</f>
        <v>9.0000000000000006E-5</v>
      </c>
    </row>
    <row r="85" spans="1:14" x14ac:dyDescent="0.35">
      <c r="A85" s="289" t="str">
        <f>+TableA1!A85</f>
        <v>St. Lucia</v>
      </c>
      <c r="B85" s="298">
        <f>+TableB2!C85</f>
        <v>7.1900000000000006E-2</v>
      </c>
      <c r="C85" s="308">
        <f>+TableB2!D85</f>
        <v>5.033E-2</v>
      </c>
      <c r="D85" s="46">
        <f t="shared" si="0"/>
        <v>5.033E-2</v>
      </c>
      <c r="E85" s="46">
        <v>0</v>
      </c>
      <c r="F85" s="46">
        <v>0</v>
      </c>
      <c r="G85" s="46">
        <v>0</v>
      </c>
      <c r="H85" s="308">
        <f>TableB2!E85</f>
        <v>0</v>
      </c>
      <c r="I85" s="46">
        <f t="shared" si="1"/>
        <v>0</v>
      </c>
      <c r="J85" s="46">
        <v>0</v>
      </c>
      <c r="K85" s="46">
        <v>0</v>
      </c>
      <c r="L85" s="402">
        <v>0</v>
      </c>
      <c r="M85" s="925">
        <f>TableB2!F85</f>
        <v>2.1570000000000002E-2</v>
      </c>
    </row>
    <row r="86" spans="1:14" x14ac:dyDescent="0.35">
      <c r="A86" s="289" t="str">
        <f>+TableA1!A86</f>
        <v>St. Vincent and the Grenadines</v>
      </c>
      <c r="B86" s="298">
        <f>+TableB2!C86</f>
        <v>1.6300000000000002E-2</v>
      </c>
      <c r="C86" s="308">
        <f>+TableB2!D86</f>
        <v>1.1410000000000002E-2</v>
      </c>
      <c r="D86" s="46">
        <f t="shared" si="0"/>
        <v>1.1410000000000002E-2</v>
      </c>
      <c r="E86" s="46">
        <v>0</v>
      </c>
      <c r="F86" s="46">
        <v>0</v>
      </c>
      <c r="G86" s="46">
        <v>0</v>
      </c>
      <c r="H86" s="308">
        <f>TableB2!E86</f>
        <v>0</v>
      </c>
      <c r="I86" s="46">
        <f t="shared" si="1"/>
        <v>0</v>
      </c>
      <c r="J86" s="46">
        <v>0</v>
      </c>
      <c r="K86" s="46">
        <v>0</v>
      </c>
      <c r="L86" s="402">
        <v>0</v>
      </c>
      <c r="M86" s="925">
        <f>TableB2!F86</f>
        <v>4.8900000000000002E-3</v>
      </c>
    </row>
    <row r="87" spans="1:14" x14ac:dyDescent="0.35">
      <c r="A87" s="289" t="str">
        <f>+TableA1!A87</f>
        <v>Turks and Caicos</v>
      </c>
      <c r="B87" s="298">
        <f>+TableB2!C87</f>
        <v>0</v>
      </c>
      <c r="C87" s="308">
        <f>+TableB2!D87</f>
        <v>0</v>
      </c>
      <c r="D87" s="46">
        <f t="shared" si="0"/>
        <v>0</v>
      </c>
      <c r="E87" s="46">
        <v>0</v>
      </c>
      <c r="F87" s="46">
        <v>0</v>
      </c>
      <c r="G87" s="46">
        <v>0</v>
      </c>
      <c r="H87" s="308">
        <f>TableB2!E87</f>
        <v>0</v>
      </c>
      <c r="I87" s="46">
        <f t="shared" si="1"/>
        <v>0</v>
      </c>
      <c r="J87" s="46">
        <v>0</v>
      </c>
      <c r="K87" s="46">
        <v>0</v>
      </c>
      <c r="L87" s="402">
        <v>0</v>
      </c>
      <c r="M87" s="925">
        <f>TableB2!F87</f>
        <v>0</v>
      </c>
    </row>
    <row r="88" spans="1:14" x14ac:dyDescent="0.35">
      <c r="A88" s="289" t="str">
        <f>+TableA1!A88</f>
        <v>Panama</v>
      </c>
      <c r="B88" s="298">
        <f>+TableB2!C88</f>
        <v>4.22</v>
      </c>
      <c r="C88" s="308">
        <f>+TableB2!D88</f>
        <v>2.9539999999999997</v>
      </c>
      <c r="D88" s="46">
        <f t="shared" si="0"/>
        <v>2.9539999999999997</v>
      </c>
      <c r="E88" s="46">
        <v>0</v>
      </c>
      <c r="F88" s="46">
        <v>0</v>
      </c>
      <c r="G88" s="46">
        <v>0</v>
      </c>
      <c r="H88" s="308">
        <f>TableB2!E88</f>
        <v>0</v>
      </c>
      <c r="I88" s="46">
        <f t="shared" si="1"/>
        <v>0</v>
      </c>
      <c r="J88" s="46">
        <v>0</v>
      </c>
      <c r="K88" s="46">
        <v>0</v>
      </c>
      <c r="L88" s="402">
        <v>0</v>
      </c>
      <c r="M88" s="925">
        <f>TableB2!F88</f>
        <v>1.2659999999999998</v>
      </c>
    </row>
    <row r="89" spans="1:14" ht="16" thickBot="1" x14ac:dyDescent="0.4">
      <c r="A89" s="283" t="s">
        <v>290</v>
      </c>
      <c r="B89" s="78">
        <f>+TableB2!C89</f>
        <v>35.126800000000003</v>
      </c>
      <c r="C89" s="80">
        <f>+TableB2!D89</f>
        <v>24.588760000000001</v>
      </c>
      <c r="D89" s="79">
        <f t="shared" si="0"/>
        <v>24.588760000000001</v>
      </c>
      <c r="E89" s="79">
        <v>0</v>
      </c>
      <c r="F89" s="79">
        <v>0</v>
      </c>
      <c r="G89" s="79">
        <v>0</v>
      </c>
      <c r="H89" s="80">
        <f>TableB2!E89</f>
        <v>0</v>
      </c>
      <c r="I89" s="79">
        <f t="shared" si="1"/>
        <v>0</v>
      </c>
      <c r="J89" s="79">
        <v>0</v>
      </c>
      <c r="K89" s="79">
        <v>0</v>
      </c>
      <c r="L89" s="926">
        <v>0</v>
      </c>
      <c r="M89" s="927">
        <f>TableB2!F48</f>
        <v>1.5393656057999996</v>
      </c>
    </row>
    <row r="90" spans="1:14" ht="16.5" thickTop="1" thickBot="1" x14ac:dyDescent="0.4">
      <c r="D90" s="7"/>
      <c r="E90" s="7"/>
      <c r="F90" s="7"/>
      <c r="G90" s="7"/>
      <c r="I90" s="7"/>
      <c r="J90" s="7"/>
      <c r="K90" s="7"/>
      <c r="L90" s="7"/>
    </row>
    <row r="91" spans="1:14" s="2" customFormat="1" x14ac:dyDescent="0.35">
      <c r="A91" s="2319" t="s">
        <v>707</v>
      </c>
      <c r="B91" s="2320"/>
      <c r="C91" s="2320"/>
      <c r="D91" s="2320"/>
      <c r="E91" s="2320"/>
      <c r="F91" s="2320"/>
      <c r="G91" s="2320"/>
      <c r="H91" s="2320"/>
      <c r="I91" s="2320"/>
      <c r="J91" s="2320"/>
      <c r="K91" s="2320"/>
      <c r="L91" s="2320"/>
      <c r="M91" s="2321"/>
      <c r="N91" s="1"/>
    </row>
    <row r="92" spans="1:14" s="2" customFormat="1" ht="16" thickBot="1" x14ac:dyDescent="0.4">
      <c r="A92" s="2322"/>
      <c r="B92" s="2323"/>
      <c r="C92" s="2323"/>
      <c r="D92" s="2323"/>
      <c r="E92" s="2323"/>
      <c r="F92" s="2323"/>
      <c r="G92" s="2323"/>
      <c r="H92" s="2323"/>
      <c r="I92" s="2323"/>
      <c r="J92" s="2323"/>
      <c r="K92" s="2323"/>
      <c r="L92" s="2323"/>
      <c r="M92" s="2324"/>
      <c r="N92" s="1"/>
    </row>
    <row r="93" spans="1:14" s="2" customFormat="1" x14ac:dyDescent="0.35">
      <c r="A93" s="1"/>
      <c r="B93" s="1"/>
      <c r="C93" s="1"/>
      <c r="D93" s="1"/>
      <c r="E93" s="1"/>
      <c r="F93" s="1"/>
      <c r="G93" s="1"/>
      <c r="H93" s="1"/>
      <c r="I93" s="1"/>
      <c r="J93" s="1"/>
      <c r="K93" s="1"/>
      <c r="L93" s="1"/>
      <c r="M93" s="1"/>
      <c r="N93" s="1"/>
    </row>
    <row r="94" spans="1:14" s="2" customFormat="1" x14ac:dyDescent="0.35">
      <c r="A94" s="1"/>
      <c r="B94" s="1"/>
      <c r="C94" s="1"/>
      <c r="D94" s="1"/>
      <c r="E94" s="1"/>
      <c r="F94" s="1"/>
      <c r="G94" s="1"/>
      <c r="H94" s="1"/>
      <c r="I94" s="1"/>
      <c r="J94" s="1"/>
      <c r="K94" s="1"/>
      <c r="L94" s="1"/>
      <c r="M94" s="1"/>
      <c r="N94" s="1"/>
    </row>
    <row r="95" spans="1:14" s="2" customFormat="1" x14ac:dyDescent="0.35">
      <c r="A95" s="1"/>
      <c r="B95" s="1"/>
      <c r="C95" s="1"/>
      <c r="D95" s="1"/>
      <c r="E95" s="1"/>
      <c r="F95" s="1"/>
      <c r="G95" s="1"/>
      <c r="H95" s="1"/>
      <c r="I95" s="1"/>
      <c r="J95" s="1"/>
      <c r="K95" s="1"/>
      <c r="L95" s="1"/>
      <c r="M95" s="1"/>
      <c r="N95" s="1"/>
    </row>
    <row r="96" spans="1:14" x14ac:dyDescent="0.35">
      <c r="L96" s="28"/>
    </row>
    <row r="97" spans="1:14" s="2" customFormat="1" x14ac:dyDescent="0.35">
      <c r="A97" s="1"/>
      <c r="B97" s="1"/>
      <c r="C97" s="1"/>
      <c r="D97" s="1"/>
      <c r="E97" s="1"/>
      <c r="F97" s="1"/>
      <c r="G97" s="1"/>
      <c r="H97" s="1"/>
      <c r="I97" s="1"/>
      <c r="J97" s="1"/>
      <c r="K97" s="1"/>
      <c r="L97" s="1"/>
      <c r="M97" s="1"/>
      <c r="N97" s="1"/>
    </row>
  </sheetData>
  <mergeCells count="7">
    <mergeCell ref="A91:M92"/>
    <mergeCell ref="M8:M9"/>
    <mergeCell ref="B7:M7"/>
    <mergeCell ref="A4:M4"/>
    <mergeCell ref="B8:B9"/>
    <mergeCell ref="C8:C9"/>
    <mergeCell ref="H8:H9"/>
  </mergeCells>
  <pageMargins left="0.75" right="0.75" top="1" bottom="1" header="0.5" footer="0.5"/>
  <pageSetup scale="44"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2:S97"/>
  <sheetViews>
    <sheetView workbookViewId="0">
      <pane xSplit="1" ySplit="9" topLeftCell="B10" activePane="bottomRight" state="frozen"/>
      <selection activeCell="AR8" sqref="AR8"/>
      <selection pane="topRight" activeCell="AR8" sqref="AR8"/>
      <selection pane="bottomLeft" activeCell="AR8" sqref="AR8"/>
      <selection pane="bottomRight" activeCell="A12" sqref="A12"/>
    </sheetView>
  </sheetViews>
  <sheetFormatPr baseColWidth="10" defaultColWidth="10.81640625" defaultRowHeight="15.5" x14ac:dyDescent="0.35"/>
  <cols>
    <col min="1" max="1" width="16.6328125" style="1" customWidth="1"/>
    <col min="2" max="2" width="12.453125" style="1" customWidth="1"/>
    <col min="3" max="3" width="11.81640625" style="1" customWidth="1"/>
    <col min="4" max="5" width="11.36328125" style="1" customWidth="1"/>
    <col min="6" max="6" width="11.81640625" style="1" customWidth="1"/>
    <col min="7" max="9" width="11.36328125" style="1" customWidth="1"/>
    <col min="10" max="14" width="11.81640625" style="1" customWidth="1"/>
    <col min="15" max="16384" width="10.81640625" style="1"/>
  </cols>
  <sheetData>
    <row r="2" spans="1:19" ht="16" thickBot="1" x14ac:dyDescent="0.4"/>
    <row r="3" spans="1:19" ht="32.25" customHeight="1" thickTop="1" x14ac:dyDescent="0.35">
      <c r="A3" s="2048" t="s">
        <v>158</v>
      </c>
      <c r="B3" s="2049"/>
      <c r="C3" s="2049"/>
      <c r="D3" s="2049"/>
      <c r="E3" s="2049"/>
      <c r="F3" s="2049"/>
      <c r="G3" s="2049"/>
      <c r="H3" s="2049"/>
      <c r="I3" s="2049"/>
      <c r="J3" s="2049"/>
      <c r="K3" s="2049"/>
      <c r="L3" s="2049"/>
      <c r="M3" s="2049"/>
      <c r="N3" s="2049"/>
      <c r="O3" s="2050"/>
    </row>
    <row r="4" spans="1:19" ht="12" customHeight="1" x14ac:dyDescent="0.35">
      <c r="A4" s="11"/>
      <c r="B4" s="64"/>
      <c r="C4" s="64"/>
      <c r="D4" s="64"/>
      <c r="E4" s="64"/>
      <c r="F4" s="64"/>
      <c r="G4" s="64"/>
      <c r="H4" s="64"/>
      <c r="I4" s="64"/>
      <c r="J4" s="28"/>
      <c r="K4" s="28"/>
      <c r="L4" s="28"/>
      <c r="M4" s="28"/>
      <c r="N4" s="28"/>
      <c r="O4" s="34"/>
    </row>
    <row r="5" spans="1:19" ht="16" thickBot="1" x14ac:dyDescent="0.4">
      <c r="A5" s="13"/>
      <c r="B5" s="10" t="s">
        <v>20</v>
      </c>
      <c r="C5" s="10" t="s">
        <v>21</v>
      </c>
      <c r="D5" s="10" t="s">
        <v>22</v>
      </c>
      <c r="E5" s="10" t="s">
        <v>23</v>
      </c>
      <c r="F5" s="10" t="s">
        <v>24</v>
      </c>
      <c r="G5" s="10" t="s">
        <v>25</v>
      </c>
      <c r="H5" s="10" t="s">
        <v>26</v>
      </c>
      <c r="I5" s="10" t="s">
        <v>33</v>
      </c>
      <c r="J5" s="10" t="s">
        <v>34</v>
      </c>
      <c r="K5" s="41" t="s">
        <v>37</v>
      </c>
      <c r="L5" s="10" t="s">
        <v>105</v>
      </c>
      <c r="M5" s="10" t="s">
        <v>138</v>
      </c>
      <c r="N5" s="10" t="s">
        <v>139</v>
      </c>
      <c r="O5" s="14" t="s">
        <v>140</v>
      </c>
    </row>
    <row r="6" spans="1:19" ht="21" customHeight="1" x14ac:dyDescent="0.35">
      <c r="A6" s="13"/>
      <c r="B6" s="2326" t="s">
        <v>53</v>
      </c>
      <c r="C6" s="2327"/>
      <c r="D6" s="2327"/>
      <c r="E6" s="2327"/>
      <c r="F6" s="2327"/>
      <c r="G6" s="2327"/>
      <c r="H6" s="2327"/>
      <c r="I6" s="2327"/>
      <c r="J6" s="2327"/>
      <c r="K6" s="2327"/>
      <c r="L6" s="2327"/>
      <c r="M6" s="2327"/>
      <c r="N6" s="2327"/>
      <c r="O6" s="2312"/>
    </row>
    <row r="7" spans="1:19" ht="21" customHeight="1" x14ac:dyDescent="0.35">
      <c r="A7" s="13"/>
      <c r="B7" s="2230" t="s">
        <v>154</v>
      </c>
      <c r="C7" s="2231"/>
      <c r="D7" s="2231"/>
      <c r="E7" s="2231"/>
      <c r="F7" s="2231"/>
      <c r="G7" s="2231"/>
      <c r="H7" s="2231"/>
      <c r="I7" s="2232"/>
      <c r="J7" s="2231" t="s">
        <v>155</v>
      </c>
      <c r="K7" s="2231"/>
      <c r="L7" s="2231"/>
      <c r="M7" s="2231"/>
      <c r="N7" s="2231"/>
      <c r="O7" s="2315"/>
    </row>
    <row r="8" spans="1:19" ht="85" customHeight="1" x14ac:dyDescent="0.35">
      <c r="A8" s="13"/>
      <c r="B8" s="2131" t="s">
        <v>150</v>
      </c>
      <c r="C8" s="62" t="s">
        <v>152</v>
      </c>
      <c r="D8" s="63" t="s">
        <v>153</v>
      </c>
      <c r="E8" s="63" t="s">
        <v>51</v>
      </c>
      <c r="F8" s="2152" t="s">
        <v>151</v>
      </c>
      <c r="G8" s="1718" t="s">
        <v>152</v>
      </c>
      <c r="H8" s="1718" t="s">
        <v>153</v>
      </c>
      <c r="I8" s="1718" t="s">
        <v>51</v>
      </c>
      <c r="J8" s="2152" t="s">
        <v>150</v>
      </c>
      <c r="K8" s="1719" t="s">
        <v>156</v>
      </c>
      <c r="L8" s="1719" t="s">
        <v>157</v>
      </c>
      <c r="M8" s="2152" t="s">
        <v>151</v>
      </c>
      <c r="N8" s="1719" t="s">
        <v>156</v>
      </c>
      <c r="O8" s="96" t="s">
        <v>157</v>
      </c>
    </row>
    <row r="9" spans="1:19" ht="33" customHeight="1" x14ac:dyDescent="0.35">
      <c r="A9" s="13"/>
      <c r="B9" s="2131"/>
      <c r="C9" s="88"/>
      <c r="D9" s="5"/>
      <c r="E9" s="5"/>
      <c r="F9" s="2314"/>
      <c r="G9" s="1766"/>
      <c r="H9" s="1766"/>
      <c r="I9" s="1766"/>
      <c r="J9" s="2314"/>
      <c r="K9" s="1767"/>
      <c r="L9" s="1767"/>
      <c r="M9" s="2314"/>
      <c r="N9" s="1767"/>
      <c r="O9" s="1768"/>
      <c r="R9" s="27" t="s">
        <v>147</v>
      </c>
    </row>
    <row r="10" spans="1:19" ht="14.25" customHeight="1" x14ac:dyDescent="0.35">
      <c r="A10" s="71" t="s">
        <v>54</v>
      </c>
      <c r="B10" s="76">
        <v>0</v>
      </c>
      <c r="C10" s="85">
        <v>0</v>
      </c>
      <c r="D10" s="86">
        <v>0</v>
      </c>
      <c r="E10" s="86">
        <v>0</v>
      </c>
      <c r="F10" s="308">
        <v>0</v>
      </c>
      <c r="G10" s="33">
        <v>0</v>
      </c>
      <c r="H10" s="46">
        <v>0</v>
      </c>
      <c r="I10" s="87">
        <v>0</v>
      </c>
      <c r="J10" s="306">
        <v>0</v>
      </c>
      <c r="K10" s="8">
        <v>0</v>
      </c>
      <c r="L10" s="8">
        <v>0</v>
      </c>
      <c r="M10" s="306">
        <v>0</v>
      </c>
      <c r="N10" s="8">
        <v>0</v>
      </c>
      <c r="O10" s="35">
        <v>0</v>
      </c>
      <c r="R10" s="69">
        <f>B10-C10-D10-E10</f>
        <v>0</v>
      </c>
      <c r="S10" s="82">
        <f>F10-G10-H10-I10</f>
        <v>0</v>
      </c>
    </row>
    <row r="11" spans="1:19" ht="14.25" customHeight="1" x14ac:dyDescent="0.35">
      <c r="A11" s="13" t="s">
        <v>55</v>
      </c>
      <c r="B11" s="77">
        <f>+VLOOKUP(TableB5!A11,[3]Allincome!$A$12:$O$45,11,0)/1000</f>
        <v>-9.2379367720466004</v>
      </c>
      <c r="C11" s="81">
        <f>+VLOOKUP(TableB5!A11,[3]Div!$A$12:$O$45,11,0)/1000</f>
        <v>8.6522462562395999E-2</v>
      </c>
      <c r="D11" s="87">
        <f>+VLOOKUP(TableB5!A11,[3]Int!$A$12:$O$45,11,0)/1000</f>
        <v>7.5429839156960998E-2</v>
      </c>
      <c r="E11" s="87">
        <f>+VLOOKUP(TableB5!$A11,[3]Retained!$A$12:$O$46,11,0)/1000</f>
        <v>-9.3998890737659</v>
      </c>
      <c r="F11" s="70">
        <f>+VLOOKUP(TableB5!A11,[3]Allincome!$A$12:$O$45,14,0)/1000</f>
        <v>-9.1259012756517013</v>
      </c>
      <c r="G11" s="33">
        <f>+VLOOKUP(TableB5!A11,[3]Div!$A$12:$O$45,14,0)/1000</f>
        <v>0.49694952856350999</v>
      </c>
      <c r="H11" s="46">
        <f>+VLOOKUP(TableB5!A11,[3]Int!$A$12:$O$45,14,0)/1000</f>
        <v>0.11425402107598001</v>
      </c>
      <c r="I11" s="87">
        <f>+VLOOKUP(TableB5!$A11,[3]Retained!$A$12:$O$46,14,0)/1000</f>
        <v>-9.7371048252912011</v>
      </c>
      <c r="J11" s="52">
        <f>+VLOOKUP(TableB5!$A11,[3]Total!$A$12:$O$45,11,0)/1000</f>
        <v>78.506260206859011</v>
      </c>
      <c r="K11" s="8">
        <f>+VLOOKUP(TableB5!$A11,[3]Equity!$A$12:$O$45,11,0)/1000</f>
        <v>82.278715296678996</v>
      </c>
      <c r="L11" s="8">
        <f>+VLOOKUP(TableB5!$A11,[3]Debt!$A$12:$O$45,11,0)/1000</f>
        <v>-3.7724550898204003</v>
      </c>
      <c r="M11" s="52">
        <f>+VLOOKUP(TableB5!$A11,[3]Total!$A$12:$O$45,14,0)/1000</f>
        <v>80.537833424060992</v>
      </c>
      <c r="N11" s="8">
        <f>+VLOOKUP(TableB5!$A11,[3]Equity!$A$12:$O$45,14,0)/1000</f>
        <v>75.482852476864011</v>
      </c>
      <c r="O11" s="35">
        <f>+VLOOKUP(TableB5!$A11,[3]Debt!$A$12:$O$45,14,0)/1000</f>
        <v>5.0549809471965004</v>
      </c>
      <c r="R11" s="69">
        <f t="shared" ref="R11:R80" si="0">B11-C11-D11-E11</f>
        <v>-5.6843418860808015E-14</v>
      </c>
      <c r="S11" s="82">
        <f t="shared" ref="S11:S80" si="1">F11-G11-H11-I11</f>
        <v>0</v>
      </c>
    </row>
    <row r="12" spans="1:19" ht="14.25" customHeight="1" x14ac:dyDescent="0.35">
      <c r="A12" s="13" t="s">
        <v>2</v>
      </c>
      <c r="B12" s="77">
        <f>C12+D12+E12</f>
        <v>1.1883034022286869</v>
      </c>
      <c r="C12" s="33">
        <f>K12*C$32/K$32</f>
        <v>3.6649715983332323</v>
      </c>
      <c r="D12" s="87">
        <f>L12*D$32/L$32</f>
        <v>-4.03363169972633</v>
      </c>
      <c r="E12" s="87">
        <f>K12*E$32/K$32</f>
        <v>1.5569635036217846</v>
      </c>
      <c r="F12" s="77">
        <f>G12+H12+I12</f>
        <v>0.82037998876394691</v>
      </c>
      <c r="G12" s="33">
        <f>N12*G$32/N$32</f>
        <v>0.62526675492009542</v>
      </c>
      <c r="H12" s="46">
        <f>O12*H$32/O$32</f>
        <v>0.19798070095542991</v>
      </c>
      <c r="I12" s="87">
        <f>N12*I$32/N$32</f>
        <v>-2.8674671115784291E-3</v>
      </c>
      <c r="J12" s="52">
        <f>+VLOOKUP(TableB5!$A12,[3]Total!$A$12:$O$45,11,0)/1000</f>
        <v>27.678824169841999</v>
      </c>
      <c r="K12" s="8">
        <f>+VLOOKUP(TableB5!$A12,[3]Equity!$A$12:$O$45,11,0)/1000</f>
        <v>121.63309744148</v>
      </c>
      <c r="L12" s="8">
        <f>+VLOOKUP(TableB5!$A12,[3]Debt!$A$12:$O$45,11,0)/1000</f>
        <v>-93.954273271638996</v>
      </c>
      <c r="M12" s="52">
        <f>+VLOOKUP(TableB5!$A12,[3]Total!$A$12:$O$45,14,0)/1000</f>
        <v>19.773543821447998</v>
      </c>
      <c r="N12" s="8">
        <f>+VLOOKUP(TableB5!$A12,[3]Equity!$A$12:$O$45,14,0)/1000</f>
        <v>15.001633097440999</v>
      </c>
      <c r="O12" s="35">
        <f>+VLOOKUP(TableB5!$A12,[3]Debt!$A$12:$O$45,14,0)/1000</f>
        <v>4.7719107240064993</v>
      </c>
      <c r="R12" s="69">
        <f t="shared" si="0"/>
        <v>0</v>
      </c>
      <c r="S12" s="82">
        <f t="shared" si="1"/>
        <v>3.4694469519536142E-18</v>
      </c>
    </row>
    <row r="13" spans="1:19" ht="14.25" customHeight="1" x14ac:dyDescent="0.35">
      <c r="A13" s="13" t="s">
        <v>56</v>
      </c>
      <c r="B13" s="77">
        <v>0</v>
      </c>
      <c r="C13" s="33">
        <v>0</v>
      </c>
      <c r="D13" s="87">
        <v>0</v>
      </c>
      <c r="E13" s="87">
        <v>0</v>
      </c>
      <c r="F13" s="70">
        <v>0</v>
      </c>
      <c r="G13" s="33">
        <v>0</v>
      </c>
      <c r="H13" s="46">
        <v>0</v>
      </c>
      <c r="I13" s="87">
        <v>0</v>
      </c>
      <c r="J13" s="52">
        <v>0</v>
      </c>
      <c r="K13" s="8">
        <v>0</v>
      </c>
      <c r="L13" s="8">
        <v>0</v>
      </c>
      <c r="M13" s="52">
        <v>0</v>
      </c>
      <c r="N13" s="8">
        <v>0</v>
      </c>
      <c r="O13" s="35">
        <v>0</v>
      </c>
      <c r="R13" s="69">
        <f t="shared" si="0"/>
        <v>0</v>
      </c>
      <c r="S13" s="82">
        <f t="shared" si="1"/>
        <v>0</v>
      </c>
    </row>
    <row r="14" spans="1:19" ht="14.25" customHeight="1" x14ac:dyDescent="0.35">
      <c r="A14" s="13" t="s">
        <v>57</v>
      </c>
      <c r="B14" s="77">
        <f>+VLOOKUP(TableB5!A14,[3]Allincome!$A$12:$O$45,11,0)/1000</f>
        <v>-0.100852</v>
      </c>
      <c r="C14" s="33">
        <f>+VLOOKUP(TableB5!A14,[3]Div!$A$12:$O$45,11,0)/1000</f>
        <v>0</v>
      </c>
      <c r="D14" s="87">
        <f>+VLOOKUP(TableB5!A14,[3]Int!$A$12:$O$45,11,0)/1000</f>
        <v>0</v>
      </c>
      <c r="E14" s="87">
        <f>+VLOOKUP(TableB5!$A14,[3]Retained!$A$12:$O$46,11,0)/1000</f>
        <v>-0.100852</v>
      </c>
      <c r="F14" s="70">
        <f>+VLOOKUP(TableB5!A14,[3]Allincome!$A$12:$O$45,14,0)/1000</f>
        <v>-0.10076899999812</v>
      </c>
      <c r="G14" s="33">
        <f>+VLOOKUP(TableB5!A14,[3]Div!$A$12:$O$45,14,0)/1000</f>
        <v>0</v>
      </c>
      <c r="H14" s="46">
        <f>+VLOOKUP(TableB5!A14,[3]Int!$A$12:$O$45,14,0)/1000</f>
        <v>0</v>
      </c>
      <c r="I14" s="87">
        <f>+VLOOKUP(TableB5!$A14,[3]Retained!$A$12:$O$46,14,0)/1000</f>
        <v>-0.10076899999812</v>
      </c>
      <c r="J14" s="52">
        <f>+VLOOKUP(TableB5!$A14,[3]Total!$A$12:$O$45,11,0)/1000</f>
        <v>2.5757213763562001</v>
      </c>
      <c r="K14" s="8">
        <f>+VLOOKUP(TableB5!$A14,[3]Equity!$A$12:$O$45,11,0)/1000</f>
        <v>2.5700983763561998</v>
      </c>
      <c r="L14" s="8">
        <f>+VLOOKUP(TableB5!$A14,[3]Debt!$A$12:$O$45,11,0)/1000</f>
        <v>5.6230000000000004E-3</v>
      </c>
      <c r="M14" s="52">
        <f>+VLOOKUP(TableB5!$A14,[3]Total!$A$12:$O$45,14,0)/1000</f>
        <v>4.6740541135919003</v>
      </c>
      <c r="N14" s="8">
        <f>+VLOOKUP(TableB5!$A14,[3]Equity!$A$12:$O$45,14,0)/1000</f>
        <v>1.7117258105919</v>
      </c>
      <c r="O14" s="35">
        <f>+VLOOKUP(TableB5!$A14,[3]Debt!$A$12:$O$45,14,0)/1000</f>
        <v>2.9623283029999996</v>
      </c>
      <c r="R14" s="69">
        <f t="shared" si="0"/>
        <v>0</v>
      </c>
      <c r="S14" s="82">
        <f t="shared" si="1"/>
        <v>0</v>
      </c>
    </row>
    <row r="15" spans="1:19" ht="14.25" customHeight="1" x14ac:dyDescent="0.35">
      <c r="A15" s="13" t="s">
        <v>58</v>
      </c>
      <c r="B15" s="77">
        <f>+VLOOKUP(TableB5!A15,[3]Allincome!$A$12:$O$45,11,0)/1000</f>
        <v>0</v>
      </c>
      <c r="C15" s="33">
        <f>+VLOOKUP(TableB5!A15,[3]Div!$A$12:$O$45,11,0)/1000</f>
        <v>0</v>
      </c>
      <c r="D15" s="87">
        <f>+VLOOKUP(TableB5!A15,[3]Int!$A$12:$O$45,11,0)/1000</f>
        <v>0</v>
      </c>
      <c r="E15" s="87">
        <f>+VLOOKUP(TableB5!$A15,[3]Retained!$A$12:$O$46,11,0)/1000</f>
        <v>0</v>
      </c>
      <c r="F15" s="70">
        <f>+VLOOKUP(TableB5!A15,[3]Allincome!$A$12:$O$45,14,0)/1000</f>
        <v>0</v>
      </c>
      <c r="G15" s="33">
        <f>+VLOOKUP(TableB5!A15,[3]Div!$A$12:$O$45,14,0)/1000</f>
        <v>0</v>
      </c>
      <c r="H15" s="46">
        <f>+VLOOKUP(TableB5!A15,[3]Int!$A$12:$O$45,14,0)/1000</f>
        <v>0</v>
      </c>
      <c r="I15" s="87">
        <f>+VLOOKUP(TableB5!$A15,[3]Retained!$A$12:$O$46,14,0)/1000</f>
        <v>0</v>
      </c>
      <c r="J15" s="52">
        <f>+VLOOKUP(TableB5!$A15,[3]Total!$A$12:$O$45,11,0)/1000</f>
        <v>0</v>
      </c>
      <c r="K15" s="8">
        <f>+VLOOKUP(TableB5!$A15,[3]Equity!$A$12:$O$45,11,0)/1000</f>
        <v>0</v>
      </c>
      <c r="L15" s="8">
        <f>+VLOOKUP(TableB5!$A15,[3]Debt!$A$12:$O$45,11,0)/1000</f>
        <v>0</v>
      </c>
      <c r="M15" s="52">
        <f>+VLOOKUP(TableB5!$A15,[3]Total!$A$12:$O$45,14,0)/1000</f>
        <v>0</v>
      </c>
      <c r="N15" s="8">
        <f>+VLOOKUP(TableB5!$A15,[3]Equity!$A$12:$O$45,14,0)/1000</f>
        <v>0</v>
      </c>
      <c r="O15" s="35">
        <f>+VLOOKUP(TableB5!$A15,[3]Debt!$A$12:$O$45,14,0)/1000</f>
        <v>0</v>
      </c>
      <c r="R15" s="69">
        <f t="shared" si="0"/>
        <v>0</v>
      </c>
      <c r="S15" s="82">
        <f t="shared" si="1"/>
        <v>0</v>
      </c>
    </row>
    <row r="16" spans="1:19" ht="14.25" customHeight="1" x14ac:dyDescent="0.35">
      <c r="A16" s="13" t="s">
        <v>59</v>
      </c>
      <c r="B16" s="77">
        <f>+VLOOKUP(TableB5!A16,[3]Allincome!$A$12:$O$45,11,0)/1000</f>
        <v>0.74240937342016999</v>
      </c>
      <c r="C16" s="33">
        <f>+VLOOKUP(TableB5!A16,[3]Div!$A$12:$O$45,11,0)/1000</f>
        <v>0.47417253992328001</v>
      </c>
      <c r="D16" s="87">
        <f>+VLOOKUP(TableB5!A16,[3]Int!$A$12:$O$45,11,0)/1000</f>
        <v>3.1224908555625001E-3</v>
      </c>
      <c r="E16" s="87">
        <f>+VLOOKUP(TableB5!$A16,[3]Retained!$A$12:$O$46,11,0)/1000</f>
        <v>0.26541172272281</v>
      </c>
      <c r="F16" s="70">
        <f>+VLOOKUP(TableB5!A16,[3]Allincome!$A$12:$O$45,14,0)/1000</f>
        <v>0.77824367323877008</v>
      </c>
      <c r="G16" s="33">
        <f>+VLOOKUP(TableB5!A16,[3]Div!$A$12:$O$45,14,0)/1000</f>
        <v>0.5187795521455999</v>
      </c>
      <c r="H16" s="46">
        <f>+VLOOKUP(TableB5!A16,[3]Int!$A$12:$O$45,14,0)/1000</f>
        <v>9.3526035626133999E-2</v>
      </c>
      <c r="I16" s="87">
        <f>+VLOOKUP(TableB5!$A16,[3]Retained!$A$12:$O$46,14,0)/1000</f>
        <v>0.16578939542629001</v>
      </c>
      <c r="J16" s="52">
        <f>+VLOOKUP(TableB5!$A16,[3]Total!$A$12:$O$45,11,0)/1000</f>
        <v>21.412005856514998</v>
      </c>
      <c r="K16" s="8">
        <f>+VLOOKUP(TableB5!$A16,[3]Equity!$A$12:$O$45,11,0)/1000</f>
        <v>20.98140556369</v>
      </c>
      <c r="L16" s="8">
        <f>+VLOOKUP(TableB5!$A16,[3]Debt!$A$12:$O$45,11,0)/1000</f>
        <v>0.43060029282577</v>
      </c>
      <c r="M16" s="52">
        <f>+VLOOKUP(TableB5!$A16,[3]Total!$A$12:$O$45,14,0)/1000</f>
        <v>20.453733528551002</v>
      </c>
      <c r="N16" s="8">
        <f>+VLOOKUP(TableB5!$A16,[3]Equity!$A$12:$O$45,14,0)/1000</f>
        <v>19.451976573939</v>
      </c>
      <c r="O16" s="35">
        <f>+VLOOKUP(TableB5!$A16,[3]Debt!$A$12:$O$45,14,0)/1000</f>
        <v>1.001756954612</v>
      </c>
      <c r="R16" s="69">
        <f t="shared" si="0"/>
        <v>-2.9738008148250117E-4</v>
      </c>
      <c r="S16" s="82">
        <f t="shared" si="1"/>
        <v>1.4869004074619108E-4</v>
      </c>
    </row>
    <row r="17" spans="1:19" ht="14.25" customHeight="1" x14ac:dyDescent="0.35">
      <c r="A17" s="13" t="s">
        <v>60</v>
      </c>
      <c r="B17" s="77">
        <v>0</v>
      </c>
      <c r="C17" s="33">
        <v>0</v>
      </c>
      <c r="D17" s="87">
        <v>0</v>
      </c>
      <c r="E17" s="87">
        <f>+VLOOKUP(TableB5!$A17,[3]Retained!$A$12:$O$46,11,0)/1000</f>
        <v>1.8721020521353E-2</v>
      </c>
      <c r="F17" s="70">
        <v>0</v>
      </c>
      <c r="G17" s="33">
        <v>0</v>
      </c>
      <c r="H17" s="46">
        <v>0</v>
      </c>
      <c r="I17" s="87">
        <f>+VLOOKUP(TableB5!$A17,[3]Retained!$A$12:$O$46,14,0)/1000</f>
        <v>2.0098724348307999E-2</v>
      </c>
      <c r="J17" s="52">
        <f>+VLOOKUP(TableB5!$A17,[3]Total!$A$12:$O$45,11,0)/1000</f>
        <v>0.48515514425694001</v>
      </c>
      <c r="K17" s="8">
        <f>+VLOOKUP(TableB5!$A17,[3]Equity!$A$12:$O$45,11,0)/1000</f>
        <v>0.47372999455633996</v>
      </c>
      <c r="L17" s="8">
        <f>+VLOOKUP(TableB5!$A17,[3]Debt!$A$12:$O$45,11,0)/1000</f>
        <v>1.1425149700599E-2</v>
      </c>
      <c r="M17" s="52">
        <f>+VLOOKUP(TableB5!$A17,[3]Total!$A$12:$O$45,14,0)/1000</f>
        <v>0.43754926510615</v>
      </c>
      <c r="N17" s="8">
        <f>+VLOOKUP(TableB5!$A17,[3]Equity!$A$12:$O$45,14,0)/1000</f>
        <v>0.34919107240065</v>
      </c>
      <c r="O17" s="35">
        <f>+VLOOKUP(TableB5!$A17,[3]Debt!$A$12:$O$45,14,0)/1000</f>
        <v>8.8358192705497995E-2</v>
      </c>
      <c r="R17" s="69">
        <f t="shared" si="0"/>
        <v>-1.8721020521353E-2</v>
      </c>
      <c r="S17" s="82">
        <f t="shared" si="1"/>
        <v>-2.0098724348307999E-2</v>
      </c>
    </row>
    <row r="18" spans="1:19" ht="14.25" customHeight="1" x14ac:dyDescent="0.35">
      <c r="A18" s="13" t="s">
        <v>61</v>
      </c>
      <c r="B18" s="77">
        <f>+VLOOKUP(TableB5!A18,[3]Allincome!$A$12:$O$45,11,0)/1000</f>
        <v>0</v>
      </c>
      <c r="C18" s="33">
        <f>+VLOOKUP(TableB5!A18,[3]Div!$A$12:$O$45,11,0)/1000</f>
        <v>0</v>
      </c>
      <c r="D18" s="87">
        <f>+VLOOKUP(TableB5!A18,[3]Int!$A$12:$O$45,11,0)/1000</f>
        <v>0</v>
      </c>
      <c r="E18" s="87">
        <f>+VLOOKUP(TableB5!$A18,[3]Retained!$A$12:$O$46,11,0)/1000</f>
        <v>0</v>
      </c>
      <c r="F18" s="70">
        <f>+VLOOKUP(TableB5!A18,[3]Allincome!$A$12:$O$45,14,0)/1000</f>
        <v>0</v>
      </c>
      <c r="G18" s="33">
        <f>+VLOOKUP(TableB5!A18,[3]Div!$A$12:$O$45,14,0)/1000</f>
        <v>0</v>
      </c>
      <c r="H18" s="46">
        <f>+VLOOKUP(TableB5!A18,[3]Int!$A$12:$O$45,14,0)/1000</f>
        <v>0</v>
      </c>
      <c r="I18" s="87">
        <f>+VLOOKUP(TableB5!$A18,[3]Retained!$A$12:$O$46,14,0)/1000</f>
        <v>0</v>
      </c>
      <c r="J18" s="52">
        <f>+VLOOKUP(TableB5!$A18,[3]Total!$A$12:$O$45,11,0)/1000</f>
        <v>0</v>
      </c>
      <c r="K18" s="8">
        <f>+VLOOKUP(TableB5!$A18,[3]Equity!$A$12:$O$45,11,0)/1000</f>
        <v>0</v>
      </c>
      <c r="L18" s="8">
        <f>+VLOOKUP(TableB5!$A18,[3]Debt!$A$12:$O$45,11,0)/1000</f>
        <v>0</v>
      </c>
      <c r="M18" s="52">
        <f>+VLOOKUP(TableB5!$A18,[3]Total!$A$12:$O$45,14,0)/1000</f>
        <v>0</v>
      </c>
      <c r="N18" s="8">
        <f>+VLOOKUP(TableB5!$A18,[3]Equity!$A$12:$O$45,14,0)/1000</f>
        <v>0</v>
      </c>
      <c r="O18" s="35">
        <f>+VLOOKUP(TableB5!$A18,[3]Debt!$A$12:$O$45,14,0)/1000</f>
        <v>0</v>
      </c>
      <c r="R18" s="69">
        <f t="shared" si="0"/>
        <v>0</v>
      </c>
      <c r="S18" s="82">
        <f t="shared" si="1"/>
        <v>0</v>
      </c>
    </row>
    <row r="19" spans="1:19" ht="14.25" customHeight="1" x14ac:dyDescent="0.35">
      <c r="A19" s="13" t="s">
        <v>48</v>
      </c>
      <c r="B19" s="77">
        <f>+VLOOKUP(TableB5!A19,[3]Allincome!$A$12:$O$45,11,0)/1000</f>
        <v>0</v>
      </c>
      <c r="C19" s="33">
        <f>+VLOOKUP(TableB5!A19,[3]Div!$A$12:$O$45,11,0)/1000</f>
        <v>0</v>
      </c>
      <c r="D19" s="87">
        <f>+VLOOKUP(TableB5!A19,[3]Int!$A$12:$O$45,11,0)/1000</f>
        <v>0</v>
      </c>
      <c r="E19" s="87">
        <f>+VLOOKUP(TableB5!$A19,[3]Retained!$A$12:$O$46,11,0)/1000</f>
        <v>0</v>
      </c>
      <c r="F19" s="70">
        <f>+VLOOKUP(TableB5!A19,[3]Allincome!$A$12:$O$45,14,0)/1000</f>
        <v>0</v>
      </c>
      <c r="G19" s="33">
        <f>+VLOOKUP(TableB5!A19,[3]Div!$A$12:$O$45,14,0)/1000</f>
        <v>0</v>
      </c>
      <c r="H19" s="46">
        <f>+VLOOKUP(TableB5!A19,[3]Int!$A$12:$O$45,14,0)/1000</f>
        <v>0</v>
      </c>
      <c r="I19" s="87">
        <f>+VLOOKUP(TableB5!$A19,[3]Retained!$A$12:$O$46,14,0)/1000</f>
        <v>0</v>
      </c>
      <c r="J19" s="52">
        <f>+VLOOKUP(TableB5!$A19,[3]Total!$A$12:$O$45,11,0)/1000</f>
        <v>0</v>
      </c>
      <c r="K19" s="8">
        <f>+VLOOKUP(TableB5!$A19,[3]Equity!$A$12:$O$45,11,0)/1000</f>
        <v>0</v>
      </c>
      <c r="L19" s="8">
        <f>+VLOOKUP(TableB5!$A19,[3]Debt!$A$12:$O$45,11,0)/1000</f>
        <v>0</v>
      </c>
      <c r="M19" s="52">
        <f>+VLOOKUP(TableB5!$A19,[3]Total!$A$12:$O$45,14,0)/1000</f>
        <v>0</v>
      </c>
      <c r="N19" s="8">
        <f>+VLOOKUP(TableB5!$A19,[3]Equity!$A$12:$O$45,14,0)/1000</f>
        <v>0</v>
      </c>
      <c r="O19" s="35">
        <f>+VLOOKUP(TableB5!$A19,[3]Debt!$A$12:$O$45,14,0)/1000</f>
        <v>0</v>
      </c>
      <c r="R19" s="69">
        <f t="shared" si="0"/>
        <v>0</v>
      </c>
      <c r="S19" s="82">
        <f t="shared" si="1"/>
        <v>0</v>
      </c>
    </row>
    <row r="20" spans="1:19" ht="14.25" customHeight="1" x14ac:dyDescent="0.35">
      <c r="A20" s="13" t="s">
        <v>62</v>
      </c>
      <c r="B20" s="77">
        <f>+VLOOKUP(TableB5!A20,[3]Allincome!$A$12:$O$45,11,0)/1000</f>
        <v>0</v>
      </c>
      <c r="C20" s="33">
        <f>+VLOOKUP(TableB5!A20,[3]Div!$A$12:$O$45,11,0)/1000</f>
        <v>0</v>
      </c>
      <c r="D20" s="87">
        <f>+VLOOKUP(TableB5!A20,[3]Int!$A$12:$O$45,11,0)/1000</f>
        <v>0</v>
      </c>
      <c r="E20" s="87">
        <f>+VLOOKUP(TableB5!$A20,[3]Retained!$A$12:$O$46,11,0)/1000</f>
        <v>0</v>
      </c>
      <c r="F20" s="70">
        <f>+VLOOKUP(TableB5!A20,[3]Allincome!$A$12:$O$45,14,0)/1000</f>
        <v>0</v>
      </c>
      <c r="G20" s="33">
        <f>+VLOOKUP(TableB5!A20,[3]Div!$A$12:$O$45,14,0)/1000</f>
        <v>0</v>
      </c>
      <c r="H20" s="46">
        <f>+VLOOKUP(TableB5!A20,[3]Int!$A$12:$O$45,14,0)/1000</f>
        <v>0</v>
      </c>
      <c r="I20" s="87">
        <f>+VLOOKUP(TableB5!$A20,[3]Retained!$A$12:$O$46,14,0)/1000</f>
        <v>0</v>
      </c>
      <c r="J20" s="52">
        <f>+VLOOKUP(TableB5!$A20,[3]Total!$A$12:$O$45,11,0)/1000</f>
        <v>0</v>
      </c>
      <c r="K20" s="8">
        <f>+VLOOKUP(TableB5!$A20,[3]Equity!$A$12:$O$45,11,0)/1000</f>
        <v>0</v>
      </c>
      <c r="L20" s="8">
        <f>+VLOOKUP(TableB5!$A20,[3]Debt!$A$12:$O$45,11,0)/1000</f>
        <v>0</v>
      </c>
      <c r="M20" s="52">
        <f>+VLOOKUP(TableB5!$A20,[3]Total!$A$12:$O$45,14,0)/1000</f>
        <v>0</v>
      </c>
      <c r="N20" s="8">
        <f>+VLOOKUP(TableB5!$A20,[3]Equity!$A$12:$O$45,14,0)/1000</f>
        <v>0</v>
      </c>
      <c r="O20" s="35">
        <f>+VLOOKUP(TableB5!$A20,[3]Debt!$A$12:$O$45,14,0)/1000</f>
        <v>0</v>
      </c>
      <c r="R20" s="69">
        <f t="shared" si="0"/>
        <v>0</v>
      </c>
      <c r="S20" s="82">
        <f t="shared" si="1"/>
        <v>0</v>
      </c>
    </row>
    <row r="21" spans="1:19" ht="14.25" customHeight="1" x14ac:dyDescent="0.35">
      <c r="A21" s="13" t="s">
        <v>63</v>
      </c>
      <c r="B21" s="77">
        <f>+VLOOKUP(TableB5!A21,[3]Allincome!$A$12:$O$45,11,0)/1000</f>
        <v>0</v>
      </c>
      <c r="C21" s="33">
        <f>+VLOOKUP(TableB5!A21,[3]Div!$A$12:$O$45,11,0)/1000</f>
        <v>0</v>
      </c>
      <c r="D21" s="87">
        <f>+VLOOKUP(TableB5!A21,[3]Int!$A$12:$O$45,11,0)/1000</f>
        <v>0</v>
      </c>
      <c r="E21" s="87">
        <f>+VLOOKUP(TableB5!$A21,[3]Retained!$A$12:$O$46,11,0)/1000</f>
        <v>0</v>
      </c>
      <c r="F21" s="70">
        <f>+VLOOKUP(TableB5!A21,[3]Allincome!$A$12:$O$45,14,0)/1000</f>
        <v>0</v>
      </c>
      <c r="G21" s="33">
        <f>+VLOOKUP(TableB5!A21,[3]Div!$A$12:$O$45,14,0)/1000</f>
        <v>0</v>
      </c>
      <c r="H21" s="46">
        <f>+VLOOKUP(TableB5!A21,[3]Int!$A$12:$O$45,14,0)/1000</f>
        <v>0</v>
      </c>
      <c r="I21" s="87">
        <f>+VLOOKUP(TableB5!$A21,[3]Retained!$A$12:$O$46,14,0)/1000</f>
        <v>0</v>
      </c>
      <c r="J21" s="52">
        <f>+VLOOKUP(TableB5!$A21,[3]Total!$A$12:$O$45,11,0)/1000</f>
        <v>0</v>
      </c>
      <c r="K21" s="8">
        <f>+VLOOKUP(TableB5!$A21,[3]Equity!$A$12:$O$45,11,0)/1000</f>
        <v>0</v>
      </c>
      <c r="L21" s="8">
        <f>+VLOOKUP(TableB5!$A21,[3]Debt!$A$12:$O$45,11,0)/1000</f>
        <v>0</v>
      </c>
      <c r="M21" s="52">
        <f>+VLOOKUP(TableB5!$A21,[3]Total!$A$12:$O$45,14,0)/1000</f>
        <v>0</v>
      </c>
      <c r="N21" s="8">
        <f>+VLOOKUP(TableB5!$A21,[3]Equity!$A$12:$O$45,14,0)/1000</f>
        <v>0</v>
      </c>
      <c r="O21" s="35">
        <f>+VLOOKUP(TableB5!$A21,[3]Debt!$A$12:$O$45,14,0)/1000</f>
        <v>0</v>
      </c>
      <c r="R21" s="69">
        <f t="shared" si="0"/>
        <v>0</v>
      </c>
      <c r="S21" s="82">
        <f t="shared" si="1"/>
        <v>0</v>
      </c>
    </row>
    <row r="22" spans="1:19" ht="14.25" customHeight="1" x14ac:dyDescent="0.35">
      <c r="A22" s="13" t="s">
        <v>64</v>
      </c>
      <c r="B22" s="77">
        <f>+VLOOKUP(TableB5!A22,[3]Allincome!$A$12:$O$45,11,0)/1000</f>
        <v>2.8677768003609998</v>
      </c>
      <c r="C22" s="33">
        <f>+VLOOKUP(TableB5!A22,[3]Div!$A$12:$O$45,11,0)/1000</f>
        <v>2.2886520197425004</v>
      </c>
      <c r="D22" s="87">
        <f>+VLOOKUP(TableB5!A22,[3]Int!$A$12:$O$45,11,0)/1000</f>
        <v>-0.67757621940299995</v>
      </c>
      <c r="E22" s="87">
        <f>+VLOOKUP(TableB5!$A22,[3]Retained!$A$12:$O$46,11,0)/1000</f>
        <v>1.2567010000215</v>
      </c>
      <c r="F22" s="70">
        <f>+VLOOKUP(TableB5!A22,[3]Allincome!$A$12:$O$45,14,0)/1000</f>
        <v>2.958726792123</v>
      </c>
      <c r="G22" s="33">
        <f>+VLOOKUP(TableB5!A22,[3]Div!$A$12:$O$45,14,0)/1000</f>
        <v>0.46560268128971</v>
      </c>
      <c r="H22" s="46">
        <f>+VLOOKUP(TableB5!A22,[3]Int!$A$12:$O$45,14,0)/1000</f>
        <v>-2.8101617513269998E-2</v>
      </c>
      <c r="I22" s="87">
        <f>+VLOOKUP(TableB5!$A22,[3]Retained!$A$12:$O$46,14,0)/1000</f>
        <v>2.5212257283466002</v>
      </c>
      <c r="J22" s="52">
        <f>+VLOOKUP(TableB5!$A22,[3]Total!$A$12:$O$45,11,0)/1000</f>
        <v>112.48031434252999</v>
      </c>
      <c r="K22" s="8">
        <f>+VLOOKUP(TableB5!$A22,[3]Equity!$A$12:$O$45,11,0)/1000</f>
        <v>108.64249715661001</v>
      </c>
      <c r="L22" s="8">
        <f>+VLOOKUP(TableB5!$A22,[3]Debt!$A$12:$O$45,11,0)/1000</f>
        <v>3.8378171859191004</v>
      </c>
      <c r="M22" s="52">
        <f>+VLOOKUP(TableB5!$A22,[3]Total!$A$12:$O$45,14,0)/1000</f>
        <v>111.42608571677999</v>
      </c>
      <c r="N22" s="8">
        <f>+VLOOKUP(TableB5!$A22,[3]Equity!$A$12:$O$45,14,0)/1000</f>
        <v>112.89650752189</v>
      </c>
      <c r="O22" s="35">
        <f>+VLOOKUP(TableB5!$A22,[3]Debt!$A$12:$O$45,14,0)/1000</f>
        <v>-1.4704218051145999</v>
      </c>
      <c r="R22" s="69">
        <f t="shared" si="0"/>
        <v>0</v>
      </c>
      <c r="S22" s="82">
        <f t="shared" si="1"/>
        <v>-4.0412118096355698E-14</v>
      </c>
    </row>
    <row r="23" spans="1:19" ht="14.25" customHeight="1" x14ac:dyDescent="0.35">
      <c r="A23" s="13" t="s">
        <v>65</v>
      </c>
      <c r="B23" s="77">
        <f>+VLOOKUP(TableB5!A23,[3]Allincome!$A$12:$O$45,11,0)/1000</f>
        <v>5.5498229288053003E-3</v>
      </c>
      <c r="C23" s="33">
        <f>+VLOOKUP(TableB5!A23,[3]Div!$A$12:$O$45,11,0)/1000</f>
        <v>1.2009452895120001E-2</v>
      </c>
      <c r="D23" s="87">
        <f>+VLOOKUP(TableB5!A23,[3]Int!$A$12:$O$45,11,0)/1000</f>
        <v>-5.7621112375574003E-3</v>
      </c>
      <c r="E23" s="87">
        <f>+VLOOKUP(TableB5!$A23,[3]Retained!$A$12:$O$46,11,0)/1000</f>
        <v>-6.9751872875695002E-4</v>
      </c>
      <c r="F23" s="70">
        <f>+VLOOKUP(TableB5!A23,[3]Allincome!$A$12:$O$45,14,0)/1000</f>
        <v>7.0055141888197992E-3</v>
      </c>
      <c r="G23" s="33">
        <f>+VLOOKUP(TableB5!A23,[3]Div!$A$12:$O$45,14,0)/1000</f>
        <v>0</v>
      </c>
      <c r="H23" s="46">
        <f>+VLOOKUP(TableB5!A23,[3]Int!$A$12:$O$45,14,0)/1000</f>
        <v>0</v>
      </c>
      <c r="I23" s="87">
        <f>+VLOOKUP(TableB5!$A23,[3]Retained!$A$12:$O$46,14,0)/1000</f>
        <v>7.0055141888197992E-3</v>
      </c>
      <c r="J23" s="52">
        <f>+VLOOKUP(TableB5!$A23,[3]Total!$A$12:$O$45,11,0)/1000</f>
        <v>3.4423438863677003</v>
      </c>
      <c r="K23" s="8">
        <f>+VLOOKUP(TableB5!$A23,[3]Equity!$A$12:$O$45,11,0)/1000</f>
        <v>3.5241018011434999</v>
      </c>
      <c r="L23" s="8">
        <f>+VLOOKUP(TableB5!$A23,[3]Debt!$A$12:$O$45,11,0)/1000</f>
        <v>-8.1757914775765994E-2</v>
      </c>
      <c r="M23" s="52">
        <f>+VLOOKUP(TableB5!$A23,[3]Total!$A$12:$O$45,14,0)/1000</f>
        <v>3.4422590032093998</v>
      </c>
      <c r="N23" s="8">
        <f>+VLOOKUP(TableB5!$A23,[3]Equity!$A$12:$O$45,14,0)/1000</f>
        <v>3.4422590032093998</v>
      </c>
      <c r="O23" s="35">
        <f>+VLOOKUP(TableB5!$A23,[3]Debt!$A$12:$O$45,14,0)/1000</f>
        <v>0</v>
      </c>
      <c r="R23" s="69">
        <f t="shared" si="0"/>
        <v>-3.5041414214731503E-16</v>
      </c>
      <c r="S23" s="82">
        <f t="shared" si="1"/>
        <v>0</v>
      </c>
    </row>
    <row r="24" spans="1:19" ht="14.25" customHeight="1" x14ac:dyDescent="0.35">
      <c r="A24" s="13" t="s">
        <v>19</v>
      </c>
      <c r="B24" s="77">
        <v>0</v>
      </c>
      <c r="C24" s="33">
        <v>0</v>
      </c>
      <c r="D24" s="87">
        <v>0</v>
      </c>
      <c r="E24" s="87">
        <v>0</v>
      </c>
      <c r="F24" s="70">
        <v>0</v>
      </c>
      <c r="G24" s="33">
        <v>0</v>
      </c>
      <c r="H24" s="46">
        <v>0</v>
      </c>
      <c r="I24" s="87">
        <v>0</v>
      </c>
      <c r="J24" s="52">
        <v>0</v>
      </c>
      <c r="K24" s="8">
        <v>0</v>
      </c>
      <c r="L24" s="8">
        <v>0</v>
      </c>
      <c r="M24" s="52">
        <v>0</v>
      </c>
      <c r="N24" s="8">
        <v>0</v>
      </c>
      <c r="O24" s="35">
        <v>0</v>
      </c>
      <c r="R24" s="69">
        <f t="shared" si="0"/>
        <v>0</v>
      </c>
      <c r="S24" s="82">
        <f t="shared" si="1"/>
        <v>0</v>
      </c>
    </row>
    <row r="25" spans="1:19" ht="14.25" customHeight="1" x14ac:dyDescent="0.35">
      <c r="A25" s="31" t="s">
        <v>95</v>
      </c>
      <c r="B25" s="77">
        <v>0</v>
      </c>
      <c r="C25" s="33">
        <v>0</v>
      </c>
      <c r="D25" s="87">
        <v>0</v>
      </c>
      <c r="E25" s="87">
        <v>0</v>
      </c>
      <c r="F25" s="70">
        <v>0</v>
      </c>
      <c r="G25" s="33">
        <v>0</v>
      </c>
      <c r="H25" s="46">
        <v>0</v>
      </c>
      <c r="I25" s="87">
        <v>0</v>
      </c>
      <c r="J25" s="52">
        <v>0</v>
      </c>
      <c r="K25" s="8">
        <v>0</v>
      </c>
      <c r="L25" s="8">
        <v>0</v>
      </c>
      <c r="M25" s="52">
        <v>0</v>
      </c>
      <c r="N25" s="8">
        <v>0</v>
      </c>
      <c r="O25" s="35">
        <v>0</v>
      </c>
      <c r="R25" s="69"/>
      <c r="S25" s="82"/>
    </row>
    <row r="26" spans="1:19" ht="14.25" customHeight="1" x14ac:dyDescent="0.35">
      <c r="A26" s="13" t="s">
        <v>66</v>
      </c>
      <c r="B26" s="77">
        <f>+VLOOKUP(TableB5!A26,[3]Allincome!$A$12:$O$45,11,0)/1000</f>
        <v>0</v>
      </c>
      <c r="C26" s="33">
        <f>+VLOOKUP(TableB5!A26,[3]Div!$A$12:$O$45,11,0)/1000</f>
        <v>0</v>
      </c>
      <c r="D26" s="87">
        <f>+VLOOKUP(TableB5!A26,[3]Int!$A$12:$O$45,11,0)/1000</f>
        <v>0</v>
      </c>
      <c r="E26" s="87">
        <f>+VLOOKUP(TableB5!$A26,[3]Retained!$A$12:$O$46,11,0)/1000</f>
        <v>0</v>
      </c>
      <c r="F26" s="70">
        <f>+VLOOKUP(TableB5!A26,[3]Allincome!$A$12:$O$45,14,0)/1000</f>
        <v>0</v>
      </c>
      <c r="G26" s="33">
        <f>+VLOOKUP(TableB5!A26,[3]Div!$A$12:$O$45,14,0)/1000</f>
        <v>0</v>
      </c>
      <c r="H26" s="46">
        <f>+VLOOKUP(TableB5!A26,[3]Int!$A$12:$O$45,14,0)/1000</f>
        <v>0</v>
      </c>
      <c r="I26" s="87">
        <f>+VLOOKUP(TableB5!$A26,[3]Retained!$A$12:$O$46,14,0)/1000</f>
        <v>0</v>
      </c>
      <c r="J26" s="52">
        <f>+VLOOKUP(TableB5!$A26,[3]Total!$A$12:$O$45,11,0)/1000</f>
        <v>0</v>
      </c>
      <c r="K26" s="8">
        <f>+VLOOKUP(TableB5!$A26,[3]Equity!$A$12:$O$45,11,0)/1000</f>
        <v>0</v>
      </c>
      <c r="L26" s="8">
        <f>+VLOOKUP(TableB5!$A26,[3]Debt!$A$12:$O$45,11,0)/1000</f>
        <v>0</v>
      </c>
      <c r="M26" s="52">
        <f>+VLOOKUP(TableB5!$A26,[3]Total!$A$12:$O$45,14,0)/1000</f>
        <v>0</v>
      </c>
      <c r="N26" s="8">
        <f>+VLOOKUP(TableB5!$A26,[3]Equity!$A$12:$O$45,14,0)/1000</f>
        <v>0</v>
      </c>
      <c r="O26" s="35">
        <f>+VLOOKUP(TableB5!$A26,[3]Debt!$A$12:$O$45,14,0)/1000</f>
        <v>0</v>
      </c>
      <c r="R26" s="69">
        <f t="shared" si="0"/>
        <v>0</v>
      </c>
      <c r="S26" s="82">
        <f t="shared" si="1"/>
        <v>0</v>
      </c>
    </row>
    <row r="27" spans="1:19" ht="14.25" customHeight="1" x14ac:dyDescent="0.35">
      <c r="A27" s="13" t="s">
        <v>67</v>
      </c>
      <c r="B27" s="77">
        <v>0</v>
      </c>
      <c r="C27" s="33">
        <v>0</v>
      </c>
      <c r="D27" s="87">
        <v>0</v>
      </c>
      <c r="E27" s="87">
        <v>0</v>
      </c>
      <c r="F27" s="70">
        <v>0</v>
      </c>
      <c r="G27" s="33">
        <v>0</v>
      </c>
      <c r="H27" s="46">
        <v>0</v>
      </c>
      <c r="I27" s="87">
        <v>0</v>
      </c>
      <c r="J27" s="52">
        <f>+VLOOKUP(TableB5!$A27,[3]Total!$A$12:$O$45,11,0)/1000</f>
        <v>0</v>
      </c>
      <c r="K27" s="8">
        <v>0</v>
      </c>
      <c r="L27" s="8">
        <v>0</v>
      </c>
      <c r="M27" s="52">
        <f>+VLOOKUP(TableB5!$A27,[3]Total!$A$12:$O$45,14,0)/1000</f>
        <v>0</v>
      </c>
      <c r="N27" s="8">
        <v>0</v>
      </c>
      <c r="O27" s="35">
        <v>0</v>
      </c>
      <c r="R27" s="69">
        <f t="shared" si="0"/>
        <v>0</v>
      </c>
      <c r="S27" s="82">
        <f t="shared" si="1"/>
        <v>0</v>
      </c>
    </row>
    <row r="28" spans="1:19" ht="14.25" customHeight="1" x14ac:dyDescent="0.35">
      <c r="A28" s="13" t="s">
        <v>68</v>
      </c>
      <c r="B28" s="77">
        <f>+VLOOKUP(TableB5!A28,[3]Allincome!$A$12:$O$45,11,0)/1000</f>
        <v>3.5351731448762996E-2</v>
      </c>
      <c r="C28" s="33">
        <f>+VLOOKUP(TableB5!A28,[3]Div!$A$12:$O$45,11,0)/1000</f>
        <v>2.3321554770318001E-4</v>
      </c>
      <c r="D28" s="87">
        <f>+VLOOKUP(TableB5!A28,[3]Int!$A$12:$O$45,11,0)/1000</f>
        <v>8.1386925795052991E-3</v>
      </c>
      <c r="E28" s="87">
        <f>+VLOOKUP(TableB5!$A28,[3]Retained!$A$12:$O$46,11,0)/1000</f>
        <v>2.6979823321554998E-2</v>
      </c>
      <c r="F28" s="70">
        <f>+VLOOKUP(TableB5!A28,[3]Allincome!$A$12:$O$45,14,0)/1000</f>
        <v>2.7307999999999998E-4</v>
      </c>
      <c r="G28" s="33">
        <f>+VLOOKUP(TableB5!A28,[3]Div!$A$12:$O$45,14,0)/1000</f>
        <v>0</v>
      </c>
      <c r="H28" s="46">
        <f>+VLOOKUP(TableB5!A28,[3]Int!$A$12:$O$45,14,0)/1000</f>
        <v>0</v>
      </c>
      <c r="I28" s="87">
        <f>+VLOOKUP(TableB5!$A28,[3]Retained!$A$12:$O$46,14,0)/1000</f>
        <v>2.7307999999999998E-4</v>
      </c>
      <c r="J28" s="52">
        <f>+VLOOKUP(TableB5!$A28,[3]Total!$A$12:$O$45,11,0)/1000</f>
        <v>0.73584179953390005</v>
      </c>
      <c r="K28" s="8">
        <f>+VLOOKUP(TableB5!$A28,[3]Equity!$A$12:$O$45,11,0)/1000</f>
        <v>0.70684179953390003</v>
      </c>
      <c r="L28" s="8">
        <f>+VLOOKUP(TableB5!$A28,[3]Debt!$A$12:$O$45,11,0)/1000</f>
        <v>2.9000000000000001E-2</v>
      </c>
      <c r="M28" s="52">
        <f>+VLOOKUP(TableB5!$A28,[3]Total!$A$12:$O$45,14,0)/1000</f>
        <v>5.3105561000000003E-2</v>
      </c>
      <c r="N28" s="8">
        <f>+VLOOKUP(TableB5!$A28,[3]Equity!$A$12:$O$45,14,0)/1000</f>
        <v>5.2805560999999994E-2</v>
      </c>
      <c r="O28" s="35">
        <f>+VLOOKUP(TableB5!$A28,[3]Debt!$A$12:$O$45,14,0)/1000</f>
        <v>2.9999999999999997E-4</v>
      </c>
      <c r="R28" s="69">
        <f t="shared" si="0"/>
        <v>-4.8572257327350599E-16</v>
      </c>
      <c r="S28" s="82">
        <f t="shared" si="1"/>
        <v>0</v>
      </c>
    </row>
    <row r="29" spans="1:19" x14ac:dyDescent="0.35">
      <c r="A29" s="13" t="s">
        <v>69</v>
      </c>
      <c r="B29" s="77">
        <f>+VLOOKUP(TableB5!A29,[3]Allincome!$A$12:$O$45,11,0)/1000</f>
        <v>0</v>
      </c>
      <c r="C29" s="33">
        <f>+VLOOKUP(TableB5!A29,[3]Div!$A$12:$O$45,11,0)/1000</f>
        <v>0</v>
      </c>
      <c r="D29" s="87">
        <f>+VLOOKUP(TableB5!A29,[3]Int!$A$12:$O$45,11,0)/1000</f>
        <v>0</v>
      </c>
      <c r="E29" s="87">
        <f>+VLOOKUP(TableB5!$A29,[3]Retained!$A$12:$O$46,11,0)/1000</f>
        <v>0</v>
      </c>
      <c r="F29" s="70">
        <f>+VLOOKUP(TableB5!A29,[3]Allincome!$A$12:$O$45,14,0)/1000</f>
        <v>0</v>
      </c>
      <c r="G29" s="33">
        <f>+VLOOKUP(TableB5!A29,[3]Div!$A$12:$O$45,14,0)/1000</f>
        <v>0</v>
      </c>
      <c r="H29" s="46">
        <f>+VLOOKUP(TableB5!A29,[3]Int!$A$12:$O$45,14,0)/1000</f>
        <v>0</v>
      </c>
      <c r="I29" s="87">
        <f>+VLOOKUP(TableB5!$A29,[3]Retained!$A$12:$O$46,14,0)/1000</f>
        <v>0</v>
      </c>
      <c r="J29" s="52">
        <f>+VLOOKUP(TableB5!$A29,[3]Total!$A$12:$O$45,11,0)/1000</f>
        <v>0</v>
      </c>
      <c r="K29" s="8">
        <f>+VLOOKUP(TableB5!$A29,[3]Equity!$A$12:$O$45,11,0)/1000</f>
        <v>0</v>
      </c>
      <c r="L29" s="8">
        <f>+VLOOKUP(TableB5!$A29,[3]Debt!$A$12:$O$45,11,0)/1000</f>
        <v>0</v>
      </c>
      <c r="M29" s="52">
        <f>+VLOOKUP(TableB5!$A29,[3]Total!$A$12:$O$45,14,0)/1000</f>
        <v>0</v>
      </c>
      <c r="N29" s="8">
        <f>+VLOOKUP(TableB5!$A29,[3]Equity!$A$12:$O$45,14,0)/1000</f>
        <v>0</v>
      </c>
      <c r="O29" s="35">
        <f>+VLOOKUP(TableB5!$A29,[3]Debt!$A$12:$O$45,14,0)/1000</f>
        <v>0</v>
      </c>
      <c r="R29" s="69">
        <f t="shared" si="0"/>
        <v>0</v>
      </c>
      <c r="S29" s="82">
        <f t="shared" si="1"/>
        <v>0</v>
      </c>
    </row>
    <row r="30" spans="1:19" x14ac:dyDescent="0.35">
      <c r="A30" s="13" t="s">
        <v>70</v>
      </c>
      <c r="B30" s="77">
        <f>+VLOOKUP(TableB5!A30,[3]Allincome!$A$12:$O$45,11,0)/1000</f>
        <v>46.729894620077999</v>
      </c>
      <c r="C30" s="33">
        <f>+VLOOKUP(TableB5!A30,[3]Div!$A$12:$O$45,11,0)/1000</f>
        <v>45.608430393788005</v>
      </c>
      <c r="D30" s="87">
        <f>+VLOOKUP(TableB5!A30,[3]Int!$A$12:$O$45,11,0)/1000</f>
        <v>1.7382140876317</v>
      </c>
      <c r="E30" s="87">
        <f>+VLOOKUP(TableB5!$A30,[3]Retained!$A$12:$O$46,11,0)/1000</f>
        <v>-0.61674986134220999</v>
      </c>
      <c r="F30" s="70">
        <f>+VLOOKUP(TableB5!A30,[3]Allincome!$A$12:$O$45,14,0)/1000</f>
        <v>82.60565723793701</v>
      </c>
      <c r="G30" s="33">
        <f>+VLOOKUP(TableB5!A30,[3]Div!$A$12:$O$45,14,0)/1000</f>
        <v>69.899057127010991</v>
      </c>
      <c r="H30" s="46">
        <f>+VLOOKUP(TableB5!A30,[3]Int!$A$12:$O$45,14,0)/1000</f>
        <v>15.533000554631</v>
      </c>
      <c r="I30" s="87">
        <f>+VLOOKUP(TableB5!$A30,[3]Retained!$A$12:$O$46,14,0)/1000</f>
        <v>-2.8264004437049004</v>
      </c>
      <c r="J30" s="52">
        <f>+VLOOKUP(TableB5!$A30,[3]Total!$A$12:$O$45,11,0)/1000</f>
        <v>3456.1328252586</v>
      </c>
      <c r="K30" s="8">
        <f>+VLOOKUP(TableB5!$A30,[3]Equity!$A$12:$O$45,11,0)/1000</f>
        <v>3143.4120849211004</v>
      </c>
      <c r="L30" s="8">
        <f>+VLOOKUP(TableB5!$A30,[3]Debt!$A$12:$O$45,11,0)/1000</f>
        <v>312.72074033750999</v>
      </c>
      <c r="M30" s="52">
        <f>+VLOOKUP(TableB5!$A30,[3]Total!$A$12:$O$45,14,0)/1000</f>
        <v>4190.3113772454999</v>
      </c>
      <c r="N30" s="8">
        <f>+VLOOKUP(TableB5!$A30,[3]Equity!$A$12:$O$45,14,0)/1000</f>
        <v>3976.5465432771002</v>
      </c>
      <c r="O30" s="35">
        <f>+VLOOKUP(TableB5!$A30,[3]Debt!$A$12:$O$45,14,0)/1000</f>
        <v>213.76483396843</v>
      </c>
      <c r="R30" s="69">
        <f t="shared" si="0"/>
        <v>5.042632977847461E-13</v>
      </c>
      <c r="S30" s="82">
        <f t="shared" si="1"/>
        <v>-8.1268325402561459E-14</v>
      </c>
    </row>
    <row r="31" spans="1:19" x14ac:dyDescent="0.35">
      <c r="A31" s="13" t="s">
        <v>71</v>
      </c>
      <c r="B31" s="77">
        <v>0</v>
      </c>
      <c r="C31" s="33">
        <v>0</v>
      </c>
      <c r="D31" s="87">
        <v>0</v>
      </c>
      <c r="E31" s="87">
        <v>0</v>
      </c>
      <c r="F31" s="70">
        <v>0</v>
      </c>
      <c r="G31" s="33">
        <v>0</v>
      </c>
      <c r="H31" s="46">
        <v>0</v>
      </c>
      <c r="I31" s="87">
        <v>0</v>
      </c>
      <c r="J31" s="52">
        <v>0</v>
      </c>
      <c r="K31" s="8">
        <v>0</v>
      </c>
      <c r="L31" s="8">
        <v>0</v>
      </c>
      <c r="M31" s="52">
        <v>0</v>
      </c>
      <c r="N31" s="8">
        <v>0</v>
      </c>
      <c r="O31" s="35">
        <v>0</v>
      </c>
      <c r="R31" s="69">
        <f t="shared" si="0"/>
        <v>0</v>
      </c>
      <c r="S31" s="82">
        <f t="shared" si="1"/>
        <v>0</v>
      </c>
    </row>
    <row r="32" spans="1:19" x14ac:dyDescent="0.35">
      <c r="A32" s="13" t="s">
        <v>72</v>
      </c>
      <c r="B32" s="77">
        <f>+VLOOKUP(TableB5!A32,[3]Allincome!$A$12:$O$45,11,0)/1000</f>
        <v>140.88186356073001</v>
      </c>
      <c r="C32" s="1071">
        <f>B32-D32-E32</f>
        <v>77.146595824781386</v>
      </c>
      <c r="D32" s="1072">
        <f>B32*L32/J32</f>
        <v>30.96163473358882</v>
      </c>
      <c r="E32" s="1073">
        <f>$B32/TableB2!$C32*TableB2!F32</f>
        <v>32.773633002359801</v>
      </c>
      <c r="F32" s="1074">
        <f>+VLOOKUP(TableB5!A32,[3]Allincome!$A$12:$O$45,14,0)/1000</f>
        <v>153.80476982805999</v>
      </c>
      <c r="G32" s="1071">
        <f>F32-H32-I32</f>
        <v>114.34149548704708</v>
      </c>
      <c r="H32" s="1072">
        <f>F32*O32/M32</f>
        <v>39.987643300689491</v>
      </c>
      <c r="I32" s="1073">
        <f>F32*TableB2!J32/TableB2!G32</f>
        <v>-0.52436895967657893</v>
      </c>
      <c r="J32" s="1075">
        <f>+VLOOKUP(TableB5!$A32,[3]Total!$A$12:$O$45,11,0)/1000</f>
        <v>3281.5224823080998</v>
      </c>
      <c r="K32" s="1076">
        <f>+VLOOKUP(TableB5!$A32,[3]Equity!$A$12:$O$45,11,0)/1000</f>
        <v>2560.3416439848002</v>
      </c>
      <c r="L32" s="1076">
        <f>+VLOOKUP(TableB5!$A32,[3]Debt!$A$12:$O$45,11,0)/1000</f>
        <v>721.18083832334992</v>
      </c>
      <c r="M32" s="52">
        <f>+VLOOKUP(TableB5!$A32,[3]Total!$A$12:$O$45,14,0)/1000</f>
        <v>3707.1422972237001</v>
      </c>
      <c r="N32" s="8">
        <f>+VLOOKUP(TableB5!$A32,[3]Equity!$A$12:$O$45,14,0)/1000</f>
        <v>2743.3237887861001</v>
      </c>
      <c r="O32" s="35">
        <f>+VLOOKUP(TableB5!$A32,[3]Debt!$A$12:$O$45,14,0)/1000</f>
        <v>963.81850843766995</v>
      </c>
      <c r="R32" s="69">
        <f t="shared" si="0"/>
        <v>0</v>
      </c>
      <c r="S32" s="82">
        <f t="shared" si="1"/>
        <v>-7.2164496600635175E-15</v>
      </c>
    </row>
    <row r="33" spans="1:19" x14ac:dyDescent="0.35">
      <c r="A33" s="13" t="s">
        <v>73</v>
      </c>
      <c r="B33" s="77">
        <f>+VLOOKUP(TableB5!A33,[3]Allincome!$A$12:$O$45,11,0)/1000</f>
        <v>0</v>
      </c>
      <c r="C33" s="33">
        <f>+VLOOKUP(TableB5!A33,[3]Div!$A$12:$O$45,11,0)/1000</f>
        <v>0</v>
      </c>
      <c r="D33" s="87">
        <f>+VLOOKUP(TableB5!A33,[3]Int!$A$12:$O$45,11,0)/1000</f>
        <v>0</v>
      </c>
      <c r="E33" s="87">
        <f>+VLOOKUP(TableB5!$A33,[3]Retained!$A$12:$O$46,11,0)/1000</f>
        <v>0</v>
      </c>
      <c r="F33" s="70">
        <f>+VLOOKUP(TableB5!A33,[3]Allincome!$A$12:$O$45,14,0)/1000</f>
        <v>0</v>
      </c>
      <c r="G33" s="33">
        <f>+VLOOKUP(TableB5!A33,[3]Div!$A$12:$O$45,14,0)/1000</f>
        <v>0</v>
      </c>
      <c r="H33" s="46">
        <f>+VLOOKUP(TableB5!A33,[3]Int!$A$12:$O$45,14,0)/1000</f>
        <v>0</v>
      </c>
      <c r="I33" s="87">
        <f>+VLOOKUP(TableB5!$A33,[3]Retained!$A$12:$O$46,14,0)/1000</f>
        <v>0</v>
      </c>
      <c r="J33" s="52">
        <f>+VLOOKUP(TableB5!$A33,[3]Total!$A$12:$O$45,11,0)/1000</f>
        <v>0</v>
      </c>
      <c r="K33" s="8">
        <f>+VLOOKUP(TableB5!$A33,[3]Equity!$A$12:$O$45,11,0)/1000</f>
        <v>0</v>
      </c>
      <c r="L33" s="8">
        <f>+VLOOKUP(TableB5!$A33,[3]Debt!$A$12:$O$45,11,0)/1000</f>
        <v>0</v>
      </c>
      <c r="M33" s="52">
        <f>+VLOOKUP(TableB5!$A33,[3]Total!$A$12:$O$45,14,0)/1000</f>
        <v>0</v>
      </c>
      <c r="N33" s="8">
        <f>+VLOOKUP(TableB5!$A33,[3]Equity!$A$12:$O$45,14,0)/1000</f>
        <v>0</v>
      </c>
      <c r="O33" s="35">
        <f>+VLOOKUP(TableB5!$A33,[3]Debt!$A$12:$O$45,14,0)/1000</f>
        <v>0</v>
      </c>
      <c r="R33" s="69">
        <f t="shared" si="0"/>
        <v>0</v>
      </c>
      <c r="S33" s="82">
        <f t="shared" si="1"/>
        <v>0</v>
      </c>
    </row>
    <row r="34" spans="1:19" x14ac:dyDescent="0.35">
      <c r="A34" s="15" t="s">
        <v>74</v>
      </c>
      <c r="B34" s="77">
        <f>+VLOOKUP(TableB5!A34,[3]Allincome!$A$12:$O$45,11,0)/1000</f>
        <v>-0.16901652964299002</v>
      </c>
      <c r="C34" s="33">
        <f>+VLOOKUP(TableB5!A34,[3]Div!$A$12:$O$45,11,0)/1000</f>
        <v>0</v>
      </c>
      <c r="D34" s="87">
        <f>+VLOOKUP(TableB5!A34,[3]Int!$A$12:$O$45,11,0)/1000</f>
        <v>1.6120432027578E-3</v>
      </c>
      <c r="E34" s="87">
        <f>+VLOOKUP(TableB5!$A34,[3]Retained!$A$12:$O$46,11,0)/1000</f>
        <v>-0.17062857284575</v>
      </c>
      <c r="F34" s="70">
        <f>+VLOOKUP(TableB5!A34,[3]Allincome!$A$12:$O$45,14,0)/1000</f>
        <v>1.6988455290602E-2</v>
      </c>
      <c r="G34" s="33">
        <f>+VLOOKUP(TableB5!A34,[3]Div!$A$12:$O$45,14,0)/1000</f>
        <v>4.5509219647086999E-2</v>
      </c>
      <c r="H34" s="46">
        <f>+VLOOKUP(TableB5!A34,[3]Int!$A$12:$O$45,14,0)/1000</f>
        <v>1.4880398794687999E-3</v>
      </c>
      <c r="I34" s="87">
        <f>+VLOOKUP(TableB5!$A34,[3]Retained!$A$12:$O$46,14,0)/1000</f>
        <v>-3.0008804235953999E-2</v>
      </c>
      <c r="J34" s="52">
        <f>+VLOOKUP(TableB5!$A34,[3]Total!$A$12:$O$45,11,0)/1000</f>
        <v>1.9864926220204</v>
      </c>
      <c r="K34" s="8">
        <f>+VLOOKUP(TableB5!$A34,[3]Equity!$A$12:$O$45,11,0)/1000</f>
        <v>2.0716231555051001</v>
      </c>
      <c r="L34" s="8">
        <f>+VLOOKUP(TableB5!$A34,[3]Debt!$A$12:$O$45,11,0)/1000</f>
        <v>-8.5130533484677001E-2</v>
      </c>
      <c r="M34" s="52">
        <f>+VLOOKUP(TableB5!$A34,[3]Total!$A$12:$O$45,14,0)/1000</f>
        <v>1.9558456299658999</v>
      </c>
      <c r="N34" s="8">
        <f>+VLOOKUP(TableB5!$A34,[3]Equity!$A$12:$O$45,14,0)/1000</f>
        <v>1.8904653802497</v>
      </c>
      <c r="O34" s="35">
        <f>+VLOOKUP(TableB5!$A34,[3]Debt!$A$12:$O$45,14,0)/1000</f>
        <v>6.5380249716232006E-2</v>
      </c>
      <c r="R34" s="69">
        <f t="shared" si="0"/>
        <v>2.1926904736346842E-15</v>
      </c>
      <c r="S34" s="82">
        <f t="shared" si="1"/>
        <v>2.0122792321330962E-16</v>
      </c>
    </row>
    <row r="35" spans="1:19" x14ac:dyDescent="0.35">
      <c r="A35" s="13" t="s">
        <v>75</v>
      </c>
      <c r="B35" s="77">
        <f>C35+D35+E35</f>
        <v>5.6147842750038035E-2</v>
      </c>
      <c r="C35" s="33">
        <f>K35*C$32/K$32</f>
        <v>3.9406895139223144E-2</v>
      </c>
      <c r="D35" s="87">
        <f>L35*D$32/L$32</f>
        <v>0</v>
      </c>
      <c r="E35" s="87">
        <f>K35*E$32/K$32</f>
        <v>1.6740947610814887E-2</v>
      </c>
      <c r="F35" s="77">
        <f>G35+H35+I35</f>
        <v>5.4260515911874974E-2</v>
      </c>
      <c r="G35" s="33">
        <f>N35*G$32/N$32</f>
        <v>5.4510500524457703E-2</v>
      </c>
      <c r="H35" s="46">
        <f>O35*H$32/O$32</f>
        <v>0</v>
      </c>
      <c r="I35" s="87">
        <f>N35*I$32/N$32</f>
        <v>-2.499846125827305E-4</v>
      </c>
      <c r="J35" s="52">
        <f>+VLOOKUP(TableB5!$A35,[3]Total!$A$12:$O$45,11,0)/1000</f>
        <v>1.3078362513136998</v>
      </c>
      <c r="K35" s="8">
        <f>J35</f>
        <v>1.3078362513136998</v>
      </c>
      <c r="L35" s="8">
        <f>J35-K35</f>
        <v>0</v>
      </c>
      <c r="M35" s="52">
        <f>+VLOOKUP(TableB5!$A35,[3]Total!$A$12:$O$45,14,0)/1000</f>
        <v>1.3078362513136998</v>
      </c>
      <c r="N35" s="8">
        <f>M35</f>
        <v>1.3078362513136998</v>
      </c>
      <c r="O35" s="35">
        <f>M35-N35</f>
        <v>0</v>
      </c>
      <c r="R35" s="69">
        <f t="shared" si="0"/>
        <v>0</v>
      </c>
      <c r="S35" s="82">
        <f t="shared" si="1"/>
        <v>1.1926223897340549E-18</v>
      </c>
    </row>
    <row r="36" spans="1:19" x14ac:dyDescent="0.35">
      <c r="A36" s="13" t="s">
        <v>76</v>
      </c>
      <c r="B36" s="77">
        <f>C36+D36+E36</f>
        <v>0.57893741651283814</v>
      </c>
      <c r="C36" s="33">
        <f>K36*C$32/K$32</f>
        <v>0.43584687303486425</v>
      </c>
      <c r="D36" s="87">
        <f>L36*D$32/L$32</f>
        <v>-4.2067146363763491E-2</v>
      </c>
      <c r="E36" s="87">
        <f>K36*E$32/K$32</f>
        <v>0.18515768984173744</v>
      </c>
      <c r="F36" s="77">
        <f>G36+H36+I36</f>
        <v>0.37215674085598122</v>
      </c>
      <c r="G36" s="33">
        <f>N36*G$32/N$32</f>
        <v>0.34024603588003816</v>
      </c>
      <c r="H36" s="46">
        <f>O36*H$32/O$32</f>
        <v>3.3471069908276058E-2</v>
      </c>
      <c r="I36" s="87">
        <f>N36*I$32/N$32</f>
        <v>-1.5603649323329589E-3</v>
      </c>
      <c r="J36" s="52">
        <f>+VLOOKUP(TableB5!$A36,[3]Total!$A$12:$O$45,11,0)/1000</f>
        <v>13.48502994012</v>
      </c>
      <c r="K36" s="8">
        <f>+VLOOKUP(TableB5!$A36,[3]Equity!$A$12:$O$45,11,0)/1000</f>
        <v>14.464888405007999</v>
      </c>
      <c r="L36" s="8">
        <f>+VLOOKUP(TableB5!$A36,[3]Debt!$A$12:$O$45,11,0)/1000</f>
        <v>-0.97985846488841</v>
      </c>
      <c r="M36" s="52">
        <f>+VLOOKUP(TableB5!$A36,[3]Total!$A$12:$O$45,14,0)/1000</f>
        <v>8.9700598802395</v>
      </c>
      <c r="N36" s="8">
        <f>+VLOOKUP(TableB5!$A36,[3]Equity!$A$12:$O$45,14,0)/1000</f>
        <v>8.1633097441481013</v>
      </c>
      <c r="O36" s="35">
        <f>+VLOOKUP(TableB5!$A36,[3]Debt!$A$12:$O$45,14,0)/1000</f>
        <v>0.80675013609145008</v>
      </c>
      <c r="R36" s="69">
        <f t="shared" si="0"/>
        <v>0</v>
      </c>
      <c r="S36" s="82">
        <f t="shared" si="1"/>
        <v>-3.8163916471489756E-17</v>
      </c>
    </row>
    <row r="37" spans="1:19" x14ac:dyDescent="0.35">
      <c r="A37" s="13" t="s">
        <v>77</v>
      </c>
      <c r="B37" s="77">
        <f>+VLOOKUP(TableB5!A37,[3]Allincome!$A$12:$O$45,11,0)/1000</f>
        <v>0</v>
      </c>
      <c r="C37" s="33">
        <f>+VLOOKUP(TableB5!A37,[3]Div!$A$12:$O$45,11,0)/1000</f>
        <v>0</v>
      </c>
      <c r="D37" s="87">
        <f>+VLOOKUP(TableB5!A37,[3]Int!$A$12:$O$45,11,0)/1000</f>
        <v>0</v>
      </c>
      <c r="E37" s="87">
        <f>+VLOOKUP(TableB5!$A37,[3]Retained!$A$12:$O$46,11,0)/1000</f>
        <v>0</v>
      </c>
      <c r="F37" s="70">
        <f>+VLOOKUP(TableB5!A37,[3]Allincome!$A$12:$O$45,14,0)/1000</f>
        <v>0</v>
      </c>
      <c r="G37" s="33">
        <f>+VLOOKUP(TableB5!A37,[3]Div!$A$12:$O$45,14,0)/1000</f>
        <v>0</v>
      </c>
      <c r="H37" s="46">
        <f>+VLOOKUP(TableB5!A37,[3]Int!$A$12:$O$45,14,0)/1000</f>
        <v>0</v>
      </c>
      <c r="I37" s="87">
        <f>+VLOOKUP(TableB5!$A37,[3]Retained!$A$12:$O$46,14,0)/1000</f>
        <v>0</v>
      </c>
      <c r="J37" s="52">
        <f>+VLOOKUP(TableB5!$A37,[3]Total!$A$12:$O$45,11,0)/1000</f>
        <v>0</v>
      </c>
      <c r="K37" s="8">
        <f>+VLOOKUP(TableB5!$A37,[3]Equity!$A$12:$O$45,11,0)/1000</f>
        <v>0</v>
      </c>
      <c r="L37" s="8">
        <f>+VLOOKUP(TableB5!$A37,[3]Debt!$A$12:$O$45,11,0)/1000</f>
        <v>0</v>
      </c>
      <c r="M37" s="52">
        <f>+VLOOKUP(TableB5!$A37,[3]Total!$A$12:$O$45,14,0)/1000</f>
        <v>0</v>
      </c>
      <c r="N37" s="8">
        <f>+VLOOKUP(TableB5!$A37,[3]Equity!$A$12:$O$45,14,0)/1000</f>
        <v>0</v>
      </c>
      <c r="O37" s="35">
        <f>+VLOOKUP(TableB5!$A37,[3]Debt!$A$12:$O$45,14,0)/1000</f>
        <v>0</v>
      </c>
      <c r="R37" s="69">
        <f t="shared" si="0"/>
        <v>0</v>
      </c>
      <c r="S37" s="82">
        <f t="shared" si="1"/>
        <v>0</v>
      </c>
    </row>
    <row r="38" spans="1:19" x14ac:dyDescent="0.35">
      <c r="A38" s="15" t="s">
        <v>78</v>
      </c>
      <c r="B38" s="77">
        <f>+VLOOKUP(TableB5!A38,[3]Allincome!$A$12:$O$45,11,0)/1000</f>
        <v>0</v>
      </c>
      <c r="C38" s="33">
        <f>+VLOOKUP(TableB5!A38,[3]Div!$A$12:$O$45,11,0)/1000</f>
        <v>0</v>
      </c>
      <c r="D38" s="87">
        <f>+VLOOKUP(TableB5!A38,[3]Int!$A$12:$O$45,11,0)/1000</f>
        <v>0</v>
      </c>
      <c r="E38" s="87">
        <f>+VLOOKUP(TableB5!$A38,[3]Retained!$A$12:$O$46,11,0)/1000</f>
        <v>0</v>
      </c>
      <c r="F38" s="70">
        <f>+VLOOKUP(TableB5!A38,[3]Allincome!$A$12:$O$45,14,0)/1000</f>
        <v>0</v>
      </c>
      <c r="G38" s="33">
        <f>+VLOOKUP(TableB5!A38,[3]Div!$A$12:$O$45,14,0)/1000</f>
        <v>0</v>
      </c>
      <c r="H38" s="46">
        <f>+VLOOKUP(TableB5!A38,[3]Int!$A$12:$O$45,14,0)/1000</f>
        <v>0</v>
      </c>
      <c r="I38" s="87">
        <f>+VLOOKUP(TableB5!$A38,[3]Retained!$A$12:$O$46,14,0)/1000</f>
        <v>0</v>
      </c>
      <c r="J38" s="52">
        <f>+VLOOKUP(TableB5!$A38,[3]Total!$A$12:$O$45,11,0)/1000</f>
        <v>0</v>
      </c>
      <c r="K38" s="8">
        <f>+VLOOKUP(TableB5!$A38,[3]Equity!$A$12:$O$45,11,0)/1000</f>
        <v>0</v>
      </c>
      <c r="L38" s="8">
        <f>+VLOOKUP(TableB5!$A38,[3]Debt!$A$12:$O$45,11,0)/1000</f>
        <v>0</v>
      </c>
      <c r="M38" s="52">
        <f>+VLOOKUP(TableB5!$A38,[3]Total!$A$12:$O$45,14,0)/1000</f>
        <v>0</v>
      </c>
      <c r="N38" s="8">
        <f>+VLOOKUP(TableB5!$A38,[3]Equity!$A$12:$O$45,14,0)/1000</f>
        <v>0</v>
      </c>
      <c r="O38" s="35">
        <f>+VLOOKUP(TableB5!$A38,[3]Debt!$A$12:$O$45,14,0)/1000</f>
        <v>0</v>
      </c>
      <c r="R38" s="69">
        <f t="shared" si="0"/>
        <v>0</v>
      </c>
      <c r="S38" s="82">
        <f t="shared" si="1"/>
        <v>0</v>
      </c>
    </row>
    <row r="39" spans="1:19" x14ac:dyDescent="0.35">
      <c r="A39" s="13" t="s">
        <v>79</v>
      </c>
      <c r="B39" s="77">
        <f>C39+D39+E39</f>
        <v>1.1829748970227549</v>
      </c>
      <c r="C39" s="33">
        <f>K39*C$32/K$32</f>
        <v>0.8302610650037382</v>
      </c>
      <c r="D39" s="87">
        <f>L39*D$32/L$32</f>
        <v>0</v>
      </c>
      <c r="E39" s="87">
        <f>K39*E$32/K$32</f>
        <v>0.35271383201901663</v>
      </c>
      <c r="F39" s="77">
        <f>G39+H39+I39</f>
        <v>1.0892326312660479</v>
      </c>
      <c r="G39" s="33">
        <f>N39*G$32/N$32</f>
        <v>1.0942508547894243</v>
      </c>
      <c r="H39" s="46">
        <f>O39*H$32/O$32</f>
        <v>0</v>
      </c>
      <c r="I39" s="87">
        <f>N39*I$32/N$32</f>
        <v>-5.018223523376413E-3</v>
      </c>
      <c r="J39" s="52">
        <f>+VLOOKUP(TableB5!$A39,[3]Total!$A$12:$O$45,11,0)/1000</f>
        <v>27.554708764290002</v>
      </c>
      <c r="K39" s="8">
        <f>J39</f>
        <v>27.554708764290002</v>
      </c>
      <c r="L39" s="8">
        <f>J39-K39</f>
        <v>0</v>
      </c>
      <c r="M39" s="52">
        <f>+VLOOKUP(TableB5!$A39,[3]Total!$A$12:$O$45,14,0)/1000</f>
        <v>26.253674469243002</v>
      </c>
      <c r="N39" s="8">
        <f>M39</f>
        <v>26.253674469243002</v>
      </c>
      <c r="O39" s="35">
        <f>M39-N39</f>
        <v>0</v>
      </c>
      <c r="R39" s="69">
        <f t="shared" si="0"/>
        <v>0</v>
      </c>
      <c r="S39" s="82">
        <f t="shared" si="1"/>
        <v>-2.8622937353617317E-17</v>
      </c>
    </row>
    <row r="40" spans="1:19" x14ac:dyDescent="0.35">
      <c r="A40" s="13" t="s">
        <v>80</v>
      </c>
      <c r="B40" s="77">
        <f>C40+D40+E40</f>
        <v>0.60302698267599419</v>
      </c>
      <c r="C40" s="33">
        <f>K40*C$32/K$32</f>
        <v>0.52368637122273709</v>
      </c>
      <c r="D40" s="87">
        <f>+VLOOKUP(TableB5!A40,[3]Int!$A$12:$O$45,11,0)/1000</f>
        <v>-6.9993949675537001E-2</v>
      </c>
      <c r="E40" s="75">
        <f>M40*E$32/M$32</f>
        <v>0.14933456112879412</v>
      </c>
      <c r="F40" s="70">
        <f>+VLOOKUP(TableB5!A40,[3]Allincome!$A$12:$O$45,14,0)/1000</f>
        <v>0.27238323466955</v>
      </c>
      <c r="G40" s="33">
        <f>+VLOOKUP(TableB5!A40,[3]Div!$A$12:$O$45,14,0)/1000</f>
        <v>0.27226460085654003</v>
      </c>
      <c r="H40" s="46">
        <f>+VLOOKUP(TableB5!A40,[3]Int!$A$12:$O$45,14,0)/1000</f>
        <v>1.1863381300938001E-4</v>
      </c>
      <c r="I40" s="87">
        <f>+VLOOKUP(TableB5!$A40,[3]Retained!$A$12:$O$46,14,0)/1000</f>
        <v>0</v>
      </c>
      <c r="J40" s="52">
        <f>+VLOOKUP(TableB5!$A40,[3]Total!$A$12:$O$45,11,0)/1000</f>
        <v>21.932873661263997</v>
      </c>
      <c r="K40" s="8">
        <f>+VLOOKUP(TableB5!$A40,[3]Equity!$A$12:$O$45,11,0)/1000</f>
        <v>17.380106151075999</v>
      </c>
      <c r="L40" s="8">
        <f>+VLOOKUP(TableB5!$A40,[3]Debt!$A$12:$O$45,11,0)/1000</f>
        <v>4.5527675101886</v>
      </c>
      <c r="M40" s="52">
        <f>+VLOOKUP(TableB5!$A40,[3]Total!$A$12:$O$45,14,0)/1000</f>
        <v>16.891763813857001</v>
      </c>
      <c r="N40" s="8">
        <f>+VLOOKUP(TableB5!$A40,[3]Equity!$A$12:$O$45,14,0)/1000</f>
        <v>16.891763813857001</v>
      </c>
      <c r="O40" s="35">
        <f>+VLOOKUP(TableB5!$A40,[3]Debt!$A$12:$O$45,14,0)/1000</f>
        <v>0</v>
      </c>
      <c r="R40" s="69">
        <f t="shared" si="0"/>
        <v>0</v>
      </c>
      <c r="S40" s="82">
        <f t="shared" si="1"/>
        <v>5.9177109826974439E-16</v>
      </c>
    </row>
    <row r="41" spans="1:19" x14ac:dyDescent="0.35">
      <c r="A41" s="13" t="s">
        <v>1</v>
      </c>
      <c r="B41" s="297">
        <f>+VLOOKUP(TableB5!A41,[3]Allincome!$A$12:$O$45,11,0)/1000</f>
        <v>6.7404546679830002</v>
      </c>
      <c r="C41" s="33">
        <f>+VLOOKUP(TableB5!A41,[3]Div!$A$12:$O$45,11,0)/1000</f>
        <v>5.3009216980151992</v>
      </c>
      <c r="D41" s="87">
        <f>+VLOOKUP(TableB5!A41,[3]Int!$A$12:$O$45,11,0)/1000</f>
        <v>8.5626090616232012E-2</v>
      </c>
      <c r="E41" s="87">
        <f>+VLOOKUP(TableB5!$A41,[3]Retained!$A$12:$O$46,11,0)/1000</f>
        <v>1.3539068793516</v>
      </c>
      <c r="F41" s="308">
        <f>+VLOOKUP(TableB5!A41,[3]Allincome!$A$12:$O$45,14,0)/1000</f>
        <v>3.8068766249713999</v>
      </c>
      <c r="G41" s="33">
        <f>+VLOOKUP(TableB5!A41,[3]Div!$A$12:$O$45,14,0)/1000</f>
        <v>7.9134737898783998</v>
      </c>
      <c r="H41" s="46">
        <f>+VLOOKUP(TableB5!A41,[3]Int!$A$12:$O$45,14,0)/1000</f>
        <v>0.14328691676191999</v>
      </c>
      <c r="I41" s="87">
        <f>+VLOOKUP(TableB5!$A41,[3]Retained!$A$12:$O$46,14,0)/1000</f>
        <v>-4.2498840816688999</v>
      </c>
      <c r="J41" s="306">
        <f>+VLOOKUP(TableB5!$A41,[3]Total!$A$12:$O$45,11,0)/1000</f>
        <v>123.17453508013</v>
      </c>
      <c r="K41" s="8">
        <f>+VLOOKUP(TableB5!$A41,[3]Equity!$A$12:$O$45,11,0)/1000</f>
        <v>102.6349993549</v>
      </c>
      <c r="L41" s="8">
        <f>+VLOOKUP(TableB5!$A41,[3]Debt!$A$12:$O$45,11,0)/1000</f>
        <v>20.539535725229001</v>
      </c>
      <c r="M41" s="306">
        <f>+VLOOKUP(TableB5!$A41,[3]Total!$A$12:$O$45,14,0)/1000</f>
        <v>97.795929790838002</v>
      </c>
      <c r="N41" s="8">
        <f>+VLOOKUP(TableB5!$A41,[3]Equity!$A$12:$O$45,14,0)/1000</f>
        <v>98.272404363965009</v>
      </c>
      <c r="O41" s="35">
        <f>+VLOOKUP(TableB5!$A41,[3]Debt!$A$12:$O$45,14,0)/1000</f>
        <v>-0.47647457312771002</v>
      </c>
      <c r="R41" s="69">
        <f t="shared" si="0"/>
        <v>-3.1086244689504383E-14</v>
      </c>
      <c r="S41" s="82">
        <f t="shared" si="1"/>
        <v>-2.042810365310288E-14</v>
      </c>
    </row>
    <row r="42" spans="1:19" x14ac:dyDescent="0.35">
      <c r="A42" s="13" t="s">
        <v>81</v>
      </c>
      <c r="B42" s="297">
        <f>+VLOOKUP(TableB5!A42,[3]Allincome!$A$12:$O$45,11,0)/1000</f>
        <v>0</v>
      </c>
      <c r="C42" s="33">
        <f>+VLOOKUP(TableB5!A42,[3]Div!$A$12:$O$45,11,0)/1000</f>
        <v>0</v>
      </c>
      <c r="D42" s="87">
        <f>+VLOOKUP(TableB5!A42,[3]Int!$A$12:$O$45,11,0)/1000</f>
        <v>0</v>
      </c>
      <c r="E42" s="87">
        <f>+VLOOKUP(TableB5!$A42,[3]Retained!$A$12:$O$46,11,0)/1000</f>
        <v>0</v>
      </c>
      <c r="F42" s="308">
        <f>+VLOOKUP(TableB5!A42,[3]Allincome!$A$12:$O$45,14,0)/1000</f>
        <v>0</v>
      </c>
      <c r="G42" s="33">
        <f>+VLOOKUP(TableB5!A42,[3]Div!$A$12:$O$45,14,0)/1000</f>
        <v>0</v>
      </c>
      <c r="H42" s="46">
        <f>+VLOOKUP(TableB5!A42,[3]Int!$A$12:$O$45,14,0)/1000</f>
        <v>0</v>
      </c>
      <c r="I42" s="87">
        <f>+VLOOKUP(TableB5!$A42,[3]Retained!$A$12:$O$46,14,0)/1000</f>
        <v>0</v>
      </c>
      <c r="J42" s="306">
        <f>+VLOOKUP(TableB5!$A42,[3]Total!$A$12:$O$45,11,0)/1000</f>
        <v>0</v>
      </c>
      <c r="K42" s="8">
        <f>+VLOOKUP(TableB5!$A42,[3]Equity!$A$12:$O$45,11,0)/1000</f>
        <v>0</v>
      </c>
      <c r="L42" s="8">
        <f>+VLOOKUP(TableB5!$A42,[3]Debt!$A$12:$O$45,11,0)/1000</f>
        <v>0</v>
      </c>
      <c r="M42" s="306">
        <f>+VLOOKUP(TableB5!$A42,[3]Total!$A$12:$O$45,14,0)/1000</f>
        <v>0</v>
      </c>
      <c r="N42" s="8">
        <f>+VLOOKUP(TableB5!$A42,[3]Equity!$A$12:$O$45,14,0)/1000</f>
        <v>0</v>
      </c>
      <c r="O42" s="35">
        <f>+VLOOKUP(TableB5!$A42,[3]Debt!$A$12:$O$45,14,0)/1000</f>
        <v>0</v>
      </c>
      <c r="R42" s="69">
        <f t="shared" si="0"/>
        <v>0</v>
      </c>
      <c r="S42" s="82">
        <f t="shared" si="1"/>
        <v>0</v>
      </c>
    </row>
    <row r="43" spans="1:19" x14ac:dyDescent="0.35">
      <c r="A43" s="13" t="s">
        <v>82</v>
      </c>
      <c r="B43" s="297"/>
      <c r="C43" s="33"/>
      <c r="D43" s="87"/>
      <c r="E43" s="87"/>
      <c r="F43" s="308"/>
      <c r="G43" s="33"/>
      <c r="H43" s="46"/>
      <c r="I43" s="87"/>
      <c r="J43" s="306"/>
      <c r="K43" s="8"/>
      <c r="L43" s="8"/>
      <c r="M43" s="306"/>
      <c r="N43" s="8"/>
      <c r="O43" s="35"/>
      <c r="R43" s="69">
        <f t="shared" si="0"/>
        <v>0</v>
      </c>
      <c r="S43" s="82">
        <f t="shared" si="1"/>
        <v>0</v>
      </c>
    </row>
    <row r="44" spans="1:19" ht="16" thickBot="1" x14ac:dyDescent="0.4">
      <c r="A44" s="726" t="s">
        <v>0</v>
      </c>
      <c r="B44" s="928">
        <f>+VLOOKUP(TableB5!A44,[3]Allincome!$A$12:$O$45,11,0)/1000</f>
        <v>0</v>
      </c>
      <c r="C44" s="623">
        <f>+VLOOKUP(TableB5!A44,[3]Div!$A$12:$O$45,11,0)/1000</f>
        <v>0</v>
      </c>
      <c r="D44" s="929">
        <f>+VLOOKUP(TableB5!A44,[3]Int!$A$12:$O$45,11,0)/1000</f>
        <v>0</v>
      </c>
      <c r="E44" s="929">
        <f>+VLOOKUP(TableB5!$A44,[3]Retained!$A$12:$O$46,11,0)/1000</f>
        <v>0</v>
      </c>
      <c r="F44" s="80">
        <f>+VLOOKUP(TableB5!A44,[3]Allincome!$A$12:$O$45,14,0)/1000</f>
        <v>0</v>
      </c>
      <c r="G44" s="623">
        <f>+VLOOKUP(TableB5!A44,[3]Div!$A$12:$O$45,14,0)/1000</f>
        <v>0</v>
      </c>
      <c r="H44" s="79">
        <f>+VLOOKUP(TableB5!A44,[3]Int!$A$12:$O$45,14,0)/1000</f>
        <v>0</v>
      </c>
      <c r="I44" s="929">
        <f>+VLOOKUP(TableB5!$A44,[3]Retained!$A$12:$O$46,14,0)/1000</f>
        <v>0</v>
      </c>
      <c r="J44" s="609">
        <f>+VLOOKUP(TableB5!$A44,[3]Total!$A$12:$O$45,11,0)/1000</f>
        <v>0</v>
      </c>
      <c r="K44" s="19">
        <f>+VLOOKUP(TableB5!$A44,[3]Equity!$A$12:$O$45,11,0)/1000</f>
        <v>0</v>
      </c>
      <c r="L44" s="19">
        <f>+VLOOKUP(TableB5!$A44,[3]Debt!$A$12:$O$45,11,0)/1000</f>
        <v>0</v>
      </c>
      <c r="M44" s="609">
        <f>+VLOOKUP(TableB5!$A44,[3]Total!$A$12:$O$45,14,0)/1000</f>
        <v>0</v>
      </c>
      <c r="N44" s="19">
        <f>+VLOOKUP(TableB5!$A44,[3]Equity!$A$12:$O$45,14,0)/1000</f>
        <v>0</v>
      </c>
      <c r="O44" s="36">
        <f>+VLOOKUP(TableB5!$A44,[3]Debt!$A$12:$O$45,14,0)/1000</f>
        <v>0</v>
      </c>
      <c r="R44" s="69">
        <f t="shared" si="0"/>
        <v>0</v>
      </c>
      <c r="S44" s="82">
        <f t="shared" si="1"/>
        <v>0</v>
      </c>
    </row>
    <row r="45" spans="1:19" ht="46.5" hidden="1" x14ac:dyDescent="0.35">
      <c r="A45" s="281" t="s">
        <v>99</v>
      </c>
      <c r="B45" s="32"/>
      <c r="C45" s="47"/>
      <c r="D45" s="46"/>
      <c r="E45" s="84"/>
      <c r="F45" s="70"/>
      <c r="G45" s="33"/>
      <c r="H45" s="46"/>
      <c r="I45" s="87"/>
      <c r="J45" s="52"/>
      <c r="K45" s="28"/>
      <c r="L45" s="28"/>
      <c r="M45" s="90"/>
      <c r="N45" s="28"/>
      <c r="O45" s="34"/>
      <c r="R45" s="69">
        <f t="shared" si="0"/>
        <v>0</v>
      </c>
      <c r="S45" s="82">
        <f t="shared" si="1"/>
        <v>0</v>
      </c>
    </row>
    <row r="46" spans="1:19" hidden="1" x14ac:dyDescent="0.35">
      <c r="A46" s="95" t="s">
        <v>92</v>
      </c>
      <c r="B46" s="32"/>
      <c r="C46" s="47"/>
      <c r="D46" s="46"/>
      <c r="E46" s="87"/>
      <c r="F46" s="70"/>
      <c r="G46" s="33"/>
      <c r="H46" s="46"/>
      <c r="I46" s="87"/>
      <c r="J46" s="52"/>
      <c r="K46" s="8"/>
      <c r="L46" s="8"/>
      <c r="M46" s="90"/>
      <c r="N46" s="28"/>
      <c r="O46" s="34"/>
      <c r="R46" s="69">
        <f t="shared" si="0"/>
        <v>0</v>
      </c>
      <c r="S46" s="82">
        <f t="shared" si="1"/>
        <v>0</v>
      </c>
    </row>
    <row r="47" spans="1:19" hidden="1" x14ac:dyDescent="0.35">
      <c r="A47" s="282" t="s">
        <v>101</v>
      </c>
      <c r="B47" s="32"/>
      <c r="C47" s="47"/>
      <c r="D47" s="46"/>
      <c r="E47" s="84"/>
      <c r="F47" s="70"/>
      <c r="G47" s="33"/>
      <c r="H47" s="46"/>
      <c r="I47" s="87"/>
      <c r="J47" s="52"/>
      <c r="K47" s="8"/>
      <c r="L47" s="8"/>
      <c r="M47" s="90"/>
      <c r="N47" s="28"/>
      <c r="O47" s="34"/>
      <c r="R47" s="69">
        <f t="shared" si="0"/>
        <v>0</v>
      </c>
      <c r="S47" s="82">
        <f t="shared" si="1"/>
        <v>0</v>
      </c>
    </row>
    <row r="48" spans="1:19" hidden="1" x14ac:dyDescent="0.35">
      <c r="A48" s="282" t="s">
        <v>93</v>
      </c>
      <c r="B48" s="32"/>
      <c r="C48" s="47"/>
      <c r="D48" s="46"/>
      <c r="E48" s="84"/>
      <c r="F48" s="70"/>
      <c r="G48" s="33"/>
      <c r="H48" s="46"/>
      <c r="I48" s="87"/>
      <c r="J48" s="52"/>
      <c r="K48" s="8"/>
      <c r="L48" s="8"/>
      <c r="M48" s="90"/>
      <c r="N48" s="28"/>
      <c r="O48" s="34"/>
      <c r="R48" s="69"/>
      <c r="S48" s="82"/>
    </row>
    <row r="49" spans="1:19" hidden="1" x14ac:dyDescent="0.35">
      <c r="A49" s="282" t="s">
        <v>94</v>
      </c>
      <c r="B49" s="32"/>
      <c r="C49" s="47"/>
      <c r="D49" s="46"/>
      <c r="E49" s="84"/>
      <c r="F49" s="70"/>
      <c r="G49" s="33"/>
      <c r="H49" s="46"/>
      <c r="I49" s="87"/>
      <c r="J49" s="52"/>
      <c r="K49" s="8"/>
      <c r="L49" s="8"/>
      <c r="M49" s="90"/>
      <c r="N49" s="28"/>
      <c r="O49" s="34"/>
      <c r="R49" s="69"/>
      <c r="S49" s="82"/>
    </row>
    <row r="50" spans="1:19" hidden="1" x14ac:dyDescent="0.35">
      <c r="A50" s="282" t="s">
        <v>102</v>
      </c>
      <c r="B50" s="32"/>
      <c r="C50" s="47"/>
      <c r="D50" s="46"/>
      <c r="E50" s="84"/>
      <c r="F50" s="70"/>
      <c r="G50" s="33"/>
      <c r="H50" s="46"/>
      <c r="I50" s="87"/>
      <c r="J50" s="52"/>
      <c r="K50" s="8"/>
      <c r="L50" s="8"/>
      <c r="M50" s="90"/>
      <c r="N50" s="28"/>
      <c r="O50" s="34"/>
      <c r="R50" s="69"/>
      <c r="S50" s="82"/>
    </row>
    <row r="51" spans="1:19" hidden="1" x14ac:dyDescent="0.35">
      <c r="A51" s="282" t="s">
        <v>103</v>
      </c>
      <c r="B51" s="32"/>
      <c r="C51" s="47"/>
      <c r="D51" s="46"/>
      <c r="E51" s="84"/>
      <c r="F51" s="70"/>
      <c r="G51" s="33"/>
      <c r="H51" s="46"/>
      <c r="I51" s="87"/>
      <c r="J51" s="52"/>
      <c r="K51" s="8"/>
      <c r="L51" s="8"/>
      <c r="M51" s="90"/>
      <c r="N51" s="28"/>
      <c r="O51" s="34"/>
      <c r="R51" s="69"/>
      <c r="S51" s="82"/>
    </row>
    <row r="52" spans="1:19" hidden="1" x14ac:dyDescent="0.35">
      <c r="A52" s="282" t="s">
        <v>97</v>
      </c>
      <c r="B52" s="32"/>
      <c r="C52" s="47"/>
      <c r="D52" s="46"/>
      <c r="E52" s="84"/>
      <c r="F52" s="70"/>
      <c r="G52" s="33"/>
      <c r="H52" s="46"/>
      <c r="I52" s="87"/>
      <c r="J52" s="52"/>
      <c r="K52" s="8"/>
      <c r="L52" s="8"/>
      <c r="M52" s="90"/>
      <c r="N52" s="28"/>
      <c r="O52" s="34"/>
      <c r="R52" s="69"/>
      <c r="S52" s="82"/>
    </row>
    <row r="53" spans="1:19" ht="31" hidden="1" x14ac:dyDescent="0.35">
      <c r="A53" s="281" t="s">
        <v>100</v>
      </c>
      <c r="B53" s="32"/>
      <c r="C53" s="47"/>
      <c r="D53" s="46"/>
      <c r="E53" s="84"/>
      <c r="F53" s="70"/>
      <c r="G53" s="33"/>
      <c r="H53" s="46"/>
      <c r="I53" s="87"/>
      <c r="J53" s="52"/>
      <c r="K53" s="8"/>
      <c r="L53" s="8"/>
      <c r="M53" s="90"/>
      <c r="N53" s="28"/>
      <c r="O53" s="34"/>
      <c r="R53" s="69"/>
      <c r="S53" s="82"/>
    </row>
    <row r="54" spans="1:19" hidden="1" x14ac:dyDescent="0.35">
      <c r="A54" s="282" t="s">
        <v>272</v>
      </c>
      <c r="B54" s="32"/>
      <c r="C54" s="47"/>
      <c r="D54" s="46"/>
      <c r="E54" s="84"/>
      <c r="F54" s="70"/>
      <c r="G54" s="33"/>
      <c r="H54" s="46"/>
      <c r="I54" s="87"/>
      <c r="J54" s="52"/>
      <c r="K54" s="8"/>
      <c r="L54" s="8"/>
      <c r="M54" s="90"/>
      <c r="N54" s="28"/>
      <c r="O54" s="34"/>
      <c r="R54" s="69"/>
      <c r="S54" s="82"/>
    </row>
    <row r="55" spans="1:19" hidden="1" x14ac:dyDescent="0.35">
      <c r="A55" s="282" t="s">
        <v>273</v>
      </c>
      <c r="B55" s="32"/>
      <c r="C55" s="47"/>
      <c r="D55" s="46"/>
      <c r="E55" s="84"/>
      <c r="F55" s="70"/>
      <c r="G55" s="33"/>
      <c r="H55" s="46"/>
      <c r="I55" s="87"/>
      <c r="J55" s="52"/>
      <c r="K55" s="8"/>
      <c r="L55" s="8"/>
      <c r="M55" s="90"/>
      <c r="N55" s="28"/>
      <c r="O55" s="34"/>
      <c r="R55" s="69"/>
      <c r="S55" s="82"/>
    </row>
    <row r="56" spans="1:19" hidden="1" x14ac:dyDescent="0.35">
      <c r="A56" s="289" t="str">
        <f>+TableA1!A56</f>
        <v>Antigua and Barbuda</v>
      </c>
      <c r="B56" s="298"/>
      <c r="C56" s="47"/>
      <c r="D56" s="46"/>
      <c r="E56" s="84"/>
      <c r="F56" s="308"/>
      <c r="G56" s="33"/>
      <c r="H56" s="46"/>
      <c r="I56" s="87"/>
      <c r="J56" s="306"/>
      <c r="K56" s="8"/>
      <c r="L56" s="8"/>
      <c r="M56" s="309"/>
      <c r="N56" s="28"/>
      <c r="O56" s="34"/>
      <c r="R56" s="69"/>
      <c r="S56" s="82"/>
    </row>
    <row r="57" spans="1:19" hidden="1" x14ac:dyDescent="0.35">
      <c r="A57" s="282" t="s">
        <v>274</v>
      </c>
      <c r="B57" s="32"/>
      <c r="C57" s="47"/>
      <c r="D57" s="46"/>
      <c r="E57" s="84"/>
      <c r="F57" s="70"/>
      <c r="G57" s="33"/>
      <c r="H57" s="46"/>
      <c r="I57" s="87"/>
      <c r="J57" s="52"/>
      <c r="K57" s="8"/>
      <c r="L57" s="8"/>
      <c r="M57" s="90"/>
      <c r="N57" s="28"/>
      <c r="O57" s="34"/>
      <c r="R57" s="69"/>
      <c r="S57" s="82"/>
    </row>
    <row r="58" spans="1:19" hidden="1" x14ac:dyDescent="0.35">
      <c r="A58" s="282" t="s">
        <v>275</v>
      </c>
      <c r="B58" s="32"/>
      <c r="C58" s="47"/>
      <c r="D58" s="46"/>
      <c r="E58" s="84"/>
      <c r="F58" s="70"/>
      <c r="G58" s="33"/>
      <c r="H58" s="46"/>
      <c r="I58" s="87"/>
      <c r="J58" s="52"/>
      <c r="K58" s="8"/>
      <c r="L58" s="8"/>
      <c r="M58" s="90"/>
      <c r="N58" s="28"/>
      <c r="O58" s="34"/>
      <c r="R58" s="69"/>
      <c r="S58" s="82"/>
    </row>
    <row r="59" spans="1:19" hidden="1" x14ac:dyDescent="0.35">
      <c r="A59" s="282" t="s">
        <v>276</v>
      </c>
      <c r="B59" s="32"/>
      <c r="C59" s="47"/>
      <c r="D59" s="46"/>
      <c r="E59" s="84"/>
      <c r="F59" s="70"/>
      <c r="G59" s="33"/>
      <c r="H59" s="46"/>
      <c r="I59" s="87"/>
      <c r="J59" s="52"/>
      <c r="K59" s="8"/>
      <c r="L59" s="8"/>
      <c r="M59" s="90"/>
      <c r="N59" s="28"/>
      <c r="O59" s="34"/>
      <c r="R59" s="69"/>
      <c r="S59" s="82"/>
    </row>
    <row r="60" spans="1:19" hidden="1" x14ac:dyDescent="0.35">
      <c r="A60" s="289" t="str">
        <f>+TableA1!A60</f>
        <v>Barbados</v>
      </c>
      <c r="B60" s="298"/>
      <c r="C60" s="47"/>
      <c r="D60" s="46"/>
      <c r="E60" s="84"/>
      <c r="F60" s="308"/>
      <c r="G60" s="33"/>
      <c r="H60" s="46"/>
      <c r="I60" s="87"/>
      <c r="J60" s="306"/>
      <c r="K60" s="8"/>
      <c r="L60" s="8"/>
      <c r="M60" s="309"/>
      <c r="N60" s="28"/>
      <c r="O60" s="34"/>
      <c r="R60" s="69"/>
      <c r="S60" s="82"/>
    </row>
    <row r="61" spans="1:19" hidden="1" x14ac:dyDescent="0.35">
      <c r="A61" s="282" t="s">
        <v>277</v>
      </c>
      <c r="B61" s="32"/>
      <c r="C61" s="47"/>
      <c r="D61" s="46"/>
      <c r="E61" s="84"/>
      <c r="F61" s="70"/>
      <c r="G61" s="33"/>
      <c r="H61" s="46"/>
      <c r="I61" s="87"/>
      <c r="J61" s="52"/>
      <c r="K61" s="8"/>
      <c r="L61" s="8"/>
      <c r="M61" s="90"/>
      <c r="N61" s="28"/>
      <c r="O61" s="34"/>
      <c r="R61" s="69"/>
      <c r="S61" s="82"/>
    </row>
    <row r="62" spans="1:19" hidden="1" x14ac:dyDescent="0.35">
      <c r="A62" s="282" t="s">
        <v>213</v>
      </c>
      <c r="B62" s="32"/>
      <c r="C62" s="47"/>
      <c r="D62" s="46"/>
      <c r="E62" s="84"/>
      <c r="F62" s="70"/>
      <c r="G62" s="33"/>
      <c r="H62" s="46"/>
      <c r="I62" s="87"/>
      <c r="J62" s="52"/>
      <c r="K62" s="8"/>
      <c r="L62" s="8"/>
      <c r="M62" s="90"/>
      <c r="N62" s="28"/>
      <c r="O62" s="34"/>
      <c r="R62" s="69"/>
      <c r="S62" s="82"/>
    </row>
    <row r="63" spans="1:19" hidden="1" x14ac:dyDescent="0.35">
      <c r="A63" s="282" t="s">
        <v>278</v>
      </c>
      <c r="B63" s="32"/>
      <c r="C63" s="47"/>
      <c r="D63" s="46"/>
      <c r="E63" s="84"/>
      <c r="F63" s="70"/>
      <c r="G63" s="33"/>
      <c r="H63" s="46"/>
      <c r="I63" s="87"/>
      <c r="J63" s="52"/>
      <c r="K63" s="8"/>
      <c r="L63" s="8"/>
      <c r="M63" s="90"/>
      <c r="N63" s="28"/>
      <c r="O63" s="34"/>
      <c r="R63" s="69"/>
      <c r="S63" s="82"/>
    </row>
    <row r="64" spans="1:19" hidden="1" x14ac:dyDescent="0.35">
      <c r="A64" s="282" t="s">
        <v>279</v>
      </c>
      <c r="B64" s="32"/>
      <c r="C64" s="47"/>
      <c r="D64" s="46"/>
      <c r="E64" s="84"/>
      <c r="F64" s="70"/>
      <c r="G64" s="33"/>
      <c r="H64" s="46"/>
      <c r="I64" s="87"/>
      <c r="J64" s="52"/>
      <c r="K64" s="8"/>
      <c r="L64" s="8"/>
      <c r="M64" s="90"/>
      <c r="N64" s="28"/>
      <c r="O64" s="34"/>
      <c r="R64" s="69"/>
      <c r="S64" s="82"/>
    </row>
    <row r="65" spans="1:19" hidden="1" x14ac:dyDescent="0.35">
      <c r="A65" s="282" t="s">
        <v>291</v>
      </c>
      <c r="B65" s="32"/>
      <c r="C65" s="47"/>
      <c r="D65" s="46"/>
      <c r="E65" s="84"/>
      <c r="F65" s="70"/>
      <c r="G65" s="33"/>
      <c r="H65" s="46"/>
      <c r="I65" s="87"/>
      <c r="J65" s="52"/>
      <c r="K65" s="8"/>
      <c r="L65" s="8"/>
      <c r="M65" s="90"/>
      <c r="N65" s="28"/>
      <c r="O65" s="34"/>
      <c r="R65" s="69"/>
      <c r="S65" s="82"/>
    </row>
    <row r="66" spans="1:19" hidden="1" x14ac:dyDescent="0.35">
      <c r="A66" s="282" t="s">
        <v>280</v>
      </c>
      <c r="B66" s="32"/>
      <c r="C66" s="47"/>
      <c r="D66" s="46"/>
      <c r="E66" s="84"/>
      <c r="F66" s="70"/>
      <c r="G66" s="33"/>
      <c r="H66" s="46"/>
      <c r="I66" s="87"/>
      <c r="J66" s="52"/>
      <c r="K66" s="8"/>
      <c r="L66" s="8"/>
      <c r="M66" s="90"/>
      <c r="N66" s="28"/>
      <c r="O66" s="34"/>
      <c r="R66" s="69"/>
      <c r="S66" s="82"/>
    </row>
    <row r="67" spans="1:19" hidden="1" x14ac:dyDescent="0.35">
      <c r="A67" s="289" t="str">
        <f>+TableA1!A67</f>
        <v>Cyprus</v>
      </c>
      <c r="B67" s="298"/>
      <c r="C67" s="47"/>
      <c r="D67" s="46"/>
      <c r="E67" s="84"/>
      <c r="F67" s="308"/>
      <c r="G67" s="33"/>
      <c r="H67" s="46"/>
      <c r="I67" s="87"/>
      <c r="J67" s="306"/>
      <c r="K67" s="8"/>
      <c r="L67" s="8"/>
      <c r="M67" s="309"/>
      <c r="N67" s="28"/>
      <c r="O67" s="34"/>
      <c r="R67" s="69"/>
      <c r="S67" s="82"/>
    </row>
    <row r="68" spans="1:19" hidden="1" x14ac:dyDescent="0.35">
      <c r="A68" s="282" t="s">
        <v>281</v>
      </c>
      <c r="B68" s="32"/>
      <c r="C68" s="47"/>
      <c r="D68" s="46"/>
      <c r="E68" s="84"/>
      <c r="F68" s="70"/>
      <c r="G68" s="33"/>
      <c r="H68" s="46"/>
      <c r="I68" s="87"/>
      <c r="J68" s="52"/>
      <c r="K68" s="8"/>
      <c r="L68" s="8"/>
      <c r="M68" s="90"/>
      <c r="N68" s="28"/>
      <c r="O68" s="34"/>
      <c r="R68" s="69"/>
      <c r="S68" s="82"/>
    </row>
    <row r="69" spans="1:19" hidden="1" x14ac:dyDescent="0.35">
      <c r="A69" s="289" t="str">
        <f>+TableA1!A69</f>
        <v>Grenada</v>
      </c>
      <c r="B69" s="298"/>
      <c r="C69" s="47"/>
      <c r="D69" s="46"/>
      <c r="E69" s="84"/>
      <c r="F69" s="308"/>
      <c r="G69" s="33"/>
      <c r="H69" s="46"/>
      <c r="I69" s="87"/>
      <c r="J69" s="306"/>
      <c r="K69" s="8"/>
      <c r="L69" s="8"/>
      <c r="M69" s="309"/>
      <c r="N69" s="28"/>
      <c r="O69" s="34"/>
      <c r="R69" s="69"/>
      <c r="S69" s="82"/>
    </row>
    <row r="70" spans="1:19" hidden="1" x14ac:dyDescent="0.35">
      <c r="A70" s="282" t="s">
        <v>282</v>
      </c>
      <c r="B70" s="32"/>
      <c r="C70" s="47"/>
      <c r="D70" s="46"/>
      <c r="E70" s="84"/>
      <c r="F70" s="70"/>
      <c r="G70" s="33"/>
      <c r="H70" s="46"/>
      <c r="I70" s="87"/>
      <c r="J70" s="52"/>
      <c r="K70" s="8"/>
      <c r="L70" s="8"/>
      <c r="M70" s="90"/>
      <c r="N70" s="28"/>
      <c r="O70" s="34"/>
      <c r="R70" s="69"/>
      <c r="S70" s="82"/>
    </row>
    <row r="71" spans="1:19" hidden="1" x14ac:dyDescent="0.35">
      <c r="A71" s="282" t="s">
        <v>283</v>
      </c>
      <c r="B71" s="32"/>
      <c r="C71" s="47"/>
      <c r="D71" s="46"/>
      <c r="E71" s="84"/>
      <c r="F71" s="70"/>
      <c r="G71" s="33"/>
      <c r="H71" s="46"/>
      <c r="I71" s="87"/>
      <c r="J71" s="52"/>
      <c r="K71" s="8"/>
      <c r="L71" s="8"/>
      <c r="M71" s="90"/>
      <c r="N71" s="28"/>
      <c r="O71" s="34"/>
      <c r="R71" s="69"/>
      <c r="S71" s="82"/>
    </row>
    <row r="72" spans="1:19" hidden="1" x14ac:dyDescent="0.35">
      <c r="A72" s="282" t="s">
        <v>220</v>
      </c>
      <c r="B72" s="32"/>
      <c r="C72" s="47"/>
      <c r="D72" s="46"/>
      <c r="E72" s="84"/>
      <c r="F72" s="70"/>
      <c r="G72" s="33"/>
      <c r="H72" s="46"/>
      <c r="I72" s="87"/>
      <c r="J72" s="52"/>
      <c r="K72" s="8"/>
      <c r="L72" s="8"/>
      <c r="M72" s="90"/>
      <c r="N72" s="28"/>
      <c r="O72" s="34"/>
      <c r="R72" s="69"/>
      <c r="S72" s="82"/>
    </row>
    <row r="73" spans="1:19" hidden="1" x14ac:dyDescent="0.35">
      <c r="A73" s="282" t="s">
        <v>284</v>
      </c>
      <c r="B73" s="32"/>
      <c r="C73" s="47"/>
      <c r="D73" s="46"/>
      <c r="E73" s="84"/>
      <c r="F73" s="70"/>
      <c r="G73" s="33"/>
      <c r="H73" s="46"/>
      <c r="I73" s="87"/>
      <c r="J73" s="52"/>
      <c r="K73" s="8"/>
      <c r="L73" s="8"/>
      <c r="M73" s="90"/>
      <c r="N73" s="28"/>
      <c r="O73" s="34"/>
      <c r="R73" s="69"/>
      <c r="S73" s="82"/>
    </row>
    <row r="74" spans="1:19" hidden="1" x14ac:dyDescent="0.35">
      <c r="A74" s="282" t="s">
        <v>285</v>
      </c>
      <c r="B74" s="32"/>
      <c r="C74" s="47"/>
      <c r="D74" s="46"/>
      <c r="E74" s="84"/>
      <c r="F74" s="70"/>
      <c r="G74" s="33"/>
      <c r="H74" s="46"/>
      <c r="I74" s="87"/>
      <c r="J74" s="52"/>
      <c r="K74" s="8"/>
      <c r="L74" s="8"/>
      <c r="M74" s="90"/>
      <c r="N74" s="28"/>
      <c r="O74" s="34"/>
      <c r="R74" s="69"/>
      <c r="S74" s="82"/>
    </row>
    <row r="75" spans="1:19" hidden="1" x14ac:dyDescent="0.35">
      <c r="A75" s="282" t="s">
        <v>286</v>
      </c>
      <c r="B75" s="32"/>
      <c r="C75" s="47"/>
      <c r="D75" s="46"/>
      <c r="E75" s="84"/>
      <c r="F75" s="70"/>
      <c r="G75" s="33"/>
      <c r="H75" s="46"/>
      <c r="I75" s="87"/>
      <c r="J75" s="52"/>
      <c r="K75" s="8"/>
      <c r="L75" s="8"/>
      <c r="M75" s="90"/>
      <c r="N75" s="28"/>
      <c r="O75" s="34"/>
      <c r="R75" s="69"/>
      <c r="S75" s="82"/>
    </row>
    <row r="76" spans="1:19" hidden="1" x14ac:dyDescent="0.35">
      <c r="A76" s="282" t="s">
        <v>287</v>
      </c>
      <c r="B76" s="32"/>
      <c r="C76" s="47"/>
      <c r="D76" s="46"/>
      <c r="E76" s="84"/>
      <c r="F76" s="70"/>
      <c r="G76" s="33"/>
      <c r="H76" s="46"/>
      <c r="I76" s="87"/>
      <c r="J76" s="52"/>
      <c r="K76" s="8"/>
      <c r="L76" s="8"/>
      <c r="M76" s="90"/>
      <c r="N76" s="28"/>
      <c r="O76" s="34"/>
      <c r="R76" s="69">
        <f t="shared" si="0"/>
        <v>0</v>
      </c>
      <c r="S76" s="82">
        <f t="shared" si="1"/>
        <v>0</v>
      </c>
    </row>
    <row r="77" spans="1:19" hidden="1" x14ac:dyDescent="0.35">
      <c r="A77" s="282" t="s">
        <v>301</v>
      </c>
      <c r="B77" s="298"/>
      <c r="C77" s="47"/>
      <c r="D77" s="46"/>
      <c r="E77" s="84"/>
      <c r="F77" s="308"/>
      <c r="G77" s="33"/>
      <c r="H77" s="46"/>
      <c r="I77" s="87"/>
      <c r="J77" s="306"/>
      <c r="K77" s="8"/>
      <c r="L77" s="8"/>
      <c r="M77" s="309"/>
      <c r="N77" s="28"/>
      <c r="O77" s="34"/>
      <c r="R77" s="69"/>
      <c r="S77" s="82"/>
    </row>
    <row r="78" spans="1:19" hidden="1" x14ac:dyDescent="0.35">
      <c r="A78" s="282" t="s">
        <v>302</v>
      </c>
      <c r="B78" s="298"/>
      <c r="C78" s="47"/>
      <c r="D78" s="46"/>
      <c r="E78" s="84"/>
      <c r="F78" s="308"/>
      <c r="G78" s="33"/>
      <c r="H78" s="46"/>
      <c r="I78" s="87"/>
      <c r="J78" s="306"/>
      <c r="K78" s="8"/>
      <c r="L78" s="8"/>
      <c r="M78" s="309"/>
      <c r="N78" s="28"/>
      <c r="O78" s="34"/>
      <c r="R78" s="69"/>
      <c r="S78" s="82"/>
    </row>
    <row r="79" spans="1:19" hidden="1" x14ac:dyDescent="0.35">
      <c r="A79" s="289" t="str">
        <f>+TableA1!A79</f>
        <v>Monaco</v>
      </c>
      <c r="B79" s="298"/>
      <c r="C79" s="47"/>
      <c r="D79" s="46"/>
      <c r="E79" s="84"/>
      <c r="F79" s="308"/>
      <c r="G79" s="33"/>
      <c r="H79" s="46"/>
      <c r="I79" s="87"/>
      <c r="J79" s="306"/>
      <c r="K79" s="8"/>
      <c r="L79" s="8"/>
      <c r="M79" s="309"/>
      <c r="N79" s="28"/>
      <c r="O79" s="34"/>
      <c r="R79" s="69"/>
      <c r="S79" s="82"/>
    </row>
    <row r="80" spans="1:19" hidden="1" x14ac:dyDescent="0.35">
      <c r="A80" s="282" t="s">
        <v>288</v>
      </c>
      <c r="B80" s="32"/>
      <c r="C80" s="47"/>
      <c r="D80" s="46"/>
      <c r="E80" s="83"/>
      <c r="F80" s="70"/>
      <c r="G80" s="33"/>
      <c r="H80" s="46"/>
      <c r="I80" s="87"/>
      <c r="J80" s="90"/>
      <c r="K80" s="28"/>
      <c r="L80" s="28"/>
      <c r="M80" s="90"/>
      <c r="N80" s="28"/>
      <c r="O80" s="34"/>
      <c r="R80" s="69">
        <f t="shared" si="0"/>
        <v>0</v>
      </c>
      <c r="S80" s="82">
        <f t="shared" si="1"/>
        <v>0</v>
      </c>
    </row>
    <row r="81" spans="1:15" hidden="1" x14ac:dyDescent="0.35">
      <c r="A81" s="282" t="s">
        <v>289</v>
      </c>
      <c r="B81" s="32"/>
      <c r="C81" s="47"/>
      <c r="D81" s="46"/>
      <c r="E81" s="83"/>
      <c r="F81" s="70"/>
      <c r="G81" s="33"/>
      <c r="H81" s="46"/>
      <c r="I81" s="87"/>
      <c r="J81" s="90"/>
      <c r="K81" s="28"/>
      <c r="L81" s="28"/>
      <c r="M81" s="90"/>
      <c r="N81" s="28"/>
      <c r="O81" s="34"/>
    </row>
    <row r="82" spans="1:15" hidden="1" x14ac:dyDescent="0.35">
      <c r="A82" s="289" t="str">
        <f>+TableA1!A82</f>
        <v>Seychelles</v>
      </c>
      <c r="B82" s="298"/>
      <c r="C82" s="47"/>
      <c r="D82" s="46"/>
      <c r="E82" s="83"/>
      <c r="F82" s="308"/>
      <c r="G82" s="46"/>
      <c r="H82" s="46"/>
      <c r="I82" s="87"/>
      <c r="J82" s="309"/>
      <c r="K82" s="28"/>
      <c r="L82" s="28"/>
      <c r="M82" s="309"/>
      <c r="N82" s="28"/>
      <c r="O82" s="34"/>
    </row>
    <row r="83" spans="1:15" hidden="1" x14ac:dyDescent="0.35">
      <c r="A83" s="282" t="s">
        <v>225</v>
      </c>
      <c r="B83" s="32"/>
      <c r="C83" s="47"/>
      <c r="D83" s="46"/>
      <c r="E83" s="46"/>
      <c r="F83" s="70"/>
      <c r="G83" s="46"/>
      <c r="H83" s="46"/>
      <c r="I83" s="46"/>
      <c r="J83" s="90"/>
      <c r="K83" s="28"/>
      <c r="L83" s="28"/>
      <c r="M83" s="90"/>
      <c r="N83" s="28"/>
      <c r="O83" s="34"/>
    </row>
    <row r="84" spans="1:15" hidden="1" x14ac:dyDescent="0.35">
      <c r="A84" s="289" t="str">
        <f>+TableA1!A84</f>
        <v>St. Kitts and Nevis</v>
      </c>
      <c r="B84" s="298"/>
      <c r="C84" s="47"/>
      <c r="D84" s="46"/>
      <c r="E84" s="46"/>
      <c r="F84" s="308"/>
      <c r="G84" s="46"/>
      <c r="H84" s="46"/>
      <c r="I84" s="46"/>
      <c r="J84" s="309"/>
      <c r="K84" s="28"/>
      <c r="L84" s="28"/>
      <c r="M84" s="309"/>
      <c r="N84" s="28"/>
      <c r="O84" s="34"/>
    </row>
    <row r="85" spans="1:15" hidden="1" x14ac:dyDescent="0.35">
      <c r="A85" s="289" t="str">
        <f>+TableA1!A85</f>
        <v>St. Lucia</v>
      </c>
      <c r="B85" s="298"/>
      <c r="C85" s="47"/>
      <c r="D85" s="46"/>
      <c r="E85" s="46"/>
      <c r="F85" s="308"/>
      <c r="G85" s="46"/>
      <c r="H85" s="46"/>
      <c r="I85" s="46"/>
      <c r="J85" s="309"/>
      <c r="K85" s="28"/>
      <c r="L85" s="28"/>
      <c r="M85" s="309"/>
      <c r="N85" s="28"/>
      <c r="O85" s="34"/>
    </row>
    <row r="86" spans="1:15" hidden="1" x14ac:dyDescent="0.35">
      <c r="A86" s="289" t="str">
        <f>+TableA1!A86</f>
        <v>St. Vincent and the Grenadines</v>
      </c>
      <c r="B86" s="298"/>
      <c r="C86" s="47"/>
      <c r="D86" s="46"/>
      <c r="E86" s="46"/>
      <c r="F86" s="308"/>
      <c r="G86" s="46"/>
      <c r="H86" s="46"/>
      <c r="I86" s="46"/>
      <c r="J86" s="309"/>
      <c r="K86" s="28"/>
      <c r="L86" s="28"/>
      <c r="M86" s="309"/>
      <c r="N86" s="28"/>
      <c r="O86" s="34"/>
    </row>
    <row r="87" spans="1:15" hidden="1" x14ac:dyDescent="0.35">
      <c r="A87" s="289" t="str">
        <f>+TableA1!A87</f>
        <v>Turks and Caicos</v>
      </c>
      <c r="B87" s="298"/>
      <c r="C87" s="47"/>
      <c r="D87" s="46"/>
      <c r="E87" s="46"/>
      <c r="F87" s="308"/>
      <c r="G87" s="46"/>
      <c r="H87" s="46"/>
      <c r="I87" s="46"/>
      <c r="J87" s="309"/>
      <c r="K87" s="28"/>
      <c r="L87" s="28"/>
      <c r="M87" s="309"/>
      <c r="N87" s="28"/>
      <c r="O87" s="34"/>
    </row>
    <row r="88" spans="1:15" hidden="1" x14ac:dyDescent="0.35">
      <c r="A88" s="289" t="str">
        <f>+TableA1!A88</f>
        <v>Panama</v>
      </c>
      <c r="B88" s="298"/>
      <c r="C88" s="47"/>
      <c r="D88" s="46"/>
      <c r="E88" s="46"/>
      <c r="F88" s="308"/>
      <c r="G88" s="46"/>
      <c r="H88" s="46"/>
      <c r="I88" s="46"/>
      <c r="J88" s="309"/>
      <c r="K88" s="28"/>
      <c r="L88" s="28"/>
      <c r="M88" s="309"/>
      <c r="N88" s="28"/>
      <c r="O88" s="34"/>
    </row>
    <row r="89" spans="1:15" ht="16" hidden="1" thickBot="1" x14ac:dyDescent="0.4">
      <c r="A89" s="283" t="s">
        <v>290</v>
      </c>
      <c r="B89" s="78"/>
      <c r="C89" s="89"/>
      <c r="D89" s="79"/>
      <c r="E89" s="79"/>
      <c r="F89" s="80"/>
      <c r="G89" s="79"/>
      <c r="H89" s="79"/>
      <c r="I89" s="79"/>
      <c r="J89" s="94"/>
      <c r="K89" s="66"/>
      <c r="L89" s="66"/>
      <c r="M89" s="94"/>
      <c r="N89" s="66"/>
      <c r="O89" s="67"/>
    </row>
    <row r="90" spans="1:15" ht="16.5" thickTop="1" thickBot="1" x14ac:dyDescent="0.4">
      <c r="D90" s="7"/>
      <c r="E90" s="7"/>
      <c r="G90" s="7"/>
      <c r="H90" s="7"/>
      <c r="I90" s="7"/>
    </row>
    <row r="91" spans="1:15" s="2" customFormat="1" x14ac:dyDescent="0.35">
      <c r="A91" s="2319" t="s">
        <v>707</v>
      </c>
      <c r="B91" s="2320"/>
      <c r="C91" s="2320"/>
      <c r="D91" s="2320"/>
      <c r="E91" s="2320"/>
      <c r="F91" s="2320"/>
      <c r="G91" s="2320"/>
      <c r="H91" s="2320"/>
      <c r="I91" s="2320"/>
      <c r="J91" s="2320"/>
      <c r="K91" s="2320"/>
      <c r="L91" s="2320"/>
      <c r="M91" s="2320"/>
      <c r="N91" s="2320"/>
      <c r="O91" s="2321"/>
    </row>
    <row r="92" spans="1:15" s="2" customFormat="1" ht="16" thickBot="1" x14ac:dyDescent="0.4">
      <c r="A92" s="2322"/>
      <c r="B92" s="2323"/>
      <c r="C92" s="2323"/>
      <c r="D92" s="2323"/>
      <c r="E92" s="2323"/>
      <c r="F92" s="2323"/>
      <c r="G92" s="2323"/>
      <c r="H92" s="2323"/>
      <c r="I92" s="2323"/>
      <c r="J92" s="2323"/>
      <c r="K92" s="2323"/>
      <c r="L92" s="2323"/>
      <c r="M92" s="2323"/>
      <c r="N92" s="2323"/>
      <c r="O92" s="2324"/>
    </row>
    <row r="93" spans="1:15" s="2" customFormat="1" x14ac:dyDescent="0.35">
      <c r="A93" s="1"/>
      <c r="B93" s="1"/>
      <c r="C93" s="1"/>
      <c r="D93" s="1"/>
      <c r="E93" s="1"/>
      <c r="F93" s="1"/>
      <c r="G93" s="1"/>
      <c r="H93" s="1"/>
      <c r="I93" s="1"/>
      <c r="J93" s="1"/>
    </row>
    <row r="94" spans="1:15" s="2" customFormat="1" x14ac:dyDescent="0.35">
      <c r="A94" s="1"/>
      <c r="B94" s="1"/>
      <c r="C94" s="1"/>
      <c r="D94" s="1"/>
      <c r="E94" s="1"/>
      <c r="F94" s="1"/>
      <c r="G94" s="1"/>
      <c r="H94" s="1"/>
      <c r="I94" s="1"/>
      <c r="J94" s="1"/>
    </row>
    <row r="95" spans="1:15" s="2" customFormat="1" x14ac:dyDescent="0.35">
      <c r="A95" s="1"/>
      <c r="B95" s="1"/>
      <c r="C95" s="1"/>
      <c r="D95" s="1"/>
      <c r="E95" s="1"/>
      <c r="F95" s="1"/>
      <c r="G95" s="1"/>
      <c r="H95" s="1"/>
      <c r="I95" s="1"/>
      <c r="J95" s="1"/>
    </row>
    <row r="97" spans="1:10" s="2" customFormat="1" x14ac:dyDescent="0.35">
      <c r="A97" s="1"/>
      <c r="B97" s="1"/>
      <c r="C97" s="1"/>
      <c r="D97" s="1"/>
      <c r="E97" s="1"/>
      <c r="F97" s="1"/>
      <c r="G97" s="1"/>
      <c r="H97" s="1"/>
      <c r="I97" s="1"/>
      <c r="J97" s="1"/>
    </row>
  </sheetData>
  <mergeCells count="9">
    <mergeCell ref="A91:O92"/>
    <mergeCell ref="A3:O3"/>
    <mergeCell ref="B8:B9"/>
    <mergeCell ref="F8:F9"/>
    <mergeCell ref="J8:J9"/>
    <mergeCell ref="B7:I7"/>
    <mergeCell ref="J7:O7"/>
    <mergeCell ref="M8:M9"/>
    <mergeCell ref="B6:O6"/>
  </mergeCells>
  <phoneticPr fontId="62" type="noConversion"/>
  <pageMargins left="0.75" right="0.75" top="1" bottom="1" header="0.5" footer="0.5"/>
  <pageSetup scale="63" orientation="landscape"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3:J98"/>
  <sheetViews>
    <sheetView workbookViewId="0">
      <pane xSplit="1" ySplit="9" topLeftCell="B19" activePane="bottomRight" state="frozen"/>
      <selection activeCell="AR8" sqref="AR8"/>
      <selection pane="topRight" activeCell="AR8" sqref="AR8"/>
      <selection pane="bottomLeft" activeCell="AR8" sqref="AR8"/>
      <selection pane="bottomRight" activeCell="H33" sqref="H33"/>
    </sheetView>
  </sheetViews>
  <sheetFormatPr baseColWidth="10" defaultColWidth="10.81640625" defaultRowHeight="15.5" x14ac:dyDescent="0.35"/>
  <cols>
    <col min="1" max="1" width="32" style="1" customWidth="1"/>
    <col min="2" max="7" width="12.453125" style="1" customWidth="1"/>
    <col min="8" max="16384" width="10.81640625" style="1"/>
  </cols>
  <sheetData>
    <row r="3" spans="1:10" ht="16" thickBot="1" x14ac:dyDescent="0.4"/>
    <row r="4" spans="1:10" ht="32.25" customHeight="1" x14ac:dyDescent="0.35">
      <c r="A4" s="2212" t="s">
        <v>160</v>
      </c>
      <c r="B4" s="2213"/>
      <c r="C4" s="2213"/>
      <c r="D4" s="2213"/>
      <c r="E4" s="2213"/>
      <c r="F4" s="2213"/>
      <c r="G4" s="2213"/>
      <c r="H4" s="2213"/>
      <c r="I4" s="2213"/>
      <c r="J4" s="2214"/>
    </row>
    <row r="5" spans="1:10" ht="12" customHeight="1" x14ac:dyDescent="0.35">
      <c r="A5" s="291"/>
      <c r="B5" s="1312"/>
      <c r="C5" s="1312"/>
      <c r="D5" s="1312"/>
      <c r="E5" s="1312"/>
      <c r="F5" s="1312"/>
      <c r="G5" s="1312"/>
      <c r="H5" s="28"/>
      <c r="I5" s="28"/>
      <c r="J5" s="1769"/>
    </row>
    <row r="6" spans="1:10" ht="16" thickBot="1" x14ac:dyDescent="0.4">
      <c r="A6" s="292"/>
      <c r="B6" s="10" t="s">
        <v>20</v>
      </c>
      <c r="C6" s="10" t="s">
        <v>21</v>
      </c>
      <c r="D6" s="10" t="s">
        <v>22</v>
      </c>
      <c r="E6" s="10" t="s">
        <v>23</v>
      </c>
      <c r="F6" s="10" t="s">
        <v>24</v>
      </c>
      <c r="G6" s="10" t="s">
        <v>25</v>
      </c>
      <c r="H6" s="10" t="s">
        <v>26</v>
      </c>
      <c r="I6" s="10" t="s">
        <v>33</v>
      </c>
      <c r="J6" s="1770" t="s">
        <v>34</v>
      </c>
    </row>
    <row r="7" spans="1:10" ht="21" customHeight="1" x14ac:dyDescent="0.35">
      <c r="A7" s="292"/>
      <c r="B7" s="2329" t="s">
        <v>53</v>
      </c>
      <c r="C7" s="2330"/>
      <c r="D7" s="2330"/>
      <c r="E7" s="2330"/>
      <c r="F7" s="2330"/>
      <c r="G7" s="2330"/>
      <c r="H7" s="2330"/>
      <c r="I7" s="2330"/>
      <c r="J7" s="2331"/>
    </row>
    <row r="8" spans="1:10" ht="85" customHeight="1" x14ac:dyDescent="0.35">
      <c r="A8" s="292"/>
      <c r="B8" s="2182" t="s">
        <v>150</v>
      </c>
      <c r="C8" s="1717" t="s">
        <v>156</v>
      </c>
      <c r="D8" s="1718" t="s">
        <v>157</v>
      </c>
      <c r="E8" s="2152" t="s">
        <v>151</v>
      </c>
      <c r="F8" s="1718" t="s">
        <v>161</v>
      </c>
      <c r="G8" s="1718" t="s">
        <v>157</v>
      </c>
      <c r="H8" s="2221" t="s">
        <v>256</v>
      </c>
      <c r="I8" s="1718" t="s">
        <v>161</v>
      </c>
      <c r="J8" s="1771" t="s">
        <v>157</v>
      </c>
    </row>
    <row r="9" spans="1:10" ht="33" customHeight="1" x14ac:dyDescent="0.35">
      <c r="A9" s="292"/>
      <c r="B9" s="2332"/>
      <c r="C9" s="1765"/>
      <c r="D9" s="1766"/>
      <c r="E9" s="2314"/>
      <c r="F9" s="1766"/>
      <c r="G9" s="1766"/>
      <c r="H9" s="2328"/>
      <c r="I9" s="1766"/>
      <c r="J9" s="1772"/>
    </row>
    <row r="10" spans="1:10" ht="14.25" customHeight="1" x14ac:dyDescent="0.35">
      <c r="A10" s="1773" t="s">
        <v>54</v>
      </c>
      <c r="B10" s="404">
        <f>TableB2!C10/TableB2!K10</f>
        <v>4.4731775702672942E-2</v>
      </c>
      <c r="C10" s="99">
        <f>(TableB2!D10+TableB2!F10)/TableB2!L10</f>
        <v>5.1209426096637777E-2</v>
      </c>
      <c r="D10" s="101">
        <f>TableB2!E10/TableB2!M10</f>
        <v>2.7648692390162839E-2</v>
      </c>
      <c r="E10" s="405">
        <f>TableB2!G10/TableB2!N10</f>
        <v>3.4297837331832365E-2</v>
      </c>
      <c r="F10" s="98">
        <f>(TableB2!H10+TableB2!J10)/TableB2!O10</f>
        <v>3.352326311882449E-2</v>
      </c>
      <c r="G10" s="68">
        <f>TableB2!I10/TableB2!P10</f>
        <v>-8.3423212597586019E-2</v>
      </c>
      <c r="H10" s="405">
        <f>E10-B10</f>
        <v>-1.0433938370840577E-2</v>
      </c>
      <c r="I10" s="231">
        <f>F10-C10</f>
        <v>-1.7686162977813287E-2</v>
      </c>
      <c r="J10" s="1774">
        <f>G10-D10</f>
        <v>-0.11107190498774885</v>
      </c>
    </row>
    <row r="11" spans="1:10" ht="14.25" customHeight="1" x14ac:dyDescent="0.35">
      <c r="A11" s="292" t="s">
        <v>55</v>
      </c>
      <c r="B11" s="404">
        <f>TableB2!C11/TableB2!K11</f>
        <v>2.4928434131518597E-3</v>
      </c>
      <c r="C11" s="99">
        <f>(TableB2!D11+TableB2!F11)/TableB2!L11</f>
        <v>1.7414435919413547E-4</v>
      </c>
      <c r="D11" s="101">
        <f>TableB2!E11/TableB2!M11</f>
        <v>7.3268091440004263E-2</v>
      </c>
      <c r="E11" s="405">
        <f>TableB2!G11/TableB2!N11</f>
        <v>5.8308406090890295E-3</v>
      </c>
      <c r="F11" s="98">
        <f>(TableB2!H11+TableB2!J11)/TableB2!O11</f>
        <v>4.5571818197796118E-3</v>
      </c>
      <c r="G11" s="68">
        <f>TableB2!I11/TableB2!P11</f>
        <v>1.7597453828314354E-2</v>
      </c>
      <c r="H11" s="405">
        <f t="shared" ref="H11:H46" si="0">E11-B11</f>
        <v>3.3379971959371698E-3</v>
      </c>
      <c r="I11" s="231">
        <f t="shared" ref="I11:I46" si="1">F11-C11</f>
        <v>4.3830374605854762E-3</v>
      </c>
      <c r="J11" s="1774">
        <f t="shared" ref="J11:J46" si="2">G11-D11</f>
        <v>-5.5670637611689909E-2</v>
      </c>
    </row>
    <row r="12" spans="1:10" ht="14.25" customHeight="1" x14ac:dyDescent="0.35">
      <c r="A12" s="292" t="s">
        <v>2</v>
      </c>
      <c r="B12" s="404">
        <f>TableB2!C12/TableB2!K12</f>
        <v>3.7579621502276742E-2</v>
      </c>
      <c r="C12" s="98">
        <f>(TableB2!D12+TableB2!F12)/TableB2!L12</f>
        <v>3.4906349130745154E-2</v>
      </c>
      <c r="D12" s="101">
        <f>TableB2!E12/TableB2!M12</f>
        <v>2.5164662048362964E-2</v>
      </c>
      <c r="E12" s="405">
        <f>TableB2!G12/TableB2!N12</f>
        <v>2.2819262974588521E-2</v>
      </c>
      <c r="F12" s="98">
        <f>(TableB2!H12+TableB2!J12)/TableB2!O12</f>
        <v>2.0940139582971109E-2</v>
      </c>
      <c r="G12" s="68">
        <f>TableB2!I12/TableB2!P12</f>
        <v>4.8860430113959276E-2</v>
      </c>
      <c r="H12" s="405">
        <f t="shared" si="0"/>
        <v>-1.4760358527688221E-2</v>
      </c>
      <c r="I12" s="231">
        <f t="shared" si="1"/>
        <v>-1.3966209547774045E-2</v>
      </c>
      <c r="J12" s="1774">
        <f t="shared" si="2"/>
        <v>2.3695768065596312E-2</v>
      </c>
    </row>
    <row r="13" spans="1:10" ht="14.25" customHeight="1" x14ac:dyDescent="0.35">
      <c r="A13" s="292" t="s">
        <v>56</v>
      </c>
      <c r="B13" s="404">
        <f>TableB2!C13/TableB2!K13</f>
        <v>4.3262739874422904E-2</v>
      </c>
      <c r="C13" s="98">
        <f>(TableB2!D13+TableB2!F13)/TableB2!L13</f>
        <v>4.4837231754001033E-2</v>
      </c>
      <c r="D13" s="101">
        <f>TableB2!E13/TableB2!M13</f>
        <v>3.3660716384501112E-2</v>
      </c>
      <c r="E13" s="405">
        <f>TableB2!G13/TableB2!N13</f>
        <v>3.6474139466469227E-2</v>
      </c>
      <c r="F13" s="98">
        <f>(TableB2!H13+TableB2!J13)/TableB2!O13</f>
        <v>3.4914420979531222E-2</v>
      </c>
      <c r="G13" s="68">
        <f>TableB2!I13/TableB2!P13</f>
        <v>6.1501311561945986E-2</v>
      </c>
      <c r="H13" s="405">
        <f t="shared" si="0"/>
        <v>-6.7886004079536766E-3</v>
      </c>
      <c r="I13" s="231">
        <f t="shared" si="1"/>
        <v>-9.9228107744698119E-3</v>
      </c>
      <c r="J13" s="1774">
        <f t="shared" si="2"/>
        <v>2.7840595177444874E-2</v>
      </c>
    </row>
    <row r="14" spans="1:10" ht="14.25" customHeight="1" x14ac:dyDescent="0.35">
      <c r="A14" s="292" t="s">
        <v>57</v>
      </c>
      <c r="B14" s="404">
        <f>TableB2!C14/TableB2!K14</f>
        <v>4.4189051058531256E-2</v>
      </c>
      <c r="C14" s="98">
        <f>(TableB2!D14+TableB2!F14)/TableB2!L14</f>
        <v>4.5056863856611722E-2</v>
      </c>
      <c r="D14" s="101">
        <f>TableB2!E14/TableB2!M14</f>
        <v>4.0887565384516517E-2</v>
      </c>
      <c r="E14" s="405">
        <f>TableB2!G14/TableB2!N14</f>
        <v>3.4856163403347677E-2</v>
      </c>
      <c r="F14" s="98">
        <f>(TableB2!H14+TableB2!J14)/TableB2!O14</f>
        <v>4.3161732450554324E-2</v>
      </c>
      <c r="G14" s="68">
        <f>TableB2!I14/TableB2!P14</f>
        <v>1.1436037744409296E-2</v>
      </c>
      <c r="H14" s="405">
        <f t="shared" si="0"/>
        <v>-9.332887655183579E-3</v>
      </c>
      <c r="I14" s="231">
        <f t="shared" si="1"/>
        <v>-1.8951314060573973E-3</v>
      </c>
      <c r="J14" s="1774">
        <f t="shared" si="2"/>
        <v>-2.9451527640107222E-2</v>
      </c>
    </row>
    <row r="15" spans="1:10" ht="14.25" customHeight="1" x14ac:dyDescent="0.35">
      <c r="A15" s="292" t="s">
        <v>58</v>
      </c>
      <c r="B15" s="404">
        <f>TableB2!C15/TableB2!K15</f>
        <v>0.12409996808986552</v>
      </c>
      <c r="C15" s="98">
        <f>(TableB2!D15+TableB2!F15)/TableB2!L15</f>
        <v>0.12783212067154578</v>
      </c>
      <c r="D15" s="101">
        <f>TableB2!E15/TableB2!M15</f>
        <v>6.6948224482641455E-2</v>
      </c>
      <c r="E15" s="405">
        <f>TableB2!G15/TableB2!N15</f>
        <v>0.10009461689409051</v>
      </c>
      <c r="F15" s="98">
        <f>(TableB2!H15+TableB2!J15)/TableB2!O15</f>
        <v>0.10456621430429627</v>
      </c>
      <c r="G15" s="68">
        <f>TableB2!I15/TableB2!P15</f>
        <v>8.4574186567541749E-3</v>
      </c>
      <c r="H15" s="405">
        <f t="shared" si="0"/>
        <v>-2.4005351195775015E-2</v>
      </c>
      <c r="I15" s="231">
        <f t="shared" si="1"/>
        <v>-2.3265906367249511E-2</v>
      </c>
      <c r="J15" s="1774">
        <f t="shared" si="2"/>
        <v>-5.8490805825887282E-2</v>
      </c>
    </row>
    <row r="16" spans="1:10" ht="14.25" customHeight="1" x14ac:dyDescent="0.35">
      <c r="A16" s="292" t="s">
        <v>59</v>
      </c>
      <c r="B16" s="404">
        <f>TableB2!C16/TableB2!K16</f>
        <v>4.7034122120152871E-2</v>
      </c>
      <c r="C16" s="98">
        <f>(TableB2!D16+TableB2!F16)/TableB2!L16</f>
        <v>5.0385600642230549E-2</v>
      </c>
      <c r="D16" s="101">
        <f>TableB2!E16/TableB2!M16</f>
        <v>2.1022648557522498E-2</v>
      </c>
      <c r="E16" s="405">
        <f>TableB2!G16/TableB2!N16</f>
        <v>6.8182690281906891E-2</v>
      </c>
      <c r="F16" s="98">
        <f>(TableB2!H16+TableB2!J16)/TableB2!O16</f>
        <v>7.2167276916540984E-2</v>
      </c>
      <c r="G16" s="68">
        <f>TableB2!I16/TableB2!P16</f>
        <v>4.0828951221077138E-2</v>
      </c>
      <c r="H16" s="405">
        <f t="shared" si="0"/>
        <v>2.1148568161754019E-2</v>
      </c>
      <c r="I16" s="231">
        <f t="shared" si="1"/>
        <v>2.1781676274310435E-2</v>
      </c>
      <c r="J16" s="1774">
        <f t="shared" si="2"/>
        <v>1.980630266355464E-2</v>
      </c>
    </row>
    <row r="17" spans="1:10" ht="14.25" customHeight="1" x14ac:dyDescent="0.35">
      <c r="A17" s="292" t="s">
        <v>60</v>
      </c>
      <c r="B17" s="404">
        <f>TableB2!C17/TableB2!K17</f>
        <v>7.0086293034984232E-2</v>
      </c>
      <c r="C17" s="98">
        <f>(TableB2!D17+TableB2!F17)/TableB2!L17</f>
        <v>7.2324937248870208E-2</v>
      </c>
      <c r="D17" s="101">
        <f>TableB2!E17/TableB2!M17</f>
        <v>1.8810926255787685E-2</v>
      </c>
      <c r="E17" s="405">
        <f>TableB2!G17/TableB2!N17</f>
        <v>5.3756381882788543E-2</v>
      </c>
      <c r="F17" s="98">
        <f>(TableB2!H17+TableB2!J17)/TableB2!O17</f>
        <v>6.3801519776012727E-2</v>
      </c>
      <c r="G17" s="68">
        <f>TableB2!I17/TableB2!P17</f>
        <v>2.9489456430476246E-2</v>
      </c>
      <c r="H17" s="405">
        <f t="shared" si="0"/>
        <v>-1.6329911152195689E-2</v>
      </c>
      <c r="I17" s="231">
        <f t="shared" si="1"/>
        <v>-8.5234174728574807E-3</v>
      </c>
      <c r="J17" s="1774">
        <f t="shared" si="2"/>
        <v>1.0678530174688561E-2</v>
      </c>
    </row>
    <row r="18" spans="1:10" ht="14.25" customHeight="1" x14ac:dyDescent="0.35">
      <c r="A18" s="292" t="s">
        <v>61</v>
      </c>
      <c r="B18" s="404">
        <f>TableB2!C18/TableB2!K18</f>
        <v>5.0104402249351671E-2</v>
      </c>
      <c r="C18" s="98">
        <f>(TableB2!D18+TableB2!F18)/TableB2!L18</f>
        <v>5.1365179054588747E-2</v>
      </c>
      <c r="D18" s="101">
        <f>TableB2!E18/TableB2!M18</f>
        <v>4.4753618573662071E-2</v>
      </c>
      <c r="E18" s="405">
        <f>TableB2!G18/TableB2!N18</f>
        <v>7.7974742949784626E-2</v>
      </c>
      <c r="F18" s="98">
        <f>(TableB2!H18+TableB2!J18)/TableB2!O18</f>
        <v>6.4823572821995884E-2</v>
      </c>
      <c r="G18" s="68">
        <f>TableB2!I18/TableB2!P18</f>
        <v>-3.4588649836158857E-2</v>
      </c>
      <c r="H18" s="405">
        <f t="shared" si="0"/>
        <v>2.7870340700432955E-2</v>
      </c>
      <c r="I18" s="231">
        <f t="shared" si="1"/>
        <v>1.3458393767407137E-2</v>
      </c>
      <c r="J18" s="1774">
        <f t="shared" si="2"/>
        <v>-7.9342268409820921E-2</v>
      </c>
    </row>
    <row r="19" spans="1:10" ht="14.25" customHeight="1" x14ac:dyDescent="0.35">
      <c r="A19" s="292" t="s">
        <v>48</v>
      </c>
      <c r="B19" s="404">
        <f>TableB2!C19/TableB2!K19</f>
        <v>3.7719568122186735E-2</v>
      </c>
      <c r="C19" s="98">
        <f>(TableB2!D19+TableB2!F19)/TableB2!L19</f>
        <v>3.6896394344925303E-2</v>
      </c>
      <c r="D19" s="101">
        <f>TableB2!E19/TableB2!M19</f>
        <v>4.6216593571896808E-2</v>
      </c>
      <c r="E19" s="405">
        <f>TableB2!G19/TableB2!N19</f>
        <v>5.6431339733279649E-2</v>
      </c>
      <c r="F19" s="98">
        <f>(TableB2!H19+TableB2!J19)/TableB2!O19</f>
        <v>5.861646122321594E-2</v>
      </c>
      <c r="G19" s="68">
        <f>TableB2!I19/TableB2!P19</f>
        <v>2.5402893029513884E-2</v>
      </c>
      <c r="H19" s="405">
        <f t="shared" si="0"/>
        <v>1.8711771611092914E-2</v>
      </c>
      <c r="I19" s="231">
        <f t="shared" si="1"/>
        <v>2.1720066878290638E-2</v>
      </c>
      <c r="J19" s="1774">
        <f t="shared" si="2"/>
        <v>-2.0813700542382924E-2</v>
      </c>
    </row>
    <row r="20" spans="1:10" ht="14.25" customHeight="1" x14ac:dyDescent="0.35">
      <c r="A20" s="292" t="s">
        <v>62</v>
      </c>
      <c r="B20" s="404">
        <f>TableB2!C20/TableB2!K20</f>
        <v>4.2616252366886223E-2</v>
      </c>
      <c r="C20" s="98">
        <f>(TableB2!D20+TableB2!F20)/TableB2!L20</f>
        <v>4.5625413393947614E-2</v>
      </c>
      <c r="D20" s="101">
        <f>TableB2!E20/TableB2!M20</f>
        <v>3.3842118592741374E-2</v>
      </c>
      <c r="E20" s="405">
        <f>TableB2!G20/TableB2!N20</f>
        <v>5.5273496445924525E-2</v>
      </c>
      <c r="F20" s="98">
        <f>(TableB2!H20+TableB2!J20)/TableB2!O20</f>
        <v>5.3053739810083204E-2</v>
      </c>
      <c r="G20" s="68">
        <f>TableB2!I20/TableB2!P20</f>
        <v>2.132830169785839E-2</v>
      </c>
      <c r="H20" s="405">
        <f t="shared" si="0"/>
        <v>1.2657244079038302E-2</v>
      </c>
      <c r="I20" s="231">
        <f t="shared" si="1"/>
        <v>7.4283264161355902E-3</v>
      </c>
      <c r="J20" s="1774">
        <f t="shared" si="2"/>
        <v>-1.2513816894882984E-2</v>
      </c>
    </row>
    <row r="21" spans="1:10" ht="14.25" customHeight="1" x14ac:dyDescent="0.35">
      <c r="A21" s="292" t="s">
        <v>63</v>
      </c>
      <c r="B21" s="404">
        <f>TableB2!C21/TableB2!K21</f>
        <v>4.2923566873036466E-2</v>
      </c>
      <c r="C21" s="98">
        <f>(TableB2!D21+TableB2!F21)/TableB2!L21</f>
        <v>5.5878821075274358E-2</v>
      </c>
      <c r="D21" s="101">
        <f>TableB2!E21/TableB2!M21</f>
        <v>8.6772186544707367E-3</v>
      </c>
      <c r="E21" s="405">
        <f>TableB2!G21/TableB2!N21</f>
        <v>6.6017264930692293E-2</v>
      </c>
      <c r="F21" s="98">
        <f>(TableB2!H21+TableB2!J21)/TableB2!O21</f>
        <v>7.1125868690636959E-2</v>
      </c>
      <c r="G21" s="68">
        <f>TableB2!I21/TableB2!P21</f>
        <v>1.7721213660904451E-3</v>
      </c>
      <c r="H21" s="405">
        <f t="shared" si="0"/>
        <v>2.3093698057655827E-2</v>
      </c>
      <c r="I21" s="231">
        <f t="shared" si="1"/>
        <v>1.5247047615362601E-2</v>
      </c>
      <c r="J21" s="1774">
        <f t="shared" si="2"/>
        <v>-6.9050972883802917E-3</v>
      </c>
    </row>
    <row r="22" spans="1:10" ht="14.25" customHeight="1" x14ac:dyDescent="0.35">
      <c r="A22" s="292" t="s">
        <v>64</v>
      </c>
      <c r="B22" s="404">
        <f>TableB2!C22/TableB2!K22</f>
        <v>5.9041743462149736E-2</v>
      </c>
      <c r="C22" s="98">
        <f>(TableB2!D22+TableB2!F22)/TableB2!L22</f>
        <v>5.94050016011647E-2</v>
      </c>
      <c r="D22" s="101">
        <f>TableB2!E22/TableB2!M22</f>
        <v>0.17023949772474115</v>
      </c>
      <c r="E22" s="405">
        <f>TableB2!G22/TableB2!N22</f>
        <v>2.6871398965845918E-2</v>
      </c>
      <c r="F22" s="98">
        <f>(TableB2!H22+TableB2!J22)/TableB2!O22</f>
        <v>2.7201717381918941E-2</v>
      </c>
      <c r="G22" s="68">
        <f>TableB2!I22/TableB2!P22</f>
        <v>-0.11007017988997438</v>
      </c>
      <c r="H22" s="405">
        <f t="shared" si="0"/>
        <v>-3.2170344496303821E-2</v>
      </c>
      <c r="I22" s="231">
        <f t="shared" si="1"/>
        <v>-3.2203284219245759E-2</v>
      </c>
      <c r="J22" s="1774">
        <f t="shared" si="2"/>
        <v>-0.28030967761471554</v>
      </c>
    </row>
    <row r="23" spans="1:10" ht="14.25" customHeight="1" x14ac:dyDescent="0.35">
      <c r="A23" s="292" t="s">
        <v>65</v>
      </c>
      <c r="B23" s="404">
        <f>TableB2!C23/TableB2!K23</f>
        <v>3.2499731715704095E-3</v>
      </c>
      <c r="C23" s="98">
        <f>(TableB2!D23+TableB2!F23)/TableB2!L23</f>
        <v>-9.2114681103859855E-3</v>
      </c>
      <c r="D23" s="101">
        <f>TableB2!E23/TableB2!M23</f>
        <v>2.9516678544143717E-2</v>
      </c>
      <c r="E23" s="405">
        <f>TableB2!G23/TableB2!N23</f>
        <v>2.6208202154784775E-2</v>
      </c>
      <c r="F23" s="98">
        <f>(TableB2!H23+TableB2!J23)/TableB2!O23</f>
        <v>2.0273759546773809E-2</v>
      </c>
      <c r="G23" s="68">
        <f>TableB2!I23/TableB2!P23</f>
        <v>4.2023621306564209E-2</v>
      </c>
      <c r="H23" s="405">
        <f t="shared" si="0"/>
        <v>2.2958228983214365E-2</v>
      </c>
      <c r="I23" s="231">
        <f t="shared" si="1"/>
        <v>2.9485227657159795E-2</v>
      </c>
      <c r="J23" s="1774">
        <f t="shared" si="2"/>
        <v>1.2506942762420491E-2</v>
      </c>
    </row>
    <row r="24" spans="1:10" ht="14.25" customHeight="1" x14ac:dyDescent="0.35">
      <c r="A24" s="292" t="s">
        <v>19</v>
      </c>
      <c r="B24" s="404">
        <f>TableB2!C24/TableB2!K24</f>
        <v>7.2847163796137052E-2</v>
      </c>
      <c r="C24" s="98">
        <f>(TableB2!D24+TableB2!F24)/TableB2!L24</f>
        <v>9.9209278259838746E-2</v>
      </c>
      <c r="D24" s="101">
        <f>TableB2!E24/TableB2!M24</f>
        <v>3.7794064710645484E-3</v>
      </c>
      <c r="E24" s="405">
        <f>TableB2!G24/TableB2!N24</f>
        <v>1.2933110981682094E-2</v>
      </c>
      <c r="F24" s="98">
        <f>(TableB2!H24+TableB2!J24)/TableB2!O24</f>
        <v>1.6332825359742054E-2</v>
      </c>
      <c r="G24" s="68">
        <f>TableB2!I24/TableB2!P24</f>
        <v>-1.6856754177804842E-2</v>
      </c>
      <c r="H24" s="405">
        <f t="shared" si="0"/>
        <v>-5.9914052814454957E-2</v>
      </c>
      <c r="I24" s="231">
        <f t="shared" si="1"/>
        <v>-8.2876452900096695E-2</v>
      </c>
      <c r="J24" s="1774">
        <f t="shared" si="2"/>
        <v>-2.0636160648869389E-2</v>
      </c>
    </row>
    <row r="25" spans="1:10" ht="14.25" customHeight="1" x14ac:dyDescent="0.35">
      <c r="A25" s="301" t="s">
        <v>95</v>
      </c>
      <c r="B25" s="404"/>
      <c r="C25" s="98"/>
      <c r="D25" s="101"/>
      <c r="E25" s="405"/>
      <c r="F25" s="98"/>
      <c r="G25" s="68"/>
      <c r="H25" s="405"/>
      <c r="I25" s="231"/>
      <c r="J25" s="1774"/>
    </row>
    <row r="26" spans="1:10" ht="14.25" customHeight="1" x14ac:dyDescent="0.35">
      <c r="A26" s="292" t="s">
        <v>66</v>
      </c>
      <c r="B26" s="404">
        <f>TableB2!C26/TableB2!K26</f>
        <v>3.4316614726526772E-2</v>
      </c>
      <c r="C26" s="98">
        <f>(TableB2!D26+TableB2!F26)/TableB2!L26</f>
        <v>3.5539645186220735E-2</v>
      </c>
      <c r="D26" s="101">
        <f>TableB2!E26/TableB2!M26</f>
        <v>2.3470282925670449E-2</v>
      </c>
      <c r="E26" s="405">
        <f>TableB2!G26/TableB2!N26</f>
        <v>2.5987330823333384E-2</v>
      </c>
      <c r="F26" s="98">
        <f>(TableB2!H26+TableB2!J26)/TableB2!O26</f>
        <v>2.6811157472604593E-2</v>
      </c>
      <c r="G26" s="68">
        <f>TableB2!I26/TableB2!P26</f>
        <v>-9.76302913517723E-2</v>
      </c>
      <c r="H26" s="405">
        <f t="shared" si="0"/>
        <v>-8.329283903193388E-3</v>
      </c>
      <c r="I26" s="231">
        <f t="shared" si="1"/>
        <v>-8.7284877136161419E-3</v>
      </c>
      <c r="J26" s="1774">
        <f t="shared" si="2"/>
        <v>-0.12110057427744275</v>
      </c>
    </row>
    <row r="27" spans="1:10" ht="14.25" customHeight="1" x14ac:dyDescent="0.35">
      <c r="A27" s="292" t="s">
        <v>67</v>
      </c>
      <c r="B27" s="404"/>
      <c r="C27" s="98"/>
      <c r="D27" s="101"/>
      <c r="E27" s="405"/>
      <c r="F27" s="98"/>
      <c r="G27" s="68"/>
      <c r="H27" s="405"/>
      <c r="I27" s="231"/>
      <c r="J27" s="1774"/>
    </row>
    <row r="28" spans="1:10" ht="14.25" customHeight="1" x14ac:dyDescent="0.35">
      <c r="A28" s="292" t="s">
        <v>68</v>
      </c>
      <c r="B28" s="404">
        <f>TableB2!C28/TableB2!K28</f>
        <v>1.3327354517106078E-2</v>
      </c>
      <c r="C28" s="98">
        <f>(TableB2!D28+TableB2!F28)/TableB2!L28</f>
        <v>1.2887341399851026E-2</v>
      </c>
      <c r="D28" s="101">
        <f>TableB2!E28/TableB2!M28</f>
        <v>2.2115052828820769E-2</v>
      </c>
      <c r="E28" s="405">
        <f>TableB2!G28/TableB2!N28</f>
        <v>-4.4842766690314083E-4</v>
      </c>
      <c r="F28" s="98">
        <f>(TableB2!H28+TableB2!J28)/TableB2!O28</f>
        <v>-2.3060904625988891E-3</v>
      </c>
      <c r="G28" s="68">
        <f>TableB2!I28/TableB2!P28</f>
        <v>1.088705902709108E-2</v>
      </c>
      <c r="H28" s="405">
        <f t="shared" si="0"/>
        <v>-1.377578218400922E-2</v>
      </c>
      <c r="I28" s="231">
        <f t="shared" si="1"/>
        <v>-1.5193431862449914E-2</v>
      </c>
      <c r="J28" s="1774">
        <f t="shared" si="2"/>
        <v>-1.1227993801729688E-2</v>
      </c>
    </row>
    <row r="29" spans="1:10" x14ac:dyDescent="0.35">
      <c r="A29" s="292" t="s">
        <v>69</v>
      </c>
      <c r="B29" s="404">
        <f>TableB2!C29/TableB2!K29</f>
        <v>7.8101620505223332E-2</v>
      </c>
      <c r="C29" s="98">
        <f>(TableB2!D29+TableB2!F29)/TableB2!L29</f>
        <v>9.2360487610232703E-2</v>
      </c>
      <c r="D29" s="101">
        <f>TableB2!E29/TableB2!M29</f>
        <v>1.8666090866367894E-2</v>
      </c>
      <c r="E29" s="405">
        <f>TableB2!G29/TableB2!N29</f>
        <v>0.10749413566584214</v>
      </c>
      <c r="F29" s="98">
        <f>(TableB2!H29+TableB2!J29)/TableB2!O29</f>
        <v>0.14322596878826505</v>
      </c>
      <c r="G29" s="68">
        <f>TableB2!I29/TableB2!P29</f>
        <v>1.6566787964052445E-2</v>
      </c>
      <c r="H29" s="405">
        <f t="shared" si="0"/>
        <v>2.9392515160618804E-2</v>
      </c>
      <c r="I29" s="231">
        <f t="shared" si="1"/>
        <v>5.0865481178032343E-2</v>
      </c>
      <c r="J29" s="1774">
        <f t="shared" si="2"/>
        <v>-2.0993029023154489E-3</v>
      </c>
    </row>
    <row r="30" spans="1:10" x14ac:dyDescent="0.35">
      <c r="A30" s="292" t="s">
        <v>70</v>
      </c>
      <c r="B30" s="404">
        <f>TableB2!C30/TableB2!K30</f>
        <v>1.7638368813208717E-2</v>
      </c>
      <c r="C30" s="98">
        <f>(TableB2!D30+TableB2!F30)/TableB2!L30</f>
        <v>1.8863365138142373E-2</v>
      </c>
      <c r="D30" s="101">
        <f>TableB2!E30/TableB2!M30</f>
        <v>5.000837987175006E-3</v>
      </c>
      <c r="E30" s="405">
        <f>TableB2!G30/TableB2!N30</f>
        <v>2.0614132393282136E-2</v>
      </c>
      <c r="F30" s="98">
        <f>(TableB2!H30+TableB2!J30)/TableB2!O30</f>
        <v>1.7845871096707308E-2</v>
      </c>
      <c r="G30" s="68">
        <f>TableB2!I30/TableB2!P30</f>
        <v>6.495365934241383E-2</v>
      </c>
      <c r="H30" s="405">
        <f t="shared" si="0"/>
        <v>2.9757635800734192E-3</v>
      </c>
      <c r="I30" s="231">
        <f t="shared" si="1"/>
        <v>-1.0174940414350644E-3</v>
      </c>
      <c r="J30" s="1774">
        <f t="shared" si="2"/>
        <v>5.9952821355238828E-2</v>
      </c>
    </row>
    <row r="31" spans="1:10" x14ac:dyDescent="0.35">
      <c r="A31" s="292" t="s">
        <v>71</v>
      </c>
      <c r="B31" s="404"/>
      <c r="C31" s="98">
        <f>(TableB2!D31+TableB2!F31)/TableB2!L31</f>
        <v>4.0573258687939692E-2</v>
      </c>
      <c r="D31" s="101"/>
      <c r="E31" s="405"/>
      <c r="F31" s="98"/>
      <c r="G31" s="68"/>
      <c r="H31" s="405"/>
      <c r="I31" s="231"/>
      <c r="J31" s="1774"/>
    </row>
    <row r="32" spans="1:10" x14ac:dyDescent="0.35">
      <c r="A32" s="292" t="s">
        <v>72</v>
      </c>
      <c r="B32" s="404">
        <f>TableB2!C32/TableB2!K32</f>
        <v>4.5068230850008766E-2</v>
      </c>
      <c r="C32" s="98">
        <f>(TableB2!D32+TableB2!F32)/TableB2!L32</f>
        <v>5.311593005333639E-2</v>
      </c>
      <c r="D32" s="68">
        <f>TableB2!E32/TableB2!M32</f>
        <v>2.0350804007925775E-2</v>
      </c>
      <c r="E32" s="405">
        <f>TableB2!G32/TableB2!N32</f>
        <v>4.323262274682068E-2</v>
      </c>
      <c r="F32" s="98">
        <f>(TableB2!H32+TableB2!J32)/TableB2!O32</f>
        <v>4.720580412915712E-2</v>
      </c>
      <c r="G32" s="68">
        <f>TableB2!I32/TableB2!P32</f>
        <v>3.2012231953872122E-2</v>
      </c>
      <c r="H32" s="405">
        <f t="shared" si="0"/>
        <v>-1.8356081031880855E-3</v>
      </c>
      <c r="I32" s="231">
        <f t="shared" si="1"/>
        <v>-5.91012592417927E-3</v>
      </c>
      <c r="J32" s="1774">
        <f t="shared" si="2"/>
        <v>1.1661427945946348E-2</v>
      </c>
    </row>
    <row r="33" spans="1:10" x14ac:dyDescent="0.35">
      <c r="A33" s="292" t="s">
        <v>73</v>
      </c>
      <c r="B33" s="404">
        <f>TableB2!C33/TableB2!K33</f>
        <v>8.8396064631452886E-2</v>
      </c>
      <c r="C33" s="98">
        <f>(TableB2!D33+TableB2!F33)/TableB2!L33</f>
        <v>0.11670557027212669</v>
      </c>
      <c r="D33" s="101">
        <f>TableB2!E33/TableB2!M33</f>
        <v>2.9665007628270481E-2</v>
      </c>
      <c r="E33" s="405">
        <f>TableB2!G33/TableB2!N33</f>
        <v>3.001807315888614E-2</v>
      </c>
      <c r="F33" s="98">
        <f>(TableB2!H33+TableB2!J33)/TableB2!O33</f>
        <v>3.6544628621063661E-2</v>
      </c>
      <c r="G33" s="68">
        <f>TableB2!I33/TableB2!P33</f>
        <v>4.3844906188038177E-3</v>
      </c>
      <c r="H33" s="405">
        <f t="shared" si="0"/>
        <v>-5.8377991472566747E-2</v>
      </c>
      <c r="I33" s="231">
        <f t="shared" si="1"/>
        <v>-8.0160941651063022E-2</v>
      </c>
      <c r="J33" s="1774">
        <f t="shared" si="2"/>
        <v>-2.5280517009466662E-2</v>
      </c>
    </row>
    <row r="34" spans="1:10" x14ac:dyDescent="0.35">
      <c r="A34" s="310" t="s">
        <v>74</v>
      </c>
      <c r="B34" s="404">
        <f>TableB2!C34/TableB2!K34</f>
        <v>4.039585632031354E-2</v>
      </c>
      <c r="C34" s="98">
        <f>(TableB2!D34+TableB2!F34)/TableB2!L34</f>
        <v>3.8554027137206584E-2</v>
      </c>
      <c r="D34" s="101">
        <f>TableB2!E34/TableB2!M34</f>
        <v>4.4098875325236896E-2</v>
      </c>
      <c r="E34" s="405">
        <f>TableB2!G34/TableB2!N34</f>
        <v>5.2058814781354004E-2</v>
      </c>
      <c r="F34" s="98">
        <f>(TableB2!H34+TableB2!J34)/TableB2!O34</f>
        <v>4.8247942064149223E-2</v>
      </c>
      <c r="G34" s="68">
        <f>TableB2!I34/TableB2!P34</f>
        <v>-0.10203335474447203</v>
      </c>
      <c r="H34" s="405">
        <f t="shared" si="0"/>
        <v>1.1662958461040464E-2</v>
      </c>
      <c r="I34" s="231">
        <f t="shared" si="1"/>
        <v>9.6939149269426386E-3</v>
      </c>
      <c r="J34" s="1774">
        <f t="shared" si="2"/>
        <v>-0.14613223006970893</v>
      </c>
    </row>
    <row r="35" spans="1:10" x14ac:dyDescent="0.35">
      <c r="A35" s="292" t="s">
        <v>75</v>
      </c>
      <c r="B35" s="404">
        <f>TableB2!C35/TableB2!K35</f>
        <v>9.8167447318969633E-2</v>
      </c>
      <c r="C35" s="98">
        <f>(TableB2!D35+TableB2!F35)/TableB2!L35</f>
        <v>0.11555923695627993</v>
      </c>
      <c r="D35" s="101">
        <f>TableB2!E35/TableB2!M35</f>
        <v>4.5616909681224768E-2</v>
      </c>
      <c r="E35" s="405">
        <f>TableB2!G35/TableB2!N35</f>
        <v>3.0482207238506465E-2</v>
      </c>
      <c r="F35" s="98">
        <f>(TableB2!H35+TableB2!J35)/TableB2!O35</f>
        <v>2.8378957409121261E-2</v>
      </c>
      <c r="G35" s="68">
        <f>TableB2!I35/TableB2!P35</f>
        <v>-2.3136343699766472E-3</v>
      </c>
      <c r="H35" s="405">
        <f t="shared" si="0"/>
        <v>-6.7685240080463172E-2</v>
      </c>
      <c r="I35" s="231">
        <f t="shared" si="1"/>
        <v>-8.7180279547158665E-2</v>
      </c>
      <c r="J35" s="1774">
        <f t="shared" si="2"/>
        <v>-4.7930544051201417E-2</v>
      </c>
    </row>
    <row r="36" spans="1:10" x14ac:dyDescent="0.35">
      <c r="A36" s="292" t="s">
        <v>76</v>
      </c>
      <c r="B36" s="404">
        <f>TableB2!C36/TableB2!K36</f>
        <v>4.1452911050980194E-2</v>
      </c>
      <c r="C36" s="98">
        <f>(TableB2!D36+TableB2!F36)/TableB2!L36</f>
        <v>3.9224796710890387E-2</v>
      </c>
      <c r="D36" s="101">
        <f>TableB2!E36/TableB2!M36</f>
        <v>5.9804213721429203E-2</v>
      </c>
      <c r="E36" s="405">
        <f>TableB2!G36/TableB2!N36</f>
        <v>3.3722622932337708E-2</v>
      </c>
      <c r="F36" s="98">
        <f>(TableB2!H36+TableB2!J36)/TableB2!O36</f>
        <v>3.3268297581414752E-2</v>
      </c>
      <c r="G36" s="68">
        <f>TableB2!I36/TableB2!P36</f>
        <v>2.7596091312603994E-2</v>
      </c>
      <c r="H36" s="405">
        <f t="shared" si="0"/>
        <v>-7.7302881186424866E-3</v>
      </c>
      <c r="I36" s="231">
        <f t="shared" si="1"/>
        <v>-5.9564991294756356E-3</v>
      </c>
      <c r="J36" s="1774">
        <f t="shared" si="2"/>
        <v>-3.2208122408825209E-2</v>
      </c>
    </row>
    <row r="37" spans="1:10" x14ac:dyDescent="0.35">
      <c r="A37" s="292" t="s">
        <v>77</v>
      </c>
      <c r="B37" s="404">
        <f>TableB2!C37/TableB2!K37</f>
        <v>9.6075501422922968E-2</v>
      </c>
      <c r="C37" s="98">
        <f>(TableB2!D37+TableB2!F37)/TableB2!L37</f>
        <v>0.10517750329412269</v>
      </c>
      <c r="D37" s="101">
        <f>TableB2!E37/TableB2!M37</f>
        <v>4.4572161805035558E-2</v>
      </c>
      <c r="E37" s="405">
        <f>TableB2!G37/TableB2!N37</f>
        <v>0.14231458349873014</v>
      </c>
      <c r="F37" s="98">
        <f>(TableB2!H37+TableB2!J37)/TableB2!O37</f>
        <v>0.1775669311983902</v>
      </c>
      <c r="G37" s="68">
        <f>TableB2!I37/TableB2!P37</f>
        <v>2.6541783315726077E-2</v>
      </c>
      <c r="H37" s="405">
        <f t="shared" si="0"/>
        <v>4.6239082075807167E-2</v>
      </c>
      <c r="I37" s="231">
        <f t="shared" si="1"/>
        <v>7.2389427904267514E-2</v>
      </c>
      <c r="J37" s="1774">
        <f t="shared" si="2"/>
        <v>-1.8030378489309482E-2</v>
      </c>
    </row>
    <row r="38" spans="1:10" x14ac:dyDescent="0.35">
      <c r="A38" s="310" t="s">
        <v>78</v>
      </c>
      <c r="B38" s="404">
        <f>TableB2!C38/TableB2!K38</f>
        <v>8.5282720595138958E-2</v>
      </c>
      <c r="C38" s="98">
        <f>(TableB2!D38+TableB2!F38)/TableB2!L38</f>
        <v>9.5699844653802851E-2</v>
      </c>
      <c r="D38" s="101">
        <f>TableB2!E38/TableB2!M38</f>
        <v>2.8806912160011799E-2</v>
      </c>
      <c r="E38" s="405">
        <f>TableB2!G38/TableB2!N38</f>
        <v>9.1989737366230239E-3</v>
      </c>
      <c r="F38" s="98">
        <f>(TableB2!H38+TableB2!J38)/TableB2!O38</f>
        <v>5.0574700187299426E-3</v>
      </c>
      <c r="G38" s="68">
        <f>TableB2!I38/TableB2!P38</f>
        <v>1.9779305661177093E-2</v>
      </c>
      <c r="H38" s="405">
        <f t="shared" si="0"/>
        <v>-7.6083746858515933E-2</v>
      </c>
      <c r="I38" s="231">
        <f t="shared" si="1"/>
        <v>-9.0642374635072909E-2</v>
      </c>
      <c r="J38" s="1774">
        <f t="shared" si="2"/>
        <v>-9.0276064988347067E-3</v>
      </c>
    </row>
    <row r="39" spans="1:10" x14ac:dyDescent="0.35">
      <c r="A39" s="292" t="s">
        <v>79</v>
      </c>
      <c r="B39" s="404">
        <f>TableB2!C39/TableB2!K39</f>
        <v>3.9233183979785653E-2</v>
      </c>
      <c r="C39" s="98">
        <f>(TableB2!D39+TableB2!F39)/TableB2!L39</f>
        <v>4.0488400008503393E-2</v>
      </c>
      <c r="D39" s="101">
        <f>TableB2!E39/TableB2!M39</f>
        <v>3.3200961291942152E-2</v>
      </c>
      <c r="E39" s="405">
        <f>TableB2!G39/TableB2!N39</f>
        <v>6.1335410970657804E-2</v>
      </c>
      <c r="F39" s="98">
        <f>(TableB2!H39+TableB2!J39)/TableB2!O39</f>
        <v>5.9199159366181697E-2</v>
      </c>
      <c r="G39" s="68">
        <f>TableB2!I39/TableB2!P39</f>
        <v>3.29431685998582E-2</v>
      </c>
      <c r="H39" s="405">
        <f t="shared" si="0"/>
        <v>2.2102226990872151E-2</v>
      </c>
      <c r="I39" s="231">
        <f t="shared" si="1"/>
        <v>1.8710759357678304E-2</v>
      </c>
      <c r="J39" s="1774">
        <f t="shared" si="2"/>
        <v>-2.5779269208395239E-4</v>
      </c>
    </row>
    <row r="40" spans="1:10" x14ac:dyDescent="0.35">
      <c r="A40" s="292" t="s">
        <v>80</v>
      </c>
      <c r="B40" s="404">
        <f>TableB2!C40/TableB2!K40</f>
        <v>6.86234260248091E-2</v>
      </c>
      <c r="C40" s="98">
        <f>(TableB2!D40+TableB2!F40)/TableB2!L40</f>
        <v>7.8393596946110394E-2</v>
      </c>
      <c r="D40" s="101">
        <f>TableB2!E40/TableB2!M40</f>
        <v>2.7746935485664394E-2</v>
      </c>
      <c r="E40" s="405">
        <f>TableB2!G40/TableB2!N40</f>
        <v>7.6477242481107918E-2</v>
      </c>
      <c r="F40" s="98">
        <f>(TableB2!H40+TableB2!J40)/TableB2!O40</f>
        <v>7.8922218237978681E-2</v>
      </c>
      <c r="G40" s="68">
        <f>TableB2!I40/TableB2!P40</f>
        <v>4.860297481298357E-2</v>
      </c>
      <c r="H40" s="405">
        <f t="shared" si="0"/>
        <v>7.8538164562988177E-3</v>
      </c>
      <c r="I40" s="231">
        <f t="shared" si="1"/>
        <v>5.2862129186828644E-4</v>
      </c>
      <c r="J40" s="1774">
        <f t="shared" si="2"/>
        <v>2.0856039327319175E-2</v>
      </c>
    </row>
    <row r="41" spans="1:10" x14ac:dyDescent="0.35">
      <c r="A41" s="292" t="s">
        <v>1</v>
      </c>
      <c r="B41" s="404">
        <f>TableB2!C41/TableB2!K41</f>
        <v>6.8383489047376012E-2</v>
      </c>
      <c r="C41" s="98">
        <f>(TableB2!D41+TableB2!F41)/TableB2!L41</f>
        <v>6.870054497996711E-2</v>
      </c>
      <c r="D41" s="101">
        <f>TableB2!E41/TableB2!M41</f>
        <v>5.5932906791692917E-2</v>
      </c>
      <c r="E41" s="405">
        <f>TableB2!G41/TableB2!N41</f>
        <v>8.0064771537768128E-2</v>
      </c>
      <c r="F41" s="98">
        <f>(TableB2!H41+TableB2!J41)/TableB2!O41</f>
        <v>8.5057102388278016E-2</v>
      </c>
      <c r="G41" s="68">
        <f>TableB2!I41/TableB2!P41</f>
        <v>3.88969333527934E-2</v>
      </c>
      <c r="H41" s="405">
        <f t="shared" si="0"/>
        <v>1.1681282490392117E-2</v>
      </c>
      <c r="I41" s="231">
        <f t="shared" si="1"/>
        <v>1.6356557408310907E-2</v>
      </c>
      <c r="J41" s="1774">
        <f t="shared" si="2"/>
        <v>-1.7035973438899517E-2</v>
      </c>
    </row>
    <row r="42" spans="1:10" x14ac:dyDescent="0.35">
      <c r="A42" s="292" t="s">
        <v>81</v>
      </c>
      <c r="B42" s="404">
        <f>TableB2!C42/TableB2!K42</f>
        <v>2.2724420872951557E-2</v>
      </c>
      <c r="C42" s="98">
        <f>(TableB2!D42+TableB2!F42)/TableB2!L42</f>
        <v>2.3035745320646141E-2</v>
      </c>
      <c r="D42" s="101">
        <f>TableB2!E42/TableB2!M42</f>
        <v>1.7183431838490932E-2</v>
      </c>
      <c r="E42" s="405">
        <f>TableB2!G42/TableB2!N42</f>
        <v>6.2664701992967854E-3</v>
      </c>
      <c r="F42" s="98">
        <f>(TableB2!H42+TableB2!J42)/TableB2!O42</f>
        <v>7.9747692712447901E-3</v>
      </c>
      <c r="G42" s="68">
        <f>TableB2!I42/TableB2!P42</f>
        <v>3.0638684175687012E-4</v>
      </c>
      <c r="H42" s="405">
        <f t="shared" si="0"/>
        <v>-1.645795067365477E-2</v>
      </c>
      <c r="I42" s="231">
        <f t="shared" si="1"/>
        <v>-1.5060976049401351E-2</v>
      </c>
      <c r="J42" s="1774">
        <f t="shared" si="2"/>
        <v>-1.6877044996734061E-2</v>
      </c>
    </row>
    <row r="43" spans="1:10" x14ac:dyDescent="0.35">
      <c r="A43" s="292" t="s">
        <v>82</v>
      </c>
      <c r="B43" s="404">
        <f>TableB2!C43/TableB2!K43</f>
        <v>5.1945520818747593E-2</v>
      </c>
      <c r="C43" s="98">
        <f>(TableB2!D43+TableB2!F43)/TableB2!L25</f>
        <v>3.4052300322936992</v>
      </c>
      <c r="D43" s="101">
        <f>TableB2!E43/TableB2!M25</f>
        <v>1.0904432036861469</v>
      </c>
      <c r="E43" s="405">
        <f>TableB2!G43/TableB2!N43</f>
        <v>5.5881700116768122E-2</v>
      </c>
      <c r="F43" s="98"/>
      <c r="G43" s="68"/>
      <c r="H43" s="405">
        <f t="shared" si="0"/>
        <v>3.9361792980205298E-3</v>
      </c>
      <c r="I43" s="231"/>
      <c r="J43" s="1774"/>
    </row>
    <row r="44" spans="1:10" x14ac:dyDescent="0.35">
      <c r="A44" s="292" t="s">
        <v>0</v>
      </c>
      <c r="B44" s="404">
        <f>TableB2!C44/TableB2!K44</f>
        <v>2.7892038367271731E-2</v>
      </c>
      <c r="C44" s="98">
        <f>(TableB2!D44+TableB2!F44)/TableB2!L44</f>
        <v>2.585227384652964E-2</v>
      </c>
      <c r="D44" s="101">
        <f>TableB2!E44/TableB2!M44</f>
        <v>4.424402831163006E-2</v>
      </c>
      <c r="E44" s="405">
        <f>TableB2!G44/TableB2!N44</f>
        <v>7.0872018633194034E-2</v>
      </c>
      <c r="F44" s="98">
        <f>(TableB2!H44+TableB2!J44)/TableB2!O44</f>
        <v>7.1946843697692706E-2</v>
      </c>
      <c r="G44" s="68">
        <f>TableB2!I44/TableB2!P44</f>
        <v>4.2576900860088876E-2</v>
      </c>
      <c r="H44" s="405">
        <f t="shared" si="0"/>
        <v>4.2979980265922299E-2</v>
      </c>
      <c r="I44" s="231">
        <f t="shared" si="1"/>
        <v>4.6094569851163066E-2</v>
      </c>
      <c r="J44" s="1774">
        <f t="shared" si="2"/>
        <v>-1.6671274515411838E-3</v>
      </c>
    </row>
    <row r="45" spans="1:10" x14ac:dyDescent="0.35">
      <c r="A45" s="1775" t="s">
        <v>99</v>
      </c>
      <c r="B45" s="296"/>
      <c r="C45" s="100"/>
      <c r="D45" s="68"/>
      <c r="E45" s="405"/>
      <c r="F45" s="98"/>
      <c r="G45" s="68"/>
      <c r="H45" s="405"/>
      <c r="I45" s="231"/>
      <c r="J45" s="1774"/>
    </row>
    <row r="46" spans="1:10" x14ac:dyDescent="0.35">
      <c r="A46" s="294" t="s">
        <v>92</v>
      </c>
      <c r="B46" s="296">
        <f>TableB2!C46/TableB2!K46</f>
        <v>6.2173913043478267E-2</v>
      </c>
      <c r="C46" s="100">
        <f>(TableB2!D46+TableB2!F46)/TableB2!L46</f>
        <v>6.0708715355267173E-2</v>
      </c>
      <c r="D46" s="68">
        <f>TableB2!E46/TableB2!M46</f>
        <v>6.9899133892197776E-2</v>
      </c>
      <c r="E46" s="405">
        <f>TableB2!G46/TableB2!N46</f>
        <v>5.0269332065517244E-2</v>
      </c>
      <c r="F46" s="98">
        <f>(TableB2!H46+TableB2!J46)/TableB2!O46</f>
        <v>2.7694062541351355E-2</v>
      </c>
      <c r="G46" s="68">
        <f>TableB2!I46/TableB2!P46</f>
        <v>-1.0200960639473685E-3</v>
      </c>
      <c r="H46" s="405">
        <f t="shared" si="0"/>
        <v>-1.1904580977961023E-2</v>
      </c>
      <c r="I46" s="231">
        <f t="shared" si="1"/>
        <v>-3.3014652813915815E-2</v>
      </c>
      <c r="J46" s="1774">
        <f t="shared" si="2"/>
        <v>-7.0919229956145149E-2</v>
      </c>
    </row>
    <row r="47" spans="1:10" x14ac:dyDescent="0.35">
      <c r="A47" s="303" t="s">
        <v>101</v>
      </c>
      <c r="B47" s="296">
        <f>TableB2!C47/TableB2!K47</f>
        <v>5.0073720941875219E-2</v>
      </c>
      <c r="C47" s="100">
        <f>(TableB2!D47+TableB2!F47)/TableB2!L47</f>
        <v>5.4054477000015921E-2</v>
      </c>
      <c r="D47" s="68">
        <f>TableB2!E47/TableB2!M47</f>
        <v>0</v>
      </c>
      <c r="E47" s="405">
        <f>TableB2!G47/TableB2!N47</f>
        <v>0.18304496905888518</v>
      </c>
      <c r="F47" s="98">
        <f>(TableB2!H47+TableB2!J47)/TableB2!O47</f>
        <v>0.20528036660183002</v>
      </c>
      <c r="G47" s="68">
        <f>TableB2!I47/TableB2!P47</f>
        <v>0</v>
      </c>
      <c r="H47" s="405">
        <f t="shared" ref="H47:H88" si="3">E47-B47</f>
        <v>0.13297124811700994</v>
      </c>
      <c r="I47" s="231">
        <f t="shared" ref="I47:I88" si="4">F47-C47</f>
        <v>0.1512258896018141</v>
      </c>
      <c r="J47" s="1774">
        <f t="shared" ref="J47:J88" si="5">G47-D47</f>
        <v>0</v>
      </c>
    </row>
    <row r="48" spans="1:10" x14ac:dyDescent="0.35">
      <c r="A48" s="303" t="s">
        <v>93</v>
      </c>
      <c r="B48" s="296">
        <f>TableB2!C48/TableB2!K48</f>
        <v>0.14122340425531912</v>
      </c>
      <c r="C48" s="100">
        <f>(TableB2!D48+TableB2!F48)/TableB2!L48</f>
        <v>0.13134956791506849</v>
      </c>
      <c r="D48" s="68">
        <f>TableB2!E48/TableB2!M48</f>
        <v>0.46885524645454479</v>
      </c>
      <c r="E48" s="405">
        <f>TableB2!G48/TableB2!N48</f>
        <v>0.19462189085792347</v>
      </c>
      <c r="F48" s="98">
        <f>(TableB2!H48+TableB2!J48)/TableB2!O48</f>
        <v>0.19628451777777778</v>
      </c>
      <c r="G48" s="68">
        <f>TableB2!I48/TableB2!P48</f>
        <v>9.4864275666666428E-2</v>
      </c>
      <c r="H48" s="405">
        <f t="shared" si="3"/>
        <v>5.339848660260435E-2</v>
      </c>
      <c r="I48" s="231">
        <f t="shared" si="4"/>
        <v>6.4934949862709285E-2</v>
      </c>
      <c r="J48" s="1774">
        <f t="shared" si="5"/>
        <v>-0.37399097078787835</v>
      </c>
    </row>
    <row r="49" spans="1:10" x14ac:dyDescent="0.35">
      <c r="A49" s="303" t="s">
        <v>94</v>
      </c>
      <c r="B49" s="296">
        <f>TableB2!C49/TableB2!K49</f>
        <v>6.6666666666666666E-2</v>
      </c>
      <c r="C49" s="100">
        <f>(TableB2!D49+TableB2!F49)/TableB2!L49</f>
        <v>3.5311367774545459E-2</v>
      </c>
      <c r="D49" s="68">
        <f>TableB2!E49/TableB2!M49</f>
        <v>0.34481851167741923</v>
      </c>
      <c r="E49" s="405">
        <f>TableB2!G49/TableB2!N49</f>
        <v>2.6649836405693943E-2</v>
      </c>
      <c r="F49" s="98">
        <f>(TableB2!H49+TableB2!J49)/TableB2!O49</f>
        <v>3.072999172268907E-2</v>
      </c>
      <c r="G49" s="68">
        <f>TableB2!I49/TableB2!P49</f>
        <v>4.066651162790696E-3</v>
      </c>
      <c r="H49" s="405">
        <f t="shared" si="3"/>
        <v>-4.0016830260972719E-2</v>
      </c>
      <c r="I49" s="231">
        <f t="shared" si="4"/>
        <v>-4.5813760518563888E-3</v>
      </c>
      <c r="J49" s="1774">
        <f t="shared" si="5"/>
        <v>-0.34075186051462852</v>
      </c>
    </row>
    <row r="50" spans="1:10" x14ac:dyDescent="0.35">
      <c r="A50" s="303" t="s">
        <v>102</v>
      </c>
      <c r="B50" s="296">
        <f>TableB2!C50/TableB2!K50</f>
        <v>4.3910256410256407E-2</v>
      </c>
      <c r="C50" s="100">
        <f>(TableB2!D50+TableB2!F50)/TableB2!L50</f>
        <v>2.3608474179999995E-2</v>
      </c>
      <c r="D50" s="68">
        <f>TableB2!E50/TableB2!M50</f>
        <v>0.3962058892294118</v>
      </c>
      <c r="E50" s="405">
        <f>TableB2!G50/TableB2!N50</f>
        <v>5.91809396403302E-2</v>
      </c>
      <c r="F50" s="98">
        <f>(TableB2!H50+TableB2!J50)/TableB2!O50</f>
        <v>7.3460168601470588E-2</v>
      </c>
      <c r="G50" s="68">
        <f>TableB2!I50/TableB2!P50</f>
        <v>1.3840605119047622E-3</v>
      </c>
      <c r="H50" s="405">
        <f t="shared" si="3"/>
        <v>1.5270683230073794E-2</v>
      </c>
      <c r="I50" s="231">
        <f t="shared" si="4"/>
        <v>4.9851694421470596E-2</v>
      </c>
      <c r="J50" s="1774">
        <f t="shared" si="5"/>
        <v>-0.39482182871750704</v>
      </c>
    </row>
    <row r="51" spans="1:10" x14ac:dyDescent="0.35">
      <c r="A51" s="303" t="s">
        <v>103</v>
      </c>
      <c r="B51" s="296">
        <f>TableB2!C51/TableB2!K51</f>
        <v>0.15953307392996108</v>
      </c>
      <c r="C51" s="100">
        <f>(TableB2!D51+TableB2!F51)/TableB2!L51</f>
        <v>0.15754482587064678</v>
      </c>
      <c r="D51" s="68">
        <f>TableB2!E51/TableB2!M51</f>
        <v>0.16666946428571427</v>
      </c>
      <c r="E51" s="405">
        <f>TableB2!G51/TableB2!N51</f>
        <v>6.0218919860627176E-2</v>
      </c>
      <c r="F51" s="98">
        <f>(TableB2!H51+TableB2!J51)/TableB2!O51</f>
        <v>4.6931737588652489E-2</v>
      </c>
      <c r="G51" s="68">
        <f>TableB2!I51/TableB2!P51</f>
        <v>0.80961599999999989</v>
      </c>
      <c r="H51" s="405">
        <f t="shared" si="3"/>
        <v>-9.9314154069333901E-2</v>
      </c>
      <c r="I51" s="231">
        <f t="shared" si="4"/>
        <v>-0.11061308828199429</v>
      </c>
      <c r="J51" s="1774">
        <f t="shared" si="5"/>
        <v>0.64294653571428562</v>
      </c>
    </row>
    <row r="52" spans="1:10" x14ac:dyDescent="0.35">
      <c r="A52" s="303" t="s">
        <v>97</v>
      </c>
      <c r="B52" s="296">
        <f>TableB2!C52/TableB2!K52</f>
        <v>5.5590551181102357E-2</v>
      </c>
      <c r="C52" s="100">
        <f>(TableB2!D52+TableB2!F52)/TableB2!L52</f>
        <v>6.4030250960194171E-2</v>
      </c>
      <c r="D52" s="68">
        <f>TableB2!E52/TableB2!M52</f>
        <v>1.9370172962500001E-2</v>
      </c>
      <c r="E52" s="405">
        <f>TableB2!G52/TableB2!N52</f>
        <v>2.1463090905161287E-2</v>
      </c>
      <c r="F52" s="98">
        <f>(TableB2!H52+TableB2!J52)/TableB2!O52</f>
        <v>1.9337127967567567E-2</v>
      </c>
      <c r="G52" s="68">
        <f>TableB2!I52/TableB2!P52</f>
        <v>6.6412021585714284E-2</v>
      </c>
      <c r="H52" s="405">
        <f t="shared" si="3"/>
        <v>-3.4127460275941074E-2</v>
      </c>
      <c r="I52" s="231">
        <f t="shared" si="4"/>
        <v>-4.4693122992626608E-2</v>
      </c>
      <c r="J52" s="1774">
        <f t="shared" si="5"/>
        <v>4.7041848623214283E-2</v>
      </c>
    </row>
    <row r="53" spans="1:10" x14ac:dyDescent="0.35">
      <c r="A53" s="1775" t="s">
        <v>100</v>
      </c>
      <c r="B53" s="296"/>
      <c r="C53" s="100"/>
      <c r="D53" s="68"/>
      <c r="E53" s="405"/>
      <c r="F53" s="98"/>
      <c r="G53" s="68"/>
      <c r="H53" s="405"/>
      <c r="I53" s="231"/>
      <c r="J53" s="1774"/>
    </row>
    <row r="54" spans="1:10" x14ac:dyDescent="0.35">
      <c r="A54" s="303" t="s">
        <v>272</v>
      </c>
      <c r="B54" s="296">
        <f>TableB2!C54/TableB2!K54</f>
        <v>7.3427991886409749E-2</v>
      </c>
      <c r="C54" s="100">
        <f>(TableB2!D54+TableB2!F54)/TableB2!L54</f>
        <v>0.62243466861239516</v>
      </c>
      <c r="D54" s="68">
        <f>TableB2!E54/TableB2!M54</f>
        <v>0</v>
      </c>
      <c r="E54" s="405">
        <f>TableB2!G54/TableB2!N54</f>
        <v>4.1257485029940123E-2</v>
      </c>
      <c r="F54" s="98">
        <f>(TableB2!H54+TableB2!J54)/TableB2!O54</f>
        <v>1.0694299838445078</v>
      </c>
      <c r="G54" s="68">
        <f>TableB2!I54/TableB2!P54</f>
        <v>0</v>
      </c>
      <c r="H54" s="405">
        <f t="shared" si="3"/>
        <v>-3.2170506856469626E-2</v>
      </c>
      <c r="I54" s="231">
        <f t="shared" si="4"/>
        <v>0.44699531523211267</v>
      </c>
      <c r="J54" s="1774">
        <f t="shared" si="5"/>
        <v>0</v>
      </c>
    </row>
    <row r="55" spans="1:10" x14ac:dyDescent="0.35">
      <c r="A55" s="303" t="s">
        <v>273</v>
      </c>
      <c r="B55" s="296">
        <f>TableB2!C55/TableB2!K55</f>
        <v>1.4542133493059195</v>
      </c>
      <c r="C55" s="100">
        <f>(TableB2!D55+TableB2!F55)/TableB2!L55</f>
        <v>15.619442461113552</v>
      </c>
      <c r="D55" s="68">
        <f>TableB2!E55/TableB2!M55</f>
        <v>0</v>
      </c>
      <c r="E55" s="405">
        <f>TableB2!G55/TableB2!N55</f>
        <v>6.3596491228070165E-3</v>
      </c>
      <c r="F55" s="98">
        <f>(TableB2!H55+TableB2!J55)/TableB2!O55</f>
        <v>1.726190476190476E-2</v>
      </c>
      <c r="G55" s="68">
        <f>TableB2!I55/TableB2!P55</f>
        <v>0</v>
      </c>
      <c r="H55" s="405">
        <f t="shared" si="3"/>
        <v>-1.4478537001831124</v>
      </c>
      <c r="I55" s="231">
        <f t="shared" si="4"/>
        <v>-15.602180556351648</v>
      </c>
      <c r="J55" s="1774">
        <f t="shared" si="5"/>
        <v>0</v>
      </c>
    </row>
    <row r="56" spans="1:10" x14ac:dyDescent="0.35">
      <c r="A56" s="304" t="str">
        <f>+TableA1!A56</f>
        <v>Antigua and Barbuda</v>
      </c>
      <c r="B56" s="296">
        <f>TableB2!C56/TableB2!K56</f>
        <v>1.1571729810233067</v>
      </c>
      <c r="C56" s="100">
        <f>(TableB2!D56+TableB2!F56)/TableB2!L56</f>
        <v>1.1569209220343215</v>
      </c>
      <c r="D56" s="68">
        <f>TableB2!E56/TableB2!M56</f>
        <v>0</v>
      </c>
      <c r="E56" s="405">
        <f>TableB2!G56/TableB2!N56</f>
        <v>0</v>
      </c>
      <c r="F56" s="98">
        <f>(TableB2!H56+TableB2!J56)/TableB2!O56</f>
        <v>0</v>
      </c>
      <c r="G56" s="68">
        <f>TableB2!I56/TableB2!P56</f>
        <v>0</v>
      </c>
      <c r="H56" s="405">
        <f t="shared" si="3"/>
        <v>-1.1571729810233067</v>
      </c>
      <c r="I56" s="231">
        <f t="shared" si="4"/>
        <v>-1.1569209220343215</v>
      </c>
      <c r="J56" s="1774">
        <f t="shared" si="5"/>
        <v>0</v>
      </c>
    </row>
    <row r="57" spans="1:10" x14ac:dyDescent="0.35">
      <c r="A57" s="303" t="s">
        <v>274</v>
      </c>
      <c r="B57" s="296">
        <f>TableB2!C57/TableB2!K57</f>
        <v>2.4374094765432102E-2</v>
      </c>
      <c r="C57" s="100">
        <f>(TableB2!D57+TableB2!F57)/TableB2!L57</f>
        <v>3.0004584741641339E-2</v>
      </c>
      <c r="D57" s="68">
        <f>TableB2!E57/TableB2!M57</f>
        <v>0</v>
      </c>
      <c r="E57" s="405">
        <f>TableB2!G57/TableB2!N57</f>
        <v>0.54285714285714293</v>
      </c>
      <c r="F57" s="98">
        <f>(TableB2!H57+TableB2!J57)/TableB2!O57</f>
        <v>0.79877857797896035</v>
      </c>
      <c r="G57" s="68">
        <f>TableB2!I57/TableB2!P57</f>
        <v>0</v>
      </c>
      <c r="H57" s="405">
        <f t="shared" si="3"/>
        <v>0.51848304809171086</v>
      </c>
      <c r="I57" s="231">
        <f t="shared" si="4"/>
        <v>0.76877399323731899</v>
      </c>
      <c r="J57" s="1774">
        <f t="shared" si="5"/>
        <v>0</v>
      </c>
    </row>
    <row r="58" spans="1:10" x14ac:dyDescent="0.35">
      <c r="A58" s="303" t="s">
        <v>275</v>
      </c>
      <c r="B58" s="296">
        <f>TableB2!C58/TableB2!K58</f>
        <v>2.9481713440197854E-2</v>
      </c>
      <c r="C58" s="100">
        <f>(TableB2!D58+TableB2!F58)/TableB2!L58</f>
        <v>9.1426437185332665E-2</v>
      </c>
      <c r="D58" s="68">
        <f>TableB2!E58/TableB2!M58</f>
        <v>0</v>
      </c>
      <c r="E58" s="405">
        <f>TableB2!G58/TableB2!N58</f>
        <v>1.7316995232468598E-2</v>
      </c>
      <c r="F58" s="98">
        <f>(TableB2!H58+TableB2!J58)/TableB2!O58</f>
        <v>2.655632810221004E-2</v>
      </c>
      <c r="G58" s="68">
        <f>TableB2!I58/TableB2!P58</f>
        <v>0</v>
      </c>
      <c r="H58" s="405">
        <f t="shared" si="3"/>
        <v>-1.2164718207729255E-2</v>
      </c>
      <c r="I58" s="231">
        <f t="shared" si="4"/>
        <v>-6.4870109083122629E-2</v>
      </c>
      <c r="J58" s="1774">
        <f t="shared" si="5"/>
        <v>0</v>
      </c>
    </row>
    <row r="59" spans="1:10" x14ac:dyDescent="0.35">
      <c r="A59" s="303" t="s">
        <v>276</v>
      </c>
      <c r="B59" s="296">
        <f>TableB2!C59/TableB2!K59</f>
        <v>2.5441980794908628E-2</v>
      </c>
      <c r="C59" s="100">
        <f>(TableB2!D59+TableB2!F59)/TableB2!L59</f>
        <v>3.1579300723505004E-2</v>
      </c>
      <c r="D59" s="68">
        <f>TableB2!E59/TableB2!M59</f>
        <v>0</v>
      </c>
      <c r="E59" s="405">
        <f>TableB2!G59/TableB2!N59</f>
        <v>3.8316831683168323E-2</v>
      </c>
      <c r="F59" s="98">
        <f>(TableB2!H59+TableB2!J59)/TableB2!O59</f>
        <v>4.2527472527472535E-2</v>
      </c>
      <c r="G59" s="68">
        <f>TableB2!I59/TableB2!P59</f>
        <v>0</v>
      </c>
      <c r="H59" s="405">
        <f t="shared" si="3"/>
        <v>1.2874850888259695E-2</v>
      </c>
      <c r="I59" s="231">
        <f t="shared" si="4"/>
        <v>1.0948171803967531E-2</v>
      </c>
      <c r="J59" s="1774">
        <f t="shared" si="5"/>
        <v>0</v>
      </c>
    </row>
    <row r="60" spans="1:10" x14ac:dyDescent="0.35">
      <c r="A60" s="304" t="str">
        <f>+TableA1!A60</f>
        <v>Barbados</v>
      </c>
      <c r="B60" s="296">
        <f>TableB2!C60/TableB2!K60</f>
        <v>2.8871577556244116E-2</v>
      </c>
      <c r="C60" s="100">
        <f>(TableB2!D60+TableB2!F60)/TableB2!L60</f>
        <v>0.11903477227099531</v>
      </c>
      <c r="D60" s="68">
        <f>TableB2!E60/TableB2!M60</f>
        <v>0</v>
      </c>
      <c r="E60" s="405">
        <f>TableB2!G60/TableB2!N60</f>
        <v>1.4592084367239933E-2</v>
      </c>
      <c r="F60" s="98">
        <f>(TableB2!H60+TableB2!J60)/TableB2!O60</f>
        <v>2.4677789738714595E-2</v>
      </c>
      <c r="G60" s="68">
        <f>TableB2!I60/TableB2!P60</f>
        <v>0</v>
      </c>
      <c r="H60" s="405">
        <f t="shared" si="3"/>
        <v>-1.4279493189004183E-2</v>
      </c>
      <c r="I60" s="231">
        <f t="shared" si="4"/>
        <v>-9.4356982532280712E-2</v>
      </c>
      <c r="J60" s="1774">
        <f t="shared" si="5"/>
        <v>0</v>
      </c>
    </row>
    <row r="61" spans="1:10" x14ac:dyDescent="0.35">
      <c r="A61" s="303" t="s">
        <v>277</v>
      </c>
      <c r="B61" s="296">
        <f>TableB2!C61/TableB2!K61</f>
        <v>0.18440111420612817</v>
      </c>
      <c r="C61" s="100">
        <f>(TableB2!D61+TableB2!F61)/TableB2!L61</f>
        <v>0.19820359281437128</v>
      </c>
      <c r="D61" s="68">
        <f>TableB2!E61/TableB2!M61</f>
        <v>0</v>
      </c>
      <c r="E61" s="405">
        <f>TableB2!G61/TableB2!N61</f>
        <v>6.0224990049751251E-4</v>
      </c>
      <c r="F61" s="98">
        <f>(TableB2!H61+TableB2!J61)/TableB2!O61</f>
        <v>8.6465878571428576E-4</v>
      </c>
      <c r="G61" s="68">
        <f>TableB2!I61/TableB2!P61</f>
        <v>0</v>
      </c>
      <c r="H61" s="405">
        <f t="shared" si="3"/>
        <v>-0.18379886430563067</v>
      </c>
      <c r="I61" s="231">
        <f t="shared" si="4"/>
        <v>-0.19733893402865699</v>
      </c>
      <c r="J61" s="1774">
        <f t="shared" si="5"/>
        <v>0</v>
      </c>
    </row>
    <row r="62" spans="1:10" x14ac:dyDescent="0.35">
      <c r="A62" s="303" t="s">
        <v>213</v>
      </c>
      <c r="B62" s="296">
        <f>TableB2!C62/TableB2!K62</f>
        <v>7.5510660002823041E-2</v>
      </c>
      <c r="C62" s="100">
        <f>(TableB2!D62+TableB2!F62)/TableB2!L62</f>
        <v>7.8620654236876711E-2</v>
      </c>
      <c r="D62" s="68">
        <f>TableB2!E62/TableB2!M62</f>
        <v>0</v>
      </c>
      <c r="E62" s="405">
        <f>TableB2!G62/TableB2!N62</f>
        <v>4.5394287755763013E-2</v>
      </c>
      <c r="F62" s="98">
        <f>(TableB2!H62+TableB2!J62)/TableB2!O62</f>
        <v>6.316113227856654E-2</v>
      </c>
      <c r="G62" s="68">
        <f>TableB2!I62/TableB2!P62</f>
        <v>0</v>
      </c>
      <c r="H62" s="405">
        <f t="shared" si="3"/>
        <v>-3.0116372247060028E-2</v>
      </c>
      <c r="I62" s="231">
        <f t="shared" si="4"/>
        <v>-1.5459521958310171E-2</v>
      </c>
      <c r="J62" s="1774">
        <f t="shared" si="5"/>
        <v>0</v>
      </c>
    </row>
    <row r="63" spans="1:10" x14ac:dyDescent="0.35">
      <c r="A63" s="303" t="s">
        <v>278</v>
      </c>
      <c r="B63" s="296"/>
      <c r="C63" s="100"/>
      <c r="D63" s="68"/>
      <c r="E63" s="405"/>
      <c r="F63" s="98"/>
      <c r="G63" s="68"/>
      <c r="H63" s="405"/>
      <c r="I63" s="231"/>
      <c r="J63" s="1774"/>
    </row>
    <row r="64" spans="1:10" x14ac:dyDescent="0.35">
      <c r="A64" s="303" t="s">
        <v>279</v>
      </c>
      <c r="B64" s="296">
        <f>TableB2!C64/TableB2!K64</f>
        <v>8.3296450153818051E-4</v>
      </c>
      <c r="C64" s="100">
        <f>(TableB2!D64+TableB2!F64)/TableB2!L64</f>
        <v>1.0886101107501019E-3</v>
      </c>
      <c r="D64" s="68">
        <f>TableB2!E64/TableB2!M64</f>
        <v>0</v>
      </c>
      <c r="E64" s="405">
        <f>TableB2!G64/TableB2!N64</f>
        <v>4.0218570828020293E-3</v>
      </c>
      <c r="F64" s="98">
        <f>(TableB2!H64+TableB2!J64)/TableB2!O64</f>
        <v>4.7291347591740824E-3</v>
      </c>
      <c r="G64" s="68">
        <f>TableB2!I64/TableB2!P64</f>
        <v>0</v>
      </c>
      <c r="H64" s="405">
        <f t="shared" si="3"/>
        <v>3.1888925812638487E-3</v>
      </c>
      <c r="I64" s="231">
        <f t="shared" si="4"/>
        <v>3.6405246484239803E-3</v>
      </c>
      <c r="J64" s="1774">
        <f t="shared" si="5"/>
        <v>0</v>
      </c>
    </row>
    <row r="65" spans="1:10" x14ac:dyDescent="0.35">
      <c r="A65" s="303" t="s">
        <v>291</v>
      </c>
      <c r="B65" s="296">
        <f>TableB2!C65/TableB2!K65</f>
        <v>5.8218795713932701E-2</v>
      </c>
      <c r="C65" s="100">
        <f>(TableB2!D65+TableB2!F65)/TableB2!L65</f>
        <v>6.5289904505098612E-2</v>
      </c>
      <c r="D65" s="68">
        <f>TableB2!E65/TableB2!M65</f>
        <v>0</v>
      </c>
      <c r="E65" s="405">
        <f>TableB2!G65/TableB2!N65</f>
        <v>2.8490676011213179E-2</v>
      </c>
      <c r="F65" s="98">
        <f>(TableB2!H65+TableB2!J65)/TableB2!O65</f>
        <v>4.4414231918850133E-2</v>
      </c>
      <c r="G65" s="68">
        <f>TableB2!I65/TableB2!P65</f>
        <v>0</v>
      </c>
      <c r="H65" s="405">
        <f t="shared" si="3"/>
        <v>-2.9728119702719522E-2</v>
      </c>
      <c r="I65" s="231">
        <f t="shared" si="4"/>
        <v>-2.0875672586248478E-2</v>
      </c>
      <c r="J65" s="1774">
        <f t="shared" si="5"/>
        <v>0</v>
      </c>
    </row>
    <row r="66" spans="1:10" x14ac:dyDescent="0.35">
      <c r="A66" s="303" t="s">
        <v>280</v>
      </c>
      <c r="B66" s="296">
        <f>TableB2!C66/TableB2!K66</f>
        <v>0.58288306035940884</v>
      </c>
      <c r="C66" s="100">
        <f>(TableB2!D66+TableB2!F66)/TableB2!L66</f>
        <v>0.93529796249609543</v>
      </c>
      <c r="D66" s="68">
        <f>TableB2!E66/TableB2!M66</f>
        <v>0</v>
      </c>
      <c r="E66" s="405">
        <f>TableB2!G66/TableB2!N66</f>
        <v>4.9654343807763395</v>
      </c>
      <c r="F66" s="98">
        <f>(TableB2!H66+TableB2!J66)/TableB2!O66</f>
        <v>5.6553684210526312</v>
      </c>
      <c r="G66" s="68">
        <f>TableB2!I66/TableB2!P66</f>
        <v>0</v>
      </c>
      <c r="H66" s="405">
        <f t="shared" si="3"/>
        <v>4.3825513204169306</v>
      </c>
      <c r="I66" s="231">
        <f t="shared" si="4"/>
        <v>4.7200704585565356</v>
      </c>
      <c r="J66" s="1774">
        <f t="shared" si="5"/>
        <v>0</v>
      </c>
    </row>
    <row r="67" spans="1:10" x14ac:dyDescent="0.35">
      <c r="A67" s="304" t="str">
        <f>+TableA1!A67</f>
        <v>Cyprus</v>
      </c>
      <c r="B67" s="296">
        <f>TableB2!C67/TableB2!K67</f>
        <v>3.025135704631567E-2</v>
      </c>
      <c r="C67" s="100">
        <f>(TableB2!D67+TableB2!F67)/TableB2!L67</f>
        <v>3.2898350787868291E-2</v>
      </c>
      <c r="D67" s="68">
        <f>TableB2!E67/TableB2!M67</f>
        <v>0</v>
      </c>
      <c r="E67" s="405">
        <f>TableB2!G67/TableB2!N67</f>
        <v>1.7100282011860334E-2</v>
      </c>
      <c r="F67" s="98">
        <f>(TableB2!H67+TableB2!J67)/TableB2!O67</f>
        <v>1.8713516163922628E-2</v>
      </c>
      <c r="G67" s="68">
        <f>TableB2!I67/TableB2!P67</f>
        <v>0</v>
      </c>
      <c r="H67" s="405">
        <f t="shared" si="3"/>
        <v>-1.3151075034455336E-2</v>
      </c>
      <c r="I67" s="231">
        <f t="shared" si="4"/>
        <v>-1.4184834623945663E-2</v>
      </c>
      <c r="J67" s="1774">
        <f t="shared" si="5"/>
        <v>0</v>
      </c>
    </row>
    <row r="68" spans="1:10" x14ac:dyDescent="0.35">
      <c r="A68" s="303" t="s">
        <v>281</v>
      </c>
      <c r="B68" s="296">
        <f>TableB2!C68/TableB2!K68</f>
        <v>3.5167673716012086E-2</v>
      </c>
      <c r="C68" s="100">
        <f>(TableB2!D68+TableB2!F68)/TableB2!L68</f>
        <v>2.1164545454545457E-2</v>
      </c>
      <c r="D68" s="68">
        <f>TableB2!E68/TableB2!M68</f>
        <v>0</v>
      </c>
      <c r="E68" s="405">
        <f>TableB2!G68/TableB2!N68</f>
        <v>1.1769572728478363E-3</v>
      </c>
      <c r="F68" s="98">
        <f>(TableB2!H68+TableB2!J68)/TableB2!O68</f>
        <v>1.4089536583611118E-3</v>
      </c>
      <c r="G68" s="68">
        <f>TableB2!I68/TableB2!P68</f>
        <v>0</v>
      </c>
      <c r="H68" s="405">
        <f t="shared" si="3"/>
        <v>-3.3990716443164253E-2</v>
      </c>
      <c r="I68" s="231">
        <f t="shared" si="4"/>
        <v>-1.9755591796184344E-2</v>
      </c>
      <c r="J68" s="1774">
        <f t="shared" si="5"/>
        <v>0</v>
      </c>
    </row>
    <row r="69" spans="1:10" x14ac:dyDescent="0.35">
      <c r="A69" s="304" t="str">
        <f>+TableA1!A69</f>
        <v>Grenada</v>
      </c>
      <c r="B69" s="296">
        <f>TableB2!C69/TableB2!K69</f>
        <v>1.7460911638766365</v>
      </c>
      <c r="C69" s="100">
        <f>(TableB2!D69+TableB2!F69)/TableB2!L69</f>
        <v>8.0116050713772129</v>
      </c>
      <c r="D69" s="68">
        <f>TableB2!E69/TableB2!M69</f>
        <v>0</v>
      </c>
      <c r="E69" s="405">
        <f>TableB2!G69/TableB2!N69</f>
        <v>0</v>
      </c>
      <c r="F69" s="98">
        <f>(TableB2!H69+TableB2!J69)/TableB2!O69</f>
        <v>0</v>
      </c>
      <c r="G69" s="68">
        <f>TableB2!I69/TableB2!P69</f>
        <v>0</v>
      </c>
      <c r="H69" s="405">
        <f t="shared" si="3"/>
        <v>-1.7460911638766365</v>
      </c>
      <c r="I69" s="231">
        <f t="shared" si="4"/>
        <v>-8.0116050713772129</v>
      </c>
      <c r="J69" s="1774">
        <f t="shared" si="5"/>
        <v>0</v>
      </c>
    </row>
    <row r="70" spans="1:10" x14ac:dyDescent="0.35">
      <c r="A70" s="303" t="s">
        <v>282</v>
      </c>
      <c r="B70" s="296">
        <f>TableB2!C70/TableB2!K70</f>
        <v>4.2843808218488127E-2</v>
      </c>
      <c r="C70" s="100">
        <f>(TableB2!D70+TableB2!F70)/TableB2!L70</f>
        <v>3.5341205857646892E-2</v>
      </c>
      <c r="D70" s="68">
        <f>TableB2!E70/TableB2!M70</f>
        <v>0</v>
      </c>
      <c r="E70" s="405">
        <f>TableB2!G70/TableB2!N70</f>
        <v>8.6106487834315612E-2</v>
      </c>
      <c r="F70" s="98">
        <f>(TableB2!H70+TableB2!J70)/TableB2!O70</f>
        <v>0.12936377556150733</v>
      </c>
      <c r="G70" s="68">
        <f>TableB2!I70/TableB2!P70</f>
        <v>0</v>
      </c>
      <c r="H70" s="405">
        <f t="shared" si="3"/>
        <v>4.3262679615827485E-2</v>
      </c>
      <c r="I70" s="231">
        <f t="shared" si="4"/>
        <v>9.4022569703860442E-2</v>
      </c>
      <c r="J70" s="1774">
        <f t="shared" si="5"/>
        <v>0</v>
      </c>
    </row>
    <row r="71" spans="1:10" x14ac:dyDescent="0.35">
      <c r="A71" s="303" t="s">
        <v>283</v>
      </c>
      <c r="B71" s="296">
        <f>TableB2!C71/TableB2!K71</f>
        <v>2.4725253256459422E-3</v>
      </c>
      <c r="C71" s="100">
        <f>(TableB2!D71+TableB2!F71)/TableB2!L71</f>
        <v>3.9431122840366661E-3</v>
      </c>
      <c r="D71" s="68">
        <f>TableB2!E71/TableB2!M71</f>
        <v>0</v>
      </c>
      <c r="E71" s="405">
        <f>TableB2!G71/TableB2!N71</f>
        <v>1.6316931216931219E-2</v>
      </c>
      <c r="F71" s="98">
        <f>(TableB2!H71+TableB2!J71)/TableB2!O71</f>
        <v>1.8034502923976611E-2</v>
      </c>
      <c r="G71" s="68">
        <f>TableB2!I71/TableB2!P71</f>
        <v>0</v>
      </c>
      <c r="H71" s="405">
        <f t="shared" si="3"/>
        <v>1.3844405891285277E-2</v>
      </c>
      <c r="I71" s="231">
        <f t="shared" si="4"/>
        <v>1.4091390639939945E-2</v>
      </c>
      <c r="J71" s="1774">
        <f t="shared" si="5"/>
        <v>0</v>
      </c>
    </row>
    <row r="72" spans="1:10" x14ac:dyDescent="0.35">
      <c r="A72" s="303" t="s">
        <v>220</v>
      </c>
      <c r="B72" s="296">
        <f>TableB2!C72/TableB2!K72</f>
        <v>9.8561151079136697E-2</v>
      </c>
      <c r="C72" s="100">
        <f>(TableB2!D72+TableB2!F72)/TableB2!L72</f>
        <v>0.1</v>
      </c>
      <c r="D72" s="68">
        <f>TableB2!E72/TableB2!M72</f>
        <v>0</v>
      </c>
      <c r="E72" s="405">
        <f>TableB2!G72/TableB2!N72</f>
        <v>8.8177202454565229E-2</v>
      </c>
      <c r="F72" s="98">
        <f>(TableB2!H72+TableB2!J72)/TableB2!O72</f>
        <v>0.10056573503082646</v>
      </c>
      <c r="G72" s="68">
        <f>TableB2!I72/TableB2!P72</f>
        <v>0</v>
      </c>
      <c r="H72" s="405">
        <f t="shared" si="3"/>
        <v>-1.0383948624571468E-2</v>
      </c>
      <c r="I72" s="231">
        <f t="shared" si="4"/>
        <v>5.6573503082645027E-4</v>
      </c>
      <c r="J72" s="1774">
        <f t="shared" si="5"/>
        <v>0</v>
      </c>
    </row>
    <row r="73" spans="1:10" x14ac:dyDescent="0.35">
      <c r="A73" s="303" t="s">
        <v>284</v>
      </c>
      <c r="B73" s="296">
        <f>TableB2!C73/TableB2!K73</f>
        <v>0.11860867319275652</v>
      </c>
      <c r="C73" s="100">
        <f>(TableB2!D73+TableB2!F73)/TableB2!L73</f>
        <v>4.0168803987946873E-2</v>
      </c>
      <c r="D73" s="68">
        <f>TableB2!E73/TableB2!M73</f>
        <v>0</v>
      </c>
      <c r="E73" s="405">
        <f>TableB2!G73/TableB2!N73</f>
        <v>2.4296990351610342E-3</v>
      </c>
      <c r="F73" s="98">
        <f>(TableB2!H73+TableB2!J73)/TableB2!O73</f>
        <v>3.3248513112729941E-3</v>
      </c>
      <c r="G73" s="68">
        <f>TableB2!I73/TableB2!P73</f>
        <v>0</v>
      </c>
      <c r="H73" s="405">
        <f t="shared" si="3"/>
        <v>-0.11617897415759548</v>
      </c>
      <c r="I73" s="231">
        <f t="shared" si="4"/>
        <v>-3.6843952676673876E-2</v>
      </c>
      <c r="J73" s="1774">
        <f t="shared" si="5"/>
        <v>0</v>
      </c>
    </row>
    <row r="74" spans="1:10" x14ac:dyDescent="0.35">
      <c r="A74" s="303" t="s">
        <v>285</v>
      </c>
      <c r="B74" s="296">
        <f>TableB2!C74/TableB2!K74</f>
        <v>0.30489510489510491</v>
      </c>
      <c r="C74" s="100">
        <f>(TableB2!D74+TableB2!F74)/TableB2!L74</f>
        <v>0.4274509803921569</v>
      </c>
      <c r="D74" s="68">
        <f>TableB2!E74/TableB2!M74</f>
        <v>0</v>
      </c>
      <c r="E74" s="405">
        <f>TableB2!G74/TableB2!N74</f>
        <v>6.7062089587345247E-2</v>
      </c>
      <c r="F74" s="98">
        <f>(TableB2!H74+TableB2!J74)/TableB2!O74</f>
        <v>7.0760724426705363E-2</v>
      </c>
      <c r="G74" s="68">
        <f>TableB2!I74/TableB2!P74</f>
        <v>0</v>
      </c>
      <c r="H74" s="405">
        <f t="shared" si="3"/>
        <v>-0.23783301530775966</v>
      </c>
      <c r="I74" s="231">
        <f t="shared" si="4"/>
        <v>-0.35669025596545156</v>
      </c>
      <c r="J74" s="1774">
        <f t="shared" si="5"/>
        <v>0</v>
      </c>
    </row>
    <row r="75" spans="1:10" x14ac:dyDescent="0.35">
      <c r="A75" s="303" t="s">
        <v>286</v>
      </c>
      <c r="B75" s="296">
        <f>TableB2!C75/TableB2!K75</f>
        <v>2.7777777777777775E-3</v>
      </c>
      <c r="C75" s="100">
        <f>(TableB2!D75+TableB2!F75)/TableB2!L75</f>
        <v>3.2188841201716738E-3</v>
      </c>
      <c r="D75" s="68">
        <f>TableB2!E75/TableB2!M75</f>
        <v>0</v>
      </c>
      <c r="E75" s="405">
        <f>TableB2!G75/TableB2!N75</f>
        <v>7.2973627510126676E-2</v>
      </c>
      <c r="F75" s="98">
        <f>(TableB2!H75+TableB2!J75)/TableB2!O75</f>
        <v>8.4279400786343495E-2</v>
      </c>
      <c r="G75" s="68">
        <f>TableB2!I75/TableB2!P75</f>
        <v>0</v>
      </c>
      <c r="H75" s="405">
        <f t="shared" si="3"/>
        <v>7.0195849732348894E-2</v>
      </c>
      <c r="I75" s="231">
        <f t="shared" si="4"/>
        <v>8.1060516666171825E-2</v>
      </c>
      <c r="J75" s="1774">
        <f t="shared" si="5"/>
        <v>0</v>
      </c>
    </row>
    <row r="76" spans="1:10" x14ac:dyDescent="0.35">
      <c r="A76" s="303" t="s">
        <v>287</v>
      </c>
      <c r="B76" s="296">
        <f>TableB2!C76/TableB2!K76</f>
        <v>0.22172413793103446</v>
      </c>
      <c r="C76" s="100">
        <f>(TableB2!D76+TableB2!F76)/TableB2!L76</f>
        <v>0.25617529880478085</v>
      </c>
      <c r="D76" s="68">
        <f>TableB2!E76/TableB2!M76</f>
        <v>0</v>
      </c>
      <c r="E76" s="405">
        <f>TableB2!G76/TableB2!N76</f>
        <v>2.5113268608414237E-2</v>
      </c>
      <c r="F76" s="98">
        <f>(TableB2!H76+TableB2!J76)/TableB2!O76</f>
        <v>6.928571428571427E-2</v>
      </c>
      <c r="G76" s="68">
        <f>TableB2!I76/TableB2!P76</f>
        <v>0</v>
      </c>
      <c r="H76" s="405">
        <f t="shared" si="3"/>
        <v>-0.19661086932262023</v>
      </c>
      <c r="I76" s="231">
        <f t="shared" si="4"/>
        <v>-0.18688958451906656</v>
      </c>
      <c r="J76" s="1774">
        <f t="shared" si="5"/>
        <v>0</v>
      </c>
    </row>
    <row r="77" spans="1:10" x14ac:dyDescent="0.35">
      <c r="A77" s="303" t="s">
        <v>301</v>
      </c>
      <c r="B77" s="296">
        <f>TableB2!C77/TableB2!K77</f>
        <v>6.0843373493975901E-2</v>
      </c>
      <c r="C77" s="100">
        <f>(TableB2!D77+TableB2!F77)/TableB2!L77</f>
        <v>7.3722627737226279E-2</v>
      </c>
      <c r="D77" s="68">
        <f>TableB2!E77/TableB2!M77</f>
        <v>0</v>
      </c>
      <c r="E77" s="405">
        <f>TableB2!G77/TableB2!N77</f>
        <v>1.2692400735378464E-2</v>
      </c>
      <c r="F77" s="98">
        <f>(TableB2!H77+TableB2!J77)/TableB2!O77</f>
        <v>2.592655028263284E-2</v>
      </c>
      <c r="G77" s="68">
        <f>TableB2!I77/TableB2!P77</f>
        <v>0</v>
      </c>
      <c r="H77" s="405">
        <f t="shared" si="3"/>
        <v>-4.8150972758597435E-2</v>
      </c>
      <c r="I77" s="231">
        <f t="shared" si="4"/>
        <v>-4.7796077454593439E-2</v>
      </c>
      <c r="J77" s="1774">
        <f t="shared" si="5"/>
        <v>0</v>
      </c>
    </row>
    <row r="78" spans="1:10" x14ac:dyDescent="0.35">
      <c r="A78" s="303" t="s">
        <v>302</v>
      </c>
      <c r="B78" s="296">
        <f>TableB2!C78/TableB2!K78</f>
        <v>3.1220326708876412E-2</v>
      </c>
      <c r="C78" s="100">
        <f>(TableB2!D78+TableB2!F78)/TableB2!L78</f>
        <v>0.19912964791879506</v>
      </c>
      <c r="D78" s="68">
        <f>TableB2!E78/TableB2!M78</f>
        <v>0</v>
      </c>
      <c r="E78" s="405">
        <f>TableB2!G78/TableB2!N78</f>
        <v>7.4648042372323753E-2</v>
      </c>
      <c r="F78" s="98">
        <f>(TableB2!H78+TableB2!J78)/TableB2!O78</f>
        <v>0.2441800422179024</v>
      </c>
      <c r="G78" s="68">
        <f>TableB2!I78/TableB2!P78</f>
        <v>0</v>
      </c>
      <c r="H78" s="405">
        <f t="shared" si="3"/>
        <v>4.3427715663447344E-2</v>
      </c>
      <c r="I78" s="231">
        <f t="shared" si="4"/>
        <v>4.5050394299107344E-2</v>
      </c>
      <c r="J78" s="1774">
        <f t="shared" si="5"/>
        <v>0</v>
      </c>
    </row>
    <row r="79" spans="1:10" x14ac:dyDescent="0.35">
      <c r="A79" s="304" t="str">
        <f>+TableA1!A79</f>
        <v>Monaco</v>
      </c>
      <c r="B79" s="296">
        <f>TableB2!C79/TableB2!K79</f>
        <v>0</v>
      </c>
      <c r="C79" s="100">
        <f>(TableB2!D79+TableB2!F79)/TableB2!L79</f>
        <v>0</v>
      </c>
      <c r="D79" s="68">
        <f>TableB2!E79/TableB2!M79</f>
        <v>0</v>
      </c>
      <c r="E79" s="405">
        <f>TableB2!G79/TableB2!N79</f>
        <v>0</v>
      </c>
      <c r="F79" s="98">
        <f>(TableB2!H79+TableB2!J79)/TableB2!O79</f>
        <v>0</v>
      </c>
      <c r="G79" s="68">
        <f>TableB2!I79/TableB2!P79</f>
        <v>0</v>
      </c>
      <c r="H79" s="405">
        <f t="shared" si="3"/>
        <v>0</v>
      </c>
      <c r="I79" s="231">
        <f t="shared" si="4"/>
        <v>0</v>
      </c>
      <c r="J79" s="1774">
        <f t="shared" si="5"/>
        <v>0</v>
      </c>
    </row>
    <row r="80" spans="1:10" x14ac:dyDescent="0.35">
      <c r="A80" s="303" t="s">
        <v>288</v>
      </c>
      <c r="B80" s="296">
        <f>TableB2!C80/TableB2!K80</f>
        <v>8.3916083916083916E-3</v>
      </c>
      <c r="C80" s="100">
        <f>(TableB2!D80+TableB2!F80)/TableB2!L80</f>
        <v>1.299638989169675E-2</v>
      </c>
      <c r="D80" s="68">
        <f>TableB2!E80/TableB2!M80</f>
        <v>0</v>
      </c>
      <c r="E80" s="405">
        <f>TableB2!G80/TableB2!N80</f>
        <v>9.8571194515161432E-4</v>
      </c>
      <c r="F80" s="98">
        <f>(TableB2!H80+TableB2!J80)/TableB2!O80</f>
        <v>2.5164832689832687E-3</v>
      </c>
      <c r="G80" s="68">
        <f>TableB2!I80/TableB2!P80</f>
        <v>0</v>
      </c>
      <c r="H80" s="405">
        <f t="shared" si="3"/>
        <v>-7.4058964464567773E-3</v>
      </c>
      <c r="I80" s="231">
        <f t="shared" si="4"/>
        <v>-1.0479906622713482E-2</v>
      </c>
      <c r="J80" s="1774">
        <f t="shared" si="5"/>
        <v>0</v>
      </c>
    </row>
    <row r="81" spans="1:10" x14ac:dyDescent="0.35">
      <c r="A81" s="303" t="s">
        <v>289</v>
      </c>
      <c r="B81" s="296">
        <f>TableB2!C81/TableB2!K81</f>
        <v>1.4944237918215612E-2</v>
      </c>
      <c r="C81" s="100">
        <f>(TableB2!D81+TableB2!F81)/TableB2!L81</f>
        <v>2.3786982248520709E-2</v>
      </c>
      <c r="D81" s="68">
        <f>TableB2!E81/TableB2!M81</f>
        <v>0</v>
      </c>
      <c r="E81" s="405">
        <f>TableB2!G81/TableB2!N81</f>
        <v>1.6748580688687783E-2</v>
      </c>
      <c r="F81" s="98">
        <f>(TableB2!H81+TableB2!J81)/TableB2!O81</f>
        <v>2.1272622598850575E-2</v>
      </c>
      <c r="G81" s="68">
        <f>TableB2!I81/TableB2!P81</f>
        <v>0</v>
      </c>
      <c r="H81" s="405">
        <f t="shared" si="3"/>
        <v>1.8043427704721709E-3</v>
      </c>
      <c r="I81" s="231">
        <f t="shared" si="4"/>
        <v>-2.5143596496701344E-3</v>
      </c>
      <c r="J81" s="1774">
        <f t="shared" si="5"/>
        <v>0</v>
      </c>
    </row>
    <row r="82" spans="1:10" x14ac:dyDescent="0.35">
      <c r="A82" s="304" t="str">
        <f>+TableA1!A82</f>
        <v>Seychelles</v>
      </c>
      <c r="B82" s="296">
        <f>TableB2!C82/TableB2!K82</f>
        <v>7.1869777882836577E-2</v>
      </c>
      <c r="C82" s="100">
        <f>(TableB2!D82+TableB2!F82)/TableB2!L82</f>
        <v>7.5599236627027014E-2</v>
      </c>
      <c r="D82" s="68">
        <f>TableB2!E82/TableB2!M82</f>
        <v>0</v>
      </c>
      <c r="E82" s="405">
        <f>TableB2!G82/TableB2!N82</f>
        <v>2.5156226074895974E-4</v>
      </c>
      <c r="F82" s="98">
        <f>(TableB2!H82+TableB2!J82)/TableB2!O82</f>
        <v>2.9979568595041322E-4</v>
      </c>
      <c r="G82" s="68">
        <f>TableB2!I82/TableB2!P82</f>
        <v>0</v>
      </c>
      <c r="H82" s="405">
        <f t="shared" si="3"/>
        <v>-7.1618215622087616E-2</v>
      </c>
      <c r="I82" s="231">
        <f t="shared" si="4"/>
        <v>-7.5299440941076601E-2</v>
      </c>
      <c r="J82" s="1774">
        <f t="shared" si="5"/>
        <v>0</v>
      </c>
    </row>
    <row r="83" spans="1:10" x14ac:dyDescent="0.35">
      <c r="A83" s="303" t="s">
        <v>225</v>
      </c>
      <c r="B83" s="296">
        <f>TableB2!C83/TableB2!K83</f>
        <v>5.6262646219424832E-2</v>
      </c>
      <c r="C83" s="100">
        <f>(TableB2!D83+TableB2!F83)/TableB2!L83</f>
        <v>9.3235242306475438E-2</v>
      </c>
      <c r="D83" s="68">
        <f>TableB2!E83/TableB2!M83</f>
        <v>0</v>
      </c>
      <c r="E83" s="405">
        <f>TableB2!G83/TableB2!N83</f>
        <v>7.4093739765676318E-3</v>
      </c>
      <c r="F83" s="98">
        <f>(TableB2!H83+TableB2!J83)/TableB2!O83</f>
        <v>9.5722259177044248E-3</v>
      </c>
      <c r="G83" s="68">
        <f>TableB2!I83/TableB2!P83</f>
        <v>0</v>
      </c>
      <c r="H83" s="405">
        <f t="shared" si="3"/>
        <v>-4.8853272242857203E-2</v>
      </c>
      <c r="I83" s="231">
        <f t="shared" si="4"/>
        <v>-8.3663016388771008E-2</v>
      </c>
      <c r="J83" s="1774">
        <f t="shared" si="5"/>
        <v>0</v>
      </c>
    </row>
    <row r="84" spans="1:10" x14ac:dyDescent="0.35">
      <c r="A84" s="304" t="str">
        <f>+TableA1!A84</f>
        <v>St. Kitts and Nevis</v>
      </c>
      <c r="B84" s="296">
        <f>TableB2!C84/TableB2!K84</f>
        <v>2.5423728813559325E-3</v>
      </c>
      <c r="C84" s="100">
        <f>(TableB2!D84+TableB2!F84)/TableB2!L84</f>
        <v>6.2083436001573724E-3</v>
      </c>
      <c r="D84" s="68">
        <f>TableB2!E84/TableB2!M84</f>
        <v>0</v>
      </c>
      <c r="E84" s="405">
        <f>TableB2!G84/TableB2!N84</f>
        <v>0</v>
      </c>
      <c r="F84" s="98">
        <f>(TableB2!H84+TableB2!J84)/TableB2!O84</f>
        <v>0</v>
      </c>
      <c r="G84" s="68">
        <f>TableB2!I84/TableB2!P84</f>
        <v>0</v>
      </c>
      <c r="H84" s="405">
        <f t="shared" si="3"/>
        <v>-2.5423728813559325E-3</v>
      </c>
      <c r="I84" s="231">
        <f t="shared" si="4"/>
        <v>-6.2083436001573724E-3</v>
      </c>
      <c r="J84" s="1774">
        <f t="shared" si="5"/>
        <v>0</v>
      </c>
    </row>
    <row r="85" spans="1:10" x14ac:dyDescent="0.35">
      <c r="A85" s="304" t="str">
        <f>+TableA1!A85</f>
        <v>St. Lucia</v>
      </c>
      <c r="B85" s="296">
        <f>TableB2!C85/TableB2!K85</f>
        <v>0.10481049562682215</v>
      </c>
      <c r="C85" s="100">
        <f>(TableB2!D85+TableB2!F85)/TableB2!L85</f>
        <v>1.5719399094264097</v>
      </c>
      <c r="D85" s="68">
        <f>TableB2!E85/TableB2!M85</f>
        <v>0</v>
      </c>
      <c r="E85" s="405">
        <f>TableB2!G85/TableB2!N85</f>
        <v>2.100840336134454E-2</v>
      </c>
      <c r="F85" s="98">
        <f>(TableB2!H85+TableB2!J85)/TableB2!O85</f>
        <v>0.37701667740119105</v>
      </c>
      <c r="G85" s="68">
        <f>TableB2!I85/TableB2!P85</f>
        <v>0</v>
      </c>
      <c r="H85" s="405">
        <f t="shared" si="3"/>
        <v>-8.3802092265477607E-2</v>
      </c>
      <c r="I85" s="231">
        <f t="shared" si="4"/>
        <v>-1.1949232320252188</v>
      </c>
      <c r="J85" s="1774">
        <f t="shared" si="5"/>
        <v>0</v>
      </c>
    </row>
    <row r="86" spans="1:10" x14ac:dyDescent="0.35">
      <c r="A86" s="304" t="str">
        <f>+TableA1!A86</f>
        <v>St. Vincent and the Grenadines</v>
      </c>
      <c r="B86" s="296">
        <f>TableB2!C86/TableB2!K86</f>
        <v>0.3218828657903744</v>
      </c>
      <c r="C86" s="100">
        <f>(TableB2!D86+TableB2!F86)/TableB2!L86</f>
        <v>0.39793509156848872</v>
      </c>
      <c r="D86" s="68">
        <f>TableB2!E86/TableB2!M86</f>
        <v>0</v>
      </c>
      <c r="E86" s="405">
        <f>TableB2!G86/TableB2!N86</f>
        <v>0</v>
      </c>
      <c r="F86" s="98">
        <f>(TableB2!H86+TableB2!J86)/TableB2!O86</f>
        <v>0</v>
      </c>
      <c r="G86" s="68">
        <f>TableB2!I86/TableB2!P86</f>
        <v>0</v>
      </c>
      <c r="H86" s="405">
        <f t="shared" si="3"/>
        <v>-0.3218828657903744</v>
      </c>
      <c r="I86" s="231">
        <f t="shared" si="4"/>
        <v>-0.39793509156848872</v>
      </c>
      <c r="J86" s="1774">
        <f t="shared" si="5"/>
        <v>0</v>
      </c>
    </row>
    <row r="87" spans="1:10" x14ac:dyDescent="0.35">
      <c r="A87" s="304" t="str">
        <f>+TableA1!A87</f>
        <v>Turks and Caicos</v>
      </c>
      <c r="B87" s="296">
        <f>TableB2!C87/TableB2!K87</f>
        <v>0</v>
      </c>
      <c r="C87" s="100">
        <f>(TableB2!D87+TableB2!F87)/TableB2!L87</f>
        <v>0</v>
      </c>
      <c r="D87" s="68">
        <f>TableB2!E87/TableB2!M87</f>
        <v>0</v>
      </c>
      <c r="E87" s="405">
        <f>TableB2!G87/TableB2!N87</f>
        <v>0</v>
      </c>
      <c r="F87" s="98">
        <f>(TableB2!H87+TableB2!J87)/TableB2!O87</f>
        <v>0</v>
      </c>
      <c r="G87" s="68">
        <f>TableB2!I87/TableB2!P87</f>
        <v>0</v>
      </c>
      <c r="H87" s="405">
        <f t="shared" si="3"/>
        <v>0</v>
      </c>
      <c r="I87" s="231">
        <f t="shared" si="4"/>
        <v>0</v>
      </c>
      <c r="J87" s="1774">
        <f t="shared" si="5"/>
        <v>0</v>
      </c>
    </row>
    <row r="88" spans="1:10" x14ac:dyDescent="0.35">
      <c r="A88" s="304" t="str">
        <f>+TableA1!A88</f>
        <v>Panama</v>
      </c>
      <c r="B88" s="296">
        <f>TableB2!C88/TableB2!K88</f>
        <v>0.10629722921914356</v>
      </c>
      <c r="C88" s="100">
        <f>(TableB2!D88+TableB2!F88)/TableB2!L88</f>
        <v>0.1306501547987616</v>
      </c>
      <c r="D88" s="68">
        <f>TableB2!E88/TableB2!M88</f>
        <v>0</v>
      </c>
      <c r="E88" s="405">
        <f>TableB2!G88/TableB2!N88</f>
        <v>3.5708564033699465E-2</v>
      </c>
      <c r="F88" s="98">
        <f>(TableB2!H88+TableB2!J88)/TableB2!O88</f>
        <v>4.9023621808977236E-2</v>
      </c>
      <c r="G88" s="68">
        <f>TableB2!I88/TableB2!P88</f>
        <v>0</v>
      </c>
      <c r="H88" s="405">
        <f t="shared" si="3"/>
        <v>-7.0588665185444099E-2</v>
      </c>
      <c r="I88" s="231">
        <f t="shared" si="4"/>
        <v>-8.1626532989784367E-2</v>
      </c>
      <c r="J88" s="1774">
        <f t="shared" si="5"/>
        <v>0</v>
      </c>
    </row>
    <row r="89" spans="1:10" ht="16" thickBot="1" x14ac:dyDescent="0.4">
      <c r="A89" s="1776" t="s">
        <v>290</v>
      </c>
      <c r="B89" s="1777"/>
      <c r="C89" s="1778"/>
      <c r="D89" s="1779"/>
      <c r="E89" s="1780"/>
      <c r="F89" s="1781"/>
      <c r="G89" s="1779"/>
      <c r="H89" s="1780"/>
      <c r="I89" s="1782"/>
      <c r="J89" s="1783"/>
    </row>
    <row r="90" spans="1:10" ht="16" thickBot="1" x14ac:dyDescent="0.4">
      <c r="D90" s="7"/>
      <c r="F90" s="7"/>
      <c r="G90" s="7"/>
    </row>
    <row r="91" spans="1:10" s="2" customFormat="1" x14ac:dyDescent="0.35">
      <c r="A91" s="2319" t="s">
        <v>707</v>
      </c>
      <c r="B91" s="2320"/>
      <c r="C91" s="2320"/>
      <c r="D91" s="2320"/>
      <c r="E91" s="2320"/>
      <c r="F91" s="2320"/>
      <c r="G91" s="2320"/>
      <c r="H91" s="2320"/>
      <c r="I91" s="2320"/>
      <c r="J91" s="2321"/>
    </row>
    <row r="92" spans="1:10" s="2" customFormat="1" ht="16" thickBot="1" x14ac:dyDescent="0.4">
      <c r="A92" s="2322"/>
      <c r="B92" s="2323"/>
      <c r="C92" s="2323"/>
      <c r="D92" s="2323"/>
      <c r="E92" s="2323"/>
      <c r="F92" s="2323"/>
      <c r="G92" s="2323"/>
      <c r="H92" s="2323"/>
      <c r="I92" s="2323"/>
      <c r="J92" s="2324"/>
    </row>
    <row r="93" spans="1:10" s="2" customFormat="1" x14ac:dyDescent="0.35">
      <c r="A93" s="1"/>
      <c r="B93" s="1"/>
      <c r="C93" s="1"/>
      <c r="D93" s="1"/>
      <c r="E93" s="1"/>
      <c r="F93" s="1"/>
      <c r="G93" s="1"/>
    </row>
    <row r="94" spans="1:10" s="2" customFormat="1" x14ac:dyDescent="0.35">
      <c r="A94" s="1"/>
      <c r="B94" s="1"/>
      <c r="C94" s="1"/>
      <c r="D94" s="1"/>
      <c r="E94" s="1"/>
      <c r="F94" s="1"/>
      <c r="G94" s="1"/>
    </row>
    <row r="95" spans="1:10" s="2" customFormat="1" x14ac:dyDescent="0.35">
      <c r="A95" s="1"/>
      <c r="B95" s="1"/>
      <c r="C95" s="1"/>
      <c r="D95" s="1"/>
      <c r="E95" s="1"/>
      <c r="F95" s="1"/>
      <c r="G95" s="1"/>
    </row>
    <row r="96" spans="1:10" s="2" customFormat="1" x14ac:dyDescent="0.35">
      <c r="A96" s="1"/>
      <c r="B96" s="1"/>
      <c r="C96" s="1"/>
      <c r="D96" s="1"/>
      <c r="E96" s="1"/>
      <c r="F96" s="1"/>
      <c r="G96" s="1"/>
    </row>
    <row r="98" spans="1:7" s="2" customFormat="1" x14ac:dyDescent="0.35">
      <c r="A98" s="1"/>
      <c r="B98" s="1"/>
      <c r="C98" s="1"/>
      <c r="D98" s="1"/>
      <c r="E98" s="1"/>
      <c r="F98" s="1"/>
      <c r="G98" s="1"/>
    </row>
  </sheetData>
  <mergeCells count="6">
    <mergeCell ref="A91:J92"/>
    <mergeCell ref="H8:H9"/>
    <mergeCell ref="B7:J7"/>
    <mergeCell ref="A4:J4"/>
    <mergeCell ref="B8:B9"/>
    <mergeCell ref="E8:E9"/>
  </mergeCells>
  <pageMargins left="0.7" right="0.7" top="0.75" bottom="0.75" header="0.3" footer="0.3"/>
  <pageSetup scale="47"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C252"/>
  <sheetViews>
    <sheetView workbookViewId="0">
      <pane xSplit="1" ySplit="8" topLeftCell="K44" activePane="bottomRight" state="frozen"/>
      <selection pane="topRight"/>
      <selection pane="bottomLeft"/>
      <selection pane="bottomRight" activeCell="Z55" sqref="Z55"/>
    </sheetView>
  </sheetViews>
  <sheetFormatPr baseColWidth="10" defaultColWidth="10.81640625" defaultRowHeight="12.5" x14ac:dyDescent="0.25"/>
  <cols>
    <col min="1" max="1" width="8.6328125" style="126" hidden="1" customWidth="1"/>
    <col min="2" max="4" width="12.453125" style="126" hidden="1" customWidth="1"/>
    <col min="5" max="5" width="12.81640625" style="126" hidden="1" customWidth="1"/>
    <col min="6" max="6" width="10.453125" style="126" hidden="1" customWidth="1"/>
    <col min="7" max="8" width="10.1796875" style="126" hidden="1" customWidth="1"/>
    <col min="9" max="9" width="12.453125" style="126" hidden="1" customWidth="1"/>
    <col min="10" max="10" width="9.453125" style="126" hidden="1" customWidth="1"/>
    <col min="11" max="11" width="3" style="126" customWidth="1"/>
    <col min="12" max="23" width="12.81640625" style="126" customWidth="1"/>
    <col min="24" max="24" width="3.6328125" style="126" customWidth="1"/>
    <col min="25" max="16384" width="10.81640625" style="126"/>
  </cols>
  <sheetData>
    <row r="1" spans="1:29" ht="13.5" thickBot="1" x14ac:dyDescent="0.35">
      <c r="A1" s="151"/>
      <c r="B1" s="150"/>
      <c r="C1" s="149"/>
      <c r="D1" s="149"/>
      <c r="E1" s="149"/>
      <c r="F1" s="149"/>
      <c r="G1" s="149"/>
      <c r="H1" s="149"/>
      <c r="I1" s="149"/>
      <c r="J1" s="149"/>
      <c r="K1" s="146"/>
      <c r="L1" s="146"/>
      <c r="M1" s="146"/>
    </row>
    <row r="2" spans="1:29" s="147" customFormat="1" ht="33" customHeight="1" thickTop="1" x14ac:dyDescent="0.3">
      <c r="A2" s="126"/>
      <c r="B2" s="126"/>
      <c r="C2" s="126"/>
      <c r="D2" s="126"/>
      <c r="E2" s="126"/>
      <c r="F2" s="126"/>
      <c r="G2" s="126"/>
      <c r="H2" s="126"/>
      <c r="I2" s="126"/>
      <c r="J2" s="126"/>
      <c r="K2" s="148"/>
      <c r="L2" s="2333" t="s">
        <v>190</v>
      </c>
      <c r="M2" s="2334"/>
      <c r="N2" s="2334"/>
      <c r="O2" s="2334"/>
      <c r="P2" s="2334"/>
      <c r="Q2" s="2334"/>
      <c r="R2" s="2334"/>
      <c r="S2" s="2334"/>
      <c r="T2" s="2334"/>
      <c r="U2" s="2334"/>
      <c r="V2" s="2334"/>
      <c r="W2" s="2335"/>
    </row>
    <row r="3" spans="1:29" s="147" customFormat="1" ht="14.25" customHeight="1" x14ac:dyDescent="0.3">
      <c r="A3" s="126"/>
      <c r="B3" s="126"/>
      <c r="C3" s="126"/>
      <c r="D3" s="126"/>
      <c r="E3" s="126"/>
      <c r="F3" s="126"/>
      <c r="G3" s="126"/>
      <c r="H3" s="126"/>
      <c r="I3" s="126"/>
      <c r="J3" s="126"/>
      <c r="K3" s="148"/>
      <c r="L3" s="779"/>
      <c r="M3" s="780"/>
      <c r="N3" s="780"/>
      <c r="O3" s="780"/>
      <c r="P3" s="780"/>
      <c r="Q3" s="780"/>
      <c r="R3" s="780"/>
      <c r="S3" s="780"/>
      <c r="T3" s="780"/>
      <c r="U3" s="780"/>
      <c r="V3" s="780"/>
      <c r="W3" s="781"/>
    </row>
    <row r="4" spans="1:29" x14ac:dyDescent="0.25">
      <c r="K4" s="131"/>
      <c r="L4" s="251"/>
      <c r="M4" s="250" t="s">
        <v>20</v>
      </c>
      <c r="N4" s="250" t="s">
        <v>21</v>
      </c>
      <c r="O4" s="250" t="s">
        <v>22</v>
      </c>
      <c r="P4" s="250" t="s">
        <v>23</v>
      </c>
      <c r="Q4" s="250" t="s">
        <v>24</v>
      </c>
      <c r="R4" s="250" t="s">
        <v>25</v>
      </c>
      <c r="S4" s="167" t="s">
        <v>26</v>
      </c>
      <c r="T4" s="250" t="s">
        <v>33</v>
      </c>
      <c r="U4" s="250" t="s">
        <v>34</v>
      </c>
      <c r="V4" s="250" t="s">
        <v>37</v>
      </c>
      <c r="W4" s="259" t="s">
        <v>105</v>
      </c>
      <c r="X4" s="146"/>
    </row>
    <row r="5" spans="1:29" ht="16" customHeight="1" thickBot="1" x14ac:dyDescent="0.3">
      <c r="K5" s="145"/>
      <c r="L5" s="251"/>
      <c r="M5" s="935"/>
      <c r="N5" s="2336" t="s">
        <v>186</v>
      </c>
      <c r="O5" s="2337"/>
      <c r="P5" s="2337"/>
      <c r="Q5" s="2337"/>
      <c r="R5" s="2337"/>
      <c r="S5" s="2337"/>
      <c r="T5" s="2337"/>
      <c r="U5" s="2337"/>
      <c r="V5" s="2337"/>
      <c r="W5" s="2338"/>
    </row>
    <row r="6" spans="1:29" ht="32.25" customHeight="1" x14ac:dyDescent="0.35">
      <c r="K6" s="131"/>
      <c r="L6" s="251"/>
      <c r="M6" s="2348" t="s">
        <v>258</v>
      </c>
      <c r="N6" s="2339" t="s">
        <v>108</v>
      </c>
      <c r="O6" s="2340" t="s">
        <v>257</v>
      </c>
      <c r="P6" s="2340" t="s">
        <v>187</v>
      </c>
      <c r="Q6" s="2340" t="s">
        <v>192</v>
      </c>
      <c r="R6" s="932"/>
      <c r="S6" s="932"/>
      <c r="T6" s="932"/>
      <c r="U6" s="932"/>
      <c r="V6" s="932"/>
      <c r="W6" s="2341" t="s">
        <v>193</v>
      </c>
    </row>
    <row r="7" spans="1:29" ht="25" customHeight="1" thickBot="1" x14ac:dyDescent="0.4">
      <c r="K7" s="131"/>
      <c r="L7" s="251"/>
      <c r="M7" s="2348"/>
      <c r="N7" s="2268"/>
      <c r="O7" s="2270"/>
      <c r="P7" s="2270"/>
      <c r="Q7" s="2270"/>
      <c r="R7" s="2350" t="s">
        <v>13</v>
      </c>
      <c r="S7" s="2270" t="s">
        <v>185</v>
      </c>
      <c r="T7" s="866"/>
      <c r="U7" s="866"/>
      <c r="V7" s="2277" t="s">
        <v>194</v>
      </c>
      <c r="W7" s="2272"/>
    </row>
    <row r="8" spans="1:29" ht="61" customHeight="1" thickBot="1" x14ac:dyDescent="0.3">
      <c r="K8" s="131"/>
      <c r="L8" s="252"/>
      <c r="M8" s="2349"/>
      <c r="N8" s="2269"/>
      <c r="O8" s="2271"/>
      <c r="P8" s="2271"/>
      <c r="Q8" s="2271"/>
      <c r="R8" s="2275"/>
      <c r="S8" s="2271" t="s">
        <v>185</v>
      </c>
      <c r="T8" s="867" t="s">
        <v>188</v>
      </c>
      <c r="U8" s="868" t="s">
        <v>189</v>
      </c>
      <c r="V8" s="2278"/>
      <c r="W8" s="2273"/>
    </row>
    <row r="9" spans="1:29" ht="12.75" hidden="1" customHeight="1" x14ac:dyDescent="0.25">
      <c r="K9" s="131"/>
      <c r="L9" s="135">
        <v>1970</v>
      </c>
      <c r="M9" s="783">
        <v>14</v>
      </c>
      <c r="N9" s="933">
        <v>184.61704</v>
      </c>
      <c r="O9" s="133">
        <v>159.38301000000001</v>
      </c>
      <c r="P9" s="133"/>
      <c r="Q9" s="133">
        <v>21.633673999999999</v>
      </c>
      <c r="R9" s="134">
        <v>0.86045711000000002</v>
      </c>
      <c r="S9" s="160">
        <v>13.198475999999999</v>
      </c>
      <c r="T9" s="164"/>
      <c r="U9" s="165"/>
      <c r="V9" s="132"/>
      <c r="W9" s="153">
        <v>3.6003559999999997</v>
      </c>
    </row>
    <row r="10" spans="1:29" ht="12.75" hidden="1" customHeight="1" x14ac:dyDescent="0.25">
      <c r="K10" s="131"/>
      <c r="L10" s="135">
        <f t="shared" ref="L10:L47" si="0">L9+1</f>
        <v>1971</v>
      </c>
      <c r="M10" s="783">
        <v>20</v>
      </c>
      <c r="N10" s="933">
        <v>257.50610255999999</v>
      </c>
      <c r="O10" s="133">
        <v>225.68699443000003</v>
      </c>
      <c r="P10" s="133"/>
      <c r="Q10" s="133">
        <v>25.922380647000001</v>
      </c>
      <c r="R10" s="134">
        <v>1.1980906200000001</v>
      </c>
      <c r="S10" s="160">
        <v>14.475921216000001</v>
      </c>
      <c r="T10" s="164"/>
      <c r="U10" s="165"/>
      <c r="V10" s="132"/>
      <c r="W10" s="153">
        <v>5.8967274829999479</v>
      </c>
    </row>
    <row r="11" spans="1:29" ht="12.75" hidden="1" customHeight="1" x14ac:dyDescent="0.25">
      <c r="K11" s="131"/>
      <c r="L11" s="135">
        <f t="shared" si="0"/>
        <v>1972</v>
      </c>
      <c r="M11" s="783">
        <v>23</v>
      </c>
      <c r="N11" s="933">
        <v>309.59936167999996</v>
      </c>
      <c r="O11" s="133">
        <v>268.20753964999994</v>
      </c>
      <c r="P11" s="133"/>
      <c r="Q11" s="141">
        <v>33.790628561999995</v>
      </c>
      <c r="R11" s="142">
        <v>1.41022987</v>
      </c>
      <c r="S11" s="248">
        <v>16.445797138000003</v>
      </c>
      <c r="T11" s="248"/>
      <c r="U11" s="166"/>
      <c r="V11" s="247"/>
      <c r="W11" s="159">
        <v>7.6011934680000417</v>
      </c>
    </row>
    <row r="12" spans="1:29" ht="12.75" hidden="1" customHeight="1" x14ac:dyDescent="0.25">
      <c r="K12" s="131"/>
      <c r="L12" s="135">
        <f t="shared" si="0"/>
        <v>1973</v>
      </c>
      <c r="M12" s="783">
        <v>23</v>
      </c>
      <c r="N12" s="933">
        <v>424.89523181000004</v>
      </c>
      <c r="O12" s="133">
        <v>364.33756830999999</v>
      </c>
      <c r="P12" s="133"/>
      <c r="Q12" s="141">
        <v>49.740275382</v>
      </c>
      <c r="R12" s="142">
        <v>1.5681824499999999</v>
      </c>
      <c r="S12" s="248">
        <v>25.941071351999998</v>
      </c>
      <c r="T12" s="248"/>
      <c r="U12" s="166"/>
      <c r="V12" s="247"/>
      <c r="W12" s="159">
        <v>10.817388118000025</v>
      </c>
    </row>
    <row r="13" spans="1:29" ht="12.75" hidden="1" customHeight="1" x14ac:dyDescent="0.25">
      <c r="K13" s="131"/>
      <c r="L13" s="135">
        <f t="shared" si="0"/>
        <v>1974</v>
      </c>
      <c r="M13" s="783">
        <v>37</v>
      </c>
      <c r="N13" s="933">
        <v>597.04969229999995</v>
      </c>
      <c r="O13" s="133">
        <v>519.32204029000002</v>
      </c>
      <c r="P13" s="133"/>
      <c r="Q13" s="141">
        <v>64.21533229740001</v>
      </c>
      <c r="R13" s="142">
        <v>1.4988017534</v>
      </c>
      <c r="S13" s="248">
        <v>29.040370952999996</v>
      </c>
      <c r="T13" s="248"/>
      <c r="U13" s="166"/>
      <c r="V13" s="247"/>
      <c r="W13" s="159">
        <v>13.512319712600009</v>
      </c>
    </row>
    <row r="14" spans="1:29" ht="14.5" x14ac:dyDescent="0.25">
      <c r="K14" s="131"/>
      <c r="L14" s="135">
        <f t="shared" si="0"/>
        <v>1975</v>
      </c>
      <c r="M14" s="784">
        <v>54</v>
      </c>
      <c r="N14" s="933">
        <v>898.55987483890749</v>
      </c>
      <c r="O14" s="253">
        <v>784.55356105706142</v>
      </c>
      <c r="P14" s="253"/>
      <c r="Q14" s="255">
        <v>78.415370669857197</v>
      </c>
      <c r="R14" s="142">
        <v>2.4506000000000001</v>
      </c>
      <c r="S14" s="166">
        <v>24.7424</v>
      </c>
      <c r="T14" s="248">
        <v>24.370899999999999</v>
      </c>
      <c r="U14" s="166">
        <f>+S14-T14</f>
        <v>0.37150000000000105</v>
      </c>
      <c r="V14" s="247">
        <f>+Q14-R14-S14</f>
        <v>51.222370669857199</v>
      </c>
      <c r="W14" s="246">
        <f t="shared" ref="W14:W32" si="1">N14-O14-Q14</f>
        <v>35.590943111988878</v>
      </c>
      <c r="Y14" s="127"/>
      <c r="Z14" s="129"/>
      <c r="AA14" s="129"/>
      <c r="AB14" s="129"/>
      <c r="AC14" s="129"/>
    </row>
    <row r="15" spans="1:29" ht="14.5" x14ac:dyDescent="0.25">
      <c r="K15" s="131"/>
      <c r="L15" s="135">
        <f t="shared" si="0"/>
        <v>1976</v>
      </c>
      <c r="M15" s="784">
        <v>78</v>
      </c>
      <c r="N15" s="933">
        <v>1090.8694892388357</v>
      </c>
      <c r="O15" s="253">
        <v>958.00769849788253</v>
      </c>
      <c r="P15" s="253"/>
      <c r="Q15" s="255">
        <v>86.248113980951317</v>
      </c>
      <c r="R15" s="142">
        <v>2.5333399999999999</v>
      </c>
      <c r="S15" s="166">
        <v>28.601299999999998</v>
      </c>
      <c r="T15" s="248">
        <v>28.241800000000001</v>
      </c>
      <c r="U15" s="166">
        <f t="shared" ref="U15:U54" si="2">+S15-T15</f>
        <v>0.35949999999999704</v>
      </c>
      <c r="V15" s="247">
        <f t="shared" ref="V15:V54" si="3">+Q15-R15-S15</f>
        <v>55.113473980951326</v>
      </c>
      <c r="W15" s="246">
        <f t="shared" si="1"/>
        <v>46.613676760001894</v>
      </c>
      <c r="Y15" s="127"/>
      <c r="Z15" s="129"/>
      <c r="AA15" s="129"/>
      <c r="AB15" s="129"/>
      <c r="AC15" s="129"/>
    </row>
    <row r="16" spans="1:29" ht="14.5" x14ac:dyDescent="0.25">
      <c r="K16" s="131"/>
      <c r="L16" s="135">
        <f t="shared" si="0"/>
        <v>1977</v>
      </c>
      <c r="M16" s="784">
        <v>104</v>
      </c>
      <c r="N16" s="933">
        <v>1435.1299973931707</v>
      </c>
      <c r="O16" s="253">
        <v>1263.9508755958611</v>
      </c>
      <c r="P16" s="253"/>
      <c r="Q16" s="255">
        <v>108.22494004480031</v>
      </c>
      <c r="R16" s="142">
        <v>5.0104300000000004</v>
      </c>
      <c r="S16" s="166">
        <v>29.2882</v>
      </c>
      <c r="T16" s="248">
        <v>28.880600000000001</v>
      </c>
      <c r="U16" s="166">
        <f t="shared" si="2"/>
        <v>0.40759999999999863</v>
      </c>
      <c r="V16" s="247">
        <f t="shared" si="3"/>
        <v>73.926310044800303</v>
      </c>
      <c r="W16" s="246">
        <f t="shared" si="1"/>
        <v>62.954181752509257</v>
      </c>
      <c r="Y16" s="127"/>
      <c r="Z16" s="129"/>
      <c r="AA16" s="129"/>
      <c r="AB16" s="129"/>
      <c r="AC16" s="129"/>
    </row>
    <row r="17" spans="11:29" ht="14.5" x14ac:dyDescent="0.25">
      <c r="K17" s="131"/>
      <c r="L17" s="135">
        <f t="shared" si="0"/>
        <v>1978</v>
      </c>
      <c r="M17" s="784">
        <v>110</v>
      </c>
      <c r="N17" s="933">
        <v>1694.0812714539431</v>
      </c>
      <c r="O17" s="253">
        <v>1470.4501026949793</v>
      </c>
      <c r="P17" s="253"/>
      <c r="Q17" s="255">
        <v>146.33718259874112</v>
      </c>
      <c r="R17" s="142">
        <v>7.0099099999999996</v>
      </c>
      <c r="S17" s="166">
        <v>36.620100000000001</v>
      </c>
      <c r="T17" s="248">
        <v>36.258800000000001</v>
      </c>
      <c r="U17" s="166">
        <f t="shared" si="2"/>
        <v>0.36129999999999995</v>
      </c>
      <c r="V17" s="247">
        <f t="shared" si="3"/>
        <v>102.70717259874112</v>
      </c>
      <c r="W17" s="246">
        <f t="shared" si="1"/>
        <v>77.293986160222772</v>
      </c>
      <c r="Y17" s="127"/>
      <c r="Z17" s="129"/>
      <c r="AA17" s="129"/>
      <c r="AB17" s="129"/>
      <c r="AC17" s="129"/>
    </row>
    <row r="18" spans="11:29" ht="14.5" x14ac:dyDescent="0.25">
      <c r="K18" s="131"/>
      <c r="L18" s="135">
        <f t="shared" si="0"/>
        <v>1979</v>
      </c>
      <c r="M18" s="784">
        <v>114</v>
      </c>
      <c r="N18" s="933">
        <v>2192.7641473900057</v>
      </c>
      <c r="O18" s="253">
        <v>1869.1493886613016</v>
      </c>
      <c r="P18" s="253"/>
      <c r="Q18" s="255">
        <v>224.66831954216943</v>
      </c>
      <c r="R18" s="245">
        <v>8.77407</v>
      </c>
      <c r="S18" s="243">
        <v>60.368899999999996</v>
      </c>
      <c r="T18" s="244">
        <v>59.843499999999999</v>
      </c>
      <c r="U18" s="243">
        <f t="shared" si="2"/>
        <v>0.52539999999999765</v>
      </c>
      <c r="V18" s="242">
        <f t="shared" si="3"/>
        <v>155.52534954216944</v>
      </c>
      <c r="W18" s="241">
        <f t="shared" si="1"/>
        <v>98.946439186534718</v>
      </c>
      <c r="X18" s="138"/>
      <c r="Y18" s="137"/>
      <c r="Z18" s="136"/>
      <c r="AA18" s="136"/>
      <c r="AB18" s="129"/>
      <c r="AC18" s="129"/>
    </row>
    <row r="19" spans="11:29" ht="14.5" x14ac:dyDescent="0.25">
      <c r="K19" s="131"/>
      <c r="L19" s="139">
        <f t="shared" si="0"/>
        <v>1980</v>
      </c>
      <c r="M19" s="785">
        <v>119</v>
      </c>
      <c r="N19" s="157">
        <v>2683.1741492133087</v>
      </c>
      <c r="O19" s="257">
        <v>2266.7699827959468</v>
      </c>
      <c r="P19" s="257"/>
      <c r="Q19" s="260">
        <v>299.452004654441</v>
      </c>
      <c r="R19" s="142">
        <v>10.4053</v>
      </c>
      <c r="S19" s="166">
        <v>58.498100000000001</v>
      </c>
      <c r="T19" s="248">
        <v>57.651800000000001</v>
      </c>
      <c r="U19" s="166">
        <f t="shared" si="2"/>
        <v>0.84629999999999939</v>
      </c>
      <c r="V19" s="247">
        <f t="shared" si="3"/>
        <v>230.54860465444099</v>
      </c>
      <c r="W19" s="246">
        <f t="shared" si="1"/>
        <v>116.95216176292092</v>
      </c>
      <c r="X19" s="138"/>
      <c r="Y19" s="137"/>
      <c r="Z19" s="136"/>
      <c r="AA19" s="136"/>
      <c r="AB19" s="129"/>
      <c r="AC19" s="129"/>
    </row>
    <row r="20" spans="11:29" ht="14.5" x14ac:dyDescent="0.25">
      <c r="K20" s="131"/>
      <c r="L20" s="135">
        <f t="shared" si="0"/>
        <v>1981</v>
      </c>
      <c r="M20" s="784">
        <v>122</v>
      </c>
      <c r="N20" s="933">
        <v>2790.0645727121696</v>
      </c>
      <c r="O20" s="253">
        <v>2303.6569226608158</v>
      </c>
      <c r="P20" s="253"/>
      <c r="Q20" s="255">
        <v>369.53561165732259</v>
      </c>
      <c r="R20" s="142">
        <v>9.8137299999999996</v>
      </c>
      <c r="S20" s="166">
        <v>50.964399999999998</v>
      </c>
      <c r="T20" s="248">
        <v>50.276000000000003</v>
      </c>
      <c r="U20" s="166">
        <f t="shared" si="2"/>
        <v>0.68839999999999435</v>
      </c>
      <c r="V20" s="247">
        <f t="shared" si="3"/>
        <v>308.75748165732256</v>
      </c>
      <c r="W20" s="246">
        <f t="shared" si="1"/>
        <v>116.87203839403122</v>
      </c>
      <c r="X20" s="138"/>
      <c r="Y20" s="137"/>
      <c r="Z20" s="136"/>
      <c r="AA20" s="136"/>
      <c r="AB20" s="129"/>
      <c r="AC20" s="129"/>
    </row>
    <row r="21" spans="11:29" ht="14.5" x14ac:dyDescent="0.25">
      <c r="K21" s="131"/>
      <c r="L21" s="135">
        <f t="shared" si="0"/>
        <v>1982</v>
      </c>
      <c r="M21" s="784">
        <v>126</v>
      </c>
      <c r="N21" s="933">
        <v>2679.1367074669793</v>
      </c>
      <c r="O21" s="253">
        <v>2189.3576047404727</v>
      </c>
      <c r="P21" s="253"/>
      <c r="Q21" s="255">
        <v>373.91625759692414</v>
      </c>
      <c r="R21" s="142">
        <v>10.499499999999999</v>
      </c>
      <c r="S21" s="166">
        <v>41.553400000000003</v>
      </c>
      <c r="T21" s="248">
        <v>41.250999999999998</v>
      </c>
      <c r="U21" s="166">
        <f t="shared" si="2"/>
        <v>0.30240000000000578</v>
      </c>
      <c r="V21" s="247">
        <f t="shared" si="3"/>
        <v>321.86335759692412</v>
      </c>
      <c r="W21" s="246">
        <f t="shared" si="1"/>
        <v>115.86284512958247</v>
      </c>
      <c r="X21" s="138"/>
      <c r="Y21" s="137"/>
      <c r="Z21" s="136"/>
      <c r="AA21" s="136"/>
      <c r="AB21" s="129"/>
      <c r="AC21" s="129"/>
    </row>
    <row r="22" spans="11:29" ht="14.5" x14ac:dyDescent="0.25">
      <c r="K22" s="131"/>
      <c r="L22" s="135">
        <f t="shared" si="0"/>
        <v>1983</v>
      </c>
      <c r="M22" s="784">
        <v>126</v>
      </c>
      <c r="N22" s="933">
        <v>2580.0629988500332</v>
      </c>
      <c r="O22" s="253">
        <v>2131.9608696352748</v>
      </c>
      <c r="P22" s="253"/>
      <c r="Q22" s="255">
        <v>331.51981478040778</v>
      </c>
      <c r="R22" s="142">
        <v>10.5519</v>
      </c>
      <c r="S22" s="166">
        <v>45.649700000000003</v>
      </c>
      <c r="T22" s="248">
        <v>45.175800000000002</v>
      </c>
      <c r="U22" s="166">
        <f t="shared" si="2"/>
        <v>0.47390000000000043</v>
      </c>
      <c r="V22" s="247">
        <f t="shared" si="3"/>
        <v>275.3182147804078</v>
      </c>
      <c r="W22" s="246">
        <f t="shared" si="1"/>
        <v>116.58231443435062</v>
      </c>
      <c r="X22" s="138"/>
      <c r="Y22" s="137"/>
      <c r="Z22" s="136"/>
      <c r="AA22" s="136"/>
      <c r="AB22" s="129"/>
      <c r="AC22" s="129"/>
    </row>
    <row r="23" spans="11:29" ht="14.5" x14ac:dyDescent="0.25">
      <c r="K23" s="131"/>
      <c r="L23" s="135">
        <f t="shared" si="0"/>
        <v>1984</v>
      </c>
      <c r="M23" s="784">
        <v>127</v>
      </c>
      <c r="N23" s="933">
        <v>2732.154933889381</v>
      </c>
      <c r="O23" s="253">
        <v>2245.2681179667866</v>
      </c>
      <c r="P23" s="253"/>
      <c r="Q23" s="255">
        <v>367.69291249042095</v>
      </c>
      <c r="R23" s="142">
        <v>9.8876000000000008</v>
      </c>
      <c r="S23" s="166">
        <v>54.2378</v>
      </c>
      <c r="T23" s="248">
        <v>53.752200000000002</v>
      </c>
      <c r="U23" s="166">
        <f t="shared" si="2"/>
        <v>0.48559999999999803</v>
      </c>
      <c r="V23" s="247">
        <f t="shared" si="3"/>
        <v>303.56751249042094</v>
      </c>
      <c r="W23" s="246">
        <f t="shared" si="1"/>
        <v>119.1939034321735</v>
      </c>
      <c r="X23" s="138"/>
      <c r="Y23" s="137"/>
      <c r="Z23" s="136"/>
      <c r="AA23" s="136"/>
      <c r="AB23" s="129"/>
      <c r="AC23" s="129"/>
    </row>
    <row r="24" spans="11:29" ht="14.5" x14ac:dyDescent="0.25">
      <c r="K24" s="131"/>
      <c r="L24" s="135">
        <f t="shared" si="0"/>
        <v>1985</v>
      </c>
      <c r="M24" s="784">
        <v>129</v>
      </c>
      <c r="N24" s="933">
        <v>2751.8428162255955</v>
      </c>
      <c r="O24" s="253">
        <v>2272.5873414379289</v>
      </c>
      <c r="P24" s="253"/>
      <c r="Q24" s="255">
        <v>356.65332769244191</v>
      </c>
      <c r="R24" s="142">
        <v>10.130699999999999</v>
      </c>
      <c r="S24" s="166">
        <v>51.9285</v>
      </c>
      <c r="T24" s="248">
        <v>51.476399999999998</v>
      </c>
      <c r="U24" s="166">
        <f t="shared" si="2"/>
        <v>0.4521000000000015</v>
      </c>
      <c r="V24" s="247">
        <f t="shared" si="3"/>
        <v>294.59412769244193</v>
      </c>
      <c r="W24" s="246">
        <f t="shared" si="1"/>
        <v>122.60214709522467</v>
      </c>
      <c r="X24" s="138"/>
      <c r="Y24" s="137"/>
      <c r="Z24" s="136"/>
      <c r="AA24" s="136"/>
      <c r="AB24" s="129"/>
      <c r="AC24" s="129"/>
    </row>
    <row r="25" spans="11:29" ht="14.5" x14ac:dyDescent="0.25">
      <c r="K25" s="131"/>
      <c r="L25" s="135">
        <f t="shared" si="0"/>
        <v>1986</v>
      </c>
      <c r="M25" s="784">
        <v>131</v>
      </c>
      <c r="N25" s="933">
        <v>3055.8241631232631</v>
      </c>
      <c r="O25" s="253">
        <v>2518.7051829962193</v>
      </c>
      <c r="P25" s="253"/>
      <c r="Q25" s="255">
        <v>392.35797518149184</v>
      </c>
      <c r="R25" s="142">
        <v>13.632400000000001</v>
      </c>
      <c r="S25" s="166">
        <v>62.438899999999997</v>
      </c>
      <c r="T25" s="248">
        <v>64.924400000000006</v>
      </c>
      <c r="U25" s="166">
        <f t="shared" si="2"/>
        <v>-2.4855000000000089</v>
      </c>
      <c r="V25" s="247">
        <f t="shared" si="3"/>
        <v>316.28667518149183</v>
      </c>
      <c r="W25" s="246">
        <f t="shared" si="1"/>
        <v>144.76100494555203</v>
      </c>
      <c r="X25" s="138"/>
      <c r="Y25" s="137"/>
      <c r="Z25" s="136"/>
      <c r="AA25" s="136"/>
      <c r="AB25" s="129"/>
      <c r="AC25" s="129"/>
    </row>
    <row r="26" spans="11:29" ht="14.5" x14ac:dyDescent="0.25">
      <c r="K26" s="131"/>
      <c r="L26" s="135">
        <f t="shared" si="0"/>
        <v>1987</v>
      </c>
      <c r="M26" s="784">
        <v>130</v>
      </c>
      <c r="N26" s="933">
        <v>3601.4419575787356</v>
      </c>
      <c r="O26" s="253">
        <v>2967.8427079335474</v>
      </c>
      <c r="P26" s="253"/>
      <c r="Q26" s="255">
        <v>460.66665085719728</v>
      </c>
      <c r="R26" s="142">
        <v>16.103000000000002</v>
      </c>
      <c r="S26" s="166">
        <v>81.906700000000001</v>
      </c>
      <c r="T26" s="248">
        <v>83.226699999999994</v>
      </c>
      <c r="U26" s="166">
        <f t="shared" si="2"/>
        <v>-1.3199999999999932</v>
      </c>
      <c r="V26" s="247">
        <f t="shared" si="3"/>
        <v>362.65695085719727</v>
      </c>
      <c r="W26" s="246">
        <f t="shared" si="1"/>
        <v>172.93259878799086</v>
      </c>
      <c r="X26" s="138"/>
      <c r="Y26" s="137"/>
      <c r="Z26" s="136"/>
      <c r="AA26" s="136"/>
      <c r="AB26" s="129"/>
      <c r="AC26" s="129"/>
    </row>
    <row r="27" spans="11:29" ht="14.5" x14ac:dyDescent="0.25">
      <c r="K27" s="131"/>
      <c r="L27" s="135">
        <f t="shared" si="0"/>
        <v>1988</v>
      </c>
      <c r="M27" s="784">
        <v>129</v>
      </c>
      <c r="N27" s="933">
        <v>4170.7670140537975</v>
      </c>
      <c r="O27" s="253">
        <v>3384.339133363032</v>
      </c>
      <c r="P27" s="253"/>
      <c r="Q27" s="255">
        <v>584.54230942107779</v>
      </c>
      <c r="R27" s="142">
        <v>18.043500000000002</v>
      </c>
      <c r="S27" s="166">
        <v>110.08499999999999</v>
      </c>
      <c r="T27" s="248">
        <v>109.048</v>
      </c>
      <c r="U27" s="166">
        <f t="shared" si="2"/>
        <v>1.0369999999999919</v>
      </c>
      <c r="V27" s="247">
        <f t="shared" si="3"/>
        <v>456.41380942107781</v>
      </c>
      <c r="W27" s="246">
        <f t="shared" si="1"/>
        <v>201.88557126968772</v>
      </c>
      <c r="X27" s="138"/>
      <c r="Y27" s="137"/>
      <c r="Z27" s="136"/>
      <c r="AA27" s="136"/>
      <c r="AB27" s="129"/>
      <c r="AC27" s="129"/>
    </row>
    <row r="28" spans="11:29" ht="14.5" x14ac:dyDescent="0.25">
      <c r="K28" s="131"/>
      <c r="L28" s="135">
        <f t="shared" si="0"/>
        <v>1989</v>
      </c>
      <c r="M28" s="784">
        <v>128</v>
      </c>
      <c r="N28" s="933">
        <v>4580.2171075149427</v>
      </c>
      <c r="O28" s="253">
        <v>3647.6599081205445</v>
      </c>
      <c r="P28" s="253"/>
      <c r="Q28" s="255">
        <v>717.24142169473726</v>
      </c>
      <c r="R28" s="245">
        <v>18.6402</v>
      </c>
      <c r="S28" s="243">
        <v>118.77500000000001</v>
      </c>
      <c r="T28" s="244">
        <v>115.321</v>
      </c>
      <c r="U28" s="243">
        <f t="shared" si="2"/>
        <v>3.4540000000000077</v>
      </c>
      <c r="V28" s="242">
        <f t="shared" si="3"/>
        <v>579.82622169473723</v>
      </c>
      <c r="W28" s="241">
        <f t="shared" si="1"/>
        <v>215.31577769966088</v>
      </c>
      <c r="X28" s="138"/>
      <c r="Y28" s="137"/>
      <c r="Z28" s="136"/>
      <c r="AA28" s="136"/>
      <c r="AB28" s="129"/>
      <c r="AC28" s="129"/>
    </row>
    <row r="29" spans="11:29" ht="14.5" x14ac:dyDescent="0.25">
      <c r="K29" s="131"/>
      <c r="L29" s="139">
        <f t="shared" si="0"/>
        <v>1990</v>
      </c>
      <c r="M29" s="785">
        <v>129</v>
      </c>
      <c r="N29" s="157">
        <v>5366.444767591398</v>
      </c>
      <c r="O29" s="257">
        <v>4227.0113542471072</v>
      </c>
      <c r="P29" s="257"/>
      <c r="Q29" s="260">
        <v>870.40168248156021</v>
      </c>
      <c r="R29" s="142">
        <v>21.6434</v>
      </c>
      <c r="S29" s="166">
        <v>123.19799999999999</v>
      </c>
      <c r="T29" s="248">
        <v>118.258</v>
      </c>
      <c r="U29" s="166">
        <f t="shared" si="2"/>
        <v>4.9399999999999977</v>
      </c>
      <c r="V29" s="247">
        <f t="shared" si="3"/>
        <v>725.56028248156019</v>
      </c>
      <c r="W29" s="246">
        <f t="shared" si="1"/>
        <v>269.03173086273057</v>
      </c>
      <c r="X29" s="138"/>
      <c r="Y29" s="137"/>
      <c r="Z29" s="136"/>
      <c r="AA29" s="136"/>
      <c r="AB29" s="129"/>
      <c r="AC29" s="129"/>
    </row>
    <row r="30" spans="11:29" ht="14.5" x14ac:dyDescent="0.25">
      <c r="K30" s="131"/>
      <c r="L30" s="135">
        <f t="shared" si="0"/>
        <v>1991</v>
      </c>
      <c r="M30" s="784">
        <v>127</v>
      </c>
      <c r="N30" s="933">
        <v>5561.7188620048655</v>
      </c>
      <c r="O30" s="253">
        <v>4342.264480006439</v>
      </c>
      <c r="P30" s="253"/>
      <c r="Q30" s="255">
        <v>889.72694861708271</v>
      </c>
      <c r="R30" s="142">
        <v>21.7057</v>
      </c>
      <c r="S30" s="166">
        <v>108.61499999999999</v>
      </c>
      <c r="T30" s="248">
        <v>104.553</v>
      </c>
      <c r="U30" s="166">
        <f t="shared" si="2"/>
        <v>4.0619999999999976</v>
      </c>
      <c r="V30" s="247">
        <f t="shared" si="3"/>
        <v>759.40624861708272</v>
      </c>
      <c r="W30" s="246">
        <f t="shared" si="1"/>
        <v>329.72743338134376</v>
      </c>
      <c r="X30" s="138"/>
      <c r="Y30" s="137"/>
      <c r="Z30" s="136"/>
      <c r="AA30" s="136"/>
      <c r="AB30" s="129"/>
      <c r="AC30" s="129"/>
    </row>
    <row r="31" spans="11:29" ht="14.5" x14ac:dyDescent="0.25">
      <c r="K31" s="131"/>
      <c r="L31" s="135">
        <f t="shared" si="0"/>
        <v>1992</v>
      </c>
      <c r="M31" s="784">
        <v>129</v>
      </c>
      <c r="N31" s="933">
        <v>5865.6752096917635</v>
      </c>
      <c r="O31" s="253">
        <v>4662.8478493827106</v>
      </c>
      <c r="P31" s="253"/>
      <c r="Q31" s="255">
        <v>905.28560594367775</v>
      </c>
      <c r="R31" s="142">
        <v>23.246099999999998</v>
      </c>
      <c r="S31" s="166">
        <v>108.41200000000001</v>
      </c>
      <c r="T31" s="248">
        <v>105.35599999999999</v>
      </c>
      <c r="U31" s="166">
        <f t="shared" si="2"/>
        <v>3.0560000000000116</v>
      </c>
      <c r="V31" s="247">
        <f t="shared" si="3"/>
        <v>773.62750594367776</v>
      </c>
      <c r="W31" s="246">
        <f t="shared" si="1"/>
        <v>297.54175436537514</v>
      </c>
      <c r="X31" s="138"/>
      <c r="Y31" s="137"/>
      <c r="Z31" s="136"/>
      <c r="AA31" s="136"/>
      <c r="AB31" s="129"/>
      <c r="AC31" s="129"/>
    </row>
    <row r="32" spans="11:29" ht="14.5" x14ac:dyDescent="0.25">
      <c r="K32" s="131"/>
      <c r="L32" s="135">
        <f t="shared" si="0"/>
        <v>1993</v>
      </c>
      <c r="M32" s="784">
        <v>130</v>
      </c>
      <c r="N32" s="933">
        <v>5832.2967343208029</v>
      </c>
      <c r="O32" s="253">
        <v>4640.129924619805</v>
      </c>
      <c r="P32" s="253"/>
      <c r="Q32" s="255">
        <v>908.99288142733587</v>
      </c>
      <c r="R32" s="142">
        <v>23.2714</v>
      </c>
      <c r="S32" s="166">
        <v>126.83799999999999</v>
      </c>
      <c r="T32" s="248">
        <v>123.22499999999999</v>
      </c>
      <c r="U32" s="166">
        <f t="shared" si="2"/>
        <v>3.6129999999999995</v>
      </c>
      <c r="V32" s="247">
        <f t="shared" si="3"/>
        <v>758.88348142733594</v>
      </c>
      <c r="W32" s="246">
        <f t="shared" si="1"/>
        <v>283.173928273662</v>
      </c>
      <c r="X32" s="138"/>
      <c r="Y32" s="137"/>
      <c r="Z32" s="136"/>
      <c r="AA32" s="136"/>
      <c r="AB32" s="129"/>
      <c r="AC32" s="129"/>
    </row>
    <row r="33" spans="3:29" s="138" customFormat="1" ht="14.5" x14ac:dyDescent="0.25">
      <c r="K33" s="144"/>
      <c r="L33" s="143">
        <f t="shared" si="0"/>
        <v>1994</v>
      </c>
      <c r="M33" s="786">
        <v>131</v>
      </c>
      <c r="N33" s="934">
        <v>6519.02</v>
      </c>
      <c r="O33" s="255">
        <v>5311.91</v>
      </c>
      <c r="P33" s="255"/>
      <c r="Q33" s="255">
        <v>914.12300000000005</v>
      </c>
      <c r="R33" s="142">
        <v>23.819299999999998</v>
      </c>
      <c r="S33" s="166">
        <v>160.422</v>
      </c>
      <c r="T33" s="248">
        <v>156.001</v>
      </c>
      <c r="U33" s="166">
        <f t="shared" si="2"/>
        <v>4.4209999999999923</v>
      </c>
      <c r="V33" s="247">
        <f t="shared" si="3"/>
        <v>729.88170000000002</v>
      </c>
      <c r="W33" s="159">
        <v>292.99099999999999</v>
      </c>
      <c r="Y33" s="137"/>
      <c r="Z33" s="136"/>
      <c r="AA33" s="136"/>
      <c r="AB33" s="136"/>
      <c r="AC33" s="136"/>
    </row>
    <row r="34" spans="3:29" ht="14.5" x14ac:dyDescent="0.25">
      <c r="K34" s="131"/>
      <c r="L34" s="135">
        <f t="shared" si="0"/>
        <v>1995</v>
      </c>
      <c r="M34" s="784">
        <v>130</v>
      </c>
      <c r="N34" s="933">
        <v>7745</v>
      </c>
      <c r="O34" s="253">
        <v>6328.7</v>
      </c>
      <c r="P34" s="253"/>
      <c r="Q34" s="255">
        <v>1093.54</v>
      </c>
      <c r="R34" s="142">
        <v>28.610399999999998</v>
      </c>
      <c r="S34" s="166">
        <v>193.29499999999999</v>
      </c>
      <c r="T34" s="248">
        <v>187.46299999999999</v>
      </c>
      <c r="U34" s="166">
        <f t="shared" si="2"/>
        <v>5.8319999999999936</v>
      </c>
      <c r="V34" s="247">
        <f t="shared" si="3"/>
        <v>871.63459999999998</v>
      </c>
      <c r="W34" s="159">
        <v>322.77</v>
      </c>
      <c r="X34" s="138"/>
      <c r="Y34" s="137"/>
      <c r="Z34" s="136"/>
      <c r="AA34" s="136"/>
      <c r="AB34" s="129"/>
      <c r="AC34" s="129"/>
    </row>
    <row r="35" spans="3:29" ht="14.5" x14ac:dyDescent="0.25">
      <c r="K35" s="131"/>
      <c r="L35" s="135">
        <f t="shared" si="0"/>
        <v>1996</v>
      </c>
      <c r="M35" s="784">
        <v>131</v>
      </c>
      <c r="N35" s="933">
        <v>8090.18</v>
      </c>
      <c r="O35" s="253">
        <v>6673.82</v>
      </c>
      <c r="P35" s="253"/>
      <c r="Q35" s="255">
        <v>1049.6200000000001</v>
      </c>
      <c r="R35" s="142">
        <v>28.603999999999999</v>
      </c>
      <c r="S35" s="166">
        <v>239.166</v>
      </c>
      <c r="T35" s="248">
        <v>229.49</v>
      </c>
      <c r="U35" s="166">
        <f t="shared" si="2"/>
        <v>9.6759999999999877</v>
      </c>
      <c r="V35" s="247">
        <f t="shared" si="3"/>
        <v>781.85000000000014</v>
      </c>
      <c r="W35" s="159">
        <v>366.74299999999999</v>
      </c>
      <c r="X35" s="138"/>
      <c r="Y35" s="137"/>
      <c r="Z35" s="136"/>
      <c r="AA35" s="136"/>
      <c r="AB35" s="129"/>
      <c r="AC35" s="129"/>
    </row>
    <row r="36" spans="3:29" ht="14.5" x14ac:dyDescent="0.25">
      <c r="K36" s="131"/>
      <c r="L36" s="135">
        <f t="shared" si="0"/>
        <v>1997</v>
      </c>
      <c r="M36" s="784">
        <v>137</v>
      </c>
      <c r="N36" s="933">
        <v>8388.44</v>
      </c>
      <c r="O36" s="253">
        <v>6926.87</v>
      </c>
      <c r="P36" s="253"/>
      <c r="Q36" s="255">
        <v>1107.3800000000001</v>
      </c>
      <c r="R36" s="142">
        <v>37.125900000000001</v>
      </c>
      <c r="S36" s="166">
        <v>264.93900000000002</v>
      </c>
      <c r="T36" s="248">
        <v>247.261</v>
      </c>
      <c r="U36" s="166">
        <f t="shared" si="2"/>
        <v>17.678000000000026</v>
      </c>
      <c r="V36" s="247">
        <f t="shared" si="3"/>
        <v>805.31510000000003</v>
      </c>
      <c r="W36" s="159">
        <v>354.19299999999998</v>
      </c>
      <c r="X36" s="138"/>
      <c r="Y36" s="137"/>
      <c r="Z36" s="136"/>
      <c r="AA36" s="136"/>
      <c r="AB36" s="129"/>
      <c r="AC36" s="129"/>
    </row>
    <row r="37" spans="3:29" ht="14.5" x14ac:dyDescent="0.25">
      <c r="K37" s="131"/>
      <c r="L37" s="135">
        <f t="shared" si="0"/>
        <v>1998</v>
      </c>
      <c r="M37" s="784">
        <v>140</v>
      </c>
      <c r="N37" s="933">
        <v>8419.2999999999993</v>
      </c>
      <c r="O37" s="253">
        <v>6842.27</v>
      </c>
      <c r="P37" s="253"/>
      <c r="Q37" s="255">
        <v>1207.0899999999999</v>
      </c>
      <c r="R37" s="142">
        <v>37.721699999999998</v>
      </c>
      <c r="S37" s="166">
        <v>267.77499999999998</v>
      </c>
      <c r="T37" s="248">
        <v>243.78</v>
      </c>
      <c r="U37" s="166">
        <f t="shared" si="2"/>
        <v>23.994999999999976</v>
      </c>
      <c r="V37" s="247">
        <f t="shared" si="3"/>
        <v>901.59329999999989</v>
      </c>
      <c r="W37" s="159">
        <v>369.94600000000003</v>
      </c>
      <c r="X37" s="138"/>
      <c r="Y37" s="137"/>
      <c r="Z37" s="136"/>
      <c r="AA37" s="136"/>
      <c r="AB37" s="129"/>
      <c r="AC37" s="129"/>
    </row>
    <row r="38" spans="3:29" ht="14.5" x14ac:dyDescent="0.25">
      <c r="K38" s="131"/>
      <c r="L38" s="135">
        <f t="shared" si="0"/>
        <v>1999</v>
      </c>
      <c r="M38" s="784">
        <v>142</v>
      </c>
      <c r="N38" s="933">
        <v>8715.65</v>
      </c>
      <c r="O38" s="253">
        <v>7076.27</v>
      </c>
      <c r="P38" s="253"/>
      <c r="Q38" s="255">
        <v>1259.25</v>
      </c>
      <c r="R38" s="245">
        <v>38.305399999999999</v>
      </c>
      <c r="S38" s="243">
        <v>348.495</v>
      </c>
      <c r="T38" s="244">
        <v>315.10199999999998</v>
      </c>
      <c r="U38" s="243">
        <f t="shared" si="2"/>
        <v>33.393000000000029</v>
      </c>
      <c r="V38" s="242">
        <f t="shared" si="3"/>
        <v>872.44960000000003</v>
      </c>
      <c r="W38" s="240">
        <v>380.12799999999999</v>
      </c>
      <c r="X38" s="138"/>
      <c r="Y38" s="137"/>
      <c r="Z38" s="136"/>
      <c r="AA38" s="136"/>
      <c r="AB38" s="129"/>
      <c r="AC38" s="129"/>
    </row>
    <row r="39" spans="3:29" ht="14.5" x14ac:dyDescent="0.25">
      <c r="K39" s="131"/>
      <c r="L39" s="139">
        <f t="shared" si="0"/>
        <v>2000</v>
      </c>
      <c r="M39" s="785">
        <v>142</v>
      </c>
      <c r="N39" s="157">
        <v>9666.59</v>
      </c>
      <c r="O39" s="257">
        <v>7869.88</v>
      </c>
      <c r="P39" s="257"/>
      <c r="Q39" s="260">
        <v>1431.46</v>
      </c>
      <c r="R39" s="142">
        <v>38.636299999999999</v>
      </c>
      <c r="S39" s="166">
        <v>408.93799999999999</v>
      </c>
      <c r="T39" s="248">
        <v>366.238</v>
      </c>
      <c r="U39" s="166">
        <f t="shared" si="2"/>
        <v>42.699999999999989</v>
      </c>
      <c r="V39" s="247">
        <f t="shared" si="3"/>
        <v>983.88570000000016</v>
      </c>
      <c r="W39" s="159">
        <v>365.24900000000002</v>
      </c>
      <c r="X39" s="138"/>
      <c r="Y39" s="137"/>
      <c r="Z39" s="136"/>
      <c r="AA39" s="136"/>
      <c r="AB39" s="129"/>
      <c r="AC39" s="129"/>
    </row>
    <row r="40" spans="3:29" ht="14.5" x14ac:dyDescent="0.25">
      <c r="K40" s="131"/>
      <c r="L40" s="135">
        <f t="shared" si="0"/>
        <v>2001</v>
      </c>
      <c r="M40" s="784">
        <v>143</v>
      </c>
      <c r="N40" s="933">
        <v>9335.08</v>
      </c>
      <c r="O40" s="253">
        <v>7614.77</v>
      </c>
      <c r="P40" s="253"/>
      <c r="Q40" s="255">
        <v>1331.17</v>
      </c>
      <c r="R40" s="142">
        <v>40.971299999999999</v>
      </c>
      <c r="S40" s="166">
        <v>348.05700000000002</v>
      </c>
      <c r="T40" s="248">
        <v>307.50099999999998</v>
      </c>
      <c r="U40" s="166">
        <f t="shared" si="2"/>
        <v>40.55600000000004</v>
      </c>
      <c r="V40" s="247">
        <f t="shared" si="3"/>
        <v>942.14170000000013</v>
      </c>
      <c r="W40" s="159">
        <v>389.137</v>
      </c>
      <c r="X40" s="138"/>
      <c r="Y40" s="137"/>
      <c r="Z40" s="136"/>
      <c r="AA40" s="136"/>
      <c r="AB40" s="129"/>
      <c r="AC40" s="129"/>
    </row>
    <row r="41" spans="3:29" ht="14.5" x14ac:dyDescent="0.25">
      <c r="K41" s="131"/>
      <c r="L41" s="135">
        <f t="shared" si="0"/>
        <v>2002</v>
      </c>
      <c r="M41" s="784">
        <v>153</v>
      </c>
      <c r="N41" s="933">
        <v>9747.9600000000009</v>
      </c>
      <c r="O41" s="253">
        <v>8033.43</v>
      </c>
      <c r="P41" s="253"/>
      <c r="Q41" s="255">
        <v>1278.73</v>
      </c>
      <c r="R41" s="142">
        <v>50.529400000000003</v>
      </c>
      <c r="S41" s="166">
        <v>389.75599999999997</v>
      </c>
      <c r="T41" s="248">
        <v>344.30700000000002</v>
      </c>
      <c r="U41" s="166">
        <f t="shared" si="2"/>
        <v>45.448999999999955</v>
      </c>
      <c r="V41" s="247">
        <f t="shared" si="3"/>
        <v>838.44460000000015</v>
      </c>
      <c r="W41" s="159">
        <v>435.80099999999999</v>
      </c>
      <c r="X41" s="138"/>
      <c r="Y41" s="137"/>
      <c r="Z41" s="136"/>
      <c r="AA41" s="136"/>
      <c r="AB41" s="129"/>
      <c r="AC41" s="129"/>
    </row>
    <row r="42" spans="3:29" ht="14.5" x14ac:dyDescent="0.25">
      <c r="K42" s="131"/>
      <c r="L42" s="135">
        <f t="shared" si="0"/>
        <v>2003</v>
      </c>
      <c r="M42" s="784">
        <v>156</v>
      </c>
      <c r="N42" s="933">
        <v>11366.800000000001</v>
      </c>
      <c r="O42" s="253">
        <v>9356.2900000000009</v>
      </c>
      <c r="P42" s="253"/>
      <c r="Q42" s="255">
        <v>1498.93</v>
      </c>
      <c r="R42" s="142">
        <v>63.22</v>
      </c>
      <c r="S42" s="166">
        <v>539.43600000000004</v>
      </c>
      <c r="T42" s="248">
        <v>484.46</v>
      </c>
      <c r="U42" s="166">
        <f t="shared" si="2"/>
        <v>54.976000000000056</v>
      </c>
      <c r="V42" s="247">
        <f t="shared" si="3"/>
        <v>896.274</v>
      </c>
      <c r="W42" s="159">
        <v>511.59199999999998</v>
      </c>
      <c r="X42" s="138"/>
      <c r="Y42" s="137"/>
      <c r="Z42" s="136"/>
      <c r="AA42" s="136"/>
      <c r="AB42" s="129"/>
      <c r="AC42" s="129"/>
    </row>
    <row r="43" spans="3:29" ht="14.5" x14ac:dyDescent="0.25">
      <c r="K43" s="131"/>
      <c r="L43" s="135">
        <f t="shared" si="0"/>
        <v>2004</v>
      </c>
      <c r="M43" s="784">
        <v>158</v>
      </c>
      <c r="N43" s="933">
        <v>13850.800000000001</v>
      </c>
      <c r="O43" s="253">
        <v>11354.73</v>
      </c>
      <c r="P43" s="253"/>
      <c r="Q43" s="255">
        <v>1890.57</v>
      </c>
      <c r="R43" s="142">
        <v>75.842100000000002</v>
      </c>
      <c r="S43" s="166">
        <v>821.596</v>
      </c>
      <c r="T43" s="248">
        <v>730.89800000000002</v>
      </c>
      <c r="U43" s="166">
        <f t="shared" si="2"/>
        <v>90.697999999999979</v>
      </c>
      <c r="V43" s="247">
        <f t="shared" si="3"/>
        <v>993.13189999999986</v>
      </c>
      <c r="W43" s="159">
        <v>605.52</v>
      </c>
      <c r="Y43" s="127"/>
      <c r="Z43" s="129"/>
      <c r="AA43" s="129"/>
      <c r="AB43" s="129"/>
      <c r="AC43" s="129"/>
    </row>
    <row r="44" spans="3:29" ht="14.5" x14ac:dyDescent="0.25">
      <c r="K44" s="131"/>
      <c r="L44" s="135">
        <f t="shared" si="0"/>
        <v>2005</v>
      </c>
      <c r="M44" s="784">
        <v>169</v>
      </c>
      <c r="N44" s="933">
        <v>16049.300000000001</v>
      </c>
      <c r="O44" s="253">
        <v>12924.79</v>
      </c>
      <c r="P44" s="253"/>
      <c r="Q44" s="255">
        <v>2431.75</v>
      </c>
      <c r="R44" s="142">
        <v>85.974999999999994</v>
      </c>
      <c r="S44" s="166">
        <v>1066.23</v>
      </c>
      <c r="T44" s="248">
        <v>959.62</v>
      </c>
      <c r="U44" s="166">
        <f t="shared" si="2"/>
        <v>106.61000000000001</v>
      </c>
      <c r="V44" s="247">
        <f t="shared" si="3"/>
        <v>1279.5450000000001</v>
      </c>
      <c r="W44" s="159">
        <v>692.7</v>
      </c>
      <c r="Y44" s="127"/>
      <c r="Z44" s="129"/>
      <c r="AA44" s="129"/>
      <c r="AB44" s="129"/>
      <c r="AC44" s="129"/>
    </row>
    <row r="45" spans="3:29" ht="14.5" x14ac:dyDescent="0.25">
      <c r="K45" s="131"/>
      <c r="L45" s="135">
        <f t="shared" si="0"/>
        <v>2006</v>
      </c>
      <c r="M45" s="784">
        <v>171</v>
      </c>
      <c r="N45" s="933">
        <v>18770.900000000001</v>
      </c>
      <c r="O45" s="253">
        <v>14882.01</v>
      </c>
      <c r="P45" s="253"/>
      <c r="Q45" s="255">
        <v>3128.26</v>
      </c>
      <c r="R45" s="142">
        <v>94.942700000000002</v>
      </c>
      <c r="S45" s="166">
        <v>1263.1099999999999</v>
      </c>
      <c r="T45" s="248">
        <v>1113.83</v>
      </c>
      <c r="U45" s="166">
        <f t="shared" si="2"/>
        <v>149.27999999999997</v>
      </c>
      <c r="V45" s="247">
        <f t="shared" si="3"/>
        <v>1770.2073000000003</v>
      </c>
      <c r="W45" s="159">
        <v>760.61900000000003</v>
      </c>
      <c r="Y45" s="127"/>
      <c r="Z45" s="129"/>
      <c r="AA45" s="129"/>
      <c r="AB45" s="129"/>
      <c r="AC45" s="129"/>
    </row>
    <row r="46" spans="3:29" ht="14.5" x14ac:dyDescent="0.25">
      <c r="K46" s="131"/>
      <c r="L46" s="135">
        <f t="shared" si="0"/>
        <v>2007</v>
      </c>
      <c r="M46" s="784">
        <v>172</v>
      </c>
      <c r="N46" s="933">
        <v>22217.600000000002</v>
      </c>
      <c r="O46" s="253">
        <v>17321.27</v>
      </c>
      <c r="P46" s="253"/>
      <c r="Q46" s="255">
        <v>4024.14</v>
      </c>
      <c r="R46" s="142">
        <v>113.59699999999999</v>
      </c>
      <c r="S46" s="166">
        <v>1547.83</v>
      </c>
      <c r="T46" s="248">
        <v>1351.55</v>
      </c>
      <c r="U46" s="166">
        <f t="shared" si="2"/>
        <v>196.27999999999997</v>
      </c>
      <c r="V46" s="247">
        <f t="shared" si="3"/>
        <v>2362.7129999999997</v>
      </c>
      <c r="W46" s="159">
        <v>872.20699999999999</v>
      </c>
      <c r="Y46" s="127"/>
      <c r="Z46" s="129"/>
      <c r="AA46" s="129"/>
      <c r="AB46" s="129"/>
      <c r="AC46" s="129"/>
    </row>
    <row r="47" spans="3:29" ht="14.5" x14ac:dyDescent="0.25">
      <c r="K47" s="131"/>
      <c r="L47" s="135">
        <f t="shared" si="0"/>
        <v>2008</v>
      </c>
      <c r="M47" s="784">
        <v>172</v>
      </c>
      <c r="N47" s="933">
        <v>24896</v>
      </c>
      <c r="O47" s="253">
        <v>19873.28</v>
      </c>
      <c r="P47" s="253"/>
      <c r="Q47" s="255">
        <v>4047.7200000000003</v>
      </c>
      <c r="R47" s="142">
        <v>131.601</v>
      </c>
      <c r="S47" s="166">
        <v>1423.08</v>
      </c>
      <c r="T47" s="248">
        <v>1206.2</v>
      </c>
      <c r="U47" s="166">
        <f t="shared" si="2"/>
        <v>216.87999999999988</v>
      </c>
      <c r="V47" s="247">
        <f t="shared" si="3"/>
        <v>2493.0390000000002</v>
      </c>
      <c r="W47" s="159">
        <v>974.99599999999998</v>
      </c>
      <c r="Y47" s="127"/>
      <c r="Z47" s="129"/>
      <c r="AA47" s="129"/>
      <c r="AB47" s="129"/>
      <c r="AC47" s="129"/>
    </row>
    <row r="48" spans="3:29" ht="14.5" x14ac:dyDescent="0.25">
      <c r="C48" s="127"/>
      <c r="D48" s="127"/>
      <c r="E48" s="127"/>
      <c r="F48" s="127"/>
      <c r="G48" s="127"/>
      <c r="H48" s="127"/>
      <c r="I48" s="127"/>
      <c r="J48" s="127"/>
      <c r="L48" s="140">
        <f t="shared" ref="L48:L54" si="4">L47+1</f>
        <v>2009</v>
      </c>
      <c r="M48" s="787">
        <v>174</v>
      </c>
      <c r="N48" s="249">
        <v>19697.63</v>
      </c>
      <c r="O48" s="258">
        <v>12219.204</v>
      </c>
      <c r="P48" s="258">
        <v>3535.75</v>
      </c>
      <c r="Q48" s="239">
        <v>3180.7579999999998</v>
      </c>
      <c r="R48" s="245">
        <v>126.83499999999999</v>
      </c>
      <c r="S48" s="243">
        <v>1290.5899999999999</v>
      </c>
      <c r="T48" s="244">
        <v>1122.98</v>
      </c>
      <c r="U48" s="243">
        <f t="shared" si="2"/>
        <v>167.6099999999999</v>
      </c>
      <c r="V48" s="242">
        <f>+Q48-R48-S48</f>
        <v>1763.3329999999999</v>
      </c>
      <c r="W48" s="240">
        <v>761.91800000000001</v>
      </c>
    </row>
    <row r="49" spans="3:26" ht="14.5" x14ac:dyDescent="0.25">
      <c r="C49" s="127"/>
      <c r="D49" s="127"/>
      <c r="E49" s="127"/>
      <c r="F49" s="127"/>
      <c r="G49" s="127"/>
      <c r="H49" s="127"/>
      <c r="I49" s="127"/>
      <c r="J49" s="127"/>
      <c r="L49" s="135">
        <f t="shared" si="4"/>
        <v>2010</v>
      </c>
      <c r="M49" s="784">
        <v>174</v>
      </c>
      <c r="N49" s="933">
        <v>22997.917000000001</v>
      </c>
      <c r="O49" s="253">
        <v>14896.36</v>
      </c>
      <c r="P49" s="253">
        <v>3815.2730000000001</v>
      </c>
      <c r="Q49" s="255">
        <v>3490.4050000000002</v>
      </c>
      <c r="R49" s="142">
        <v>136.54300000000001</v>
      </c>
      <c r="S49" s="166">
        <v>1656.07</v>
      </c>
      <c r="T49" s="248">
        <v>1483.29</v>
      </c>
      <c r="U49" s="166">
        <f t="shared" si="2"/>
        <v>172.77999999999997</v>
      </c>
      <c r="V49" s="247">
        <f t="shared" si="3"/>
        <v>1697.7920000000001</v>
      </c>
      <c r="W49" s="159">
        <v>795.87900000000002</v>
      </c>
    </row>
    <row r="50" spans="3:26" ht="14.5" x14ac:dyDescent="0.25">
      <c r="C50" s="127"/>
      <c r="D50" s="127"/>
      <c r="E50" s="127"/>
      <c r="F50" s="127"/>
      <c r="G50" s="127"/>
      <c r="H50" s="127"/>
      <c r="I50" s="127"/>
      <c r="J50" s="127"/>
      <c r="L50" s="135">
        <f t="shared" si="4"/>
        <v>2011</v>
      </c>
      <c r="M50" s="784">
        <v>176</v>
      </c>
      <c r="N50" s="933">
        <v>27122.772000000001</v>
      </c>
      <c r="O50" s="253">
        <v>17942.983</v>
      </c>
      <c r="P50" s="253">
        <v>4355.9449999999997</v>
      </c>
      <c r="Q50" s="255">
        <v>3921.3620000000001</v>
      </c>
      <c r="R50" s="142">
        <v>155.35499999999999</v>
      </c>
      <c r="S50" s="166">
        <v>1841.02</v>
      </c>
      <c r="T50" s="248">
        <v>1607.73</v>
      </c>
      <c r="U50" s="166">
        <f t="shared" si="2"/>
        <v>233.28999999999996</v>
      </c>
      <c r="V50" s="247">
        <f t="shared" si="3"/>
        <v>1924.9870000000001</v>
      </c>
      <c r="W50" s="159">
        <v>902.48199999999997</v>
      </c>
    </row>
    <row r="51" spans="3:26" ht="14.5" x14ac:dyDescent="0.25">
      <c r="C51" s="128"/>
      <c r="D51" s="127"/>
      <c r="E51" s="127"/>
      <c r="F51" s="127"/>
      <c r="G51" s="127"/>
      <c r="H51" s="127"/>
      <c r="I51" s="127"/>
      <c r="J51" s="127"/>
      <c r="L51" s="135">
        <f t="shared" si="4"/>
        <v>2012</v>
      </c>
      <c r="M51" s="784">
        <v>178</v>
      </c>
      <c r="N51" s="933">
        <v>27394.687000000002</v>
      </c>
      <c r="O51" s="253">
        <v>18182.382000000001</v>
      </c>
      <c r="P51" s="253">
        <v>4469.0569999999998</v>
      </c>
      <c r="Q51" s="255">
        <v>3807.2579999999998</v>
      </c>
      <c r="R51" s="142">
        <v>157.97300000000001</v>
      </c>
      <c r="S51" s="166">
        <v>1760.48</v>
      </c>
      <c r="T51" s="248">
        <v>1513.04</v>
      </c>
      <c r="U51" s="166">
        <f t="shared" si="2"/>
        <v>247.44000000000005</v>
      </c>
      <c r="V51" s="247">
        <f t="shared" si="3"/>
        <v>1888.8049999999998</v>
      </c>
      <c r="W51" s="159">
        <v>935.99</v>
      </c>
    </row>
    <row r="52" spans="3:26" ht="14.5" x14ac:dyDescent="0.25">
      <c r="C52" s="127"/>
      <c r="D52" s="127"/>
      <c r="E52" s="127"/>
      <c r="F52" s="127"/>
      <c r="G52" s="127"/>
      <c r="H52" s="127"/>
      <c r="I52" s="127"/>
      <c r="J52" s="127"/>
      <c r="L52" s="135">
        <f t="shared" si="4"/>
        <v>2013</v>
      </c>
      <c r="M52" s="784">
        <v>176</v>
      </c>
      <c r="N52" s="933">
        <v>28232.206999999999</v>
      </c>
      <c r="O52" s="253">
        <v>18587.05</v>
      </c>
      <c r="P52" s="253">
        <v>4755.6270000000004</v>
      </c>
      <c r="Q52" s="255">
        <v>3886.6959999999999</v>
      </c>
      <c r="R52" s="142">
        <v>170.69900000000001</v>
      </c>
      <c r="S52" s="166">
        <v>1840.53</v>
      </c>
      <c r="T52" s="248">
        <v>1572.21</v>
      </c>
      <c r="U52" s="166">
        <f t="shared" si="2"/>
        <v>268.31999999999994</v>
      </c>
      <c r="V52" s="247">
        <f t="shared" si="3"/>
        <v>1875.4669999999999</v>
      </c>
      <c r="W52" s="159">
        <v>1002.8339999999999</v>
      </c>
    </row>
    <row r="53" spans="3:26" ht="14.5" x14ac:dyDescent="0.25">
      <c r="C53" s="127"/>
      <c r="D53" s="127"/>
      <c r="E53" s="127"/>
      <c r="F53" s="127"/>
      <c r="G53" s="127"/>
      <c r="H53" s="127"/>
      <c r="I53" s="127"/>
      <c r="J53" s="127"/>
      <c r="L53" s="135">
        <f t="shared" si="4"/>
        <v>2014</v>
      </c>
      <c r="M53" s="784">
        <v>165</v>
      </c>
      <c r="N53" s="933">
        <v>28819.9</v>
      </c>
      <c r="O53" s="253">
        <v>18624.773000000001</v>
      </c>
      <c r="P53" s="253">
        <v>5093.8029999999999</v>
      </c>
      <c r="Q53" s="255">
        <v>4047.4250000000002</v>
      </c>
      <c r="R53" s="142">
        <v>185.79599999999999</v>
      </c>
      <c r="S53" s="166">
        <v>1907.48</v>
      </c>
      <c r="T53" s="248">
        <v>1633.82</v>
      </c>
      <c r="U53" s="166">
        <f t="shared" si="2"/>
        <v>273.66000000000008</v>
      </c>
      <c r="V53" s="247">
        <f t="shared" si="3"/>
        <v>1954.1490000000003</v>
      </c>
      <c r="W53" s="159">
        <v>1053.8989999999999</v>
      </c>
    </row>
    <row r="54" spans="3:26" ht="15" thickBot="1" x14ac:dyDescent="0.3">
      <c r="C54" s="127"/>
      <c r="D54" s="127"/>
      <c r="E54" s="127"/>
      <c r="F54" s="127"/>
      <c r="G54" s="127"/>
      <c r="H54" s="127"/>
      <c r="I54" s="127"/>
      <c r="J54" s="127"/>
      <c r="L54" s="130">
        <f t="shared" si="4"/>
        <v>2015</v>
      </c>
      <c r="M54" s="788">
        <v>155</v>
      </c>
      <c r="N54" s="238">
        <v>25675.608</v>
      </c>
      <c r="O54" s="256">
        <v>16201.614</v>
      </c>
      <c r="P54" s="256">
        <v>4833.1210000000001</v>
      </c>
      <c r="Q54" s="254">
        <v>3673.096</v>
      </c>
      <c r="R54" s="237">
        <v>175.785</v>
      </c>
      <c r="S54" s="235">
        <v>1659.53</v>
      </c>
      <c r="T54" s="236">
        <v>1415.69</v>
      </c>
      <c r="U54" s="235">
        <f t="shared" si="2"/>
        <v>243.83999999999992</v>
      </c>
      <c r="V54" s="234">
        <f t="shared" si="3"/>
        <v>1837.7810000000002</v>
      </c>
      <c r="W54" s="233">
        <v>967.77700000000004</v>
      </c>
      <c r="Y54" s="127"/>
      <c r="Z54" s="127"/>
    </row>
    <row r="55" spans="3:26" ht="13.5" thickTop="1" thickBot="1" x14ac:dyDescent="0.3">
      <c r="C55" s="127"/>
      <c r="D55" s="127"/>
      <c r="E55" s="127"/>
      <c r="F55" s="127"/>
      <c r="G55" s="127"/>
      <c r="H55" s="127"/>
      <c r="I55" s="127"/>
      <c r="J55" s="127"/>
    </row>
    <row r="56" spans="3:26" ht="15.75" customHeight="1" x14ac:dyDescent="0.25">
      <c r="C56" s="127"/>
      <c r="D56" s="127"/>
      <c r="E56" s="127"/>
      <c r="F56" s="127"/>
      <c r="G56" s="127"/>
      <c r="H56" s="127"/>
      <c r="I56" s="127"/>
      <c r="J56" s="127"/>
      <c r="L56" s="2342" t="s">
        <v>707</v>
      </c>
      <c r="M56" s="2343"/>
      <c r="N56" s="2343"/>
      <c r="O56" s="2343"/>
      <c r="P56" s="2343"/>
      <c r="Q56" s="2343"/>
      <c r="R56" s="2343"/>
      <c r="S56" s="2343"/>
      <c r="T56" s="2343"/>
      <c r="U56" s="2343"/>
      <c r="V56" s="2343"/>
      <c r="W56" s="2344"/>
    </row>
    <row r="57" spans="3:26" ht="15.75" customHeight="1" thickBot="1" x14ac:dyDescent="0.3">
      <c r="C57" s="127"/>
      <c r="D57" s="127"/>
      <c r="E57" s="127"/>
      <c r="F57" s="127"/>
      <c r="G57" s="127"/>
      <c r="H57" s="127"/>
      <c r="I57" s="127"/>
      <c r="J57" s="127"/>
      <c r="L57" s="2345"/>
      <c r="M57" s="2346"/>
      <c r="N57" s="2346"/>
      <c r="O57" s="2346"/>
      <c r="P57" s="2346"/>
      <c r="Q57" s="2346"/>
      <c r="R57" s="2346"/>
      <c r="S57" s="2346"/>
      <c r="T57" s="2346"/>
      <c r="U57" s="2346"/>
      <c r="V57" s="2346"/>
      <c r="W57" s="2347"/>
    </row>
    <row r="58" spans="3:26" x14ac:dyDescent="0.25">
      <c r="C58" s="127"/>
      <c r="D58" s="127"/>
      <c r="E58" s="127"/>
      <c r="F58" s="127"/>
      <c r="G58" s="127"/>
      <c r="H58" s="127"/>
      <c r="I58" s="127"/>
      <c r="J58" s="127"/>
    </row>
    <row r="59" spans="3:26" x14ac:dyDescent="0.25">
      <c r="C59" s="127"/>
      <c r="D59" s="127"/>
      <c r="E59" s="127"/>
      <c r="F59" s="127"/>
      <c r="G59" s="127"/>
      <c r="H59" s="127"/>
      <c r="I59" s="127"/>
      <c r="J59" s="127"/>
    </row>
    <row r="60" spans="3:26" x14ac:dyDescent="0.25">
      <c r="C60" s="127"/>
      <c r="D60" s="127"/>
      <c r="E60" s="127"/>
      <c r="F60" s="127"/>
      <c r="G60" s="127"/>
      <c r="H60" s="127"/>
      <c r="I60" s="127"/>
      <c r="J60" s="127"/>
    </row>
    <row r="61" spans="3:26" x14ac:dyDescent="0.25">
      <c r="C61" s="127"/>
      <c r="D61" s="127"/>
      <c r="E61" s="127"/>
      <c r="F61" s="127"/>
      <c r="G61" s="127"/>
      <c r="H61" s="127"/>
      <c r="I61" s="127"/>
      <c r="J61" s="127"/>
    </row>
    <row r="62" spans="3:26" x14ac:dyDescent="0.25">
      <c r="C62" s="127"/>
      <c r="D62" s="127"/>
      <c r="E62" s="127"/>
      <c r="F62" s="127"/>
      <c r="G62" s="127"/>
      <c r="H62" s="127"/>
      <c r="I62" s="127"/>
      <c r="J62" s="127"/>
    </row>
    <row r="63" spans="3:26" x14ac:dyDescent="0.25">
      <c r="C63" s="127"/>
      <c r="D63" s="127"/>
      <c r="E63" s="127"/>
      <c r="F63" s="127"/>
      <c r="G63" s="127"/>
      <c r="H63" s="127"/>
      <c r="I63" s="127"/>
      <c r="J63" s="127"/>
    </row>
    <row r="64" spans="3:26" x14ac:dyDescent="0.25">
      <c r="C64" s="127"/>
      <c r="D64" s="127"/>
      <c r="E64" s="127"/>
      <c r="F64" s="127"/>
      <c r="G64" s="127"/>
      <c r="H64" s="127"/>
      <c r="I64" s="127"/>
      <c r="J64" s="127"/>
    </row>
    <row r="65" spans="3:10" x14ac:dyDescent="0.25">
      <c r="C65" s="127"/>
      <c r="D65" s="127"/>
      <c r="E65" s="127"/>
      <c r="F65" s="127"/>
      <c r="G65" s="127"/>
      <c r="H65" s="127"/>
      <c r="I65" s="127"/>
      <c r="J65" s="127"/>
    </row>
    <row r="66" spans="3:10" x14ac:dyDescent="0.25">
      <c r="C66" s="127"/>
      <c r="D66" s="127"/>
      <c r="E66" s="127"/>
      <c r="F66" s="127"/>
      <c r="G66" s="127"/>
      <c r="H66" s="127"/>
      <c r="I66" s="127"/>
      <c r="J66" s="127"/>
    </row>
    <row r="67" spans="3:10" x14ac:dyDescent="0.25">
      <c r="C67" s="127"/>
      <c r="D67" s="127"/>
      <c r="E67" s="127"/>
      <c r="F67" s="127"/>
      <c r="G67" s="127"/>
      <c r="H67" s="127"/>
      <c r="I67" s="127"/>
      <c r="J67" s="127"/>
    </row>
    <row r="68" spans="3:10" x14ac:dyDescent="0.25">
      <c r="C68" s="127"/>
      <c r="D68" s="127"/>
      <c r="E68" s="127"/>
      <c r="F68" s="127"/>
      <c r="G68" s="127"/>
      <c r="H68" s="127"/>
      <c r="I68" s="127"/>
      <c r="J68" s="127"/>
    </row>
    <row r="69" spans="3:10" x14ac:dyDescent="0.25">
      <c r="C69" s="127"/>
      <c r="D69" s="127"/>
      <c r="E69" s="127"/>
      <c r="F69" s="127"/>
      <c r="G69" s="127"/>
      <c r="H69" s="127"/>
      <c r="I69" s="127"/>
      <c r="J69" s="127"/>
    </row>
    <row r="70" spans="3:10" x14ac:dyDescent="0.25">
      <c r="C70" s="127"/>
      <c r="D70" s="127"/>
      <c r="E70" s="127"/>
      <c r="F70" s="127"/>
      <c r="G70" s="127"/>
      <c r="H70" s="127"/>
      <c r="I70" s="127"/>
      <c r="J70" s="127"/>
    </row>
    <row r="71" spans="3:10" x14ac:dyDescent="0.25">
      <c r="C71" s="127"/>
      <c r="D71" s="127"/>
      <c r="E71" s="127"/>
      <c r="F71" s="127"/>
      <c r="G71" s="127"/>
      <c r="H71" s="127"/>
      <c r="I71" s="127"/>
      <c r="J71" s="127"/>
    </row>
    <row r="72" spans="3:10" x14ac:dyDescent="0.25">
      <c r="C72" s="127"/>
      <c r="D72" s="127"/>
      <c r="E72" s="127"/>
      <c r="F72" s="127"/>
      <c r="G72" s="127"/>
      <c r="H72" s="127"/>
      <c r="I72" s="127"/>
      <c r="J72" s="127"/>
    </row>
    <row r="73" spans="3:10" x14ac:dyDescent="0.25">
      <c r="C73" s="127"/>
      <c r="D73" s="127"/>
      <c r="E73" s="127"/>
      <c r="F73" s="127"/>
      <c r="G73" s="127"/>
      <c r="H73" s="127"/>
      <c r="I73" s="127"/>
      <c r="J73" s="127"/>
    </row>
    <row r="74" spans="3:10" x14ac:dyDescent="0.25">
      <c r="C74" s="127"/>
      <c r="D74" s="127"/>
      <c r="E74" s="127"/>
      <c r="F74" s="127"/>
      <c r="G74" s="127"/>
      <c r="H74" s="127"/>
      <c r="I74" s="127"/>
      <c r="J74" s="127"/>
    </row>
    <row r="75" spans="3:10" x14ac:dyDescent="0.25">
      <c r="C75" s="127"/>
      <c r="D75" s="127"/>
      <c r="E75" s="127"/>
      <c r="F75" s="127"/>
      <c r="G75" s="127"/>
      <c r="H75" s="127"/>
      <c r="I75" s="127"/>
      <c r="J75" s="127"/>
    </row>
    <row r="76" spans="3:10" x14ac:dyDescent="0.25">
      <c r="C76" s="127"/>
      <c r="D76" s="127"/>
      <c r="E76" s="127"/>
      <c r="F76" s="127"/>
      <c r="G76" s="127"/>
      <c r="H76" s="127"/>
      <c r="I76" s="127"/>
      <c r="J76" s="127"/>
    </row>
    <row r="77" spans="3:10" x14ac:dyDescent="0.25">
      <c r="C77" s="127"/>
      <c r="D77" s="127"/>
      <c r="E77" s="127"/>
      <c r="F77" s="127"/>
      <c r="G77" s="127"/>
      <c r="H77" s="127"/>
      <c r="I77" s="127"/>
      <c r="J77" s="127"/>
    </row>
    <row r="78" spans="3:10" x14ac:dyDescent="0.25">
      <c r="C78" s="127"/>
      <c r="D78" s="127"/>
      <c r="E78" s="127"/>
      <c r="F78" s="127"/>
      <c r="G78" s="127"/>
      <c r="H78" s="127"/>
      <c r="I78" s="127"/>
      <c r="J78" s="127"/>
    </row>
    <row r="79" spans="3:10" x14ac:dyDescent="0.25">
      <c r="C79" s="127"/>
      <c r="D79" s="127"/>
      <c r="E79" s="127"/>
      <c r="F79" s="127"/>
      <c r="G79" s="127"/>
      <c r="H79" s="127"/>
      <c r="I79" s="127"/>
      <c r="J79" s="127"/>
    </row>
    <row r="80" spans="3:10" x14ac:dyDescent="0.25">
      <c r="C80" s="127"/>
      <c r="D80" s="127"/>
      <c r="E80" s="127"/>
      <c r="F80" s="127"/>
      <c r="G80" s="127"/>
      <c r="H80" s="127"/>
      <c r="I80" s="127"/>
      <c r="J80" s="127"/>
    </row>
    <row r="81" spans="3:10" x14ac:dyDescent="0.25">
      <c r="C81" s="127"/>
      <c r="D81" s="127"/>
      <c r="E81" s="127"/>
      <c r="F81" s="127"/>
      <c r="G81" s="127"/>
      <c r="H81" s="127"/>
      <c r="I81" s="127"/>
      <c r="J81" s="127"/>
    </row>
    <row r="82" spans="3:10" x14ac:dyDescent="0.25">
      <c r="C82" s="127"/>
      <c r="D82" s="127"/>
      <c r="E82" s="127"/>
      <c r="F82" s="127"/>
      <c r="G82" s="127"/>
      <c r="H82" s="127"/>
      <c r="I82" s="127"/>
      <c r="J82" s="127"/>
    </row>
    <row r="83" spans="3:10" x14ac:dyDescent="0.25">
      <c r="C83" s="127"/>
      <c r="D83" s="127"/>
      <c r="E83" s="127"/>
      <c r="F83" s="127"/>
      <c r="G83" s="127"/>
      <c r="H83" s="127"/>
      <c r="I83" s="127"/>
      <c r="J83" s="127"/>
    </row>
    <row r="84" spans="3:10" x14ac:dyDescent="0.25">
      <c r="C84" s="127"/>
      <c r="D84" s="127"/>
      <c r="E84" s="127"/>
      <c r="F84" s="127"/>
      <c r="G84" s="127"/>
      <c r="H84" s="127"/>
      <c r="I84" s="127"/>
      <c r="J84" s="127"/>
    </row>
    <row r="85" spans="3:10" x14ac:dyDescent="0.25">
      <c r="C85" s="127"/>
      <c r="D85" s="127"/>
      <c r="E85" s="127"/>
      <c r="F85" s="127"/>
      <c r="G85" s="127"/>
      <c r="H85" s="127"/>
      <c r="I85" s="127"/>
      <c r="J85" s="127"/>
    </row>
    <row r="86" spans="3:10" x14ac:dyDescent="0.25">
      <c r="C86" s="127"/>
      <c r="D86" s="127"/>
      <c r="E86" s="127"/>
      <c r="F86" s="127"/>
      <c r="G86" s="127"/>
      <c r="H86" s="127"/>
      <c r="I86" s="127"/>
      <c r="J86" s="127"/>
    </row>
    <row r="87" spans="3:10" x14ac:dyDescent="0.25">
      <c r="C87" s="127"/>
      <c r="D87" s="127"/>
      <c r="E87" s="127"/>
      <c r="F87" s="127"/>
      <c r="G87" s="127"/>
      <c r="H87" s="127"/>
      <c r="I87" s="127"/>
      <c r="J87" s="127"/>
    </row>
    <row r="88" spans="3:10" x14ac:dyDescent="0.25">
      <c r="C88" s="127"/>
      <c r="D88" s="127"/>
      <c r="E88" s="127"/>
      <c r="F88" s="127"/>
      <c r="G88" s="127"/>
      <c r="H88" s="127"/>
      <c r="I88" s="127"/>
      <c r="J88" s="127"/>
    </row>
    <row r="89" spans="3:10" x14ac:dyDescent="0.25">
      <c r="C89" s="127"/>
      <c r="D89" s="127"/>
      <c r="E89" s="127"/>
      <c r="F89" s="127"/>
      <c r="G89" s="127"/>
      <c r="H89" s="127"/>
      <c r="I89" s="127"/>
      <c r="J89" s="127"/>
    </row>
    <row r="90" spans="3:10" x14ac:dyDescent="0.25">
      <c r="C90" s="127"/>
      <c r="D90" s="127"/>
      <c r="E90" s="127"/>
      <c r="F90" s="127"/>
      <c r="G90" s="127"/>
      <c r="H90" s="127"/>
      <c r="I90" s="127"/>
      <c r="J90" s="127"/>
    </row>
    <row r="91" spans="3:10" x14ac:dyDescent="0.25">
      <c r="C91" s="127"/>
      <c r="D91" s="127"/>
      <c r="E91" s="127"/>
      <c r="F91" s="127"/>
      <c r="G91" s="127"/>
      <c r="H91" s="127"/>
      <c r="I91" s="127"/>
      <c r="J91" s="127"/>
    </row>
    <row r="92" spans="3:10" x14ac:dyDescent="0.25">
      <c r="C92" s="127"/>
      <c r="D92" s="127"/>
      <c r="E92" s="127"/>
      <c r="F92" s="127"/>
      <c r="G92" s="127"/>
      <c r="H92" s="127"/>
      <c r="I92" s="127"/>
      <c r="J92" s="127"/>
    </row>
    <row r="93" spans="3:10" x14ac:dyDescent="0.25">
      <c r="C93" s="127"/>
      <c r="D93" s="127"/>
      <c r="E93" s="127"/>
      <c r="F93" s="127"/>
      <c r="G93" s="127"/>
      <c r="H93" s="127"/>
      <c r="I93" s="127"/>
      <c r="J93" s="127"/>
    </row>
    <row r="94" spans="3:10" x14ac:dyDescent="0.25">
      <c r="C94" s="127"/>
      <c r="D94" s="127"/>
      <c r="E94" s="127"/>
      <c r="F94" s="127"/>
      <c r="G94" s="127"/>
      <c r="H94" s="127"/>
      <c r="I94" s="127"/>
      <c r="J94" s="127"/>
    </row>
    <row r="95" spans="3:10" x14ac:dyDescent="0.25">
      <c r="C95" s="127"/>
      <c r="D95" s="127"/>
      <c r="E95" s="127"/>
      <c r="F95" s="127"/>
      <c r="G95" s="127"/>
      <c r="H95" s="127"/>
      <c r="I95" s="127"/>
      <c r="J95" s="127"/>
    </row>
    <row r="96" spans="3:10" x14ac:dyDescent="0.25">
      <c r="C96" s="127"/>
      <c r="D96" s="127"/>
      <c r="E96" s="127"/>
      <c r="F96" s="127"/>
      <c r="G96" s="127"/>
      <c r="H96" s="127"/>
      <c r="I96" s="127"/>
      <c r="J96" s="127"/>
    </row>
    <row r="97" spans="3:10" x14ac:dyDescent="0.25">
      <c r="C97" s="127"/>
      <c r="D97" s="127"/>
      <c r="E97" s="127"/>
      <c r="F97" s="127"/>
      <c r="G97" s="127"/>
      <c r="H97" s="127"/>
      <c r="I97" s="127"/>
      <c r="J97" s="127"/>
    </row>
    <row r="98" spans="3:10" x14ac:dyDescent="0.25">
      <c r="C98" s="127"/>
      <c r="D98" s="127"/>
      <c r="E98" s="127"/>
      <c r="F98" s="127"/>
      <c r="G98" s="127"/>
      <c r="H98" s="127"/>
      <c r="I98" s="127"/>
      <c r="J98" s="127"/>
    </row>
    <row r="99" spans="3:10" x14ac:dyDescent="0.25">
      <c r="C99" s="127"/>
      <c r="D99" s="127"/>
      <c r="E99" s="127"/>
      <c r="F99" s="127"/>
      <c r="G99" s="127"/>
      <c r="H99" s="127"/>
      <c r="I99" s="127"/>
      <c r="J99" s="127"/>
    </row>
    <row r="100" spans="3:10" x14ac:dyDescent="0.25">
      <c r="C100" s="127"/>
      <c r="D100" s="127"/>
      <c r="E100" s="127"/>
      <c r="F100" s="127"/>
      <c r="G100" s="127"/>
      <c r="H100" s="127"/>
      <c r="I100" s="127"/>
      <c r="J100" s="127"/>
    </row>
    <row r="101" spans="3:10" x14ac:dyDescent="0.25">
      <c r="C101" s="127"/>
      <c r="D101" s="127"/>
      <c r="E101" s="127"/>
      <c r="F101" s="127"/>
      <c r="G101" s="127"/>
      <c r="H101" s="127"/>
      <c r="I101" s="127"/>
      <c r="J101" s="127"/>
    </row>
    <row r="102" spans="3:10" x14ac:dyDescent="0.25">
      <c r="C102" s="127"/>
      <c r="D102" s="127"/>
      <c r="E102" s="127"/>
      <c r="F102" s="127"/>
      <c r="G102" s="127"/>
      <c r="H102" s="127"/>
      <c r="I102" s="127"/>
      <c r="J102" s="127"/>
    </row>
    <row r="103" spans="3:10" x14ac:dyDescent="0.25">
      <c r="C103" s="127"/>
      <c r="D103" s="127"/>
      <c r="E103" s="127"/>
      <c r="F103" s="127"/>
      <c r="G103" s="127"/>
      <c r="H103" s="127"/>
      <c r="I103" s="127"/>
      <c r="J103" s="127"/>
    </row>
    <row r="104" spans="3:10" x14ac:dyDescent="0.25">
      <c r="C104" s="127"/>
      <c r="D104" s="127"/>
      <c r="E104" s="127"/>
      <c r="F104" s="127"/>
      <c r="G104" s="127"/>
      <c r="H104" s="127"/>
      <c r="I104" s="127"/>
      <c r="J104" s="127"/>
    </row>
    <row r="105" spans="3:10" x14ac:dyDescent="0.25">
      <c r="C105" s="127"/>
      <c r="D105" s="127"/>
      <c r="E105" s="127"/>
      <c r="F105" s="127"/>
      <c r="G105" s="127"/>
      <c r="H105" s="127"/>
      <c r="I105" s="127"/>
      <c r="J105" s="127"/>
    </row>
    <row r="106" spans="3:10" x14ac:dyDescent="0.25">
      <c r="C106" s="127"/>
      <c r="D106" s="127"/>
      <c r="E106" s="127"/>
      <c r="F106" s="127"/>
      <c r="G106" s="127"/>
      <c r="H106" s="127"/>
      <c r="I106" s="127"/>
      <c r="J106" s="127"/>
    </row>
    <row r="107" spans="3:10" x14ac:dyDescent="0.25">
      <c r="C107" s="127"/>
      <c r="D107" s="127"/>
      <c r="E107" s="127"/>
      <c r="F107" s="127"/>
      <c r="G107" s="127"/>
      <c r="H107" s="127"/>
      <c r="I107" s="127"/>
      <c r="J107" s="127"/>
    </row>
    <row r="108" spans="3:10" x14ac:dyDescent="0.25">
      <c r="C108" s="127"/>
      <c r="D108" s="127"/>
      <c r="E108" s="127"/>
      <c r="F108" s="127"/>
      <c r="G108" s="127"/>
      <c r="H108" s="127"/>
      <c r="I108" s="127"/>
      <c r="J108" s="127"/>
    </row>
    <row r="109" spans="3:10" x14ac:dyDescent="0.25">
      <c r="C109" s="127"/>
      <c r="D109" s="127"/>
      <c r="E109" s="127"/>
      <c r="F109" s="127"/>
      <c r="G109" s="127"/>
      <c r="H109" s="127"/>
      <c r="I109" s="127"/>
      <c r="J109" s="127"/>
    </row>
    <row r="110" spans="3:10" x14ac:dyDescent="0.25">
      <c r="C110" s="127"/>
      <c r="D110" s="127"/>
      <c r="E110" s="127"/>
      <c r="F110" s="127"/>
      <c r="G110" s="127"/>
      <c r="H110" s="127"/>
      <c r="I110" s="127"/>
      <c r="J110" s="127"/>
    </row>
    <row r="111" spans="3:10" x14ac:dyDescent="0.25">
      <c r="C111" s="127"/>
      <c r="D111" s="127"/>
      <c r="E111" s="127"/>
      <c r="F111" s="127"/>
      <c r="G111" s="127"/>
      <c r="H111" s="127"/>
      <c r="I111" s="127"/>
      <c r="J111" s="127"/>
    </row>
    <row r="112" spans="3:10" x14ac:dyDescent="0.25">
      <c r="C112" s="127"/>
      <c r="D112" s="127"/>
      <c r="E112" s="127"/>
      <c r="F112" s="127"/>
      <c r="G112" s="127"/>
      <c r="H112" s="127"/>
      <c r="I112" s="127"/>
      <c r="J112" s="127"/>
    </row>
    <row r="113" spans="3:10" x14ac:dyDescent="0.25">
      <c r="C113" s="127"/>
      <c r="D113" s="127"/>
      <c r="E113" s="127"/>
      <c r="F113" s="127"/>
      <c r="G113" s="127"/>
      <c r="H113" s="127"/>
      <c r="I113" s="127"/>
      <c r="J113" s="127"/>
    </row>
    <row r="114" spans="3:10" x14ac:dyDescent="0.25">
      <c r="C114" s="127"/>
      <c r="D114" s="127"/>
      <c r="E114" s="127"/>
      <c r="F114" s="127"/>
      <c r="G114" s="127"/>
      <c r="H114" s="127"/>
      <c r="I114" s="127"/>
      <c r="J114" s="127"/>
    </row>
    <row r="115" spans="3:10" x14ac:dyDescent="0.25">
      <c r="C115" s="127"/>
      <c r="D115" s="127"/>
      <c r="E115" s="127"/>
      <c r="F115" s="127"/>
      <c r="G115" s="127"/>
      <c r="H115" s="127"/>
      <c r="I115" s="127"/>
      <c r="J115" s="127"/>
    </row>
    <row r="116" spans="3:10" x14ac:dyDescent="0.25">
      <c r="C116" s="127"/>
      <c r="D116" s="127"/>
      <c r="E116" s="127"/>
      <c r="F116" s="127"/>
      <c r="G116" s="127"/>
      <c r="H116" s="127"/>
      <c r="I116" s="127"/>
      <c r="J116" s="127"/>
    </row>
    <row r="117" spans="3:10" x14ac:dyDescent="0.25">
      <c r="C117" s="127"/>
      <c r="D117" s="127"/>
      <c r="E117" s="127"/>
      <c r="F117" s="127"/>
      <c r="G117" s="127"/>
      <c r="H117" s="127"/>
      <c r="I117" s="127"/>
      <c r="J117" s="127"/>
    </row>
    <row r="118" spans="3:10" x14ac:dyDescent="0.25">
      <c r="C118" s="127"/>
      <c r="D118" s="127"/>
      <c r="E118" s="127"/>
      <c r="F118" s="127"/>
      <c r="G118" s="127"/>
      <c r="H118" s="127"/>
      <c r="I118" s="127"/>
      <c r="J118" s="127"/>
    </row>
    <row r="119" spans="3:10" x14ac:dyDescent="0.25">
      <c r="C119" s="127"/>
      <c r="D119" s="127"/>
      <c r="E119" s="127"/>
      <c r="F119" s="127"/>
      <c r="G119" s="127"/>
      <c r="H119" s="127"/>
      <c r="I119" s="127"/>
      <c r="J119" s="127"/>
    </row>
    <row r="120" spans="3:10" x14ac:dyDescent="0.25">
      <c r="C120" s="127"/>
      <c r="D120" s="127"/>
      <c r="E120" s="127"/>
      <c r="F120" s="127"/>
      <c r="G120" s="127"/>
      <c r="H120" s="127"/>
      <c r="I120" s="127"/>
      <c r="J120" s="127"/>
    </row>
    <row r="121" spans="3:10" x14ac:dyDescent="0.25">
      <c r="C121" s="127"/>
      <c r="D121" s="127"/>
      <c r="E121" s="127"/>
      <c r="F121" s="127"/>
      <c r="G121" s="127"/>
      <c r="H121" s="127"/>
      <c r="I121" s="127"/>
      <c r="J121" s="127"/>
    </row>
    <row r="122" spans="3:10" x14ac:dyDescent="0.25">
      <c r="C122" s="127"/>
      <c r="D122" s="127"/>
      <c r="E122" s="127"/>
      <c r="F122" s="127"/>
      <c r="G122" s="127"/>
      <c r="H122" s="127"/>
      <c r="I122" s="127"/>
      <c r="J122" s="127"/>
    </row>
    <row r="123" spans="3:10" x14ac:dyDescent="0.25">
      <c r="C123" s="127"/>
      <c r="D123" s="127"/>
      <c r="E123" s="127"/>
      <c r="F123" s="127"/>
      <c r="G123" s="127"/>
      <c r="H123" s="127"/>
      <c r="I123" s="127"/>
      <c r="J123" s="127"/>
    </row>
    <row r="124" spans="3:10" x14ac:dyDescent="0.25">
      <c r="C124" s="127"/>
      <c r="D124" s="127"/>
      <c r="E124" s="127"/>
      <c r="F124" s="127"/>
      <c r="G124" s="127"/>
      <c r="H124" s="127"/>
      <c r="I124" s="127"/>
      <c r="J124" s="127"/>
    </row>
    <row r="125" spans="3:10" x14ac:dyDescent="0.25">
      <c r="C125" s="127"/>
      <c r="D125" s="127"/>
      <c r="E125" s="127"/>
      <c r="F125" s="127"/>
      <c r="G125" s="127"/>
      <c r="H125" s="127"/>
      <c r="I125" s="127"/>
      <c r="J125" s="127"/>
    </row>
    <row r="126" spans="3:10" x14ac:dyDescent="0.25">
      <c r="C126" s="127"/>
      <c r="D126" s="127"/>
      <c r="E126" s="127"/>
      <c r="F126" s="127"/>
      <c r="G126" s="127"/>
      <c r="H126" s="127"/>
      <c r="I126" s="127"/>
      <c r="J126" s="127"/>
    </row>
    <row r="127" spans="3:10" x14ac:dyDescent="0.25">
      <c r="C127" s="127"/>
      <c r="D127" s="127"/>
      <c r="E127" s="127"/>
      <c r="F127" s="127"/>
      <c r="G127" s="127"/>
      <c r="H127" s="127"/>
      <c r="I127" s="127"/>
      <c r="J127" s="127"/>
    </row>
    <row r="128" spans="3:10" x14ac:dyDescent="0.25">
      <c r="C128" s="127"/>
      <c r="D128" s="127"/>
      <c r="E128" s="127"/>
      <c r="F128" s="127"/>
      <c r="G128" s="127"/>
      <c r="H128" s="127"/>
      <c r="I128" s="127"/>
      <c r="J128" s="127"/>
    </row>
    <row r="129" spans="3:10" x14ac:dyDescent="0.25">
      <c r="C129" s="127"/>
      <c r="D129" s="127"/>
      <c r="E129" s="127"/>
      <c r="F129" s="127"/>
      <c r="G129" s="127"/>
      <c r="H129" s="127"/>
      <c r="I129" s="127"/>
      <c r="J129" s="127"/>
    </row>
    <row r="130" spans="3:10" x14ac:dyDescent="0.25">
      <c r="C130" s="127"/>
      <c r="D130" s="127"/>
      <c r="E130" s="127"/>
      <c r="F130" s="127"/>
      <c r="G130" s="127"/>
      <c r="H130" s="127"/>
      <c r="I130" s="127"/>
      <c r="J130" s="127"/>
    </row>
    <row r="131" spans="3:10" x14ac:dyDescent="0.25">
      <c r="C131" s="127"/>
      <c r="D131" s="127"/>
      <c r="E131" s="127"/>
      <c r="F131" s="127"/>
      <c r="G131" s="127"/>
      <c r="H131" s="127"/>
      <c r="I131" s="127"/>
      <c r="J131" s="127"/>
    </row>
    <row r="132" spans="3:10" x14ac:dyDescent="0.25">
      <c r="C132" s="127"/>
      <c r="D132" s="127"/>
      <c r="E132" s="127"/>
      <c r="F132" s="127"/>
      <c r="G132" s="127"/>
      <c r="H132" s="127"/>
      <c r="I132" s="127"/>
      <c r="J132" s="127"/>
    </row>
    <row r="133" spans="3:10" x14ac:dyDescent="0.25">
      <c r="C133" s="127"/>
      <c r="D133" s="127"/>
      <c r="E133" s="127"/>
      <c r="F133" s="127"/>
      <c r="G133" s="127"/>
      <c r="H133" s="127"/>
      <c r="I133" s="127"/>
      <c r="J133" s="127"/>
    </row>
    <row r="134" spans="3:10" x14ac:dyDescent="0.25">
      <c r="C134" s="127"/>
      <c r="D134" s="127"/>
      <c r="E134" s="127"/>
      <c r="F134" s="127"/>
      <c r="G134" s="127"/>
      <c r="H134" s="127"/>
      <c r="I134" s="127"/>
      <c r="J134" s="127"/>
    </row>
    <row r="135" spans="3:10" x14ac:dyDescent="0.25">
      <c r="C135" s="127"/>
      <c r="D135" s="127"/>
      <c r="E135" s="127"/>
      <c r="F135" s="127"/>
      <c r="G135" s="127"/>
      <c r="H135" s="127"/>
      <c r="I135" s="127"/>
      <c r="J135" s="127"/>
    </row>
    <row r="136" spans="3:10" x14ac:dyDescent="0.25">
      <c r="C136" s="127"/>
      <c r="D136" s="127"/>
      <c r="E136" s="127"/>
      <c r="F136" s="127"/>
      <c r="G136" s="127"/>
      <c r="H136" s="127"/>
      <c r="I136" s="127"/>
      <c r="J136" s="127"/>
    </row>
    <row r="137" spans="3:10" x14ac:dyDescent="0.25">
      <c r="C137" s="127"/>
      <c r="D137" s="127"/>
      <c r="E137" s="127"/>
      <c r="F137" s="127"/>
      <c r="G137" s="127"/>
      <c r="H137" s="127"/>
      <c r="I137" s="127"/>
      <c r="J137" s="127"/>
    </row>
    <row r="138" spans="3:10" x14ac:dyDescent="0.25">
      <c r="C138" s="127"/>
      <c r="D138" s="127"/>
      <c r="E138" s="127"/>
      <c r="F138" s="127"/>
      <c r="G138" s="127"/>
      <c r="H138" s="127"/>
      <c r="I138" s="127"/>
      <c r="J138" s="127"/>
    </row>
    <row r="139" spans="3:10" x14ac:dyDescent="0.25">
      <c r="C139" s="127"/>
      <c r="D139" s="127"/>
      <c r="E139" s="127"/>
      <c r="F139" s="127"/>
      <c r="G139" s="127"/>
      <c r="H139" s="127"/>
      <c r="I139" s="127"/>
      <c r="J139" s="127"/>
    </row>
    <row r="140" spans="3:10" x14ac:dyDescent="0.25">
      <c r="C140" s="127"/>
      <c r="D140" s="127"/>
      <c r="E140" s="127"/>
      <c r="F140" s="127"/>
      <c r="G140" s="127"/>
      <c r="H140" s="127"/>
      <c r="I140" s="127"/>
      <c r="J140" s="127"/>
    </row>
    <row r="141" spans="3:10" x14ac:dyDescent="0.25">
      <c r="C141" s="127"/>
      <c r="D141" s="127"/>
      <c r="E141" s="127"/>
      <c r="F141" s="127"/>
      <c r="G141" s="127"/>
      <c r="H141" s="127"/>
      <c r="I141" s="127"/>
      <c r="J141" s="127"/>
    </row>
    <row r="142" spans="3:10" x14ac:dyDescent="0.25">
      <c r="C142" s="127"/>
      <c r="D142" s="127"/>
      <c r="E142" s="127"/>
      <c r="F142" s="127"/>
      <c r="G142" s="127"/>
      <c r="H142" s="127"/>
      <c r="I142" s="127"/>
      <c r="J142" s="127"/>
    </row>
    <row r="143" spans="3:10" x14ac:dyDescent="0.25">
      <c r="C143" s="127"/>
      <c r="D143" s="127"/>
      <c r="E143" s="127"/>
      <c r="F143" s="127"/>
      <c r="G143" s="127"/>
      <c r="H143" s="127"/>
      <c r="I143" s="127"/>
      <c r="J143" s="127"/>
    </row>
    <row r="144" spans="3:10" x14ac:dyDescent="0.25">
      <c r="C144" s="127"/>
      <c r="D144" s="127"/>
      <c r="E144" s="127"/>
      <c r="F144" s="127"/>
      <c r="G144" s="127"/>
      <c r="H144" s="127"/>
      <c r="I144" s="127"/>
      <c r="J144" s="127"/>
    </row>
    <row r="145" spans="3:10" x14ac:dyDescent="0.25">
      <c r="C145" s="127"/>
      <c r="D145" s="127"/>
      <c r="E145" s="127"/>
      <c r="F145" s="127"/>
      <c r="G145" s="127"/>
      <c r="H145" s="127"/>
      <c r="I145" s="127"/>
      <c r="J145" s="127"/>
    </row>
    <row r="146" spans="3:10" x14ac:dyDescent="0.25">
      <c r="C146" s="127"/>
      <c r="D146" s="127"/>
      <c r="E146" s="127"/>
      <c r="F146" s="127"/>
      <c r="G146" s="127"/>
      <c r="H146" s="127"/>
      <c r="I146" s="127"/>
      <c r="J146" s="127"/>
    </row>
    <row r="147" spans="3:10" x14ac:dyDescent="0.25">
      <c r="C147" s="127"/>
      <c r="D147" s="127"/>
      <c r="E147" s="127"/>
      <c r="F147" s="127"/>
      <c r="G147" s="127"/>
      <c r="H147" s="127"/>
      <c r="I147" s="127"/>
      <c r="J147" s="127"/>
    </row>
    <row r="148" spans="3:10" x14ac:dyDescent="0.25">
      <c r="C148" s="127"/>
      <c r="D148" s="127"/>
      <c r="E148" s="127"/>
      <c r="F148" s="127"/>
      <c r="G148" s="127"/>
      <c r="H148" s="127"/>
      <c r="I148" s="127"/>
      <c r="J148" s="127"/>
    </row>
    <row r="149" spans="3:10" x14ac:dyDescent="0.25">
      <c r="C149" s="127"/>
      <c r="D149" s="127"/>
      <c r="E149" s="127"/>
      <c r="F149" s="127"/>
      <c r="G149" s="127"/>
      <c r="H149" s="127"/>
      <c r="I149" s="127"/>
      <c r="J149" s="127"/>
    </row>
    <row r="150" spans="3:10" x14ac:dyDescent="0.25">
      <c r="C150" s="127"/>
      <c r="D150" s="127"/>
      <c r="E150" s="127"/>
      <c r="F150" s="127"/>
      <c r="G150" s="127"/>
      <c r="H150" s="127"/>
      <c r="I150" s="127"/>
      <c r="J150" s="127"/>
    </row>
    <row r="151" spans="3:10" x14ac:dyDescent="0.25">
      <c r="C151" s="127"/>
      <c r="D151" s="127"/>
      <c r="E151" s="127"/>
      <c r="F151" s="127"/>
      <c r="G151" s="127"/>
      <c r="H151" s="127"/>
      <c r="I151" s="127"/>
      <c r="J151" s="127"/>
    </row>
    <row r="152" spans="3:10" x14ac:dyDescent="0.25">
      <c r="C152" s="127"/>
      <c r="D152" s="127"/>
      <c r="E152" s="127"/>
      <c r="F152" s="127"/>
      <c r="G152" s="127"/>
      <c r="H152" s="127"/>
      <c r="I152" s="127"/>
      <c r="J152" s="127"/>
    </row>
    <row r="153" spans="3:10" x14ac:dyDescent="0.25">
      <c r="C153" s="127"/>
      <c r="D153" s="127"/>
      <c r="E153" s="127"/>
      <c r="F153" s="127"/>
      <c r="G153" s="127"/>
      <c r="H153" s="127"/>
      <c r="I153" s="127"/>
      <c r="J153" s="127"/>
    </row>
    <row r="154" spans="3:10" x14ac:dyDescent="0.25">
      <c r="C154" s="127"/>
      <c r="D154" s="127"/>
      <c r="E154" s="127"/>
      <c r="F154" s="127"/>
      <c r="G154" s="127"/>
      <c r="H154" s="127"/>
      <c r="I154" s="127"/>
      <c r="J154" s="127"/>
    </row>
    <row r="155" spans="3:10" x14ac:dyDescent="0.25">
      <c r="C155" s="127"/>
      <c r="D155" s="127"/>
      <c r="E155" s="127"/>
      <c r="F155" s="127"/>
      <c r="G155" s="127"/>
      <c r="H155" s="127"/>
      <c r="I155" s="127"/>
      <c r="J155" s="127"/>
    </row>
    <row r="156" spans="3:10" x14ac:dyDescent="0.25">
      <c r="C156" s="127"/>
      <c r="D156" s="127"/>
      <c r="E156" s="127"/>
      <c r="F156" s="127"/>
      <c r="G156" s="127"/>
      <c r="H156" s="127"/>
      <c r="I156" s="127"/>
      <c r="J156" s="127"/>
    </row>
    <row r="157" spans="3:10" x14ac:dyDescent="0.25">
      <c r="C157" s="127"/>
      <c r="D157" s="127"/>
      <c r="E157" s="127"/>
      <c r="F157" s="127"/>
      <c r="G157" s="127"/>
      <c r="H157" s="127"/>
      <c r="I157" s="127"/>
      <c r="J157" s="127"/>
    </row>
    <row r="158" spans="3:10" x14ac:dyDescent="0.25">
      <c r="C158" s="127"/>
      <c r="D158" s="127"/>
      <c r="E158" s="127"/>
      <c r="F158" s="127"/>
      <c r="G158" s="127"/>
      <c r="H158" s="127"/>
      <c r="I158" s="127"/>
      <c r="J158" s="127"/>
    </row>
    <row r="159" spans="3:10" x14ac:dyDescent="0.25">
      <c r="C159" s="127"/>
      <c r="D159" s="127"/>
      <c r="E159" s="127"/>
      <c r="F159" s="127"/>
      <c r="G159" s="127"/>
      <c r="H159" s="127"/>
      <c r="I159" s="127"/>
      <c r="J159" s="127"/>
    </row>
    <row r="160" spans="3:10" x14ac:dyDescent="0.25">
      <c r="C160" s="127"/>
      <c r="D160" s="127"/>
      <c r="E160" s="127"/>
      <c r="F160" s="127"/>
      <c r="G160" s="127"/>
      <c r="H160" s="127"/>
      <c r="I160" s="127"/>
      <c r="J160" s="127"/>
    </row>
    <row r="161" spans="3:10" x14ac:dyDescent="0.25">
      <c r="C161" s="127"/>
      <c r="D161" s="127"/>
      <c r="E161" s="127"/>
      <c r="F161" s="127"/>
      <c r="G161" s="127"/>
      <c r="H161" s="127"/>
      <c r="I161" s="127"/>
      <c r="J161" s="127"/>
    </row>
    <row r="162" spans="3:10" x14ac:dyDescent="0.25">
      <c r="C162" s="127"/>
      <c r="D162" s="127"/>
      <c r="E162" s="127"/>
      <c r="F162" s="127"/>
      <c r="G162" s="127"/>
      <c r="H162" s="127"/>
      <c r="I162" s="127"/>
      <c r="J162" s="127"/>
    </row>
    <row r="163" spans="3:10" x14ac:dyDescent="0.25">
      <c r="C163" s="127"/>
      <c r="D163" s="127"/>
      <c r="E163" s="127"/>
      <c r="F163" s="127"/>
      <c r="G163" s="127"/>
      <c r="H163" s="127"/>
      <c r="I163" s="127"/>
      <c r="J163" s="127"/>
    </row>
    <row r="164" spans="3:10" x14ac:dyDescent="0.25">
      <c r="C164" s="127"/>
      <c r="D164" s="127"/>
      <c r="E164" s="127"/>
      <c r="F164" s="127"/>
      <c r="G164" s="127"/>
      <c r="H164" s="127"/>
      <c r="I164" s="127"/>
      <c r="J164" s="127"/>
    </row>
    <row r="165" spans="3:10" x14ac:dyDescent="0.25">
      <c r="C165" s="127"/>
      <c r="D165" s="127"/>
      <c r="E165" s="127"/>
      <c r="F165" s="127"/>
      <c r="G165" s="127"/>
      <c r="H165" s="127"/>
      <c r="I165" s="127"/>
      <c r="J165" s="127"/>
    </row>
    <row r="166" spans="3:10" x14ac:dyDescent="0.25">
      <c r="C166" s="127"/>
      <c r="D166" s="127"/>
      <c r="E166" s="127"/>
      <c r="F166" s="127"/>
      <c r="G166" s="127"/>
      <c r="H166" s="127"/>
      <c r="I166" s="127"/>
      <c r="J166" s="127"/>
    </row>
    <row r="167" spans="3:10" x14ac:dyDescent="0.25">
      <c r="C167" s="127"/>
      <c r="D167" s="127"/>
      <c r="E167" s="127"/>
      <c r="F167" s="127"/>
      <c r="G167" s="127"/>
      <c r="H167" s="127"/>
      <c r="I167" s="127"/>
      <c r="J167" s="127"/>
    </row>
    <row r="168" spans="3:10" x14ac:dyDescent="0.25">
      <c r="C168" s="127"/>
      <c r="D168" s="127"/>
      <c r="E168" s="127"/>
      <c r="F168" s="127"/>
      <c r="G168" s="127"/>
      <c r="H168" s="127"/>
      <c r="I168" s="127"/>
      <c r="J168" s="127"/>
    </row>
    <row r="169" spans="3:10" x14ac:dyDescent="0.25">
      <c r="C169" s="127"/>
      <c r="D169" s="127"/>
      <c r="E169" s="127"/>
      <c r="F169" s="127"/>
      <c r="G169" s="127"/>
      <c r="H169" s="127"/>
      <c r="I169" s="127"/>
      <c r="J169" s="127"/>
    </row>
    <row r="170" spans="3:10" x14ac:dyDescent="0.25">
      <c r="C170" s="127"/>
      <c r="D170" s="127"/>
      <c r="E170" s="127"/>
      <c r="F170" s="127"/>
      <c r="G170" s="127"/>
      <c r="H170" s="127"/>
      <c r="I170" s="127"/>
      <c r="J170" s="127"/>
    </row>
    <row r="171" spans="3:10" x14ac:dyDescent="0.25">
      <c r="C171" s="127"/>
      <c r="D171" s="127"/>
      <c r="E171" s="127"/>
      <c r="F171" s="127"/>
      <c r="G171" s="127"/>
      <c r="H171" s="127"/>
      <c r="I171" s="127"/>
      <c r="J171" s="127"/>
    </row>
    <row r="172" spans="3:10" x14ac:dyDescent="0.25">
      <c r="C172" s="127"/>
      <c r="D172" s="127"/>
      <c r="E172" s="127"/>
      <c r="F172" s="127"/>
      <c r="G172" s="127"/>
      <c r="H172" s="127"/>
      <c r="I172" s="127"/>
      <c r="J172" s="127"/>
    </row>
    <row r="173" spans="3:10" x14ac:dyDescent="0.25">
      <c r="C173" s="127"/>
      <c r="D173" s="127"/>
      <c r="E173" s="127"/>
      <c r="F173" s="127"/>
      <c r="G173" s="127"/>
      <c r="H173" s="127"/>
      <c r="I173" s="127"/>
      <c r="J173" s="127"/>
    </row>
    <row r="174" spans="3:10" x14ac:dyDescent="0.25">
      <c r="C174" s="127"/>
      <c r="D174" s="127"/>
      <c r="E174" s="127"/>
      <c r="F174" s="127"/>
      <c r="G174" s="127"/>
      <c r="H174" s="127"/>
      <c r="I174" s="127"/>
      <c r="J174" s="127"/>
    </row>
    <row r="175" spans="3:10" x14ac:dyDescent="0.25">
      <c r="C175" s="127"/>
      <c r="D175" s="127"/>
      <c r="E175" s="127"/>
      <c r="F175" s="127"/>
      <c r="G175" s="127"/>
      <c r="H175" s="127"/>
      <c r="I175" s="127"/>
      <c r="J175" s="127"/>
    </row>
    <row r="176" spans="3:10" x14ac:dyDescent="0.25">
      <c r="C176" s="127"/>
      <c r="D176" s="127"/>
      <c r="E176" s="127"/>
      <c r="F176" s="127"/>
      <c r="G176" s="127"/>
      <c r="H176" s="127"/>
      <c r="I176" s="127"/>
      <c r="J176" s="127"/>
    </row>
    <row r="177" spans="3:10" x14ac:dyDescent="0.25">
      <c r="C177" s="127"/>
      <c r="D177" s="127"/>
      <c r="E177" s="127"/>
      <c r="F177" s="127"/>
      <c r="G177" s="127"/>
      <c r="H177" s="127"/>
      <c r="I177" s="127"/>
      <c r="J177" s="127"/>
    </row>
    <row r="178" spans="3:10" x14ac:dyDescent="0.25">
      <c r="C178" s="127"/>
      <c r="D178" s="127"/>
      <c r="E178" s="127"/>
      <c r="F178" s="127"/>
      <c r="G178" s="127"/>
      <c r="H178" s="127"/>
      <c r="I178" s="127"/>
      <c r="J178" s="127"/>
    </row>
    <row r="179" spans="3:10" x14ac:dyDescent="0.25">
      <c r="C179" s="127"/>
      <c r="D179" s="127"/>
      <c r="E179" s="127"/>
      <c r="F179" s="127"/>
      <c r="G179" s="127"/>
      <c r="H179" s="127"/>
      <c r="I179" s="127"/>
      <c r="J179" s="127"/>
    </row>
    <row r="180" spans="3:10" x14ac:dyDescent="0.25">
      <c r="C180" s="127"/>
      <c r="D180" s="127"/>
      <c r="E180" s="127"/>
      <c r="F180" s="127"/>
      <c r="G180" s="127"/>
      <c r="H180" s="127"/>
      <c r="I180" s="127"/>
      <c r="J180" s="127"/>
    </row>
    <row r="181" spans="3:10" x14ac:dyDescent="0.25">
      <c r="C181" s="127"/>
      <c r="D181" s="127"/>
      <c r="E181" s="127"/>
      <c r="F181" s="127"/>
      <c r="G181" s="127"/>
      <c r="H181" s="127"/>
      <c r="I181" s="127"/>
      <c r="J181" s="127"/>
    </row>
    <row r="182" spans="3:10" x14ac:dyDescent="0.25">
      <c r="C182" s="127"/>
      <c r="D182" s="127"/>
      <c r="E182" s="127"/>
      <c r="F182" s="127"/>
      <c r="G182" s="127"/>
      <c r="H182" s="127"/>
      <c r="I182" s="127"/>
      <c r="J182" s="127"/>
    </row>
    <row r="183" spans="3:10" x14ac:dyDescent="0.25">
      <c r="C183" s="127"/>
      <c r="D183" s="127"/>
      <c r="E183" s="127"/>
      <c r="F183" s="127"/>
      <c r="G183" s="127"/>
      <c r="H183" s="127"/>
      <c r="I183" s="127"/>
      <c r="J183" s="127"/>
    </row>
    <row r="184" spans="3:10" x14ac:dyDescent="0.25">
      <c r="C184" s="127"/>
      <c r="D184" s="127"/>
      <c r="E184" s="127"/>
      <c r="F184" s="127"/>
      <c r="G184" s="127"/>
      <c r="H184" s="127"/>
      <c r="I184" s="127"/>
      <c r="J184" s="127"/>
    </row>
    <row r="185" spans="3:10" x14ac:dyDescent="0.25">
      <c r="C185" s="127"/>
      <c r="D185" s="127"/>
      <c r="E185" s="127"/>
      <c r="F185" s="127"/>
      <c r="G185" s="127"/>
      <c r="H185" s="127"/>
      <c r="I185" s="127"/>
      <c r="J185" s="127"/>
    </row>
    <row r="186" spans="3:10" x14ac:dyDescent="0.25">
      <c r="C186" s="127"/>
      <c r="D186" s="127"/>
      <c r="E186" s="127"/>
      <c r="F186" s="127"/>
      <c r="G186" s="127"/>
      <c r="H186" s="127"/>
      <c r="I186" s="127"/>
      <c r="J186" s="127"/>
    </row>
    <row r="187" spans="3:10" x14ac:dyDescent="0.25">
      <c r="C187" s="127"/>
      <c r="D187" s="127"/>
      <c r="E187" s="127"/>
      <c r="F187" s="127"/>
      <c r="G187" s="127"/>
      <c r="H187" s="127"/>
      <c r="I187" s="127"/>
      <c r="J187" s="127"/>
    </row>
    <row r="188" spans="3:10" x14ac:dyDescent="0.25">
      <c r="C188" s="127"/>
      <c r="D188" s="127"/>
      <c r="E188" s="127"/>
      <c r="F188" s="127"/>
      <c r="G188" s="127"/>
      <c r="H188" s="127"/>
      <c r="I188" s="127"/>
      <c r="J188" s="127"/>
    </row>
    <row r="189" spans="3:10" x14ac:dyDescent="0.25">
      <c r="C189" s="127"/>
      <c r="D189" s="127"/>
      <c r="E189" s="127"/>
      <c r="F189" s="127"/>
      <c r="G189" s="127"/>
      <c r="H189" s="127"/>
      <c r="I189" s="127"/>
      <c r="J189" s="127"/>
    </row>
    <row r="190" spans="3:10" x14ac:dyDescent="0.25">
      <c r="C190" s="127"/>
      <c r="D190" s="127"/>
      <c r="E190" s="127"/>
      <c r="F190" s="127"/>
      <c r="G190" s="127"/>
      <c r="H190" s="127"/>
      <c r="I190" s="127"/>
      <c r="J190" s="127"/>
    </row>
    <row r="191" spans="3:10" x14ac:dyDescent="0.25">
      <c r="C191" s="127"/>
      <c r="D191" s="127"/>
      <c r="E191" s="127"/>
      <c r="F191" s="127"/>
      <c r="G191" s="127"/>
      <c r="H191" s="127"/>
      <c r="I191" s="127"/>
      <c r="J191" s="127"/>
    </row>
    <row r="192" spans="3:10" x14ac:dyDescent="0.25">
      <c r="C192" s="127"/>
      <c r="D192" s="127"/>
      <c r="E192" s="127"/>
      <c r="F192" s="127"/>
      <c r="G192" s="127"/>
      <c r="H192" s="127"/>
      <c r="I192" s="127"/>
      <c r="J192" s="127"/>
    </row>
    <row r="193" spans="3:10" x14ac:dyDescent="0.25">
      <c r="C193" s="127"/>
      <c r="D193" s="127"/>
      <c r="E193" s="127"/>
      <c r="F193" s="127"/>
      <c r="G193" s="127"/>
      <c r="H193" s="127"/>
      <c r="I193" s="127"/>
      <c r="J193" s="127"/>
    </row>
    <row r="194" spans="3:10" x14ac:dyDescent="0.25">
      <c r="C194" s="127"/>
      <c r="D194" s="127"/>
      <c r="E194" s="127"/>
      <c r="F194" s="127"/>
      <c r="G194" s="127"/>
      <c r="H194" s="127"/>
      <c r="I194" s="127"/>
      <c r="J194" s="127"/>
    </row>
    <row r="195" spans="3:10" x14ac:dyDescent="0.25">
      <c r="C195" s="127"/>
      <c r="D195" s="127"/>
      <c r="E195" s="127"/>
      <c r="F195" s="127"/>
      <c r="G195" s="127"/>
      <c r="H195" s="127"/>
      <c r="I195" s="127"/>
      <c r="J195" s="127"/>
    </row>
    <row r="196" spans="3:10" x14ac:dyDescent="0.25">
      <c r="C196" s="127"/>
      <c r="D196" s="127"/>
      <c r="E196" s="127"/>
      <c r="F196" s="127"/>
      <c r="G196" s="127"/>
      <c r="H196" s="127"/>
      <c r="I196" s="127"/>
      <c r="J196" s="127"/>
    </row>
    <row r="197" spans="3:10" x14ac:dyDescent="0.25">
      <c r="C197" s="127"/>
      <c r="D197" s="127"/>
      <c r="E197" s="127"/>
      <c r="F197" s="127"/>
      <c r="G197" s="127"/>
      <c r="H197" s="127"/>
      <c r="I197" s="127"/>
      <c r="J197" s="127"/>
    </row>
    <row r="198" spans="3:10" x14ac:dyDescent="0.25">
      <c r="C198" s="127"/>
      <c r="D198" s="127"/>
      <c r="E198" s="127"/>
      <c r="F198" s="127"/>
      <c r="G198" s="127"/>
      <c r="H198" s="127"/>
      <c r="I198" s="127"/>
      <c r="J198" s="127"/>
    </row>
    <row r="199" spans="3:10" x14ac:dyDescent="0.25">
      <c r="C199" s="127"/>
      <c r="D199" s="127"/>
      <c r="E199" s="127"/>
      <c r="F199" s="127"/>
      <c r="G199" s="127"/>
      <c r="H199" s="127"/>
      <c r="I199" s="127"/>
      <c r="J199" s="127"/>
    </row>
    <row r="200" spans="3:10" x14ac:dyDescent="0.25">
      <c r="C200" s="127"/>
      <c r="D200" s="127"/>
      <c r="E200" s="127"/>
      <c r="F200" s="127"/>
      <c r="G200" s="127"/>
      <c r="H200" s="127"/>
      <c r="I200" s="127"/>
      <c r="J200" s="127"/>
    </row>
    <row r="201" spans="3:10" x14ac:dyDescent="0.25">
      <c r="C201" s="127"/>
      <c r="D201" s="127"/>
      <c r="E201" s="127"/>
      <c r="F201" s="127"/>
      <c r="G201" s="127"/>
      <c r="H201" s="127"/>
      <c r="I201" s="127"/>
      <c r="J201" s="127"/>
    </row>
    <row r="202" spans="3:10" x14ac:dyDescent="0.25">
      <c r="C202" s="127"/>
      <c r="D202" s="127"/>
      <c r="E202" s="127"/>
      <c r="F202" s="127"/>
      <c r="G202" s="127"/>
      <c r="H202" s="127"/>
      <c r="I202" s="127"/>
      <c r="J202" s="127"/>
    </row>
    <row r="203" spans="3:10" x14ac:dyDescent="0.25">
      <c r="C203" s="127"/>
      <c r="D203" s="127"/>
      <c r="E203" s="127"/>
      <c r="F203" s="127"/>
      <c r="G203" s="127"/>
      <c r="H203" s="127"/>
      <c r="I203" s="127"/>
      <c r="J203" s="127"/>
    </row>
    <row r="204" spans="3:10" x14ac:dyDescent="0.25">
      <c r="C204" s="127"/>
      <c r="D204" s="127"/>
      <c r="E204" s="127"/>
      <c r="F204" s="127"/>
      <c r="G204" s="127"/>
      <c r="H204" s="127"/>
      <c r="I204" s="127"/>
      <c r="J204" s="127"/>
    </row>
    <row r="205" spans="3:10" x14ac:dyDescent="0.25">
      <c r="C205" s="127"/>
      <c r="D205" s="127"/>
      <c r="E205" s="127"/>
      <c r="F205" s="127"/>
      <c r="G205" s="127"/>
      <c r="H205" s="127"/>
      <c r="I205" s="127"/>
      <c r="J205" s="127"/>
    </row>
    <row r="206" spans="3:10" x14ac:dyDescent="0.25">
      <c r="C206" s="127"/>
      <c r="D206" s="127"/>
      <c r="E206" s="127"/>
      <c r="F206" s="127"/>
      <c r="G206" s="127"/>
      <c r="H206" s="127"/>
      <c r="I206" s="127"/>
      <c r="J206" s="127"/>
    </row>
    <row r="207" spans="3:10" x14ac:dyDescent="0.25">
      <c r="C207" s="127"/>
      <c r="D207" s="127"/>
      <c r="E207" s="127"/>
      <c r="F207" s="127"/>
      <c r="G207" s="127"/>
      <c r="H207" s="127"/>
      <c r="I207" s="127"/>
      <c r="J207" s="127"/>
    </row>
    <row r="208" spans="3:10" x14ac:dyDescent="0.25">
      <c r="C208" s="127"/>
      <c r="D208" s="127"/>
      <c r="E208" s="127"/>
      <c r="F208" s="127"/>
      <c r="G208" s="127"/>
      <c r="H208" s="127"/>
      <c r="I208" s="127"/>
      <c r="J208" s="127"/>
    </row>
    <row r="209" spans="3:10" x14ac:dyDescent="0.25">
      <c r="C209" s="127"/>
      <c r="D209" s="127"/>
      <c r="E209" s="127"/>
      <c r="F209" s="127"/>
      <c r="G209" s="127"/>
      <c r="H209" s="127"/>
      <c r="I209" s="127"/>
      <c r="J209" s="127"/>
    </row>
    <row r="210" spans="3:10" x14ac:dyDescent="0.25">
      <c r="C210" s="127"/>
      <c r="D210" s="127"/>
      <c r="E210" s="127"/>
      <c r="F210" s="127"/>
      <c r="G210" s="127"/>
      <c r="H210" s="127"/>
      <c r="I210" s="127"/>
      <c r="J210" s="127"/>
    </row>
    <row r="211" spans="3:10" x14ac:dyDescent="0.25">
      <c r="C211" s="127"/>
      <c r="D211" s="127"/>
      <c r="E211" s="127"/>
      <c r="F211" s="127"/>
      <c r="G211" s="127"/>
      <c r="H211" s="127"/>
      <c r="I211" s="127"/>
      <c r="J211" s="127"/>
    </row>
    <row r="212" spans="3:10" x14ac:dyDescent="0.25">
      <c r="C212" s="127"/>
      <c r="D212" s="127"/>
      <c r="E212" s="127"/>
      <c r="F212" s="127"/>
      <c r="G212" s="127"/>
      <c r="H212" s="127"/>
      <c r="I212" s="127"/>
      <c r="J212" s="127"/>
    </row>
    <row r="213" spans="3:10" x14ac:dyDescent="0.25">
      <c r="C213" s="127"/>
      <c r="D213" s="127"/>
      <c r="E213" s="127"/>
      <c r="F213" s="127"/>
      <c r="G213" s="127"/>
      <c r="H213" s="127"/>
      <c r="I213" s="127"/>
      <c r="J213" s="127"/>
    </row>
    <row r="214" spans="3:10" x14ac:dyDescent="0.25">
      <c r="C214" s="127"/>
      <c r="D214" s="127"/>
      <c r="E214" s="127"/>
      <c r="F214" s="127"/>
      <c r="G214" s="127"/>
      <c r="H214" s="127"/>
      <c r="I214" s="127"/>
      <c r="J214" s="127"/>
    </row>
    <row r="215" spans="3:10" x14ac:dyDescent="0.25">
      <c r="C215" s="127"/>
      <c r="D215" s="127"/>
      <c r="E215" s="127"/>
      <c r="F215" s="127"/>
      <c r="G215" s="127"/>
      <c r="H215" s="127"/>
      <c r="I215" s="127"/>
      <c r="J215" s="127"/>
    </row>
    <row r="216" spans="3:10" x14ac:dyDescent="0.25">
      <c r="C216" s="127"/>
      <c r="D216" s="127"/>
      <c r="E216" s="127"/>
      <c r="F216" s="127"/>
      <c r="G216" s="127"/>
      <c r="H216" s="127"/>
      <c r="I216" s="127"/>
      <c r="J216" s="127"/>
    </row>
    <row r="217" spans="3:10" x14ac:dyDescent="0.25">
      <c r="C217" s="127"/>
      <c r="D217" s="127"/>
      <c r="E217" s="127"/>
      <c r="F217" s="127"/>
      <c r="G217" s="127"/>
      <c r="H217" s="127"/>
      <c r="I217" s="127"/>
      <c r="J217" s="127"/>
    </row>
    <row r="218" spans="3:10" x14ac:dyDescent="0.25">
      <c r="C218" s="127"/>
      <c r="D218" s="127"/>
      <c r="E218" s="127"/>
      <c r="F218" s="127"/>
      <c r="G218" s="127"/>
      <c r="H218" s="127"/>
      <c r="I218" s="127"/>
      <c r="J218" s="127"/>
    </row>
    <row r="219" spans="3:10" x14ac:dyDescent="0.25">
      <c r="C219" s="127"/>
      <c r="D219" s="127"/>
      <c r="E219" s="127"/>
      <c r="F219" s="127"/>
      <c r="G219" s="127"/>
      <c r="H219" s="127"/>
      <c r="I219" s="127"/>
      <c r="J219" s="127"/>
    </row>
    <row r="220" spans="3:10" x14ac:dyDescent="0.25">
      <c r="C220" s="127"/>
      <c r="D220" s="127"/>
      <c r="E220" s="127"/>
      <c r="F220" s="127"/>
      <c r="G220" s="127"/>
      <c r="H220" s="127"/>
      <c r="I220" s="127"/>
      <c r="J220" s="127"/>
    </row>
    <row r="221" spans="3:10" x14ac:dyDescent="0.25">
      <c r="C221" s="127"/>
      <c r="D221" s="127"/>
      <c r="E221" s="127"/>
      <c r="F221" s="127"/>
      <c r="G221" s="127"/>
      <c r="H221" s="127"/>
      <c r="I221" s="127"/>
      <c r="J221" s="127"/>
    </row>
    <row r="222" spans="3:10" x14ac:dyDescent="0.25">
      <c r="C222" s="127"/>
      <c r="D222" s="127"/>
      <c r="E222" s="127"/>
      <c r="F222" s="127"/>
      <c r="G222" s="127"/>
      <c r="H222" s="127"/>
      <c r="I222" s="127"/>
      <c r="J222" s="127"/>
    </row>
    <row r="223" spans="3:10" x14ac:dyDescent="0.25">
      <c r="C223" s="127"/>
      <c r="D223" s="127"/>
      <c r="E223" s="127"/>
      <c r="F223" s="127"/>
      <c r="G223" s="127"/>
      <c r="H223" s="127"/>
      <c r="I223" s="127"/>
      <c r="J223" s="127"/>
    </row>
    <row r="224" spans="3:10" x14ac:dyDescent="0.25">
      <c r="C224" s="127"/>
      <c r="D224" s="127"/>
      <c r="E224" s="127"/>
      <c r="F224" s="127"/>
      <c r="G224" s="127"/>
      <c r="H224" s="127"/>
      <c r="I224" s="127"/>
      <c r="J224" s="127"/>
    </row>
    <row r="225" spans="3:10" x14ac:dyDescent="0.25">
      <c r="C225" s="127"/>
      <c r="D225" s="127"/>
      <c r="E225" s="127"/>
      <c r="F225" s="127"/>
      <c r="G225" s="127"/>
      <c r="H225" s="127"/>
      <c r="I225" s="127"/>
      <c r="J225" s="127"/>
    </row>
    <row r="226" spans="3:10" x14ac:dyDescent="0.25">
      <c r="C226" s="127"/>
      <c r="D226" s="127"/>
      <c r="E226" s="127"/>
      <c r="F226" s="127"/>
      <c r="G226" s="127"/>
      <c r="H226" s="127"/>
      <c r="I226" s="127"/>
      <c r="J226" s="127"/>
    </row>
    <row r="227" spans="3:10" x14ac:dyDescent="0.25">
      <c r="C227" s="127"/>
      <c r="D227" s="127"/>
      <c r="E227" s="127"/>
      <c r="F227" s="127"/>
      <c r="G227" s="127"/>
      <c r="H227" s="127"/>
      <c r="I227" s="127"/>
      <c r="J227" s="127"/>
    </row>
    <row r="228" spans="3:10" x14ac:dyDescent="0.25">
      <c r="C228" s="127"/>
      <c r="D228" s="127"/>
      <c r="E228" s="127"/>
      <c r="F228" s="127"/>
      <c r="G228" s="127"/>
      <c r="H228" s="127"/>
      <c r="I228" s="127"/>
      <c r="J228" s="127"/>
    </row>
    <row r="229" spans="3:10" x14ac:dyDescent="0.25">
      <c r="C229" s="127"/>
      <c r="D229" s="127"/>
      <c r="E229" s="127"/>
      <c r="F229" s="127"/>
      <c r="G229" s="127"/>
      <c r="H229" s="127"/>
      <c r="I229" s="127"/>
      <c r="J229" s="127"/>
    </row>
    <row r="230" spans="3:10" x14ac:dyDescent="0.25">
      <c r="C230" s="127"/>
      <c r="D230" s="127"/>
      <c r="E230" s="127"/>
      <c r="F230" s="127"/>
      <c r="G230" s="127"/>
      <c r="H230" s="127"/>
      <c r="I230" s="127"/>
      <c r="J230" s="127"/>
    </row>
    <row r="231" spans="3:10" x14ac:dyDescent="0.25">
      <c r="C231" s="127"/>
      <c r="D231" s="127"/>
      <c r="E231" s="127"/>
      <c r="F231" s="127"/>
      <c r="G231" s="127"/>
      <c r="H231" s="127"/>
      <c r="I231" s="127"/>
      <c r="J231" s="127"/>
    </row>
    <row r="232" spans="3:10" x14ac:dyDescent="0.25">
      <c r="C232" s="127"/>
      <c r="D232" s="127"/>
      <c r="E232" s="127"/>
      <c r="F232" s="127"/>
      <c r="G232" s="127"/>
      <c r="H232" s="127"/>
      <c r="I232" s="127"/>
      <c r="J232" s="127"/>
    </row>
    <row r="233" spans="3:10" x14ac:dyDescent="0.25">
      <c r="C233" s="127"/>
      <c r="D233" s="127"/>
      <c r="E233" s="127"/>
      <c r="F233" s="127"/>
      <c r="G233" s="127"/>
      <c r="H233" s="127"/>
      <c r="I233" s="127"/>
      <c r="J233" s="127"/>
    </row>
    <row r="234" spans="3:10" x14ac:dyDescent="0.25">
      <c r="C234" s="127"/>
      <c r="D234" s="127"/>
      <c r="E234" s="127"/>
      <c r="F234" s="127"/>
      <c r="G234" s="127"/>
      <c r="H234" s="127"/>
      <c r="I234" s="127"/>
      <c r="J234" s="127"/>
    </row>
    <row r="235" spans="3:10" x14ac:dyDescent="0.25">
      <c r="C235" s="127"/>
      <c r="D235" s="127"/>
      <c r="E235" s="127"/>
      <c r="F235" s="127"/>
      <c r="G235" s="127"/>
      <c r="H235" s="127"/>
      <c r="I235" s="127"/>
      <c r="J235" s="127"/>
    </row>
    <row r="236" spans="3:10" x14ac:dyDescent="0.25">
      <c r="C236" s="127"/>
      <c r="D236" s="127"/>
      <c r="E236" s="127"/>
      <c r="F236" s="127"/>
      <c r="G236" s="127"/>
      <c r="H236" s="127"/>
      <c r="I236" s="127"/>
      <c r="J236" s="127"/>
    </row>
    <row r="237" spans="3:10" x14ac:dyDescent="0.25">
      <c r="C237" s="127"/>
      <c r="D237" s="127"/>
      <c r="E237" s="127"/>
      <c r="F237" s="127"/>
      <c r="G237" s="127"/>
      <c r="H237" s="127"/>
      <c r="I237" s="127"/>
      <c r="J237" s="127"/>
    </row>
    <row r="238" spans="3:10" x14ac:dyDescent="0.25">
      <c r="C238" s="127"/>
      <c r="D238" s="127"/>
      <c r="E238" s="127"/>
      <c r="F238" s="127"/>
      <c r="G238" s="127"/>
      <c r="H238" s="127"/>
      <c r="I238" s="127"/>
      <c r="J238" s="127"/>
    </row>
    <row r="239" spans="3:10" x14ac:dyDescent="0.25">
      <c r="C239" s="127"/>
      <c r="D239" s="127"/>
      <c r="E239" s="127"/>
      <c r="F239" s="127"/>
      <c r="G239" s="127"/>
      <c r="H239" s="127"/>
      <c r="I239" s="127"/>
      <c r="J239" s="127"/>
    </row>
    <row r="240" spans="3:10" x14ac:dyDescent="0.25">
      <c r="C240" s="127"/>
      <c r="D240" s="127"/>
      <c r="E240" s="127"/>
      <c r="F240" s="127"/>
      <c r="G240" s="127"/>
      <c r="H240" s="127"/>
      <c r="I240" s="127"/>
      <c r="J240" s="127"/>
    </row>
    <row r="241" spans="3:10" x14ac:dyDescent="0.25">
      <c r="C241" s="127"/>
      <c r="D241" s="127"/>
      <c r="E241" s="127"/>
      <c r="F241" s="127"/>
      <c r="G241" s="127"/>
      <c r="H241" s="127"/>
      <c r="I241" s="127"/>
      <c r="J241" s="127"/>
    </row>
    <row r="242" spans="3:10" x14ac:dyDescent="0.25">
      <c r="C242" s="127"/>
      <c r="D242" s="127"/>
      <c r="E242" s="127"/>
      <c r="F242" s="127"/>
      <c r="G242" s="127"/>
      <c r="H242" s="127"/>
      <c r="I242" s="127"/>
      <c r="J242" s="127"/>
    </row>
    <row r="243" spans="3:10" x14ac:dyDescent="0.25">
      <c r="C243" s="127"/>
      <c r="D243" s="127"/>
      <c r="E243" s="127"/>
      <c r="F243" s="127"/>
      <c r="G243" s="127"/>
      <c r="H243" s="127"/>
      <c r="I243" s="127"/>
      <c r="J243" s="127"/>
    </row>
    <row r="244" spans="3:10" x14ac:dyDescent="0.25">
      <c r="C244" s="127"/>
      <c r="D244" s="127"/>
      <c r="E244" s="127"/>
      <c r="F244" s="127"/>
      <c r="G244" s="127"/>
      <c r="H244" s="127"/>
      <c r="I244" s="127"/>
      <c r="J244" s="127"/>
    </row>
    <row r="245" spans="3:10" x14ac:dyDescent="0.25">
      <c r="C245" s="127"/>
      <c r="D245" s="127"/>
      <c r="E245" s="127"/>
      <c r="F245" s="127"/>
      <c r="G245" s="127"/>
      <c r="H245" s="127"/>
      <c r="I245" s="127"/>
      <c r="J245" s="127"/>
    </row>
    <row r="246" spans="3:10" x14ac:dyDescent="0.25">
      <c r="C246" s="127"/>
      <c r="D246" s="127"/>
      <c r="E246" s="127"/>
      <c r="F246" s="127"/>
      <c r="G246" s="127"/>
      <c r="H246" s="127"/>
      <c r="I246" s="127"/>
      <c r="J246" s="127"/>
    </row>
    <row r="247" spans="3:10" x14ac:dyDescent="0.25">
      <c r="C247" s="127"/>
      <c r="D247" s="127"/>
      <c r="E247" s="127"/>
      <c r="F247" s="127"/>
      <c r="G247" s="127"/>
      <c r="H247" s="127"/>
      <c r="I247" s="127"/>
      <c r="J247" s="127"/>
    </row>
    <row r="248" spans="3:10" x14ac:dyDescent="0.25">
      <c r="C248" s="127"/>
      <c r="D248" s="127"/>
      <c r="E248" s="127"/>
      <c r="F248" s="127"/>
      <c r="G248" s="127"/>
      <c r="H248" s="127"/>
      <c r="I248" s="127"/>
      <c r="J248" s="127"/>
    </row>
    <row r="249" spans="3:10" x14ac:dyDescent="0.25">
      <c r="C249" s="127"/>
      <c r="D249" s="127"/>
      <c r="E249" s="127"/>
      <c r="F249" s="127"/>
      <c r="G249" s="127"/>
      <c r="H249" s="127"/>
      <c r="I249" s="127"/>
      <c r="J249" s="127"/>
    </row>
    <row r="250" spans="3:10" x14ac:dyDescent="0.25">
      <c r="C250" s="127"/>
      <c r="D250" s="127"/>
      <c r="E250" s="127"/>
      <c r="F250" s="127"/>
      <c r="G250" s="127"/>
      <c r="H250" s="127"/>
      <c r="I250" s="127"/>
      <c r="J250" s="127"/>
    </row>
    <row r="251" spans="3:10" x14ac:dyDescent="0.25">
      <c r="C251" s="127"/>
      <c r="D251" s="127"/>
      <c r="E251" s="127"/>
      <c r="F251" s="127"/>
      <c r="G251" s="127"/>
      <c r="H251" s="127"/>
      <c r="I251" s="127"/>
      <c r="J251" s="127"/>
    </row>
    <row r="252" spans="3:10" x14ac:dyDescent="0.25">
      <c r="C252" s="127"/>
      <c r="D252" s="127"/>
      <c r="E252" s="127"/>
      <c r="F252" s="127"/>
      <c r="G252" s="127"/>
      <c r="H252" s="127"/>
      <c r="I252" s="127"/>
      <c r="J252" s="127"/>
    </row>
  </sheetData>
  <mergeCells count="12">
    <mergeCell ref="L56:W57"/>
    <mergeCell ref="P6:P8"/>
    <mergeCell ref="M6:M8"/>
    <mergeCell ref="R7:R8"/>
    <mergeCell ref="S7:S8"/>
    <mergeCell ref="L2:W2"/>
    <mergeCell ref="N5:W5"/>
    <mergeCell ref="N6:N8"/>
    <mergeCell ref="O6:O8"/>
    <mergeCell ref="Q6:Q8"/>
    <mergeCell ref="W6:W8"/>
    <mergeCell ref="V7:V8"/>
  </mergeCells>
  <phoneticPr fontId="62" type="noConversion"/>
  <pageMargins left="0.7" right="0.7" top="0.75" bottom="0.75" header="0.3" footer="0.3"/>
  <pageSetup paperSize="9" scale="55"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C252"/>
  <sheetViews>
    <sheetView workbookViewId="0">
      <pane xSplit="1" ySplit="8" topLeftCell="K50" activePane="bottomRight" state="frozen"/>
      <selection pane="topRight"/>
      <selection pane="bottomLeft"/>
      <selection pane="bottomRight" activeCell="V64" sqref="V64"/>
    </sheetView>
  </sheetViews>
  <sheetFormatPr baseColWidth="10" defaultColWidth="10.81640625" defaultRowHeight="12.5" x14ac:dyDescent="0.25"/>
  <cols>
    <col min="1" max="1" width="8.6328125" style="126" hidden="1" customWidth="1"/>
    <col min="2" max="4" width="12.453125" style="126" hidden="1" customWidth="1"/>
    <col min="5" max="5" width="12.81640625" style="126" hidden="1" customWidth="1"/>
    <col min="6" max="6" width="10.453125" style="126" hidden="1" customWidth="1"/>
    <col min="7" max="8" width="10.1796875" style="126" hidden="1" customWidth="1"/>
    <col min="9" max="9" width="12.453125" style="126" hidden="1" customWidth="1"/>
    <col min="10" max="10" width="9.453125" style="126" hidden="1" customWidth="1"/>
    <col min="11" max="11" width="2.36328125" style="126" customWidth="1"/>
    <col min="12" max="23" width="12.81640625" style="126" customWidth="1"/>
    <col min="24" max="24" width="3.1796875" style="126" customWidth="1"/>
    <col min="25" max="16384" width="10.81640625" style="126"/>
  </cols>
  <sheetData>
    <row r="1" spans="1:29" ht="13.5" thickBot="1" x14ac:dyDescent="0.35">
      <c r="A1" s="151"/>
      <c r="B1" s="150"/>
      <c r="C1" s="149"/>
      <c r="D1" s="149"/>
      <c r="E1" s="149"/>
      <c r="F1" s="149"/>
      <c r="G1" s="149"/>
      <c r="H1" s="149"/>
      <c r="I1" s="149"/>
      <c r="J1" s="149"/>
      <c r="K1" s="146"/>
      <c r="L1" s="146"/>
      <c r="M1" s="146"/>
    </row>
    <row r="2" spans="1:29" s="155" customFormat="1" ht="33" customHeight="1" thickTop="1" x14ac:dyDescent="0.3">
      <c r="A2" s="126"/>
      <c r="B2" s="126"/>
      <c r="C2" s="126"/>
      <c r="D2" s="126"/>
      <c r="E2" s="126"/>
      <c r="F2" s="126"/>
      <c r="G2" s="126"/>
      <c r="H2" s="126"/>
      <c r="I2" s="126"/>
      <c r="J2" s="126"/>
      <c r="K2" s="156"/>
      <c r="L2" s="2333" t="s">
        <v>191</v>
      </c>
      <c r="M2" s="2334"/>
      <c r="N2" s="2334"/>
      <c r="O2" s="2334"/>
      <c r="P2" s="2334"/>
      <c r="Q2" s="2334"/>
      <c r="R2" s="2334"/>
      <c r="S2" s="2334"/>
      <c r="T2" s="2334"/>
      <c r="U2" s="2334"/>
      <c r="V2" s="2334"/>
      <c r="W2" s="2335"/>
    </row>
    <row r="3" spans="1:29" s="155" customFormat="1" ht="14.25" customHeight="1" x14ac:dyDescent="0.3">
      <c r="A3" s="126"/>
      <c r="B3" s="126"/>
      <c r="C3" s="126"/>
      <c r="D3" s="126"/>
      <c r="E3" s="126"/>
      <c r="F3" s="126"/>
      <c r="G3" s="126"/>
      <c r="H3" s="126"/>
      <c r="I3" s="126"/>
      <c r="J3" s="126"/>
      <c r="K3" s="156"/>
      <c r="L3" s="779"/>
      <c r="M3" s="780"/>
      <c r="N3" s="780"/>
      <c r="O3" s="780"/>
      <c r="P3" s="780"/>
      <c r="Q3" s="780"/>
      <c r="R3" s="780"/>
      <c r="S3" s="780"/>
      <c r="T3" s="780"/>
      <c r="U3" s="780"/>
      <c r="V3" s="780"/>
      <c r="W3" s="781"/>
    </row>
    <row r="4" spans="1:29" x14ac:dyDescent="0.25">
      <c r="K4" s="131"/>
      <c r="L4" s="251"/>
      <c r="M4" s="250" t="s">
        <v>20</v>
      </c>
      <c r="N4" s="250" t="s">
        <v>21</v>
      </c>
      <c r="O4" s="250" t="s">
        <v>22</v>
      </c>
      <c r="P4" s="250" t="s">
        <v>23</v>
      </c>
      <c r="Q4" s="250" t="s">
        <v>24</v>
      </c>
      <c r="R4" s="250" t="s">
        <v>25</v>
      </c>
      <c r="S4" s="167" t="s">
        <v>26</v>
      </c>
      <c r="T4" s="250" t="s">
        <v>33</v>
      </c>
      <c r="U4" s="250" t="s">
        <v>34</v>
      </c>
      <c r="V4" s="250" t="s">
        <v>37</v>
      </c>
      <c r="W4" s="259" t="s">
        <v>105</v>
      </c>
      <c r="X4" s="146"/>
    </row>
    <row r="5" spans="1:29" ht="16" customHeight="1" thickBot="1" x14ac:dyDescent="0.3">
      <c r="K5" s="145"/>
      <c r="L5" s="251"/>
      <c r="M5" s="782"/>
      <c r="N5" s="2336" t="s">
        <v>186</v>
      </c>
      <c r="O5" s="2337"/>
      <c r="P5" s="2337"/>
      <c r="Q5" s="2337"/>
      <c r="R5" s="2337"/>
      <c r="S5" s="2337"/>
      <c r="T5" s="2337"/>
      <c r="U5" s="2337"/>
      <c r="V5" s="2337"/>
      <c r="W5" s="2338"/>
    </row>
    <row r="6" spans="1:29" ht="32.25" customHeight="1" x14ac:dyDescent="0.35">
      <c r="K6" s="131"/>
      <c r="L6" s="251"/>
      <c r="M6" s="2352" t="s">
        <v>258</v>
      </c>
      <c r="N6" s="2353" t="s">
        <v>108</v>
      </c>
      <c r="O6" s="2356" t="s">
        <v>257</v>
      </c>
      <c r="P6" s="2356" t="s">
        <v>187</v>
      </c>
      <c r="Q6" s="2356" t="s">
        <v>192</v>
      </c>
      <c r="R6" s="869"/>
      <c r="S6" s="869"/>
      <c r="T6" s="869"/>
      <c r="U6" s="869"/>
      <c r="V6" s="869"/>
      <c r="W6" s="2341" t="s">
        <v>193</v>
      </c>
    </row>
    <row r="7" spans="1:29" ht="25" customHeight="1" thickBot="1" x14ac:dyDescent="0.4">
      <c r="K7" s="131"/>
      <c r="L7" s="251"/>
      <c r="M7" s="2348"/>
      <c r="N7" s="2354"/>
      <c r="O7" s="2270"/>
      <c r="P7" s="2270"/>
      <c r="Q7" s="2270"/>
      <c r="R7" s="2350" t="s">
        <v>13</v>
      </c>
      <c r="S7" s="2270" t="s">
        <v>185</v>
      </c>
      <c r="T7" s="866"/>
      <c r="U7" s="866"/>
      <c r="V7" s="2277" t="s">
        <v>194</v>
      </c>
      <c r="W7" s="2272"/>
    </row>
    <row r="8" spans="1:29" ht="61" customHeight="1" thickBot="1" x14ac:dyDescent="0.3">
      <c r="K8" s="131"/>
      <c r="L8" s="252"/>
      <c r="M8" s="2349"/>
      <c r="N8" s="2355"/>
      <c r="O8" s="2351"/>
      <c r="P8" s="2351"/>
      <c r="Q8" s="2351"/>
      <c r="R8" s="2357"/>
      <c r="S8" s="2351" t="s">
        <v>185</v>
      </c>
      <c r="T8" s="867" t="s">
        <v>188</v>
      </c>
      <c r="U8" s="868" t="s">
        <v>189</v>
      </c>
      <c r="V8" s="2358"/>
      <c r="W8" s="2273"/>
    </row>
    <row r="9" spans="1:29" ht="12.75" hidden="1" customHeight="1" x14ac:dyDescent="0.25">
      <c r="K9" s="131"/>
      <c r="L9" s="135">
        <v>1970</v>
      </c>
      <c r="M9" s="783">
        <v>14</v>
      </c>
      <c r="N9" s="154">
        <v>184.61704</v>
      </c>
      <c r="O9" s="133">
        <v>159.38301000000001</v>
      </c>
      <c r="P9" s="133"/>
      <c r="Q9" s="133">
        <v>21.633673999999999</v>
      </c>
      <c r="R9" s="134">
        <v>0.86045711000000002</v>
      </c>
      <c r="S9" s="160">
        <v>13.198475999999999</v>
      </c>
      <c r="T9" s="164"/>
      <c r="U9" s="165"/>
      <c r="V9" s="132"/>
      <c r="W9" s="153">
        <v>3.6003559999999997</v>
      </c>
    </row>
    <row r="10" spans="1:29" ht="12.75" hidden="1" customHeight="1" x14ac:dyDescent="0.25">
      <c r="K10" s="131"/>
      <c r="L10" s="135">
        <f t="shared" ref="L10:L47" si="0">L9+1</f>
        <v>1971</v>
      </c>
      <c r="M10" s="783">
        <v>20</v>
      </c>
      <c r="N10" s="154">
        <v>257.50610255999999</v>
      </c>
      <c r="O10" s="133">
        <v>225.68699443000003</v>
      </c>
      <c r="P10" s="133"/>
      <c r="Q10" s="133">
        <v>25.922380647000001</v>
      </c>
      <c r="R10" s="134">
        <v>1.1980906200000001</v>
      </c>
      <c r="S10" s="160">
        <v>14.475921216000001</v>
      </c>
      <c r="T10" s="164"/>
      <c r="U10" s="165"/>
      <c r="V10" s="132"/>
      <c r="W10" s="153">
        <v>5.8967274829999479</v>
      </c>
    </row>
    <row r="11" spans="1:29" ht="12.75" hidden="1" customHeight="1" x14ac:dyDescent="0.25">
      <c r="K11" s="131"/>
      <c r="L11" s="135">
        <f t="shared" si="0"/>
        <v>1972</v>
      </c>
      <c r="M11" s="783">
        <v>23</v>
      </c>
      <c r="N11" s="154">
        <v>309.59936167999996</v>
      </c>
      <c r="O11" s="133">
        <v>268.20753964999994</v>
      </c>
      <c r="P11" s="133"/>
      <c r="Q11" s="141">
        <v>33.790628561999995</v>
      </c>
      <c r="R11" s="142">
        <v>1.41022987</v>
      </c>
      <c r="S11" s="248">
        <v>16.445797138000003</v>
      </c>
      <c r="T11" s="248"/>
      <c r="U11" s="166"/>
      <c r="V11" s="247"/>
      <c r="W11" s="159">
        <v>7.6011934680000417</v>
      </c>
    </row>
    <row r="12" spans="1:29" ht="12.75" hidden="1" customHeight="1" x14ac:dyDescent="0.25">
      <c r="K12" s="131"/>
      <c r="L12" s="135">
        <f t="shared" si="0"/>
        <v>1973</v>
      </c>
      <c r="M12" s="783">
        <v>23</v>
      </c>
      <c r="N12" s="154">
        <v>424.89523181000004</v>
      </c>
      <c r="O12" s="133">
        <v>364.33756830999999</v>
      </c>
      <c r="P12" s="133"/>
      <c r="Q12" s="141">
        <v>49.740275382</v>
      </c>
      <c r="R12" s="142">
        <v>1.5681824499999999</v>
      </c>
      <c r="S12" s="248">
        <v>25.941071351999998</v>
      </c>
      <c r="T12" s="248"/>
      <c r="U12" s="166"/>
      <c r="V12" s="247"/>
      <c r="W12" s="159">
        <v>10.817388118000025</v>
      </c>
    </row>
    <row r="13" spans="1:29" ht="12.75" hidden="1" customHeight="1" x14ac:dyDescent="0.25">
      <c r="K13" s="131"/>
      <c r="L13" s="135">
        <f t="shared" si="0"/>
        <v>1974</v>
      </c>
      <c r="M13" s="783">
        <v>37</v>
      </c>
      <c r="N13" s="154">
        <v>597.04969229999995</v>
      </c>
      <c r="O13" s="133">
        <v>519.32204029000002</v>
      </c>
      <c r="P13" s="133"/>
      <c r="Q13" s="141">
        <v>64.21533229740001</v>
      </c>
      <c r="R13" s="142">
        <v>1.4988017534</v>
      </c>
      <c r="S13" s="248">
        <v>29.040370952999996</v>
      </c>
      <c r="T13" s="248"/>
      <c r="U13" s="166"/>
      <c r="V13" s="247"/>
      <c r="W13" s="159">
        <v>13.512319712600009</v>
      </c>
    </row>
    <row r="14" spans="1:29" ht="14.5" x14ac:dyDescent="0.25">
      <c r="K14" s="131"/>
      <c r="L14" s="135">
        <f t="shared" si="0"/>
        <v>1975</v>
      </c>
      <c r="M14" s="784">
        <v>54</v>
      </c>
      <c r="N14" s="154">
        <f>+TableB7!N14-TableB9!N14</f>
        <v>893.25550337960397</v>
      </c>
      <c r="O14" s="253">
        <f>+TableB7!O14-TableB9!O14</f>
        <v>769.24633114753306</v>
      </c>
      <c r="P14" s="253">
        <f>+TableB7!P14-TableB9!P14</f>
        <v>0</v>
      </c>
      <c r="Q14" s="255">
        <f>+TableB7!Q14-TableB9!Q14</f>
        <v>76.458056727189586</v>
      </c>
      <c r="R14" s="142">
        <f>+TableB7!R14-TableB9!R14</f>
        <v>3.1976</v>
      </c>
      <c r="S14" s="248">
        <f>+TableB7!S14-TableB9!S14</f>
        <v>16.242710000000002</v>
      </c>
      <c r="T14" s="248">
        <f>+TableB7!T14-TableB9!T14</f>
        <v>15.308449999999999</v>
      </c>
      <c r="U14" s="166">
        <f>+TableB7!U14-TableB9!U14</f>
        <v>0.93426000000000187</v>
      </c>
      <c r="V14" s="247">
        <f>+TableB7!V14-TableB9!V14</f>
        <v>57.017746727189589</v>
      </c>
      <c r="W14" s="246">
        <f>+TableB7!W14-TableB9!W14</f>
        <v>47.551115504881309</v>
      </c>
      <c r="Y14" s="127"/>
      <c r="Z14" s="129"/>
      <c r="AA14" s="129"/>
      <c r="AB14" s="129"/>
      <c r="AC14" s="129"/>
    </row>
    <row r="15" spans="1:29" ht="14.5" x14ac:dyDescent="0.25">
      <c r="K15" s="131"/>
      <c r="L15" s="135">
        <f t="shared" si="0"/>
        <v>1976</v>
      </c>
      <c r="M15" s="784">
        <v>78</v>
      </c>
      <c r="N15" s="154">
        <f>+TableB7!N15-TableB9!N15</f>
        <v>1099.8668506580477</v>
      </c>
      <c r="O15" s="253">
        <f>+TableB7!O15-TableB9!O15</f>
        <v>960.37558397034297</v>
      </c>
      <c r="P15" s="253">
        <f>+TableB7!P15-TableB9!P15</f>
        <v>0</v>
      </c>
      <c r="Q15" s="255">
        <f>+TableB7!Q15-TableB9!Q15</f>
        <v>85.11986208777769</v>
      </c>
      <c r="R15" s="142">
        <f>+TableB7!R15-TableB9!R15</f>
        <v>3.3533399999999998</v>
      </c>
      <c r="S15" s="248">
        <f>+TableB7!S15-TableB9!S15</f>
        <v>19.616499999999998</v>
      </c>
      <c r="T15" s="248">
        <f>+TableB7!T15-TableB9!T15</f>
        <v>18.662110000000002</v>
      </c>
      <c r="U15" s="166">
        <f>+TableB7!U15-TableB9!U15</f>
        <v>0.95438999999999652</v>
      </c>
      <c r="V15" s="247">
        <f>+TableB7!V15-TableB9!V15</f>
        <v>62.1500220877777</v>
      </c>
      <c r="W15" s="246">
        <f>+TableB7!W15-TableB9!W15</f>
        <v>54.371404599927104</v>
      </c>
      <c r="Y15" s="127"/>
      <c r="Z15" s="129"/>
      <c r="AA15" s="129"/>
      <c r="AB15" s="129"/>
      <c r="AC15" s="129"/>
    </row>
    <row r="16" spans="1:29" ht="14.5" x14ac:dyDescent="0.25">
      <c r="K16" s="131"/>
      <c r="L16" s="135">
        <f t="shared" si="0"/>
        <v>1977</v>
      </c>
      <c r="M16" s="784">
        <v>104</v>
      </c>
      <c r="N16" s="154">
        <f>+TableB7!N16-TableB9!N16</f>
        <v>1458.3805554764863</v>
      </c>
      <c r="O16" s="253">
        <f>+TableB7!O16-TableB9!O16</f>
        <v>1275.8832261225941</v>
      </c>
      <c r="P16" s="253">
        <f>+TableB7!P16-TableB9!P16</f>
        <v>0</v>
      </c>
      <c r="Q16" s="255">
        <f>+TableB7!Q16-TableB9!Q16</f>
        <v>112.81179034177336</v>
      </c>
      <c r="R16" s="142">
        <f>+TableB7!R16-TableB9!R16</f>
        <v>5.1474299999999999</v>
      </c>
      <c r="S16" s="248">
        <f>+TableB7!S16-TableB9!S16</f>
        <v>28.606155999999999</v>
      </c>
      <c r="T16" s="248">
        <f>+TableB7!T16-TableB9!T16</f>
        <v>27.490160000000003</v>
      </c>
      <c r="U16" s="166">
        <f>+TableB7!U16-TableB9!U16</f>
        <v>1.1159959999999987</v>
      </c>
      <c r="V16" s="247">
        <f>+TableB7!V16-TableB9!V16</f>
        <v>79.058204341773362</v>
      </c>
      <c r="W16" s="246">
        <f>+TableB7!W16-TableB9!W16</f>
        <v>69.685539012118966</v>
      </c>
      <c r="Y16" s="127"/>
      <c r="Z16" s="129"/>
      <c r="AA16" s="129"/>
      <c r="AB16" s="129"/>
      <c r="AC16" s="129"/>
    </row>
    <row r="17" spans="11:29" ht="14.5" x14ac:dyDescent="0.25">
      <c r="K17" s="131"/>
      <c r="L17" s="135">
        <f t="shared" si="0"/>
        <v>1978</v>
      </c>
      <c r="M17" s="784">
        <v>110</v>
      </c>
      <c r="N17" s="154">
        <f>+TableB7!N17-TableB9!N17</f>
        <v>1719.4036668288679</v>
      </c>
      <c r="O17" s="253">
        <f>+TableB7!O17-TableB9!O17</f>
        <v>1482.891954595591</v>
      </c>
      <c r="P17" s="253">
        <f>+TableB7!P17-TableB9!P17</f>
        <v>0</v>
      </c>
      <c r="Q17" s="255">
        <f>+TableB7!Q17-TableB9!Q17</f>
        <v>149.22755216883129</v>
      </c>
      <c r="R17" s="142">
        <f>+TableB7!R17-TableB9!R17</f>
        <v>6.56691</v>
      </c>
      <c r="S17" s="248">
        <f>+TableB7!S17-TableB9!S17</f>
        <v>33.015460000000004</v>
      </c>
      <c r="T17" s="248">
        <f>+TableB7!T17-TableB9!T17</f>
        <v>31.37021</v>
      </c>
      <c r="U17" s="166">
        <f>+TableB7!U17-TableB9!U17</f>
        <v>1.6452499999999999</v>
      </c>
      <c r="V17" s="247">
        <f>+TableB7!V17-TableB9!V17</f>
        <v>109.6451821688313</v>
      </c>
      <c r="W17" s="246">
        <f>+TableB7!W17-TableB9!W17</f>
        <v>87.284160064445771</v>
      </c>
      <c r="Y17" s="127"/>
      <c r="Z17" s="129"/>
      <c r="AA17" s="129"/>
      <c r="AB17" s="129"/>
      <c r="AC17" s="129"/>
    </row>
    <row r="18" spans="11:29" ht="14.5" x14ac:dyDescent="0.25">
      <c r="K18" s="131"/>
      <c r="L18" s="135">
        <f t="shared" si="0"/>
        <v>1979</v>
      </c>
      <c r="M18" s="784">
        <v>114</v>
      </c>
      <c r="N18" s="154">
        <f>+TableB7!N18-TableB9!N18</f>
        <v>2223.4037714088195</v>
      </c>
      <c r="O18" s="253">
        <f>+TableB7!O18-TableB9!O18</f>
        <v>1895.7203148211356</v>
      </c>
      <c r="P18" s="253">
        <f>+TableB7!P18-TableB9!P18</f>
        <v>0</v>
      </c>
      <c r="Q18" s="255">
        <f>+TableB7!Q18-TableB9!Q18</f>
        <v>220.62228492652085</v>
      </c>
      <c r="R18" s="245">
        <f>+TableB7!R18-TableB9!R18</f>
        <v>7.4740700000000002</v>
      </c>
      <c r="S18" s="244">
        <f>+TableB7!S18-TableB9!S18</f>
        <v>42.882499999999993</v>
      </c>
      <c r="T18" s="244">
        <f>+TableB7!T18-TableB9!T18</f>
        <v>40.697499999999998</v>
      </c>
      <c r="U18" s="243">
        <f>+TableB7!U18-TableB9!U18</f>
        <v>2.1849999999999987</v>
      </c>
      <c r="V18" s="242">
        <f>+TableB7!V18-TableB9!V18</f>
        <v>170.26571492652084</v>
      </c>
      <c r="W18" s="241">
        <f>+TableB7!W18-TableB9!W18</f>
        <v>107.06117166116317</v>
      </c>
      <c r="X18" s="138"/>
      <c r="Y18" s="137"/>
      <c r="Z18" s="136"/>
      <c r="AA18" s="136"/>
      <c r="AB18" s="129"/>
      <c r="AC18" s="129"/>
    </row>
    <row r="19" spans="11:29" ht="14.5" x14ac:dyDescent="0.25">
      <c r="K19" s="131"/>
      <c r="L19" s="139">
        <f t="shared" si="0"/>
        <v>1980</v>
      </c>
      <c r="M19" s="785">
        <v>119</v>
      </c>
      <c r="N19" s="157">
        <f>+TableB7!N19-TableB9!N19</f>
        <v>2741.6036401283263</v>
      </c>
      <c r="O19" s="257">
        <f>+TableB7!O19-TableB9!O19</f>
        <v>2304.1125764204885</v>
      </c>
      <c r="P19" s="257">
        <f>+TableB7!P19-TableB9!P19</f>
        <v>0</v>
      </c>
      <c r="Q19" s="260">
        <f>+TableB7!Q19-TableB9!Q19</f>
        <v>312.62192286279111</v>
      </c>
      <c r="R19" s="142">
        <f>+TableB7!R19-TableB9!R19</f>
        <v>8.2852999999999994</v>
      </c>
      <c r="S19" s="248">
        <f>+TableB7!S19-TableB9!S19</f>
        <v>54.642850000000003</v>
      </c>
      <c r="T19" s="248">
        <f>+TableB7!T19-TableB9!T19</f>
        <v>51.869730000000004</v>
      </c>
      <c r="U19" s="166">
        <f>+TableB7!U19-TableB9!U19</f>
        <v>2.7731199999999996</v>
      </c>
      <c r="V19" s="247">
        <f>+TableB7!V19-TableB9!V19</f>
        <v>249.69377286279109</v>
      </c>
      <c r="W19" s="246">
        <f>+TableB7!W19-TableB9!W19</f>
        <v>124.86914084504691</v>
      </c>
      <c r="X19" s="138"/>
      <c r="Y19" s="137"/>
      <c r="Z19" s="136"/>
      <c r="AA19" s="136"/>
      <c r="AB19" s="129"/>
      <c r="AC19" s="129"/>
    </row>
    <row r="20" spans="11:29" ht="14.5" x14ac:dyDescent="0.25">
      <c r="K20" s="131"/>
      <c r="L20" s="135">
        <f t="shared" si="0"/>
        <v>1981</v>
      </c>
      <c r="M20" s="784">
        <v>122</v>
      </c>
      <c r="N20" s="154">
        <f>+TableB7!N20-TableB9!N20</f>
        <v>2866.5698593993434</v>
      </c>
      <c r="O20" s="253">
        <f>+TableB7!O20-TableB9!O20</f>
        <v>2339.2238345806431</v>
      </c>
      <c r="P20" s="253">
        <f>+TableB7!P20-TableB9!P20</f>
        <v>0</v>
      </c>
      <c r="Q20" s="255">
        <f>+TableB7!Q20-TableB9!Q20</f>
        <v>401.6676784140094</v>
      </c>
      <c r="R20" s="142">
        <f>+TableB7!R20-TableB9!R20</f>
        <v>8.5037299999999991</v>
      </c>
      <c r="S20" s="248">
        <f>+TableB7!S20-TableB9!S20</f>
        <v>56.146829999999994</v>
      </c>
      <c r="T20" s="248">
        <f>+TableB7!T20-TableB9!T20</f>
        <v>53.128390000000003</v>
      </c>
      <c r="U20" s="166">
        <f>+TableB7!U20-TableB9!U20</f>
        <v>3.0184399999999942</v>
      </c>
      <c r="V20" s="247">
        <f>+TableB7!V20-TableB9!V20</f>
        <v>337.01711841400936</v>
      </c>
      <c r="W20" s="246">
        <f>+TableB7!W20-TableB9!W20</f>
        <v>125.67834640469081</v>
      </c>
      <c r="X20" s="138"/>
      <c r="Y20" s="137"/>
      <c r="Z20" s="136"/>
      <c r="AA20" s="136"/>
      <c r="AB20" s="129"/>
      <c r="AC20" s="129"/>
    </row>
    <row r="21" spans="11:29" ht="14.5" x14ac:dyDescent="0.25">
      <c r="K21" s="131"/>
      <c r="L21" s="135">
        <f t="shared" si="0"/>
        <v>1982</v>
      </c>
      <c r="M21" s="784">
        <v>126</v>
      </c>
      <c r="N21" s="154">
        <f>+TableB7!N21-TableB9!N21</f>
        <v>2767.5604432628265</v>
      </c>
      <c r="O21" s="253">
        <f>+TableB7!O21-TableB9!O21</f>
        <v>2226.8869617134096</v>
      </c>
      <c r="P21" s="253">
        <f>+TableB7!P21-TableB9!P21</f>
        <v>0</v>
      </c>
      <c r="Q21" s="255">
        <f>+TableB7!Q21-TableB9!Q21</f>
        <v>412.59901404277474</v>
      </c>
      <c r="R21" s="142">
        <f>+TableB7!R21-TableB9!R21</f>
        <v>9.0794999999999995</v>
      </c>
      <c r="S21" s="248">
        <f>+TableB7!S21-TableB9!S21</f>
        <v>42.880400000000002</v>
      </c>
      <c r="T21" s="248">
        <f>+TableB7!T21-TableB9!T21</f>
        <v>40.235099999999996</v>
      </c>
      <c r="U21" s="166">
        <f>+TableB7!U21-TableB9!U21</f>
        <v>2.645300000000006</v>
      </c>
      <c r="V21" s="247">
        <f>+TableB7!V21-TableB9!V21</f>
        <v>360.63911404277474</v>
      </c>
      <c r="W21" s="246">
        <f>+TableB7!W21-TableB9!W21</f>
        <v>128.07446750664201</v>
      </c>
      <c r="X21" s="138"/>
      <c r="Y21" s="137"/>
      <c r="Z21" s="136"/>
      <c r="AA21" s="136"/>
      <c r="AB21" s="129"/>
      <c r="AC21" s="129"/>
    </row>
    <row r="22" spans="11:29" ht="14.5" x14ac:dyDescent="0.25">
      <c r="K22" s="131"/>
      <c r="L22" s="135">
        <f t="shared" si="0"/>
        <v>1983</v>
      </c>
      <c r="M22" s="784">
        <v>126</v>
      </c>
      <c r="N22" s="154">
        <f>+TableB7!N22-TableB9!N22</f>
        <v>2656.1395335098487</v>
      </c>
      <c r="O22" s="253">
        <f>+TableB7!O22-TableB9!O22</f>
        <v>2169.5702593776032</v>
      </c>
      <c r="P22" s="253">
        <f>+TableB7!P22-TableB9!P22</f>
        <v>0</v>
      </c>
      <c r="Q22" s="255">
        <f>+TableB7!Q22-TableB9!Q22</f>
        <v>360.65671936583459</v>
      </c>
      <c r="R22" s="142">
        <f>+TableB7!R22-TableB9!R22</f>
        <v>9.0518999999999998</v>
      </c>
      <c r="S22" s="248">
        <f>+TableB7!S22-TableB9!S22</f>
        <v>41.268750000000004</v>
      </c>
      <c r="T22" s="248">
        <f>+TableB7!T22-TableB9!T22</f>
        <v>38.66037</v>
      </c>
      <c r="U22" s="166">
        <f>+TableB7!U22-TableB9!U22</f>
        <v>2.6083800000000004</v>
      </c>
      <c r="V22" s="247">
        <f>+TableB7!V22-TableB9!V22</f>
        <v>310.33606936583465</v>
      </c>
      <c r="W22" s="246">
        <f>+TableB7!W22-TableB9!W22</f>
        <v>125.91255476641082</v>
      </c>
      <c r="X22" s="138"/>
      <c r="Y22" s="137"/>
      <c r="Z22" s="136"/>
      <c r="AA22" s="136"/>
      <c r="AB22" s="129"/>
      <c r="AC22" s="129"/>
    </row>
    <row r="23" spans="11:29" ht="14.5" x14ac:dyDescent="0.25">
      <c r="K23" s="131"/>
      <c r="L23" s="135">
        <f t="shared" si="0"/>
        <v>1984</v>
      </c>
      <c r="M23" s="784">
        <v>127</v>
      </c>
      <c r="N23" s="154">
        <f>+TableB7!N23-TableB9!N23</f>
        <v>2815.3323324233661</v>
      </c>
      <c r="O23" s="253">
        <f>+TableB7!O23-TableB9!O23</f>
        <v>2284.0414756672826</v>
      </c>
      <c r="P23" s="253">
        <f>+TableB7!P23-TableB9!P23</f>
        <v>0</v>
      </c>
      <c r="Q23" s="255">
        <f>+TableB7!Q23-TableB9!Q23</f>
        <v>403.06417933536812</v>
      </c>
      <c r="R23" s="142">
        <f>+TableB7!R23-TableB9!R23</f>
        <v>8.797600000000001</v>
      </c>
      <c r="S23" s="248">
        <f>+TableB7!S23-TableB9!S23</f>
        <v>45.850499999999997</v>
      </c>
      <c r="T23" s="248">
        <f>+TableB7!T23-TableB9!T23</f>
        <v>43.227200000000003</v>
      </c>
      <c r="U23" s="166">
        <f>+TableB7!U23-TableB9!U23</f>
        <v>2.6232999999999986</v>
      </c>
      <c r="V23" s="247">
        <f>+TableB7!V23-TableB9!V23</f>
        <v>348.41607933536812</v>
      </c>
      <c r="W23" s="246">
        <f>+TableB7!W23-TableB9!W23</f>
        <v>128.2266774207153</v>
      </c>
      <c r="X23" s="138"/>
      <c r="Y23" s="137"/>
      <c r="Z23" s="136"/>
      <c r="AA23" s="136"/>
      <c r="AB23" s="129"/>
      <c r="AC23" s="129"/>
    </row>
    <row r="24" spans="11:29" ht="14.5" x14ac:dyDescent="0.25">
      <c r="K24" s="131"/>
      <c r="L24" s="135">
        <f t="shared" si="0"/>
        <v>1985</v>
      </c>
      <c r="M24" s="784">
        <v>129</v>
      </c>
      <c r="N24" s="154">
        <f>+TableB7!N24-TableB9!N24</f>
        <v>2838.9711083258808</v>
      </c>
      <c r="O24" s="253">
        <f>+TableB7!O24-TableB9!O24</f>
        <v>2304.2268986379399</v>
      </c>
      <c r="P24" s="253">
        <f>+TableB7!P24-TableB9!P24</f>
        <v>0</v>
      </c>
      <c r="Q24" s="255">
        <f>+TableB7!Q24-TableB9!Q24</f>
        <v>403.66919155844727</v>
      </c>
      <c r="R24" s="142">
        <f>+TableB7!R24-TableB9!R24</f>
        <v>9.3786999999999985</v>
      </c>
      <c r="S24" s="248">
        <f>+TableB7!S24-TableB9!S24</f>
        <v>44.628680000000003</v>
      </c>
      <c r="T24" s="248">
        <f>+TableB7!T24-TableB9!T24</f>
        <v>43.517510000000001</v>
      </c>
      <c r="U24" s="166">
        <f>+TableB7!U24-TableB9!U24</f>
        <v>1.1111700000000013</v>
      </c>
      <c r="V24" s="247">
        <f>+TableB7!V24-TableB9!V24</f>
        <v>349.66181155844731</v>
      </c>
      <c r="W24" s="246">
        <f>+TableB7!W24-TableB9!W24</f>
        <v>131.07501812949337</v>
      </c>
      <c r="X24" s="138"/>
      <c r="Y24" s="137"/>
      <c r="Z24" s="136"/>
      <c r="AA24" s="136"/>
      <c r="AB24" s="129"/>
      <c r="AC24" s="129"/>
    </row>
    <row r="25" spans="11:29" ht="14.5" x14ac:dyDescent="0.25">
      <c r="K25" s="131"/>
      <c r="L25" s="135">
        <f t="shared" si="0"/>
        <v>1986</v>
      </c>
      <c r="M25" s="784">
        <v>131</v>
      </c>
      <c r="N25" s="154">
        <f>+TableB7!N25-TableB9!N25</f>
        <v>3133.7802651232787</v>
      </c>
      <c r="O25" s="253">
        <f>+TableB7!O25-TableB9!O25</f>
        <v>2539.6518842641426</v>
      </c>
      <c r="P25" s="253">
        <f>+TableB7!P25-TableB9!P25</f>
        <v>0</v>
      </c>
      <c r="Q25" s="255">
        <f>+TableB7!Q25-TableB9!Q25</f>
        <v>436.78869984145769</v>
      </c>
      <c r="R25" s="142">
        <f>+TableB7!R25-TableB9!R25</f>
        <v>13.573137976170001</v>
      </c>
      <c r="S25" s="248">
        <f>+TableB7!S25-TableB9!S25</f>
        <v>44.789199999999994</v>
      </c>
      <c r="T25" s="248">
        <f>+TableB7!T25-TableB9!T25</f>
        <v>40.174600000000005</v>
      </c>
      <c r="U25" s="166">
        <f>+TableB7!U25-TableB9!U25</f>
        <v>4.6145999999999923</v>
      </c>
      <c r="V25" s="247">
        <f>+TableB7!V25-TableB9!V25</f>
        <v>378.42636186528773</v>
      </c>
      <c r="W25" s="246">
        <f>+TableB7!W25-TableB9!W25</f>
        <v>157.33968101767832</v>
      </c>
      <c r="X25" s="138"/>
      <c r="Y25" s="137"/>
      <c r="Z25" s="136"/>
      <c r="AA25" s="136"/>
      <c r="AB25" s="129"/>
      <c r="AC25" s="129"/>
    </row>
    <row r="26" spans="11:29" ht="14.5" x14ac:dyDescent="0.25">
      <c r="K26" s="131"/>
      <c r="L26" s="135">
        <f t="shared" si="0"/>
        <v>1987</v>
      </c>
      <c r="M26" s="784">
        <v>130</v>
      </c>
      <c r="N26" s="154">
        <f>+TableB7!N26-TableB9!N26</f>
        <v>3679.636513181566</v>
      </c>
      <c r="O26" s="253">
        <f>+TableB7!O26-TableB9!O26</f>
        <v>2979.0562133782596</v>
      </c>
      <c r="P26" s="253">
        <f>+TableB7!P26-TableB9!P26</f>
        <v>0</v>
      </c>
      <c r="Q26" s="255">
        <f>+TableB7!Q26-TableB9!Q26</f>
        <v>514.13599599603265</v>
      </c>
      <c r="R26" s="142">
        <f>+TableB7!R26-TableB9!R26</f>
        <v>16.696000000000002</v>
      </c>
      <c r="S26" s="248">
        <f>+TableB7!S26-TableB9!S26</f>
        <v>56.502400000000002</v>
      </c>
      <c r="T26" s="248">
        <f>+TableB7!T26-TableB9!T26</f>
        <v>51.051099999999991</v>
      </c>
      <c r="U26" s="166">
        <f>+TableB7!U26-TableB9!U26</f>
        <v>5.4513000000000105</v>
      </c>
      <c r="V26" s="247">
        <f>+TableB7!V26-TableB9!V26</f>
        <v>440.93759599603266</v>
      </c>
      <c r="W26" s="246">
        <f>+TableB7!W26-TableB9!W26</f>
        <v>186.44430380727371</v>
      </c>
      <c r="X26" s="138"/>
      <c r="Y26" s="137"/>
      <c r="Z26" s="136"/>
      <c r="AA26" s="136"/>
      <c r="AB26" s="129"/>
      <c r="AC26" s="129"/>
    </row>
    <row r="27" spans="11:29" ht="14.5" x14ac:dyDescent="0.25">
      <c r="K27" s="131"/>
      <c r="L27" s="135">
        <f t="shared" si="0"/>
        <v>1988</v>
      </c>
      <c r="M27" s="784">
        <v>129</v>
      </c>
      <c r="N27" s="154">
        <f>+TableB7!N27-TableB9!N27</f>
        <v>4237.2931575935772</v>
      </c>
      <c r="O27" s="253">
        <f>+TableB7!O27-TableB9!O27</f>
        <v>3387.1285371985728</v>
      </c>
      <c r="P27" s="253">
        <f>+TableB7!P27-TableB9!P27</f>
        <v>0</v>
      </c>
      <c r="Q27" s="255">
        <f>+TableB7!Q27-TableB9!Q27</f>
        <v>631.78561524020563</v>
      </c>
      <c r="R27" s="142">
        <f>+TableB7!R27-TableB9!R27</f>
        <v>18.258500000000002</v>
      </c>
      <c r="S27" s="248">
        <f>+TableB7!S27-TableB9!S27</f>
        <v>70.997299999999996</v>
      </c>
      <c r="T27" s="248">
        <f>+TableB7!T27-TableB9!T27</f>
        <v>62.862000000000002</v>
      </c>
      <c r="U27" s="166">
        <f>+TableB7!U27-TableB9!U27</f>
        <v>8.1352999999999938</v>
      </c>
      <c r="V27" s="247">
        <f>+TableB7!V27-TableB9!V27</f>
        <v>542.52981524020561</v>
      </c>
      <c r="W27" s="246">
        <f>+TableB7!W27-TableB9!W27</f>
        <v>218.3790051547991</v>
      </c>
      <c r="X27" s="138"/>
      <c r="Y27" s="137"/>
      <c r="Z27" s="136"/>
      <c r="AA27" s="136"/>
      <c r="AB27" s="129"/>
      <c r="AC27" s="129"/>
    </row>
    <row r="28" spans="11:29" ht="14.5" x14ac:dyDescent="0.25">
      <c r="K28" s="131"/>
      <c r="L28" s="135">
        <f t="shared" si="0"/>
        <v>1989</v>
      </c>
      <c r="M28" s="784">
        <v>128</v>
      </c>
      <c r="N28" s="154">
        <f>+TableB7!N28-TableB9!N28</f>
        <v>4672.871898647305</v>
      </c>
      <c r="O28" s="253">
        <f>+TableB7!O28-TableB9!O28</f>
        <v>3672.7811251280223</v>
      </c>
      <c r="P28" s="253">
        <f>+TableB7!P28-TableB9!P28</f>
        <v>0</v>
      </c>
      <c r="Q28" s="255">
        <f>+TableB7!Q28-TableB9!Q28</f>
        <v>767.06408874528518</v>
      </c>
      <c r="R28" s="245">
        <f>+TableB7!R28-TableB9!R28</f>
        <v>20.100200000000001</v>
      </c>
      <c r="S28" s="244">
        <f>+TableB7!S28-TableB9!S28</f>
        <v>73.725200000000001</v>
      </c>
      <c r="T28" s="244">
        <f>+TableB7!T28-TableB9!T28</f>
        <v>60.912399999999998</v>
      </c>
      <c r="U28" s="243">
        <f>+TableB7!U28-TableB9!U28</f>
        <v>12.81280000000001</v>
      </c>
      <c r="V28" s="242">
        <f>+TableB7!V28-TableB9!V28</f>
        <v>673.23868874528512</v>
      </c>
      <c r="W28" s="241">
        <f>+TableB7!W28-TableB9!W28</f>
        <v>233.02668477399703</v>
      </c>
      <c r="X28" s="138"/>
      <c r="Y28" s="137"/>
      <c r="Z28" s="136"/>
      <c r="AA28" s="136"/>
      <c r="AB28" s="129"/>
      <c r="AC28" s="129"/>
    </row>
    <row r="29" spans="11:29" ht="14.5" x14ac:dyDescent="0.25">
      <c r="K29" s="131"/>
      <c r="L29" s="139">
        <f t="shared" si="0"/>
        <v>1990</v>
      </c>
      <c r="M29" s="785">
        <v>129</v>
      </c>
      <c r="N29" s="157">
        <f>+TableB7!N29-TableB9!N29</f>
        <v>5465.8097970270537</v>
      </c>
      <c r="O29" s="257">
        <f>+TableB7!O29-TableB9!O29</f>
        <v>4247.9364683778749</v>
      </c>
      <c r="P29" s="257">
        <f>+TableB7!P29-TableB9!P29</f>
        <v>0</v>
      </c>
      <c r="Q29" s="260">
        <f>+TableB7!Q29-TableB9!Q29</f>
        <v>928.91762004290172</v>
      </c>
      <c r="R29" s="142">
        <f>+TableB7!R29-TableB9!R29</f>
        <v>25.663399999999999</v>
      </c>
      <c r="S29" s="248">
        <f>+TableB7!S29-TableB9!S29</f>
        <v>69.615899999999996</v>
      </c>
      <c r="T29" s="248">
        <f>+TableB7!T29-TableB9!T29</f>
        <v>52.531700000000001</v>
      </c>
      <c r="U29" s="166">
        <f>+TableB7!U29-TableB9!U29</f>
        <v>17.084199999999996</v>
      </c>
      <c r="V29" s="247">
        <f>+TableB7!V29-TableB9!V29</f>
        <v>833.63832004290168</v>
      </c>
      <c r="W29" s="246">
        <f>+TableB7!W29-TableB9!W29</f>
        <v>288.95570860627686</v>
      </c>
      <c r="X29" s="138"/>
      <c r="Y29" s="137"/>
      <c r="Z29" s="136"/>
      <c r="AA29" s="136"/>
      <c r="AB29" s="129"/>
      <c r="AC29" s="129"/>
    </row>
    <row r="30" spans="11:29" ht="14.5" x14ac:dyDescent="0.25">
      <c r="K30" s="131"/>
      <c r="L30" s="135">
        <f t="shared" si="0"/>
        <v>1991</v>
      </c>
      <c r="M30" s="784">
        <v>127</v>
      </c>
      <c r="N30" s="154">
        <f>+TableB7!N30-TableB9!N30</f>
        <v>5685.9933999815557</v>
      </c>
      <c r="O30" s="253">
        <f>+TableB7!O30-TableB9!O30</f>
        <v>4369.3269548892122</v>
      </c>
      <c r="P30" s="253">
        <f>+TableB7!P30-TableB9!P30</f>
        <v>0</v>
      </c>
      <c r="Q30" s="255">
        <f>+TableB7!Q30-TableB9!Q30</f>
        <v>958.78467646918591</v>
      </c>
      <c r="R30" s="142">
        <f>+TableB7!R30-TableB9!R30</f>
        <v>25.745699999999999</v>
      </c>
      <c r="S30" s="248">
        <f>+TableB7!S30-TableB9!S30</f>
        <v>55.015699999999995</v>
      </c>
      <c r="T30" s="248">
        <f>+TableB7!T30-TableB9!T30</f>
        <v>36.445099999999996</v>
      </c>
      <c r="U30" s="166">
        <f>+TableB7!U30-TableB9!U30</f>
        <v>18.570599999999999</v>
      </c>
      <c r="V30" s="247">
        <f>+TableB7!V30-TableB9!V30</f>
        <v>878.02327646918593</v>
      </c>
      <c r="W30" s="246">
        <f>+TableB7!W30-TableB9!W30</f>
        <v>357.8817686231572</v>
      </c>
      <c r="X30" s="138"/>
      <c r="Y30" s="137"/>
      <c r="Z30" s="136"/>
      <c r="AA30" s="136"/>
      <c r="AB30" s="129"/>
      <c r="AC30" s="129"/>
    </row>
    <row r="31" spans="11:29" ht="14.5" x14ac:dyDescent="0.25">
      <c r="K31" s="131"/>
      <c r="L31" s="135">
        <f t="shared" si="0"/>
        <v>1992</v>
      </c>
      <c r="M31" s="784">
        <v>129</v>
      </c>
      <c r="N31" s="154">
        <f>+TableB7!N31-TableB9!N31</f>
        <v>5974.0331424386259</v>
      </c>
      <c r="O31" s="253">
        <f>+TableB7!O31-TableB9!O31</f>
        <v>4661.7307387548472</v>
      </c>
      <c r="P31" s="253">
        <f>+TableB7!P31-TableB9!P31</f>
        <v>0</v>
      </c>
      <c r="Q31" s="255">
        <f>+TableB7!Q31-TableB9!Q31</f>
        <v>971.56572167054981</v>
      </c>
      <c r="R31" s="142">
        <f>+TableB7!R31-TableB9!R31</f>
        <v>29.316099999999999</v>
      </c>
      <c r="S31" s="248">
        <f>+TableB7!S31-TableB9!S31</f>
        <v>56.536400000000008</v>
      </c>
      <c r="T31" s="248">
        <f>+TableB7!T31-TableB9!T31</f>
        <v>40.320699999999988</v>
      </c>
      <c r="U31" s="166">
        <f>+TableB7!U31-TableB9!U31</f>
        <v>16.21570000000002</v>
      </c>
      <c r="V31" s="247">
        <f>+TableB7!V31-TableB9!V31</f>
        <v>885.71322167054984</v>
      </c>
      <c r="W31" s="246">
        <f>+TableB7!W31-TableB9!W31</f>
        <v>340.7366820132296</v>
      </c>
      <c r="X31" s="138"/>
      <c r="Y31" s="137"/>
      <c r="Z31" s="136"/>
      <c r="AA31" s="136"/>
      <c r="AB31" s="129"/>
      <c r="AC31" s="129"/>
    </row>
    <row r="32" spans="11:29" ht="14.5" x14ac:dyDescent="0.25">
      <c r="K32" s="131"/>
      <c r="L32" s="135">
        <f t="shared" si="0"/>
        <v>1993</v>
      </c>
      <c r="M32" s="784">
        <v>130</v>
      </c>
      <c r="N32" s="154">
        <f>+TableB7!N32-TableB9!N32</f>
        <v>5907.4475023790301</v>
      </c>
      <c r="O32" s="253">
        <f>+TableB7!O32-TableB9!O32</f>
        <v>4606.9556279935068</v>
      </c>
      <c r="P32" s="253">
        <f>+TableB7!P32-TableB9!P32</f>
        <v>0</v>
      </c>
      <c r="Q32" s="255">
        <f>+TableB7!Q32-TableB9!Q32</f>
        <v>972.45441155187154</v>
      </c>
      <c r="R32" s="142">
        <f>+TableB7!R32-TableB9!R32</f>
        <v>28.581399999999999</v>
      </c>
      <c r="S32" s="248">
        <f>+TableB7!S32-TableB9!S32</f>
        <v>76.445099999999996</v>
      </c>
      <c r="T32" s="248">
        <f>+TableB7!T32-TableB9!T32</f>
        <v>61.316199999999995</v>
      </c>
      <c r="U32" s="166">
        <f>+TableB7!U32-TableB9!U32</f>
        <v>15.128900000000002</v>
      </c>
      <c r="V32" s="247">
        <f>+TableB7!V32-TableB9!V32</f>
        <v>867.4279115518716</v>
      </c>
      <c r="W32" s="246">
        <f>+TableB7!W32-TableB9!W32</f>
        <v>328.03746283365149</v>
      </c>
      <c r="X32" s="138"/>
      <c r="Y32" s="137"/>
      <c r="Z32" s="136"/>
      <c r="AA32" s="136"/>
      <c r="AB32" s="129"/>
      <c r="AC32" s="129"/>
    </row>
    <row r="33" spans="3:29" s="138" customFormat="1" ht="14.5" x14ac:dyDescent="0.25">
      <c r="K33" s="144"/>
      <c r="L33" s="143">
        <f t="shared" si="0"/>
        <v>1994</v>
      </c>
      <c r="M33" s="786">
        <v>131</v>
      </c>
      <c r="N33" s="158">
        <f>+TableB7!N33-TableB9!N33</f>
        <v>6577.5118000000002</v>
      </c>
      <c r="O33" s="255">
        <f>+TableB7!O33-TableB9!O33</f>
        <v>5237.2651999999998</v>
      </c>
      <c r="P33" s="255">
        <f>+TableB7!P33-TableB9!P33</f>
        <v>0</v>
      </c>
      <c r="Q33" s="255">
        <f>+TableB7!Q33-TableB9!Q33</f>
        <v>993.34789999999998</v>
      </c>
      <c r="R33" s="142">
        <f>+TableB7!R33-TableB9!R33</f>
        <v>27.209299999999999</v>
      </c>
      <c r="S33" s="248">
        <f>+TableB7!S33-TableB9!S33</f>
        <v>109.9438</v>
      </c>
      <c r="T33" s="248">
        <f>+TableB7!T33-TableB9!T33</f>
        <v>94.387500000000003</v>
      </c>
      <c r="U33" s="166">
        <f>+TableB7!U33-TableB9!U33</f>
        <v>15.556299999999993</v>
      </c>
      <c r="V33" s="247">
        <f>+TableB7!V33-TableB9!V33</f>
        <v>856.19479999999999</v>
      </c>
      <c r="W33" s="159">
        <f>+TableB7!W33-TableB9!W33</f>
        <v>346.90280000000001</v>
      </c>
      <c r="Y33" s="137"/>
      <c r="Z33" s="136"/>
      <c r="AA33" s="136"/>
      <c r="AB33" s="136"/>
      <c r="AC33" s="136"/>
    </row>
    <row r="34" spans="3:29" ht="14.5" x14ac:dyDescent="0.25">
      <c r="K34" s="131"/>
      <c r="L34" s="135">
        <f t="shared" si="0"/>
        <v>1995</v>
      </c>
      <c r="M34" s="784">
        <v>130</v>
      </c>
      <c r="N34" s="154">
        <f>+TableB7!N34-TableB9!N34</f>
        <v>7800.4845999999998</v>
      </c>
      <c r="O34" s="253">
        <f>+TableB7!O34-TableB9!O34</f>
        <v>6244.9587000000001</v>
      </c>
      <c r="P34" s="253">
        <f>+TableB7!P34-TableB9!P34</f>
        <v>0</v>
      </c>
      <c r="Q34" s="255">
        <f>+TableB7!Q34-TableB9!Q34</f>
        <v>1180.2927</v>
      </c>
      <c r="R34" s="142">
        <f>+TableB7!R34-TableB9!R34</f>
        <v>32.430399999999999</v>
      </c>
      <c r="S34" s="248">
        <f>+TableB7!S34-TableB9!S34</f>
        <v>144.01639999999998</v>
      </c>
      <c r="T34" s="248">
        <f>+TableB7!T34-TableB9!T34</f>
        <v>124.215</v>
      </c>
      <c r="U34" s="166">
        <f>+TableB7!U34-TableB9!U34</f>
        <v>19.801399999999994</v>
      </c>
      <c r="V34" s="247">
        <f>+TableB7!V34-TableB9!V34</f>
        <v>1003.8459</v>
      </c>
      <c r="W34" s="159">
        <f>+TableB7!W34-TableB9!W34</f>
        <v>375.24349999999998</v>
      </c>
      <c r="X34" s="138"/>
      <c r="Y34" s="137"/>
      <c r="Z34" s="136"/>
      <c r="AA34" s="136"/>
      <c r="AB34" s="129"/>
      <c r="AC34" s="129"/>
    </row>
    <row r="35" spans="3:29" ht="14.5" x14ac:dyDescent="0.25">
      <c r="K35" s="131"/>
      <c r="L35" s="135">
        <f t="shared" si="0"/>
        <v>1996</v>
      </c>
      <c r="M35" s="784">
        <v>131</v>
      </c>
      <c r="N35" s="154">
        <f>+TableB7!N35-TableB9!N35</f>
        <v>8127.7673000000004</v>
      </c>
      <c r="O35" s="253">
        <f>+TableB7!O35-TableB9!O35</f>
        <v>6588.5652999999993</v>
      </c>
      <c r="P35" s="253">
        <f>+TableB7!P35-TableB9!P35</f>
        <v>0</v>
      </c>
      <c r="Q35" s="255">
        <f>+TableB7!Q35-TableB9!Q35</f>
        <v>1139.1562000000001</v>
      </c>
      <c r="R35" s="142">
        <f>+TableB7!R35-TableB9!R35</f>
        <v>33.113999999999997</v>
      </c>
      <c r="S35" s="248">
        <f>+TableB7!S35-TableB9!S35</f>
        <v>166.61849999999998</v>
      </c>
      <c r="T35" s="248">
        <f>+TableB7!T35-TableB9!T35</f>
        <v>146.08250000000001</v>
      </c>
      <c r="U35" s="166">
        <f>+TableB7!U35-TableB9!U35</f>
        <v>20.535999999999987</v>
      </c>
      <c r="V35" s="247">
        <f>+TableB7!V35-TableB9!V35</f>
        <v>939.42370000000005</v>
      </c>
      <c r="W35" s="159">
        <f>+TableB7!W35-TableB9!W35</f>
        <v>400.04919999999998</v>
      </c>
      <c r="X35" s="138"/>
      <c r="Y35" s="137"/>
      <c r="Z35" s="136"/>
      <c r="AA35" s="136"/>
      <c r="AB35" s="129"/>
      <c r="AC35" s="129"/>
    </row>
    <row r="36" spans="3:29" ht="14.5" x14ac:dyDescent="0.25">
      <c r="K36" s="131"/>
      <c r="L36" s="135">
        <f t="shared" si="0"/>
        <v>1997</v>
      </c>
      <c r="M36" s="784">
        <v>137</v>
      </c>
      <c r="N36" s="154">
        <f>+TableB7!N36-TableB9!N36</f>
        <v>8379.1577300000008</v>
      </c>
      <c r="O36" s="253">
        <f>+TableB7!O36-TableB9!O36</f>
        <v>6816.5438899999999</v>
      </c>
      <c r="P36" s="253">
        <f>+TableB7!P36-TableB9!P36</f>
        <v>0</v>
      </c>
      <c r="Q36" s="255">
        <f>+TableB7!Q36-TableB9!Q36</f>
        <v>1178.8432</v>
      </c>
      <c r="R36" s="142">
        <f>+TableB7!R36-TableB9!R36</f>
        <v>32.645899999999997</v>
      </c>
      <c r="S36" s="248">
        <f>+TableB7!S36-TableB9!S36</f>
        <v>192.01740000000001</v>
      </c>
      <c r="T36" s="248">
        <f>+TableB7!T36-TableB9!T36</f>
        <v>168.9436</v>
      </c>
      <c r="U36" s="166">
        <f>+TableB7!U36-TableB9!U36</f>
        <v>23.073800000000034</v>
      </c>
      <c r="V36" s="247">
        <f>+TableB7!V36-TableB9!V36</f>
        <v>954.17990000000009</v>
      </c>
      <c r="W36" s="159">
        <f>+TableB7!W36-TableB9!W36</f>
        <v>383.77319999999997</v>
      </c>
      <c r="X36" s="138"/>
      <c r="Y36" s="137"/>
      <c r="Z36" s="136"/>
      <c r="AA36" s="136"/>
      <c r="AB36" s="129"/>
      <c r="AC36" s="129"/>
    </row>
    <row r="37" spans="3:29" ht="14.5" x14ac:dyDescent="0.25">
      <c r="K37" s="131"/>
      <c r="L37" s="135">
        <f t="shared" si="0"/>
        <v>1998</v>
      </c>
      <c r="M37" s="784">
        <v>140</v>
      </c>
      <c r="N37" s="154">
        <f>+TableB7!N37-TableB9!N37</f>
        <v>8487.5807999999997</v>
      </c>
      <c r="O37" s="253">
        <f>+TableB7!O37-TableB9!O37</f>
        <v>6778.7067400000005</v>
      </c>
      <c r="P37" s="253">
        <f>+TableB7!P37-TableB9!P37</f>
        <v>0</v>
      </c>
      <c r="Q37" s="255">
        <f>+TableB7!Q37-TableB9!Q37</f>
        <v>1305.4815999999998</v>
      </c>
      <c r="R37" s="142">
        <f>+TableB7!R37-TableB9!R37</f>
        <v>34.0017</v>
      </c>
      <c r="S37" s="248">
        <f>+TableB7!S37-TableB9!S37</f>
        <v>210.51699999999997</v>
      </c>
      <c r="T37" s="248">
        <f>+TableB7!T37-TableB9!T37</f>
        <v>180.3314</v>
      </c>
      <c r="U37" s="166">
        <f>+TableB7!U37-TableB9!U37</f>
        <v>30.185599999999972</v>
      </c>
      <c r="V37" s="247">
        <f>+TableB7!V37-TableB9!V37</f>
        <v>1060.9629</v>
      </c>
      <c r="W37" s="159">
        <f>+TableB7!W37-TableB9!W37</f>
        <v>403.39850000000001</v>
      </c>
      <c r="X37" s="138"/>
      <c r="Y37" s="137"/>
      <c r="Z37" s="136"/>
      <c r="AA37" s="136"/>
      <c r="AB37" s="129"/>
      <c r="AC37" s="129"/>
    </row>
    <row r="38" spans="3:29" ht="14.5" x14ac:dyDescent="0.25">
      <c r="K38" s="131"/>
      <c r="L38" s="135">
        <f t="shared" si="0"/>
        <v>1999</v>
      </c>
      <c r="M38" s="784">
        <v>142</v>
      </c>
      <c r="N38" s="154">
        <f>+TableB7!N38-TableB9!N38</f>
        <v>8817.3940000000002</v>
      </c>
      <c r="O38" s="253">
        <f>+TableB7!O38-TableB9!O38</f>
        <v>7059.7047600000005</v>
      </c>
      <c r="P38" s="253">
        <f>+TableB7!P38-TableB9!P38</f>
        <v>0</v>
      </c>
      <c r="Q38" s="255">
        <f>+TableB7!Q38-TableB9!Q38</f>
        <v>1350.8055999999999</v>
      </c>
      <c r="R38" s="245">
        <f>+TableB7!R38-TableB9!R38</f>
        <v>35.855399999999996</v>
      </c>
      <c r="S38" s="244">
        <f>+TableB7!S38-TableB9!S38</f>
        <v>274.33929999999998</v>
      </c>
      <c r="T38" s="244">
        <f>+TableB7!T38-TableB9!T38</f>
        <v>210.78799999999998</v>
      </c>
      <c r="U38" s="243">
        <f>+TableB7!U38-TableB9!U38</f>
        <v>63.551300000000026</v>
      </c>
      <c r="V38" s="242">
        <f>+TableB7!V38-TableB9!V38</f>
        <v>1040.6109000000001</v>
      </c>
      <c r="W38" s="240">
        <f>+TableB7!W38-TableB9!W38</f>
        <v>406.8811</v>
      </c>
      <c r="X38" s="138"/>
      <c r="Y38" s="137"/>
      <c r="Z38" s="136"/>
      <c r="AA38" s="136"/>
      <c r="AB38" s="129"/>
      <c r="AC38" s="129"/>
    </row>
    <row r="39" spans="3:29" ht="14.5" x14ac:dyDescent="0.25">
      <c r="K39" s="131"/>
      <c r="L39" s="139">
        <f t="shared" si="0"/>
        <v>2000</v>
      </c>
      <c r="M39" s="785">
        <v>142</v>
      </c>
      <c r="N39" s="157">
        <f>+TableB7!N39-TableB9!N39</f>
        <v>9816.3559999999998</v>
      </c>
      <c r="O39" s="257">
        <f>+TableB7!O39-TableB9!O39</f>
        <v>7892.3643499999998</v>
      </c>
      <c r="P39" s="257">
        <f>+TableB7!P39-TableB9!P39</f>
        <v>0</v>
      </c>
      <c r="Q39" s="260">
        <f>+TableB7!Q39-TableB9!Q39</f>
        <v>1522.3815</v>
      </c>
      <c r="R39" s="142">
        <f>+TableB7!R39-TableB9!R39</f>
        <v>36.976300000000002</v>
      </c>
      <c r="S39" s="248">
        <f>+TableB7!S39-TableB9!S39</f>
        <v>336.48159999999996</v>
      </c>
      <c r="T39" s="248">
        <f>+TableB7!T39-TableB9!T39</f>
        <v>255.87799999999999</v>
      </c>
      <c r="U39" s="166">
        <f>+TableB7!U39-TableB9!U39</f>
        <v>80.603599999999986</v>
      </c>
      <c r="V39" s="247">
        <f>+TableB7!V39-TableB9!V39</f>
        <v>1148.9236000000001</v>
      </c>
      <c r="W39" s="159">
        <f>+TableB7!W39-TableB9!W39</f>
        <v>401.60910000000001</v>
      </c>
      <c r="X39" s="138"/>
      <c r="Y39" s="137"/>
      <c r="Z39" s="136"/>
      <c r="AA39" s="136"/>
      <c r="AB39" s="129"/>
      <c r="AC39" s="129"/>
    </row>
    <row r="40" spans="3:29" ht="14.5" x14ac:dyDescent="0.25">
      <c r="K40" s="131"/>
      <c r="L40" s="135">
        <f t="shared" si="0"/>
        <v>2001</v>
      </c>
      <c r="M40" s="784">
        <v>143</v>
      </c>
      <c r="N40" s="154">
        <f>+TableB7!N40-TableB9!N40</f>
        <v>9483.7260000000006</v>
      </c>
      <c r="O40" s="253">
        <f>+TableB7!O40-TableB9!O40</f>
        <v>7658.4949000000006</v>
      </c>
      <c r="P40" s="253">
        <f>+TableB7!P40-TableB9!P40</f>
        <v>0</v>
      </c>
      <c r="Q40" s="255">
        <f>+TableB7!Q40-TableB9!Q40</f>
        <v>1404.7582</v>
      </c>
      <c r="R40" s="142">
        <f>+TableB7!R40-TableB9!R40</f>
        <v>39.871299999999998</v>
      </c>
      <c r="S40" s="248">
        <f>+TableB7!S40-TableB9!S40</f>
        <v>262.13900000000001</v>
      </c>
      <c r="T40" s="248">
        <f>+TableB7!T40-TableB9!T40</f>
        <v>179.11999999999998</v>
      </c>
      <c r="U40" s="166">
        <f>+TableB7!U40-TableB9!U40</f>
        <v>83.019000000000034</v>
      </c>
      <c r="V40" s="247">
        <f>+TableB7!V40-TableB9!V40</f>
        <v>1102.7479000000001</v>
      </c>
      <c r="W40" s="159">
        <f>+TableB7!W40-TableB9!W40</f>
        <v>420.46980000000002</v>
      </c>
      <c r="X40" s="138"/>
      <c r="Y40" s="137"/>
      <c r="Z40" s="136"/>
      <c r="AA40" s="136"/>
      <c r="AB40" s="129"/>
      <c r="AC40" s="129"/>
    </row>
    <row r="41" spans="3:29" ht="14.5" x14ac:dyDescent="0.25">
      <c r="K41" s="131"/>
      <c r="L41" s="135">
        <f t="shared" si="0"/>
        <v>2002</v>
      </c>
      <c r="M41" s="784">
        <v>153</v>
      </c>
      <c r="N41" s="154">
        <f>+TableB7!N41-TableB9!N41</f>
        <v>9845.7534000000014</v>
      </c>
      <c r="O41" s="253">
        <f>+TableB7!O41-TableB9!O41</f>
        <v>8018.8220500000007</v>
      </c>
      <c r="P41" s="253">
        <f>+TableB7!P41-TableB9!P41</f>
        <v>0</v>
      </c>
      <c r="Q41" s="255">
        <f>+TableB7!Q41-TableB9!Q41</f>
        <v>1373.4082000000001</v>
      </c>
      <c r="R41" s="142">
        <f>+TableB7!R41-TableB9!R41</f>
        <v>44.799400000000006</v>
      </c>
      <c r="S41" s="248">
        <f>+TableB7!S41-TableB9!S41</f>
        <v>335.05309999999997</v>
      </c>
      <c r="T41" s="248">
        <f>+TableB7!T41-TableB9!T41</f>
        <v>248.46790000000001</v>
      </c>
      <c r="U41" s="166">
        <f>+TableB7!U41-TableB9!U41</f>
        <v>86.585199999999958</v>
      </c>
      <c r="V41" s="247">
        <f>+TableB7!V41-TableB9!V41</f>
        <v>993.55570000000012</v>
      </c>
      <c r="W41" s="159">
        <f>+TableB7!W41-TableB9!W41</f>
        <v>453.52409999999998</v>
      </c>
      <c r="X41" s="138"/>
      <c r="Y41" s="137"/>
      <c r="Z41" s="136"/>
      <c r="AA41" s="136"/>
      <c r="AB41" s="129"/>
      <c r="AC41" s="129"/>
    </row>
    <row r="42" spans="3:29" ht="14.5" x14ac:dyDescent="0.25">
      <c r="K42" s="131"/>
      <c r="L42" s="135">
        <f t="shared" si="0"/>
        <v>2003</v>
      </c>
      <c r="M42" s="784">
        <v>156</v>
      </c>
      <c r="N42" s="154">
        <f>+TableB7!N42-TableB9!N42</f>
        <v>11386.844500000001</v>
      </c>
      <c r="O42" s="253">
        <f>+TableB7!O42-TableB9!O42</f>
        <v>9290.2949000000008</v>
      </c>
      <c r="P42" s="253">
        <f>+TableB7!P42-TableB9!P42</f>
        <v>0</v>
      </c>
      <c r="Q42" s="255">
        <f>+TableB7!Q42-TableB9!Q42</f>
        <v>1575.5708</v>
      </c>
      <c r="R42" s="142">
        <f>+TableB7!R42-TableB9!R42</f>
        <v>52.62</v>
      </c>
      <c r="S42" s="248">
        <f>+TableB7!S42-TableB9!S42</f>
        <v>461.44480000000004</v>
      </c>
      <c r="T42" s="248">
        <f>+TableB7!T42-TableB9!T42</f>
        <v>367.61199999999997</v>
      </c>
      <c r="U42" s="166">
        <f>+TableB7!U42-TableB9!U42</f>
        <v>93.832800000000049</v>
      </c>
      <c r="V42" s="247">
        <f>+TableB7!V42-TableB9!V42</f>
        <v>1061.5060000000001</v>
      </c>
      <c r="W42" s="159">
        <f>+TableB7!W42-TableB9!W42</f>
        <v>520.99074999999993</v>
      </c>
      <c r="X42" s="138"/>
      <c r="Y42" s="137"/>
      <c r="Z42" s="136"/>
      <c r="AA42" s="136"/>
      <c r="AB42" s="129"/>
      <c r="AC42" s="129"/>
    </row>
    <row r="43" spans="3:29" ht="14.5" x14ac:dyDescent="0.25">
      <c r="K43" s="131"/>
      <c r="L43" s="135">
        <f t="shared" si="0"/>
        <v>2004</v>
      </c>
      <c r="M43" s="784">
        <v>158</v>
      </c>
      <c r="N43" s="154">
        <f>+TableB7!N43-TableB9!N43</f>
        <v>13795.840800000002</v>
      </c>
      <c r="O43" s="253">
        <f>+TableB7!O43-TableB9!O43</f>
        <v>11265.294399999999</v>
      </c>
      <c r="P43" s="253">
        <f>+TableB7!P43-TableB9!P43</f>
        <v>0</v>
      </c>
      <c r="Q43" s="255">
        <f>+TableB7!Q43-TableB9!Q43</f>
        <v>1906.7845</v>
      </c>
      <c r="R43" s="142">
        <f>+TableB7!R43-TableB9!R43</f>
        <v>62.342100000000002</v>
      </c>
      <c r="S43" s="248">
        <f>+TableB7!S43-TableB9!S43</f>
        <v>658.92100000000005</v>
      </c>
      <c r="T43" s="248">
        <f>+TableB7!T43-TableB9!T43</f>
        <v>549.16399999999999</v>
      </c>
      <c r="U43" s="166">
        <f>+TableB7!U43-TableB9!U43</f>
        <v>109.75699999999998</v>
      </c>
      <c r="V43" s="247">
        <f>+TableB7!V43-TableB9!V43</f>
        <v>1185.5213999999999</v>
      </c>
      <c r="W43" s="159">
        <f>+TableB7!W43-TableB9!W43</f>
        <v>623.78199999999993</v>
      </c>
      <c r="Y43" s="127"/>
      <c r="Z43" s="129"/>
      <c r="AA43" s="129"/>
      <c r="AB43" s="129"/>
      <c r="AC43" s="129"/>
    </row>
    <row r="44" spans="3:29" ht="14.5" x14ac:dyDescent="0.25">
      <c r="K44" s="131"/>
      <c r="L44" s="135">
        <f t="shared" si="0"/>
        <v>2005</v>
      </c>
      <c r="M44" s="784">
        <v>169</v>
      </c>
      <c r="N44" s="154">
        <f>+TableB7!N44-TableB9!N44</f>
        <v>15945.893000000002</v>
      </c>
      <c r="O44" s="253">
        <f>+TableB7!O44-TableB9!O44</f>
        <v>12787.4758</v>
      </c>
      <c r="P44" s="253">
        <f>+TableB7!P44-TableB9!P44</f>
        <v>0</v>
      </c>
      <c r="Q44" s="255">
        <f>+TableB7!Q44-TableB9!Q44</f>
        <v>2444.1585</v>
      </c>
      <c r="R44" s="142">
        <f>+TableB7!R44-TableB9!R44</f>
        <v>75.274999999999991</v>
      </c>
      <c r="S44" s="248">
        <f>+TableB7!S44-TableB9!S44</f>
        <v>909.69399999999996</v>
      </c>
      <c r="T44" s="248">
        <f>+TableB7!T44-TableB9!T44</f>
        <v>769.48</v>
      </c>
      <c r="U44" s="166">
        <f>+TableB7!U44-TableB9!U44</f>
        <v>140.214</v>
      </c>
      <c r="V44" s="247">
        <f>+TableB7!V44-TableB9!V44</f>
        <v>1459.1895</v>
      </c>
      <c r="W44" s="159">
        <f>+TableB7!W44-TableB9!W44</f>
        <v>714.19860000000006</v>
      </c>
      <c r="Y44" s="127"/>
      <c r="Z44" s="129"/>
      <c r="AA44" s="129"/>
      <c r="AB44" s="129"/>
      <c r="AC44" s="129"/>
    </row>
    <row r="45" spans="3:29" ht="14.5" x14ac:dyDescent="0.25">
      <c r="K45" s="131"/>
      <c r="L45" s="135">
        <f t="shared" si="0"/>
        <v>2006</v>
      </c>
      <c r="M45" s="784">
        <v>171</v>
      </c>
      <c r="N45" s="154">
        <f>+TableB7!N45-TableB9!N45</f>
        <v>18517.315000000002</v>
      </c>
      <c r="O45" s="253">
        <f>+TableB7!O45-TableB9!O45</f>
        <v>14620.787</v>
      </c>
      <c r="P45" s="253">
        <f>+TableB7!P45-TableB9!P45</f>
        <v>0</v>
      </c>
      <c r="Q45" s="255">
        <f>+TableB7!Q45-TableB9!Q45</f>
        <v>3152.0238000000004</v>
      </c>
      <c r="R45" s="142">
        <f>+TableB7!R45-TableB9!R45</f>
        <v>85.752700000000004</v>
      </c>
      <c r="S45" s="248">
        <f>+TableB7!S45-TableB9!S45</f>
        <v>1118.2919999999999</v>
      </c>
      <c r="T45" s="248">
        <f>+TableB7!T45-TableB9!T45</f>
        <v>940.63599999999997</v>
      </c>
      <c r="U45" s="166">
        <f>+TableB7!U45-TableB9!U45</f>
        <v>177.65599999999995</v>
      </c>
      <c r="V45" s="247">
        <f>+TableB7!V45-TableB9!V45</f>
        <v>1947.9791000000002</v>
      </c>
      <c r="W45" s="159">
        <f>+TableB7!W45-TableB9!W45</f>
        <v>744.49200000000008</v>
      </c>
      <c r="Y45" s="127"/>
      <c r="Z45" s="129"/>
      <c r="AA45" s="129"/>
      <c r="AB45" s="129"/>
      <c r="AC45" s="129"/>
    </row>
    <row r="46" spans="3:29" ht="14.5" x14ac:dyDescent="0.25">
      <c r="K46" s="131"/>
      <c r="L46" s="135">
        <f t="shared" si="0"/>
        <v>2007</v>
      </c>
      <c r="M46" s="784">
        <v>172</v>
      </c>
      <c r="N46" s="154">
        <f>+TableB7!N46-TableB9!N46</f>
        <v>21814.322000000004</v>
      </c>
      <c r="O46" s="253">
        <f>+TableB7!O46-TableB9!O46</f>
        <v>16916.916000000001</v>
      </c>
      <c r="P46" s="253">
        <f>+TableB7!P46-TableB9!P46</f>
        <v>0</v>
      </c>
      <c r="Q46" s="255">
        <f>+TableB7!Q46-TableB9!Q46</f>
        <v>4043.5947999999999</v>
      </c>
      <c r="R46" s="142">
        <f>+TableB7!R46-TableB9!R46</f>
        <v>105.11699999999999</v>
      </c>
      <c r="S46" s="248">
        <f>+TableB7!S46-TableB9!S46</f>
        <v>1441.7529999999999</v>
      </c>
      <c r="T46" s="248">
        <f>+TableB7!T46-TableB9!T46</f>
        <v>1210.6949999999999</v>
      </c>
      <c r="U46" s="166">
        <f>+TableB7!U46-TableB9!U46</f>
        <v>231.05799999999996</v>
      </c>
      <c r="V46" s="247">
        <f>+TableB7!V46-TableB9!V46</f>
        <v>2496.7248</v>
      </c>
      <c r="W46" s="159">
        <f>+TableB7!W46-TableB9!W46</f>
        <v>853.82799999999997</v>
      </c>
      <c r="Y46" s="127"/>
      <c r="Z46" s="129"/>
      <c r="AA46" s="129"/>
      <c r="AB46" s="129"/>
      <c r="AC46" s="129"/>
    </row>
    <row r="47" spans="3:29" ht="14.5" x14ac:dyDescent="0.25">
      <c r="K47" s="131"/>
      <c r="L47" s="135">
        <f t="shared" si="0"/>
        <v>2008</v>
      </c>
      <c r="M47" s="784">
        <v>172</v>
      </c>
      <c r="N47" s="154">
        <f>+TableB7!N47-TableB9!N47</f>
        <v>24597.877</v>
      </c>
      <c r="O47" s="253">
        <f>+TableB7!O47-TableB9!O47</f>
        <v>19506.939999999999</v>
      </c>
      <c r="P47" s="253">
        <f>+TableB7!P47-TableB9!P47</f>
        <v>0</v>
      </c>
      <c r="Q47" s="255">
        <f>+TableB7!Q47-TableB9!Q47</f>
        <v>4147.0393000000004</v>
      </c>
      <c r="R47" s="142">
        <f>+TableB7!R47-TableB9!R47</f>
        <v>125.39100000000001</v>
      </c>
      <c r="S47" s="248">
        <f>+TableB7!S47-TableB9!S47</f>
        <v>1389.9277</v>
      </c>
      <c r="T47" s="248">
        <f>+TableB7!T47-TableB9!T47</f>
        <v>1140.8481000000002</v>
      </c>
      <c r="U47" s="166">
        <f>+TableB7!U47-TableB9!U47</f>
        <v>249.07959999999989</v>
      </c>
      <c r="V47" s="247">
        <f>+TableB7!V47-TableB9!V47</f>
        <v>2631.7206000000001</v>
      </c>
      <c r="W47" s="159">
        <f>+TableB7!W47-TableB9!W47</f>
        <v>943.89409999999998</v>
      </c>
      <c r="Y47" s="152"/>
      <c r="Z47" s="129"/>
      <c r="AA47" s="129"/>
      <c r="AB47" s="129"/>
      <c r="AC47" s="129"/>
    </row>
    <row r="48" spans="3:29" ht="14.5" x14ac:dyDescent="0.25">
      <c r="C48" s="127"/>
      <c r="D48" s="127"/>
      <c r="E48" s="127"/>
      <c r="F48" s="127"/>
      <c r="G48" s="127"/>
      <c r="H48" s="127"/>
      <c r="I48" s="127"/>
      <c r="J48" s="127"/>
      <c r="L48" s="140">
        <f t="shared" ref="L48:L54" si="1">L47+1</f>
        <v>2009</v>
      </c>
      <c r="M48" s="787">
        <v>174</v>
      </c>
      <c r="N48" s="249">
        <f>+TableB7!N48-TableB9!N48</f>
        <v>19490.189000000002</v>
      </c>
      <c r="O48" s="258">
        <f>+TableB7!O48-TableB9!O48</f>
        <v>11929.611999999999</v>
      </c>
      <c r="P48" s="258">
        <f>+TableB7!P48-TableB9!P48</f>
        <v>3451.9720000000002</v>
      </c>
      <c r="Q48" s="239">
        <f>+TableB7!Q48-TableB9!Q48</f>
        <v>3227.4949999999999</v>
      </c>
      <c r="R48" s="245">
        <f>+TableB7!R48-TableB9!R48</f>
        <v>112.735</v>
      </c>
      <c r="S48" s="244">
        <f>+TableB7!S48-TableB9!S48</f>
        <v>1163.529</v>
      </c>
      <c r="T48" s="244">
        <f>+TableB7!T48-TableB9!T48</f>
        <v>956.96699999999998</v>
      </c>
      <c r="U48" s="243">
        <f>+TableB7!U48-TableB9!U48</f>
        <v>206.5619999999999</v>
      </c>
      <c r="V48" s="242">
        <f>+TableB7!V48-TableB9!V48</f>
        <v>1951.231</v>
      </c>
      <c r="W48" s="240">
        <f>+TableB7!W48-TableB9!W48</f>
        <v>881.11400000000003</v>
      </c>
    </row>
    <row r="49" spans="3:23" ht="14.5" x14ac:dyDescent="0.25">
      <c r="C49" s="127"/>
      <c r="D49" s="127"/>
      <c r="E49" s="127"/>
      <c r="F49" s="127"/>
      <c r="G49" s="127"/>
      <c r="H49" s="127"/>
      <c r="I49" s="127"/>
      <c r="J49" s="127"/>
      <c r="L49" s="135">
        <f t="shared" si="1"/>
        <v>2010</v>
      </c>
      <c r="M49" s="784">
        <v>174</v>
      </c>
      <c r="N49" s="154">
        <f>+TableB7!N49-TableB9!N49</f>
        <v>22699.328000000001</v>
      </c>
      <c r="O49" s="253">
        <f>+TableB7!O49-TableB9!O49</f>
        <v>14526.14</v>
      </c>
      <c r="P49" s="253">
        <f>+TableB7!P49-TableB9!P49</f>
        <v>3736.7620000000002</v>
      </c>
      <c r="Q49" s="255">
        <f>+TableB7!Q49-TableB9!Q49</f>
        <v>3519.6210000000001</v>
      </c>
      <c r="R49" s="142">
        <f>+TableB7!R49-TableB9!R49</f>
        <v>108.54300000000001</v>
      </c>
      <c r="S49" s="248">
        <f>+TableB7!S49-TableB9!S49</f>
        <v>1495.0149999999999</v>
      </c>
      <c r="T49" s="248">
        <f>+TableB7!T49-TableB9!T49</f>
        <v>1270.6849999999999</v>
      </c>
      <c r="U49" s="166">
        <f>+TableB7!U49-TableB9!U49</f>
        <v>224.32999999999996</v>
      </c>
      <c r="V49" s="247">
        <f>+TableB7!V49-TableB9!V49</f>
        <v>1916.0630000000001</v>
      </c>
      <c r="W49" s="159">
        <f>+TableB7!W49-TableB9!W49</f>
        <v>916.81299999999999</v>
      </c>
    </row>
    <row r="50" spans="3:23" ht="14.5" x14ac:dyDescent="0.25">
      <c r="C50" s="127"/>
      <c r="D50" s="127"/>
      <c r="E50" s="127"/>
      <c r="F50" s="127"/>
      <c r="G50" s="127"/>
      <c r="H50" s="127"/>
      <c r="I50" s="127"/>
      <c r="J50" s="127"/>
      <c r="L50" s="135">
        <f t="shared" si="1"/>
        <v>2011</v>
      </c>
      <c r="M50" s="784">
        <v>176</v>
      </c>
      <c r="N50" s="154">
        <f>+TableB7!N50-TableB9!N50</f>
        <v>26767.742000000002</v>
      </c>
      <c r="O50" s="253">
        <f>+TableB7!O50-TableB9!O50</f>
        <v>17513.795999999998</v>
      </c>
      <c r="P50" s="253">
        <f>+TableB7!P50-TableB9!P50</f>
        <v>4214.848</v>
      </c>
      <c r="Q50" s="255">
        <f>+TableB7!Q50-TableB9!Q50</f>
        <v>4007.15</v>
      </c>
      <c r="R50" s="142">
        <f>+TableB7!R50-TableB9!R50</f>
        <v>119.95499999999998</v>
      </c>
      <c r="S50" s="248">
        <f>+TableB7!S50-TableB9!S50</f>
        <v>1674.6569999999999</v>
      </c>
      <c r="T50" s="248">
        <f>+TableB7!T50-TableB9!T50</f>
        <v>1403.1780000000001</v>
      </c>
      <c r="U50" s="166">
        <f>+TableB7!U50-TableB9!U50</f>
        <v>271.47899999999993</v>
      </c>
      <c r="V50" s="247">
        <f>+TableB7!V50-TableB9!V50</f>
        <v>2212.538</v>
      </c>
      <c r="W50" s="159">
        <f>+TableB7!W50-TableB9!W50</f>
        <v>1031.9449999999999</v>
      </c>
    </row>
    <row r="51" spans="3:23" ht="14.5" x14ac:dyDescent="0.25">
      <c r="C51" s="128"/>
      <c r="D51" s="127"/>
      <c r="E51" s="127"/>
      <c r="F51" s="127"/>
      <c r="G51" s="127"/>
      <c r="H51" s="127"/>
      <c r="I51" s="127"/>
      <c r="J51" s="127"/>
      <c r="L51" s="135">
        <f t="shared" si="1"/>
        <v>2012</v>
      </c>
      <c r="M51" s="784">
        <v>178</v>
      </c>
      <c r="N51" s="154">
        <f>+TableB7!N51-TableB9!N51</f>
        <v>26978.567000000003</v>
      </c>
      <c r="O51" s="253">
        <f>+TableB7!O51-TableB9!O51</f>
        <v>17693.447</v>
      </c>
      <c r="P51" s="253">
        <f>+TableB7!P51-TableB9!P51</f>
        <v>4355.5780000000004</v>
      </c>
      <c r="Q51" s="255">
        <f>+TableB7!Q51-TableB9!Q51</f>
        <v>3854.3429999999998</v>
      </c>
      <c r="R51" s="142">
        <f>+TableB7!R51-TableB9!R51</f>
        <v>121.87300000000002</v>
      </c>
      <c r="S51" s="248">
        <f>+TableB7!S51-TableB9!S51</f>
        <v>1629</v>
      </c>
      <c r="T51" s="248">
        <f>+TableB7!T51-TableB9!T51</f>
        <v>1334.9959999999999</v>
      </c>
      <c r="U51" s="166">
        <f>+TableB7!U51-TableB9!U51</f>
        <v>294.00400000000008</v>
      </c>
      <c r="V51" s="247">
        <f>+TableB7!V51-TableB9!V51</f>
        <v>2103.4699999999998</v>
      </c>
      <c r="W51" s="159">
        <f>+TableB7!W51-TableB9!W51</f>
        <v>1075.0070000000001</v>
      </c>
    </row>
    <row r="52" spans="3:23" ht="14.5" x14ac:dyDescent="0.25">
      <c r="C52" s="127"/>
      <c r="D52" s="127"/>
      <c r="E52" s="127"/>
      <c r="F52" s="127"/>
      <c r="G52" s="127"/>
      <c r="H52" s="127"/>
      <c r="I52" s="127"/>
      <c r="J52" s="127"/>
      <c r="L52" s="135">
        <f t="shared" si="1"/>
        <v>2013</v>
      </c>
      <c r="M52" s="784">
        <v>176</v>
      </c>
      <c r="N52" s="154">
        <f>+TableB7!N52-TableB9!N52</f>
        <v>27813.066999999999</v>
      </c>
      <c r="O52" s="253">
        <f>+TableB7!O52-TableB9!O52</f>
        <v>18005.174999999999</v>
      </c>
      <c r="P52" s="253">
        <f>+TableB7!P52-TableB9!P52</f>
        <v>4624.7820000000002</v>
      </c>
      <c r="Q52" s="255">
        <f>+TableB7!Q52-TableB9!Q52</f>
        <v>4006.6019999999999</v>
      </c>
      <c r="R52" s="142">
        <f>+TableB7!R52-TableB9!R52</f>
        <v>135.69900000000001</v>
      </c>
      <c r="S52" s="248">
        <f>+TableB7!S52-TableB9!S52</f>
        <v>1686.125</v>
      </c>
      <c r="T52" s="248">
        <f>+TableB7!T52-TableB9!T52</f>
        <v>1386.402</v>
      </c>
      <c r="U52" s="166">
        <f>+TableB7!U52-TableB9!U52</f>
        <v>299.72299999999996</v>
      </c>
      <c r="V52" s="247">
        <f>+TableB7!V52-TableB9!V52</f>
        <v>2184.7779999999998</v>
      </c>
      <c r="W52" s="159">
        <f>+TableB7!W52-TableB9!W52</f>
        <v>1176.8409999999999</v>
      </c>
    </row>
    <row r="53" spans="3:23" ht="14.5" x14ac:dyDescent="0.25">
      <c r="C53" s="127"/>
      <c r="D53" s="127"/>
      <c r="E53" s="127"/>
      <c r="F53" s="127"/>
      <c r="G53" s="127"/>
      <c r="H53" s="127"/>
      <c r="I53" s="127"/>
      <c r="J53" s="127"/>
      <c r="L53" s="135">
        <f t="shared" si="1"/>
        <v>2014</v>
      </c>
      <c r="M53" s="784">
        <v>165</v>
      </c>
      <c r="N53" s="154">
        <f>+TableB7!N53-TableB9!N53</f>
        <v>28382.557000000001</v>
      </c>
      <c r="O53" s="253">
        <f>+TableB7!O53-TableB9!O53</f>
        <v>18099.690999999999</v>
      </c>
      <c r="P53" s="253">
        <f>+TableB7!P53-TableB9!P53</f>
        <v>4985.9160000000002</v>
      </c>
      <c r="Q53" s="255">
        <f>+TableB7!Q53-TableB9!Q53</f>
        <v>4084.81</v>
      </c>
      <c r="R53" s="142">
        <f>+TableB7!R53-TableB9!R53</f>
        <v>140.89599999999999</v>
      </c>
      <c r="S53" s="248">
        <f>+TableB7!S53-TableB9!S53</f>
        <v>1764.9739999999999</v>
      </c>
      <c r="T53" s="248">
        <f>+TableB7!T53-TableB9!T53</f>
        <v>1455.807</v>
      </c>
      <c r="U53" s="166">
        <f>+TableB7!U53-TableB9!U53</f>
        <v>309.16700000000009</v>
      </c>
      <c r="V53" s="247">
        <f>+TableB7!V53-TableB9!V53</f>
        <v>2178.94</v>
      </c>
      <c r="W53" s="159">
        <f>+TableB7!W53-TableB9!W53</f>
        <v>1211.694</v>
      </c>
    </row>
    <row r="54" spans="3:23" ht="15" thickBot="1" x14ac:dyDescent="0.3">
      <c r="C54" s="127"/>
      <c r="D54" s="127"/>
      <c r="E54" s="127"/>
      <c r="F54" s="127"/>
      <c r="G54" s="127"/>
      <c r="H54" s="127"/>
      <c r="I54" s="127"/>
      <c r="J54" s="127"/>
      <c r="L54" s="130">
        <f t="shared" si="1"/>
        <v>2015</v>
      </c>
      <c r="M54" s="788">
        <v>155</v>
      </c>
      <c r="N54" s="238">
        <f>+TableB7!N54-TableB9!N54</f>
        <v>25395.516</v>
      </c>
      <c r="O54" s="256">
        <f>+TableB7!O54-TableB9!O54</f>
        <v>15837.369000000001</v>
      </c>
      <c r="P54" s="256">
        <f>+TableB7!P54-TableB9!P54</f>
        <v>4685.6099999999997</v>
      </c>
      <c r="Q54" s="254">
        <f>+TableB7!Q54-TableB9!Q54</f>
        <v>3738.027</v>
      </c>
      <c r="R54" s="237">
        <f>+TableB7!R54-TableB9!R54</f>
        <v>128.08499999999998</v>
      </c>
      <c r="S54" s="236">
        <f>+TableB7!S54-TableB9!S54</f>
        <v>1472.5059999999999</v>
      </c>
      <c r="T54" s="236">
        <f>+TableB7!T54-TableB9!T54</f>
        <v>1212.4110000000001</v>
      </c>
      <c r="U54" s="235">
        <f>+TableB7!U54-TableB9!U54</f>
        <v>260.09499999999991</v>
      </c>
      <c r="V54" s="234">
        <f>+TableB7!V54-TableB9!V54</f>
        <v>2137.4360000000001</v>
      </c>
      <c r="W54" s="233">
        <f>+TableB7!W54-TableB9!W54</f>
        <v>1134.1389999999999</v>
      </c>
    </row>
    <row r="55" spans="3:23" ht="13.5" thickTop="1" thickBot="1" x14ac:dyDescent="0.3">
      <c r="C55" s="127"/>
      <c r="D55" s="127"/>
      <c r="E55" s="127"/>
      <c r="F55" s="127"/>
      <c r="G55" s="127"/>
      <c r="H55" s="127"/>
      <c r="I55" s="127"/>
      <c r="J55" s="127"/>
    </row>
    <row r="56" spans="3:23" x14ac:dyDescent="0.25">
      <c r="C56" s="127"/>
      <c r="D56" s="127"/>
      <c r="E56" s="127"/>
      <c r="F56" s="127"/>
      <c r="G56" s="127"/>
      <c r="H56" s="127"/>
      <c r="I56" s="127"/>
      <c r="J56" s="127"/>
      <c r="L56" s="2342" t="s">
        <v>707</v>
      </c>
      <c r="M56" s="2343"/>
      <c r="N56" s="2343"/>
      <c r="O56" s="2343"/>
      <c r="P56" s="2343"/>
      <c r="Q56" s="2343"/>
      <c r="R56" s="2343"/>
      <c r="S56" s="2343"/>
      <c r="T56" s="2343"/>
      <c r="U56" s="2343"/>
      <c r="V56" s="2343"/>
      <c r="W56" s="2344"/>
    </row>
    <row r="57" spans="3:23" ht="13" thickBot="1" x14ac:dyDescent="0.3">
      <c r="C57" s="127"/>
      <c r="D57" s="127"/>
      <c r="E57" s="127"/>
      <c r="F57" s="127"/>
      <c r="G57" s="127"/>
      <c r="H57" s="127"/>
      <c r="I57" s="127"/>
      <c r="J57" s="127"/>
      <c r="L57" s="2345"/>
      <c r="M57" s="2346"/>
      <c r="N57" s="2346"/>
      <c r="O57" s="2346"/>
      <c r="P57" s="2346"/>
      <c r="Q57" s="2346"/>
      <c r="R57" s="2346"/>
      <c r="S57" s="2346"/>
      <c r="T57" s="2346"/>
      <c r="U57" s="2346"/>
      <c r="V57" s="2346"/>
      <c r="W57" s="2347"/>
    </row>
    <row r="58" spans="3:23" x14ac:dyDescent="0.25">
      <c r="C58" s="127"/>
      <c r="D58" s="127"/>
      <c r="E58" s="127"/>
      <c r="F58" s="127"/>
      <c r="G58" s="127"/>
      <c r="H58" s="127"/>
      <c r="I58" s="127"/>
      <c r="J58" s="127"/>
    </row>
    <row r="59" spans="3:23" x14ac:dyDescent="0.25">
      <c r="C59" s="127"/>
      <c r="D59" s="127"/>
      <c r="E59" s="127"/>
      <c r="F59" s="127"/>
      <c r="G59" s="127"/>
      <c r="H59" s="127"/>
      <c r="I59" s="127"/>
      <c r="J59" s="127"/>
    </row>
    <row r="60" spans="3:23" x14ac:dyDescent="0.25">
      <c r="C60" s="127"/>
      <c r="D60" s="127"/>
      <c r="E60" s="127"/>
      <c r="F60" s="127"/>
      <c r="G60" s="127"/>
      <c r="H60" s="127"/>
      <c r="I60" s="127"/>
      <c r="J60" s="127"/>
    </row>
    <row r="61" spans="3:23" x14ac:dyDescent="0.25">
      <c r="C61" s="127"/>
      <c r="D61" s="127"/>
      <c r="E61" s="127"/>
      <c r="F61" s="127"/>
      <c r="G61" s="127"/>
      <c r="H61" s="127"/>
      <c r="I61" s="127"/>
      <c r="J61" s="127"/>
    </row>
    <row r="62" spans="3:23" x14ac:dyDescent="0.25">
      <c r="C62" s="127"/>
      <c r="D62" s="127"/>
      <c r="E62" s="127"/>
      <c r="F62" s="127"/>
      <c r="G62" s="127"/>
      <c r="H62" s="127"/>
      <c r="I62" s="127"/>
      <c r="J62" s="127"/>
    </row>
    <row r="63" spans="3:23" x14ac:dyDescent="0.25">
      <c r="C63" s="127"/>
      <c r="D63" s="127"/>
      <c r="E63" s="127"/>
      <c r="F63" s="127"/>
      <c r="G63" s="127"/>
      <c r="H63" s="127"/>
      <c r="I63" s="127"/>
      <c r="J63" s="127"/>
    </row>
    <row r="64" spans="3:23" x14ac:dyDescent="0.25">
      <c r="C64" s="127"/>
      <c r="D64" s="127"/>
      <c r="E64" s="127"/>
      <c r="F64" s="127"/>
      <c r="G64" s="127"/>
      <c r="H64" s="127"/>
      <c r="I64" s="127"/>
      <c r="J64" s="127"/>
    </row>
    <row r="65" spans="3:10" x14ac:dyDescent="0.25">
      <c r="C65" s="127"/>
      <c r="D65" s="127"/>
      <c r="E65" s="127"/>
      <c r="F65" s="127"/>
      <c r="G65" s="127"/>
      <c r="H65" s="127"/>
      <c r="I65" s="127"/>
      <c r="J65" s="127"/>
    </row>
    <row r="66" spans="3:10" x14ac:dyDescent="0.25">
      <c r="C66" s="127"/>
      <c r="D66" s="127"/>
      <c r="E66" s="127"/>
      <c r="F66" s="127"/>
      <c r="G66" s="127"/>
      <c r="H66" s="127"/>
      <c r="I66" s="127"/>
      <c r="J66" s="127"/>
    </row>
    <row r="67" spans="3:10" x14ac:dyDescent="0.25">
      <c r="C67" s="127"/>
      <c r="D67" s="127"/>
      <c r="E67" s="127"/>
      <c r="F67" s="127"/>
      <c r="G67" s="127"/>
      <c r="H67" s="127"/>
      <c r="I67" s="127"/>
      <c r="J67" s="127"/>
    </row>
    <row r="68" spans="3:10" x14ac:dyDescent="0.25">
      <c r="C68" s="127"/>
      <c r="D68" s="127"/>
      <c r="E68" s="127"/>
      <c r="F68" s="127"/>
      <c r="G68" s="127"/>
      <c r="H68" s="127"/>
      <c r="I68" s="127"/>
      <c r="J68" s="127"/>
    </row>
    <row r="69" spans="3:10" x14ac:dyDescent="0.25">
      <c r="C69" s="127"/>
      <c r="D69" s="127"/>
      <c r="E69" s="127"/>
      <c r="F69" s="127"/>
      <c r="G69" s="127"/>
      <c r="H69" s="127"/>
      <c r="I69" s="127"/>
      <c r="J69" s="127"/>
    </row>
    <row r="70" spans="3:10" x14ac:dyDescent="0.25">
      <c r="C70" s="127"/>
      <c r="D70" s="127"/>
      <c r="E70" s="127"/>
      <c r="F70" s="127"/>
      <c r="G70" s="127"/>
      <c r="H70" s="127"/>
      <c r="I70" s="127"/>
      <c r="J70" s="127"/>
    </row>
    <row r="71" spans="3:10" x14ac:dyDescent="0.25">
      <c r="C71" s="127"/>
      <c r="D71" s="127"/>
      <c r="E71" s="127"/>
      <c r="F71" s="127"/>
      <c r="G71" s="127"/>
      <c r="H71" s="127"/>
      <c r="I71" s="127"/>
      <c r="J71" s="127"/>
    </row>
    <row r="72" spans="3:10" x14ac:dyDescent="0.25">
      <c r="C72" s="127"/>
      <c r="D72" s="127"/>
      <c r="E72" s="127"/>
      <c r="F72" s="127"/>
      <c r="G72" s="127"/>
      <c r="H72" s="127"/>
      <c r="I72" s="127"/>
      <c r="J72" s="127"/>
    </row>
    <row r="73" spans="3:10" x14ac:dyDescent="0.25">
      <c r="C73" s="127"/>
      <c r="D73" s="127"/>
      <c r="E73" s="127"/>
      <c r="F73" s="127"/>
      <c r="G73" s="127"/>
      <c r="H73" s="127"/>
      <c r="I73" s="127"/>
      <c r="J73" s="127"/>
    </row>
    <row r="74" spans="3:10" x14ac:dyDescent="0.25">
      <c r="C74" s="127"/>
      <c r="D74" s="127"/>
      <c r="E74" s="127"/>
      <c r="F74" s="127"/>
      <c r="G74" s="127"/>
      <c r="H74" s="127"/>
      <c r="I74" s="127"/>
      <c r="J74" s="127"/>
    </row>
    <row r="75" spans="3:10" x14ac:dyDescent="0.25">
      <c r="C75" s="127"/>
      <c r="D75" s="127"/>
      <c r="E75" s="127"/>
      <c r="F75" s="127"/>
      <c r="G75" s="127"/>
      <c r="H75" s="127"/>
      <c r="I75" s="127"/>
      <c r="J75" s="127"/>
    </row>
    <row r="76" spans="3:10" x14ac:dyDescent="0.25">
      <c r="C76" s="127"/>
      <c r="D76" s="127"/>
      <c r="E76" s="127"/>
      <c r="F76" s="127"/>
      <c r="G76" s="127"/>
      <c r="H76" s="127"/>
      <c r="I76" s="127"/>
      <c r="J76" s="127"/>
    </row>
    <row r="77" spans="3:10" x14ac:dyDescent="0.25">
      <c r="C77" s="127"/>
      <c r="D77" s="127"/>
      <c r="E77" s="127"/>
      <c r="F77" s="127"/>
      <c r="G77" s="127"/>
      <c r="H77" s="127"/>
      <c r="I77" s="127"/>
      <c r="J77" s="127"/>
    </row>
    <row r="78" spans="3:10" x14ac:dyDescent="0.25">
      <c r="C78" s="127"/>
      <c r="D78" s="127"/>
      <c r="E78" s="127"/>
      <c r="F78" s="127"/>
      <c r="G78" s="127"/>
      <c r="H78" s="127"/>
      <c r="I78" s="127"/>
      <c r="J78" s="127"/>
    </row>
    <row r="79" spans="3:10" x14ac:dyDescent="0.25">
      <c r="C79" s="127"/>
      <c r="D79" s="127"/>
      <c r="E79" s="127"/>
      <c r="F79" s="127"/>
      <c r="G79" s="127"/>
      <c r="H79" s="127"/>
      <c r="I79" s="127"/>
      <c r="J79" s="127"/>
    </row>
    <row r="80" spans="3:10" x14ac:dyDescent="0.25">
      <c r="C80" s="127"/>
      <c r="D80" s="127"/>
      <c r="E80" s="127"/>
      <c r="F80" s="127"/>
      <c r="G80" s="127"/>
      <c r="H80" s="127"/>
      <c r="I80" s="127"/>
      <c r="J80" s="127"/>
    </row>
    <row r="81" spans="3:10" x14ac:dyDescent="0.25">
      <c r="C81" s="127"/>
      <c r="D81" s="127"/>
      <c r="E81" s="127"/>
      <c r="F81" s="127"/>
      <c r="G81" s="127"/>
      <c r="H81" s="127"/>
      <c r="I81" s="127"/>
      <c r="J81" s="127"/>
    </row>
    <row r="82" spans="3:10" x14ac:dyDescent="0.25">
      <c r="C82" s="127"/>
      <c r="D82" s="127"/>
      <c r="E82" s="127"/>
      <c r="F82" s="127"/>
      <c r="G82" s="127"/>
      <c r="H82" s="127"/>
      <c r="I82" s="127"/>
      <c r="J82" s="127"/>
    </row>
    <row r="83" spans="3:10" x14ac:dyDescent="0.25">
      <c r="C83" s="127"/>
      <c r="D83" s="127"/>
      <c r="E83" s="127"/>
      <c r="F83" s="127"/>
      <c r="G83" s="127"/>
      <c r="H83" s="127"/>
      <c r="I83" s="127"/>
      <c r="J83" s="127"/>
    </row>
    <row r="84" spans="3:10" x14ac:dyDescent="0.25">
      <c r="C84" s="127"/>
      <c r="D84" s="127"/>
      <c r="E84" s="127"/>
      <c r="F84" s="127"/>
      <c r="G84" s="127"/>
      <c r="H84" s="127"/>
      <c r="I84" s="127"/>
      <c r="J84" s="127"/>
    </row>
    <row r="85" spans="3:10" x14ac:dyDescent="0.25">
      <c r="C85" s="127"/>
      <c r="D85" s="127"/>
      <c r="E85" s="127"/>
      <c r="F85" s="127"/>
      <c r="G85" s="127"/>
      <c r="H85" s="127"/>
      <c r="I85" s="127"/>
      <c r="J85" s="127"/>
    </row>
    <row r="86" spans="3:10" x14ac:dyDescent="0.25">
      <c r="C86" s="127"/>
      <c r="D86" s="127"/>
      <c r="E86" s="127"/>
      <c r="F86" s="127"/>
      <c r="G86" s="127"/>
      <c r="H86" s="127"/>
      <c r="I86" s="127"/>
      <c r="J86" s="127"/>
    </row>
    <row r="87" spans="3:10" x14ac:dyDescent="0.25">
      <c r="C87" s="127"/>
      <c r="D87" s="127"/>
      <c r="E87" s="127"/>
      <c r="F87" s="127"/>
      <c r="G87" s="127"/>
      <c r="H87" s="127"/>
      <c r="I87" s="127"/>
      <c r="J87" s="127"/>
    </row>
    <row r="88" spans="3:10" x14ac:dyDescent="0.25">
      <c r="C88" s="127"/>
      <c r="D88" s="127"/>
      <c r="E88" s="127"/>
      <c r="F88" s="127"/>
      <c r="G88" s="127"/>
      <c r="H88" s="127"/>
      <c r="I88" s="127"/>
      <c r="J88" s="127"/>
    </row>
    <row r="89" spans="3:10" x14ac:dyDescent="0.25">
      <c r="C89" s="127"/>
      <c r="D89" s="127"/>
      <c r="E89" s="127"/>
      <c r="F89" s="127"/>
      <c r="G89" s="127"/>
      <c r="H89" s="127"/>
      <c r="I89" s="127"/>
      <c r="J89" s="127"/>
    </row>
    <row r="90" spans="3:10" x14ac:dyDescent="0.25">
      <c r="C90" s="127"/>
      <c r="D90" s="127"/>
      <c r="E90" s="127"/>
      <c r="F90" s="127"/>
      <c r="G90" s="127"/>
      <c r="H90" s="127"/>
      <c r="I90" s="127"/>
      <c r="J90" s="127"/>
    </row>
    <row r="91" spans="3:10" x14ac:dyDescent="0.25">
      <c r="C91" s="127"/>
      <c r="D91" s="127"/>
      <c r="E91" s="127"/>
      <c r="F91" s="127"/>
      <c r="G91" s="127"/>
      <c r="H91" s="127"/>
      <c r="I91" s="127"/>
      <c r="J91" s="127"/>
    </row>
    <row r="92" spans="3:10" x14ac:dyDescent="0.25">
      <c r="C92" s="127"/>
      <c r="D92" s="127"/>
      <c r="E92" s="127"/>
      <c r="F92" s="127"/>
      <c r="G92" s="127"/>
      <c r="H92" s="127"/>
      <c r="I92" s="127"/>
      <c r="J92" s="127"/>
    </row>
    <row r="93" spans="3:10" x14ac:dyDescent="0.25">
      <c r="C93" s="127"/>
      <c r="D93" s="127"/>
      <c r="E93" s="127"/>
      <c r="F93" s="127"/>
      <c r="G93" s="127"/>
      <c r="H93" s="127"/>
      <c r="I93" s="127"/>
      <c r="J93" s="127"/>
    </row>
    <row r="94" spans="3:10" x14ac:dyDescent="0.25">
      <c r="C94" s="127"/>
      <c r="D94" s="127"/>
      <c r="E94" s="127"/>
      <c r="F94" s="127"/>
      <c r="G94" s="127"/>
      <c r="H94" s="127"/>
      <c r="I94" s="127"/>
      <c r="J94" s="127"/>
    </row>
    <row r="95" spans="3:10" x14ac:dyDescent="0.25">
      <c r="C95" s="127"/>
      <c r="D95" s="127"/>
      <c r="E95" s="127"/>
      <c r="F95" s="127"/>
      <c r="G95" s="127"/>
      <c r="H95" s="127"/>
      <c r="I95" s="127"/>
      <c r="J95" s="127"/>
    </row>
    <row r="96" spans="3:10" x14ac:dyDescent="0.25">
      <c r="C96" s="127"/>
      <c r="D96" s="127"/>
      <c r="E96" s="127"/>
      <c r="F96" s="127"/>
      <c r="G96" s="127"/>
      <c r="H96" s="127"/>
      <c r="I96" s="127"/>
      <c r="J96" s="127"/>
    </row>
    <row r="97" spans="3:10" x14ac:dyDescent="0.25">
      <c r="C97" s="127"/>
      <c r="D97" s="127"/>
      <c r="E97" s="127"/>
      <c r="F97" s="127"/>
      <c r="G97" s="127"/>
      <c r="H97" s="127"/>
      <c r="I97" s="127"/>
      <c r="J97" s="127"/>
    </row>
    <row r="98" spans="3:10" x14ac:dyDescent="0.25">
      <c r="C98" s="127"/>
      <c r="D98" s="127"/>
      <c r="E98" s="127"/>
      <c r="F98" s="127"/>
      <c r="G98" s="127"/>
      <c r="H98" s="127"/>
      <c r="I98" s="127"/>
      <c r="J98" s="127"/>
    </row>
    <row r="99" spans="3:10" x14ac:dyDescent="0.25">
      <c r="C99" s="127"/>
      <c r="D99" s="127"/>
      <c r="E99" s="127"/>
      <c r="F99" s="127"/>
      <c r="G99" s="127"/>
      <c r="H99" s="127"/>
      <c r="I99" s="127"/>
      <c r="J99" s="127"/>
    </row>
    <row r="100" spans="3:10" x14ac:dyDescent="0.25">
      <c r="C100" s="127"/>
      <c r="D100" s="127"/>
      <c r="E100" s="127"/>
      <c r="F100" s="127"/>
      <c r="G100" s="127"/>
      <c r="H100" s="127"/>
      <c r="I100" s="127"/>
      <c r="J100" s="127"/>
    </row>
    <row r="101" spans="3:10" x14ac:dyDescent="0.25">
      <c r="C101" s="127"/>
      <c r="D101" s="127"/>
      <c r="E101" s="127"/>
      <c r="F101" s="127"/>
      <c r="G101" s="127"/>
      <c r="H101" s="127"/>
      <c r="I101" s="127"/>
      <c r="J101" s="127"/>
    </row>
    <row r="102" spans="3:10" x14ac:dyDescent="0.25">
      <c r="C102" s="127"/>
      <c r="D102" s="127"/>
      <c r="E102" s="127"/>
      <c r="F102" s="127"/>
      <c r="G102" s="127"/>
      <c r="H102" s="127"/>
      <c r="I102" s="127"/>
      <c r="J102" s="127"/>
    </row>
    <row r="103" spans="3:10" x14ac:dyDescent="0.25">
      <c r="C103" s="127"/>
      <c r="D103" s="127"/>
      <c r="E103" s="127"/>
      <c r="F103" s="127"/>
      <c r="G103" s="127"/>
      <c r="H103" s="127"/>
      <c r="I103" s="127"/>
      <c r="J103" s="127"/>
    </row>
    <row r="104" spans="3:10" x14ac:dyDescent="0.25">
      <c r="C104" s="127"/>
      <c r="D104" s="127"/>
      <c r="E104" s="127"/>
      <c r="F104" s="127"/>
      <c r="G104" s="127"/>
      <c r="H104" s="127"/>
      <c r="I104" s="127"/>
      <c r="J104" s="127"/>
    </row>
    <row r="105" spans="3:10" x14ac:dyDescent="0.25">
      <c r="C105" s="127"/>
      <c r="D105" s="127"/>
      <c r="E105" s="127"/>
      <c r="F105" s="127"/>
      <c r="G105" s="127"/>
      <c r="H105" s="127"/>
      <c r="I105" s="127"/>
      <c r="J105" s="127"/>
    </row>
    <row r="106" spans="3:10" x14ac:dyDescent="0.25">
      <c r="C106" s="127"/>
      <c r="D106" s="127"/>
      <c r="E106" s="127"/>
      <c r="F106" s="127"/>
      <c r="G106" s="127"/>
      <c r="H106" s="127"/>
      <c r="I106" s="127"/>
      <c r="J106" s="127"/>
    </row>
    <row r="107" spans="3:10" x14ac:dyDescent="0.25">
      <c r="C107" s="127"/>
      <c r="D107" s="127"/>
      <c r="E107" s="127"/>
      <c r="F107" s="127"/>
      <c r="G107" s="127"/>
      <c r="H107" s="127"/>
      <c r="I107" s="127"/>
      <c r="J107" s="127"/>
    </row>
    <row r="108" spans="3:10" x14ac:dyDescent="0.25">
      <c r="C108" s="127"/>
      <c r="D108" s="127"/>
      <c r="E108" s="127"/>
      <c r="F108" s="127"/>
      <c r="G108" s="127"/>
      <c r="H108" s="127"/>
      <c r="I108" s="127"/>
      <c r="J108" s="127"/>
    </row>
    <row r="109" spans="3:10" x14ac:dyDescent="0.25">
      <c r="C109" s="127"/>
      <c r="D109" s="127"/>
      <c r="E109" s="127"/>
      <c r="F109" s="127"/>
      <c r="G109" s="127"/>
      <c r="H109" s="127"/>
      <c r="I109" s="127"/>
      <c r="J109" s="127"/>
    </row>
    <row r="110" spans="3:10" x14ac:dyDescent="0.25">
      <c r="C110" s="127"/>
      <c r="D110" s="127"/>
      <c r="E110" s="127"/>
      <c r="F110" s="127"/>
      <c r="G110" s="127"/>
      <c r="H110" s="127"/>
      <c r="I110" s="127"/>
      <c r="J110" s="127"/>
    </row>
    <row r="111" spans="3:10" x14ac:dyDescent="0.25">
      <c r="C111" s="127"/>
      <c r="D111" s="127"/>
      <c r="E111" s="127"/>
      <c r="F111" s="127"/>
      <c r="G111" s="127"/>
      <c r="H111" s="127"/>
      <c r="I111" s="127"/>
      <c r="J111" s="127"/>
    </row>
    <row r="112" spans="3:10" x14ac:dyDescent="0.25">
      <c r="C112" s="127"/>
      <c r="D112" s="127"/>
      <c r="E112" s="127"/>
      <c r="F112" s="127"/>
      <c r="G112" s="127"/>
      <c r="H112" s="127"/>
      <c r="I112" s="127"/>
      <c r="J112" s="127"/>
    </row>
    <row r="113" spans="3:10" x14ac:dyDescent="0.25">
      <c r="C113" s="127"/>
      <c r="D113" s="127"/>
      <c r="E113" s="127"/>
      <c r="F113" s="127"/>
      <c r="G113" s="127"/>
      <c r="H113" s="127"/>
      <c r="I113" s="127"/>
      <c r="J113" s="127"/>
    </row>
    <row r="114" spans="3:10" x14ac:dyDescent="0.25">
      <c r="C114" s="127"/>
      <c r="D114" s="127"/>
      <c r="E114" s="127"/>
      <c r="F114" s="127"/>
      <c r="G114" s="127"/>
      <c r="H114" s="127"/>
      <c r="I114" s="127"/>
      <c r="J114" s="127"/>
    </row>
    <row r="115" spans="3:10" x14ac:dyDescent="0.25">
      <c r="C115" s="127"/>
      <c r="D115" s="127"/>
      <c r="E115" s="127"/>
      <c r="F115" s="127"/>
      <c r="G115" s="127"/>
      <c r="H115" s="127"/>
      <c r="I115" s="127"/>
      <c r="J115" s="127"/>
    </row>
    <row r="116" spans="3:10" x14ac:dyDescent="0.25">
      <c r="C116" s="127"/>
      <c r="D116" s="127"/>
      <c r="E116" s="127"/>
      <c r="F116" s="127"/>
      <c r="G116" s="127"/>
      <c r="H116" s="127"/>
      <c r="I116" s="127"/>
      <c r="J116" s="127"/>
    </row>
    <row r="117" spans="3:10" x14ac:dyDescent="0.25">
      <c r="C117" s="127"/>
      <c r="D117" s="127"/>
      <c r="E117" s="127"/>
      <c r="F117" s="127"/>
      <c r="G117" s="127"/>
      <c r="H117" s="127"/>
      <c r="I117" s="127"/>
      <c r="J117" s="127"/>
    </row>
    <row r="118" spans="3:10" x14ac:dyDescent="0.25">
      <c r="C118" s="127"/>
      <c r="D118" s="127"/>
      <c r="E118" s="127"/>
      <c r="F118" s="127"/>
      <c r="G118" s="127"/>
      <c r="H118" s="127"/>
      <c r="I118" s="127"/>
      <c r="J118" s="127"/>
    </row>
    <row r="119" spans="3:10" x14ac:dyDescent="0.25">
      <c r="C119" s="127"/>
      <c r="D119" s="127"/>
      <c r="E119" s="127"/>
      <c r="F119" s="127"/>
      <c r="G119" s="127"/>
      <c r="H119" s="127"/>
      <c r="I119" s="127"/>
      <c r="J119" s="127"/>
    </row>
    <row r="120" spans="3:10" x14ac:dyDescent="0.25">
      <c r="C120" s="127"/>
      <c r="D120" s="127"/>
      <c r="E120" s="127"/>
      <c r="F120" s="127"/>
      <c r="G120" s="127"/>
      <c r="H120" s="127"/>
      <c r="I120" s="127"/>
      <c r="J120" s="127"/>
    </row>
    <row r="121" spans="3:10" x14ac:dyDescent="0.25">
      <c r="C121" s="127"/>
      <c r="D121" s="127"/>
      <c r="E121" s="127"/>
      <c r="F121" s="127"/>
      <c r="G121" s="127"/>
      <c r="H121" s="127"/>
      <c r="I121" s="127"/>
      <c r="J121" s="127"/>
    </row>
    <row r="122" spans="3:10" x14ac:dyDescent="0.25">
      <c r="C122" s="127"/>
      <c r="D122" s="127"/>
      <c r="E122" s="127"/>
      <c r="F122" s="127"/>
      <c r="G122" s="127"/>
      <c r="H122" s="127"/>
      <c r="I122" s="127"/>
      <c r="J122" s="127"/>
    </row>
    <row r="123" spans="3:10" x14ac:dyDescent="0.25">
      <c r="C123" s="127"/>
      <c r="D123" s="127"/>
      <c r="E123" s="127"/>
      <c r="F123" s="127"/>
      <c r="G123" s="127"/>
      <c r="H123" s="127"/>
      <c r="I123" s="127"/>
      <c r="J123" s="127"/>
    </row>
    <row r="124" spans="3:10" x14ac:dyDescent="0.25">
      <c r="C124" s="127"/>
      <c r="D124" s="127"/>
      <c r="E124" s="127"/>
      <c r="F124" s="127"/>
      <c r="G124" s="127"/>
      <c r="H124" s="127"/>
      <c r="I124" s="127"/>
      <c r="J124" s="127"/>
    </row>
    <row r="125" spans="3:10" x14ac:dyDescent="0.25">
      <c r="C125" s="127"/>
      <c r="D125" s="127"/>
      <c r="E125" s="127"/>
      <c r="F125" s="127"/>
      <c r="G125" s="127"/>
      <c r="H125" s="127"/>
      <c r="I125" s="127"/>
      <c r="J125" s="127"/>
    </row>
    <row r="126" spans="3:10" x14ac:dyDescent="0.25">
      <c r="C126" s="127"/>
      <c r="D126" s="127"/>
      <c r="E126" s="127"/>
      <c r="F126" s="127"/>
      <c r="G126" s="127"/>
      <c r="H126" s="127"/>
      <c r="I126" s="127"/>
      <c r="J126" s="127"/>
    </row>
    <row r="127" spans="3:10" x14ac:dyDescent="0.25">
      <c r="C127" s="127"/>
      <c r="D127" s="127"/>
      <c r="E127" s="127"/>
      <c r="F127" s="127"/>
      <c r="G127" s="127"/>
      <c r="H127" s="127"/>
      <c r="I127" s="127"/>
      <c r="J127" s="127"/>
    </row>
    <row r="128" spans="3:10" x14ac:dyDescent="0.25">
      <c r="C128" s="127"/>
      <c r="D128" s="127"/>
      <c r="E128" s="127"/>
      <c r="F128" s="127"/>
      <c r="G128" s="127"/>
      <c r="H128" s="127"/>
      <c r="I128" s="127"/>
      <c r="J128" s="127"/>
    </row>
    <row r="129" spans="3:10" x14ac:dyDescent="0.25">
      <c r="C129" s="127"/>
      <c r="D129" s="127"/>
      <c r="E129" s="127"/>
      <c r="F129" s="127"/>
      <c r="G129" s="127"/>
      <c r="H129" s="127"/>
      <c r="I129" s="127"/>
      <c r="J129" s="127"/>
    </row>
    <row r="130" spans="3:10" x14ac:dyDescent="0.25">
      <c r="C130" s="127"/>
      <c r="D130" s="127"/>
      <c r="E130" s="127"/>
      <c r="F130" s="127"/>
      <c r="G130" s="127"/>
      <c r="H130" s="127"/>
      <c r="I130" s="127"/>
      <c r="J130" s="127"/>
    </row>
    <row r="131" spans="3:10" x14ac:dyDescent="0.25">
      <c r="C131" s="127"/>
      <c r="D131" s="127"/>
      <c r="E131" s="127"/>
      <c r="F131" s="127"/>
      <c r="G131" s="127"/>
      <c r="H131" s="127"/>
      <c r="I131" s="127"/>
      <c r="J131" s="127"/>
    </row>
    <row r="132" spans="3:10" x14ac:dyDescent="0.25">
      <c r="C132" s="127"/>
      <c r="D132" s="127"/>
      <c r="E132" s="127"/>
      <c r="F132" s="127"/>
      <c r="G132" s="127"/>
      <c r="H132" s="127"/>
      <c r="I132" s="127"/>
      <c r="J132" s="127"/>
    </row>
    <row r="133" spans="3:10" x14ac:dyDescent="0.25">
      <c r="C133" s="127"/>
      <c r="D133" s="127"/>
      <c r="E133" s="127"/>
      <c r="F133" s="127"/>
      <c r="G133" s="127"/>
      <c r="H133" s="127"/>
      <c r="I133" s="127"/>
      <c r="J133" s="127"/>
    </row>
    <row r="134" spans="3:10" x14ac:dyDescent="0.25">
      <c r="C134" s="127"/>
      <c r="D134" s="127"/>
      <c r="E134" s="127"/>
      <c r="F134" s="127"/>
      <c r="G134" s="127"/>
      <c r="H134" s="127"/>
      <c r="I134" s="127"/>
      <c r="J134" s="127"/>
    </row>
    <row r="135" spans="3:10" x14ac:dyDescent="0.25">
      <c r="C135" s="127"/>
      <c r="D135" s="127"/>
      <c r="E135" s="127"/>
      <c r="F135" s="127"/>
      <c r="G135" s="127"/>
      <c r="H135" s="127"/>
      <c r="I135" s="127"/>
      <c r="J135" s="127"/>
    </row>
    <row r="136" spans="3:10" x14ac:dyDescent="0.25">
      <c r="C136" s="127"/>
      <c r="D136" s="127"/>
      <c r="E136" s="127"/>
      <c r="F136" s="127"/>
      <c r="G136" s="127"/>
      <c r="H136" s="127"/>
      <c r="I136" s="127"/>
      <c r="J136" s="127"/>
    </row>
    <row r="137" spans="3:10" x14ac:dyDescent="0.25">
      <c r="C137" s="127"/>
      <c r="D137" s="127"/>
      <c r="E137" s="127"/>
      <c r="F137" s="127"/>
      <c r="G137" s="127"/>
      <c r="H137" s="127"/>
      <c r="I137" s="127"/>
      <c r="J137" s="127"/>
    </row>
    <row r="138" spans="3:10" x14ac:dyDescent="0.25">
      <c r="C138" s="127"/>
      <c r="D138" s="127"/>
      <c r="E138" s="127"/>
      <c r="F138" s="127"/>
      <c r="G138" s="127"/>
      <c r="H138" s="127"/>
      <c r="I138" s="127"/>
      <c r="J138" s="127"/>
    </row>
    <row r="139" spans="3:10" x14ac:dyDescent="0.25">
      <c r="C139" s="127"/>
      <c r="D139" s="127"/>
      <c r="E139" s="127"/>
      <c r="F139" s="127"/>
      <c r="G139" s="127"/>
      <c r="H139" s="127"/>
      <c r="I139" s="127"/>
      <c r="J139" s="127"/>
    </row>
    <row r="140" spans="3:10" x14ac:dyDescent="0.25">
      <c r="C140" s="127"/>
      <c r="D140" s="127"/>
      <c r="E140" s="127"/>
      <c r="F140" s="127"/>
      <c r="G140" s="127"/>
      <c r="H140" s="127"/>
      <c r="I140" s="127"/>
      <c r="J140" s="127"/>
    </row>
    <row r="141" spans="3:10" x14ac:dyDescent="0.25">
      <c r="C141" s="127"/>
      <c r="D141" s="127"/>
      <c r="E141" s="127"/>
      <c r="F141" s="127"/>
      <c r="G141" s="127"/>
      <c r="H141" s="127"/>
      <c r="I141" s="127"/>
      <c r="J141" s="127"/>
    </row>
    <row r="142" spans="3:10" x14ac:dyDescent="0.25">
      <c r="C142" s="127"/>
      <c r="D142" s="127"/>
      <c r="E142" s="127"/>
      <c r="F142" s="127"/>
      <c r="G142" s="127"/>
      <c r="H142" s="127"/>
      <c r="I142" s="127"/>
      <c r="J142" s="127"/>
    </row>
    <row r="143" spans="3:10" x14ac:dyDescent="0.25">
      <c r="C143" s="127"/>
      <c r="D143" s="127"/>
      <c r="E143" s="127"/>
      <c r="F143" s="127"/>
      <c r="G143" s="127"/>
      <c r="H143" s="127"/>
      <c r="I143" s="127"/>
      <c r="J143" s="127"/>
    </row>
    <row r="144" spans="3:10" x14ac:dyDescent="0.25">
      <c r="C144" s="127"/>
      <c r="D144" s="127"/>
      <c r="E144" s="127"/>
      <c r="F144" s="127"/>
      <c r="G144" s="127"/>
      <c r="H144" s="127"/>
      <c r="I144" s="127"/>
      <c r="J144" s="127"/>
    </row>
    <row r="145" spans="3:10" x14ac:dyDescent="0.25">
      <c r="C145" s="127"/>
      <c r="D145" s="127"/>
      <c r="E145" s="127"/>
      <c r="F145" s="127"/>
      <c r="G145" s="127"/>
      <c r="H145" s="127"/>
      <c r="I145" s="127"/>
      <c r="J145" s="127"/>
    </row>
    <row r="146" spans="3:10" x14ac:dyDescent="0.25">
      <c r="C146" s="127"/>
      <c r="D146" s="127"/>
      <c r="E146" s="127"/>
      <c r="F146" s="127"/>
      <c r="G146" s="127"/>
      <c r="H146" s="127"/>
      <c r="I146" s="127"/>
      <c r="J146" s="127"/>
    </row>
    <row r="147" spans="3:10" x14ac:dyDescent="0.25">
      <c r="C147" s="127"/>
      <c r="D147" s="127"/>
      <c r="E147" s="127"/>
      <c r="F147" s="127"/>
      <c r="G147" s="127"/>
      <c r="H147" s="127"/>
      <c r="I147" s="127"/>
      <c r="J147" s="127"/>
    </row>
    <row r="148" spans="3:10" x14ac:dyDescent="0.25">
      <c r="C148" s="127"/>
      <c r="D148" s="127"/>
      <c r="E148" s="127"/>
      <c r="F148" s="127"/>
      <c r="G148" s="127"/>
      <c r="H148" s="127"/>
      <c r="I148" s="127"/>
      <c r="J148" s="127"/>
    </row>
    <row r="149" spans="3:10" x14ac:dyDescent="0.25">
      <c r="C149" s="127"/>
      <c r="D149" s="127"/>
      <c r="E149" s="127"/>
      <c r="F149" s="127"/>
      <c r="G149" s="127"/>
      <c r="H149" s="127"/>
      <c r="I149" s="127"/>
      <c r="J149" s="127"/>
    </row>
    <row r="150" spans="3:10" x14ac:dyDescent="0.25">
      <c r="C150" s="127"/>
      <c r="D150" s="127"/>
      <c r="E150" s="127"/>
      <c r="F150" s="127"/>
      <c r="G150" s="127"/>
      <c r="H150" s="127"/>
      <c r="I150" s="127"/>
      <c r="J150" s="127"/>
    </row>
    <row r="151" spans="3:10" x14ac:dyDescent="0.25">
      <c r="C151" s="127"/>
      <c r="D151" s="127"/>
      <c r="E151" s="127"/>
      <c r="F151" s="127"/>
      <c r="G151" s="127"/>
      <c r="H151" s="127"/>
      <c r="I151" s="127"/>
      <c r="J151" s="127"/>
    </row>
    <row r="152" spans="3:10" x14ac:dyDescent="0.25">
      <c r="C152" s="127"/>
      <c r="D152" s="127"/>
      <c r="E152" s="127"/>
      <c r="F152" s="127"/>
      <c r="G152" s="127"/>
      <c r="H152" s="127"/>
      <c r="I152" s="127"/>
      <c r="J152" s="127"/>
    </row>
    <row r="153" spans="3:10" x14ac:dyDescent="0.25">
      <c r="C153" s="127"/>
      <c r="D153" s="127"/>
      <c r="E153" s="127"/>
      <c r="F153" s="127"/>
      <c r="G153" s="127"/>
      <c r="H153" s="127"/>
      <c r="I153" s="127"/>
      <c r="J153" s="127"/>
    </row>
    <row r="154" spans="3:10" x14ac:dyDescent="0.25">
      <c r="C154" s="127"/>
      <c r="D154" s="127"/>
      <c r="E154" s="127"/>
      <c r="F154" s="127"/>
      <c r="G154" s="127"/>
      <c r="H154" s="127"/>
      <c r="I154" s="127"/>
      <c r="J154" s="127"/>
    </row>
    <row r="155" spans="3:10" x14ac:dyDescent="0.25">
      <c r="C155" s="127"/>
      <c r="D155" s="127"/>
      <c r="E155" s="127"/>
      <c r="F155" s="127"/>
      <c r="G155" s="127"/>
      <c r="H155" s="127"/>
      <c r="I155" s="127"/>
      <c r="J155" s="127"/>
    </row>
    <row r="156" spans="3:10" x14ac:dyDescent="0.25">
      <c r="C156" s="127"/>
      <c r="D156" s="127"/>
      <c r="E156" s="127"/>
      <c r="F156" s="127"/>
      <c r="G156" s="127"/>
      <c r="H156" s="127"/>
      <c r="I156" s="127"/>
      <c r="J156" s="127"/>
    </row>
    <row r="157" spans="3:10" x14ac:dyDescent="0.25">
      <c r="C157" s="127"/>
      <c r="D157" s="127"/>
      <c r="E157" s="127"/>
      <c r="F157" s="127"/>
      <c r="G157" s="127"/>
      <c r="H157" s="127"/>
      <c r="I157" s="127"/>
      <c r="J157" s="127"/>
    </row>
    <row r="158" spans="3:10" x14ac:dyDescent="0.25">
      <c r="C158" s="127"/>
      <c r="D158" s="127"/>
      <c r="E158" s="127"/>
      <c r="F158" s="127"/>
      <c r="G158" s="127"/>
      <c r="H158" s="127"/>
      <c r="I158" s="127"/>
      <c r="J158" s="127"/>
    </row>
    <row r="159" spans="3:10" x14ac:dyDescent="0.25">
      <c r="C159" s="127"/>
      <c r="D159" s="127"/>
      <c r="E159" s="127"/>
      <c r="F159" s="127"/>
      <c r="G159" s="127"/>
      <c r="H159" s="127"/>
      <c r="I159" s="127"/>
      <c r="J159" s="127"/>
    </row>
    <row r="160" spans="3:10" x14ac:dyDescent="0.25">
      <c r="C160" s="127"/>
      <c r="D160" s="127"/>
      <c r="E160" s="127"/>
      <c r="F160" s="127"/>
      <c r="G160" s="127"/>
      <c r="H160" s="127"/>
      <c r="I160" s="127"/>
      <c r="J160" s="127"/>
    </row>
    <row r="161" spans="3:10" x14ac:dyDescent="0.25">
      <c r="C161" s="127"/>
      <c r="D161" s="127"/>
      <c r="E161" s="127"/>
      <c r="F161" s="127"/>
      <c r="G161" s="127"/>
      <c r="H161" s="127"/>
      <c r="I161" s="127"/>
      <c r="J161" s="127"/>
    </row>
    <row r="162" spans="3:10" x14ac:dyDescent="0.25">
      <c r="C162" s="127"/>
      <c r="D162" s="127"/>
      <c r="E162" s="127"/>
      <c r="F162" s="127"/>
      <c r="G162" s="127"/>
      <c r="H162" s="127"/>
      <c r="I162" s="127"/>
      <c r="J162" s="127"/>
    </row>
    <row r="163" spans="3:10" x14ac:dyDescent="0.25">
      <c r="C163" s="127"/>
      <c r="D163" s="127"/>
      <c r="E163" s="127"/>
      <c r="F163" s="127"/>
      <c r="G163" s="127"/>
      <c r="H163" s="127"/>
      <c r="I163" s="127"/>
      <c r="J163" s="127"/>
    </row>
    <row r="164" spans="3:10" x14ac:dyDescent="0.25">
      <c r="C164" s="127"/>
      <c r="D164" s="127"/>
      <c r="E164" s="127"/>
      <c r="F164" s="127"/>
      <c r="G164" s="127"/>
      <c r="H164" s="127"/>
      <c r="I164" s="127"/>
      <c r="J164" s="127"/>
    </row>
    <row r="165" spans="3:10" x14ac:dyDescent="0.25">
      <c r="C165" s="127"/>
      <c r="D165" s="127"/>
      <c r="E165" s="127"/>
      <c r="F165" s="127"/>
      <c r="G165" s="127"/>
      <c r="H165" s="127"/>
      <c r="I165" s="127"/>
      <c r="J165" s="127"/>
    </row>
    <row r="166" spans="3:10" x14ac:dyDescent="0.25">
      <c r="C166" s="127"/>
      <c r="D166" s="127"/>
      <c r="E166" s="127"/>
      <c r="F166" s="127"/>
      <c r="G166" s="127"/>
      <c r="H166" s="127"/>
      <c r="I166" s="127"/>
      <c r="J166" s="127"/>
    </row>
    <row r="167" spans="3:10" x14ac:dyDescent="0.25">
      <c r="C167" s="127"/>
      <c r="D167" s="127"/>
      <c r="E167" s="127"/>
      <c r="F167" s="127"/>
      <c r="G167" s="127"/>
      <c r="H167" s="127"/>
      <c r="I167" s="127"/>
      <c r="J167" s="127"/>
    </row>
    <row r="168" spans="3:10" x14ac:dyDescent="0.25">
      <c r="C168" s="127"/>
      <c r="D168" s="127"/>
      <c r="E168" s="127"/>
      <c r="F168" s="127"/>
      <c r="G168" s="127"/>
      <c r="H168" s="127"/>
      <c r="I168" s="127"/>
      <c r="J168" s="127"/>
    </row>
    <row r="169" spans="3:10" x14ac:dyDescent="0.25">
      <c r="C169" s="127"/>
      <c r="D169" s="127"/>
      <c r="E169" s="127"/>
      <c r="F169" s="127"/>
      <c r="G169" s="127"/>
      <c r="H169" s="127"/>
      <c r="I169" s="127"/>
      <c r="J169" s="127"/>
    </row>
    <row r="170" spans="3:10" x14ac:dyDescent="0.25">
      <c r="C170" s="127"/>
      <c r="D170" s="127"/>
      <c r="E170" s="127"/>
      <c r="F170" s="127"/>
      <c r="G170" s="127"/>
      <c r="H170" s="127"/>
      <c r="I170" s="127"/>
      <c r="J170" s="127"/>
    </row>
    <row r="171" spans="3:10" x14ac:dyDescent="0.25">
      <c r="C171" s="127"/>
      <c r="D171" s="127"/>
      <c r="E171" s="127"/>
      <c r="F171" s="127"/>
      <c r="G171" s="127"/>
      <c r="H171" s="127"/>
      <c r="I171" s="127"/>
      <c r="J171" s="127"/>
    </row>
    <row r="172" spans="3:10" x14ac:dyDescent="0.25">
      <c r="C172" s="127"/>
      <c r="D172" s="127"/>
      <c r="E172" s="127"/>
      <c r="F172" s="127"/>
      <c r="G172" s="127"/>
      <c r="H172" s="127"/>
      <c r="I172" s="127"/>
      <c r="J172" s="127"/>
    </row>
    <row r="173" spans="3:10" x14ac:dyDescent="0.25">
      <c r="C173" s="127"/>
      <c r="D173" s="127"/>
      <c r="E173" s="127"/>
      <c r="F173" s="127"/>
      <c r="G173" s="127"/>
      <c r="H173" s="127"/>
      <c r="I173" s="127"/>
      <c r="J173" s="127"/>
    </row>
    <row r="174" spans="3:10" x14ac:dyDescent="0.25">
      <c r="C174" s="127"/>
      <c r="D174" s="127"/>
      <c r="E174" s="127"/>
      <c r="F174" s="127"/>
      <c r="G174" s="127"/>
      <c r="H174" s="127"/>
      <c r="I174" s="127"/>
      <c r="J174" s="127"/>
    </row>
    <row r="175" spans="3:10" x14ac:dyDescent="0.25">
      <c r="C175" s="127"/>
      <c r="D175" s="127"/>
      <c r="E175" s="127"/>
      <c r="F175" s="127"/>
      <c r="G175" s="127"/>
      <c r="H175" s="127"/>
      <c r="I175" s="127"/>
      <c r="J175" s="127"/>
    </row>
    <row r="176" spans="3:10" x14ac:dyDescent="0.25">
      <c r="C176" s="127"/>
      <c r="D176" s="127"/>
      <c r="E176" s="127"/>
      <c r="F176" s="127"/>
      <c r="G176" s="127"/>
      <c r="H176" s="127"/>
      <c r="I176" s="127"/>
      <c r="J176" s="127"/>
    </row>
    <row r="177" spans="3:10" x14ac:dyDescent="0.25">
      <c r="C177" s="127"/>
      <c r="D177" s="127"/>
      <c r="E177" s="127"/>
      <c r="F177" s="127"/>
      <c r="G177" s="127"/>
      <c r="H177" s="127"/>
      <c r="I177" s="127"/>
      <c r="J177" s="127"/>
    </row>
    <row r="178" spans="3:10" x14ac:dyDescent="0.25">
      <c r="C178" s="127"/>
      <c r="D178" s="127"/>
      <c r="E178" s="127"/>
      <c r="F178" s="127"/>
      <c r="G178" s="127"/>
      <c r="H178" s="127"/>
      <c r="I178" s="127"/>
      <c r="J178" s="127"/>
    </row>
    <row r="179" spans="3:10" x14ac:dyDescent="0.25">
      <c r="C179" s="127"/>
      <c r="D179" s="127"/>
      <c r="E179" s="127"/>
      <c r="F179" s="127"/>
      <c r="G179" s="127"/>
      <c r="H179" s="127"/>
      <c r="I179" s="127"/>
      <c r="J179" s="127"/>
    </row>
    <row r="180" spans="3:10" x14ac:dyDescent="0.25">
      <c r="C180" s="127"/>
      <c r="D180" s="127"/>
      <c r="E180" s="127"/>
      <c r="F180" s="127"/>
      <c r="G180" s="127"/>
      <c r="H180" s="127"/>
      <c r="I180" s="127"/>
      <c r="J180" s="127"/>
    </row>
    <row r="181" spans="3:10" x14ac:dyDescent="0.25">
      <c r="C181" s="127"/>
      <c r="D181" s="127"/>
      <c r="E181" s="127"/>
      <c r="F181" s="127"/>
      <c r="G181" s="127"/>
      <c r="H181" s="127"/>
      <c r="I181" s="127"/>
      <c r="J181" s="127"/>
    </row>
    <row r="182" spans="3:10" x14ac:dyDescent="0.25">
      <c r="C182" s="127"/>
      <c r="D182" s="127"/>
      <c r="E182" s="127"/>
      <c r="F182" s="127"/>
      <c r="G182" s="127"/>
      <c r="H182" s="127"/>
      <c r="I182" s="127"/>
      <c r="J182" s="127"/>
    </row>
    <row r="183" spans="3:10" x14ac:dyDescent="0.25">
      <c r="C183" s="127"/>
      <c r="D183" s="127"/>
      <c r="E183" s="127"/>
      <c r="F183" s="127"/>
      <c r="G183" s="127"/>
      <c r="H183" s="127"/>
      <c r="I183" s="127"/>
      <c r="J183" s="127"/>
    </row>
    <row r="184" spans="3:10" x14ac:dyDescent="0.25">
      <c r="C184" s="127"/>
      <c r="D184" s="127"/>
      <c r="E184" s="127"/>
      <c r="F184" s="127"/>
      <c r="G184" s="127"/>
      <c r="H184" s="127"/>
      <c r="I184" s="127"/>
      <c r="J184" s="127"/>
    </row>
    <row r="185" spans="3:10" x14ac:dyDescent="0.25">
      <c r="C185" s="127"/>
      <c r="D185" s="127"/>
      <c r="E185" s="127"/>
      <c r="F185" s="127"/>
      <c r="G185" s="127"/>
      <c r="H185" s="127"/>
      <c r="I185" s="127"/>
      <c r="J185" s="127"/>
    </row>
    <row r="186" spans="3:10" x14ac:dyDescent="0.25">
      <c r="C186" s="127"/>
      <c r="D186" s="127"/>
      <c r="E186" s="127"/>
      <c r="F186" s="127"/>
      <c r="G186" s="127"/>
      <c r="H186" s="127"/>
      <c r="I186" s="127"/>
      <c r="J186" s="127"/>
    </row>
    <row r="187" spans="3:10" x14ac:dyDescent="0.25">
      <c r="C187" s="127"/>
      <c r="D187" s="127"/>
      <c r="E187" s="127"/>
      <c r="F187" s="127"/>
      <c r="G187" s="127"/>
      <c r="H187" s="127"/>
      <c r="I187" s="127"/>
      <c r="J187" s="127"/>
    </row>
    <row r="188" spans="3:10" x14ac:dyDescent="0.25">
      <c r="C188" s="127"/>
      <c r="D188" s="127"/>
      <c r="E188" s="127"/>
      <c r="F188" s="127"/>
      <c r="G188" s="127"/>
      <c r="H188" s="127"/>
      <c r="I188" s="127"/>
      <c r="J188" s="127"/>
    </row>
    <row r="189" spans="3:10" x14ac:dyDescent="0.25">
      <c r="C189" s="127"/>
      <c r="D189" s="127"/>
      <c r="E189" s="127"/>
      <c r="F189" s="127"/>
      <c r="G189" s="127"/>
      <c r="H189" s="127"/>
      <c r="I189" s="127"/>
      <c r="J189" s="127"/>
    </row>
    <row r="190" spans="3:10" x14ac:dyDescent="0.25">
      <c r="C190" s="127"/>
      <c r="D190" s="127"/>
      <c r="E190" s="127"/>
      <c r="F190" s="127"/>
      <c r="G190" s="127"/>
      <c r="H190" s="127"/>
      <c r="I190" s="127"/>
      <c r="J190" s="127"/>
    </row>
    <row r="191" spans="3:10" x14ac:dyDescent="0.25">
      <c r="C191" s="127"/>
      <c r="D191" s="127"/>
      <c r="E191" s="127"/>
      <c r="F191" s="127"/>
      <c r="G191" s="127"/>
      <c r="H191" s="127"/>
      <c r="I191" s="127"/>
      <c r="J191" s="127"/>
    </row>
    <row r="192" spans="3:10" x14ac:dyDescent="0.25">
      <c r="C192" s="127"/>
      <c r="D192" s="127"/>
      <c r="E192" s="127"/>
      <c r="F192" s="127"/>
      <c r="G192" s="127"/>
      <c r="H192" s="127"/>
      <c r="I192" s="127"/>
      <c r="J192" s="127"/>
    </row>
    <row r="193" spans="3:10" x14ac:dyDescent="0.25">
      <c r="C193" s="127"/>
      <c r="D193" s="127"/>
      <c r="E193" s="127"/>
      <c r="F193" s="127"/>
      <c r="G193" s="127"/>
      <c r="H193" s="127"/>
      <c r="I193" s="127"/>
      <c r="J193" s="127"/>
    </row>
    <row r="194" spans="3:10" x14ac:dyDescent="0.25">
      <c r="C194" s="127"/>
      <c r="D194" s="127"/>
      <c r="E194" s="127"/>
      <c r="F194" s="127"/>
      <c r="G194" s="127"/>
      <c r="H194" s="127"/>
      <c r="I194" s="127"/>
      <c r="J194" s="127"/>
    </row>
    <row r="195" spans="3:10" x14ac:dyDescent="0.25">
      <c r="C195" s="127"/>
      <c r="D195" s="127"/>
      <c r="E195" s="127"/>
      <c r="F195" s="127"/>
      <c r="G195" s="127"/>
      <c r="H195" s="127"/>
      <c r="I195" s="127"/>
      <c r="J195" s="127"/>
    </row>
    <row r="196" spans="3:10" x14ac:dyDescent="0.25">
      <c r="C196" s="127"/>
      <c r="D196" s="127"/>
      <c r="E196" s="127"/>
      <c r="F196" s="127"/>
      <c r="G196" s="127"/>
      <c r="H196" s="127"/>
      <c r="I196" s="127"/>
      <c r="J196" s="127"/>
    </row>
    <row r="197" spans="3:10" x14ac:dyDescent="0.25">
      <c r="C197" s="127"/>
      <c r="D197" s="127"/>
      <c r="E197" s="127"/>
      <c r="F197" s="127"/>
      <c r="G197" s="127"/>
      <c r="H197" s="127"/>
      <c r="I197" s="127"/>
      <c r="J197" s="127"/>
    </row>
    <row r="198" spans="3:10" x14ac:dyDescent="0.25">
      <c r="C198" s="127"/>
      <c r="D198" s="127"/>
      <c r="E198" s="127"/>
      <c r="F198" s="127"/>
      <c r="G198" s="127"/>
      <c r="H198" s="127"/>
      <c r="I198" s="127"/>
      <c r="J198" s="127"/>
    </row>
    <row r="199" spans="3:10" x14ac:dyDescent="0.25">
      <c r="C199" s="127"/>
      <c r="D199" s="127"/>
      <c r="E199" s="127"/>
      <c r="F199" s="127"/>
      <c r="G199" s="127"/>
      <c r="H199" s="127"/>
      <c r="I199" s="127"/>
      <c r="J199" s="127"/>
    </row>
    <row r="200" spans="3:10" x14ac:dyDescent="0.25">
      <c r="C200" s="127"/>
      <c r="D200" s="127"/>
      <c r="E200" s="127"/>
      <c r="F200" s="127"/>
      <c r="G200" s="127"/>
      <c r="H200" s="127"/>
      <c r="I200" s="127"/>
      <c r="J200" s="127"/>
    </row>
    <row r="201" spans="3:10" x14ac:dyDescent="0.25">
      <c r="C201" s="127"/>
      <c r="D201" s="127"/>
      <c r="E201" s="127"/>
      <c r="F201" s="127"/>
      <c r="G201" s="127"/>
      <c r="H201" s="127"/>
      <c r="I201" s="127"/>
      <c r="J201" s="127"/>
    </row>
    <row r="202" spans="3:10" x14ac:dyDescent="0.25">
      <c r="C202" s="127"/>
      <c r="D202" s="127"/>
      <c r="E202" s="127"/>
      <c r="F202" s="127"/>
      <c r="G202" s="127"/>
      <c r="H202" s="127"/>
      <c r="I202" s="127"/>
      <c r="J202" s="127"/>
    </row>
    <row r="203" spans="3:10" x14ac:dyDescent="0.25">
      <c r="C203" s="127"/>
      <c r="D203" s="127"/>
      <c r="E203" s="127"/>
      <c r="F203" s="127"/>
      <c r="G203" s="127"/>
      <c r="H203" s="127"/>
      <c r="I203" s="127"/>
      <c r="J203" s="127"/>
    </row>
    <row r="204" spans="3:10" x14ac:dyDescent="0.25">
      <c r="C204" s="127"/>
      <c r="D204" s="127"/>
      <c r="E204" s="127"/>
      <c r="F204" s="127"/>
      <c r="G204" s="127"/>
      <c r="H204" s="127"/>
      <c r="I204" s="127"/>
      <c r="J204" s="127"/>
    </row>
    <row r="205" spans="3:10" x14ac:dyDescent="0.25">
      <c r="C205" s="127"/>
      <c r="D205" s="127"/>
      <c r="E205" s="127"/>
      <c r="F205" s="127"/>
      <c r="G205" s="127"/>
      <c r="H205" s="127"/>
      <c r="I205" s="127"/>
      <c r="J205" s="127"/>
    </row>
    <row r="206" spans="3:10" x14ac:dyDescent="0.25">
      <c r="C206" s="127"/>
      <c r="D206" s="127"/>
      <c r="E206" s="127"/>
      <c r="F206" s="127"/>
      <c r="G206" s="127"/>
      <c r="H206" s="127"/>
      <c r="I206" s="127"/>
      <c r="J206" s="127"/>
    </row>
    <row r="207" spans="3:10" x14ac:dyDescent="0.25">
      <c r="C207" s="127"/>
      <c r="D207" s="127"/>
      <c r="E207" s="127"/>
      <c r="F207" s="127"/>
      <c r="G207" s="127"/>
      <c r="H207" s="127"/>
      <c r="I207" s="127"/>
      <c r="J207" s="127"/>
    </row>
    <row r="208" spans="3:10" x14ac:dyDescent="0.25">
      <c r="C208" s="127"/>
      <c r="D208" s="127"/>
      <c r="E208" s="127"/>
      <c r="F208" s="127"/>
      <c r="G208" s="127"/>
      <c r="H208" s="127"/>
      <c r="I208" s="127"/>
      <c r="J208" s="127"/>
    </row>
    <row r="209" spans="3:10" x14ac:dyDescent="0.25">
      <c r="C209" s="127"/>
      <c r="D209" s="127"/>
      <c r="E209" s="127"/>
      <c r="F209" s="127"/>
      <c r="G209" s="127"/>
      <c r="H209" s="127"/>
      <c r="I209" s="127"/>
      <c r="J209" s="127"/>
    </row>
    <row r="210" spans="3:10" x14ac:dyDescent="0.25">
      <c r="C210" s="127"/>
      <c r="D210" s="127"/>
      <c r="E210" s="127"/>
      <c r="F210" s="127"/>
      <c r="G210" s="127"/>
      <c r="H210" s="127"/>
      <c r="I210" s="127"/>
      <c r="J210" s="127"/>
    </row>
    <row r="211" spans="3:10" x14ac:dyDescent="0.25">
      <c r="C211" s="127"/>
      <c r="D211" s="127"/>
      <c r="E211" s="127"/>
      <c r="F211" s="127"/>
      <c r="G211" s="127"/>
      <c r="H211" s="127"/>
      <c r="I211" s="127"/>
      <c r="J211" s="127"/>
    </row>
    <row r="212" spans="3:10" x14ac:dyDescent="0.25">
      <c r="C212" s="127"/>
      <c r="D212" s="127"/>
      <c r="E212" s="127"/>
      <c r="F212" s="127"/>
      <c r="G212" s="127"/>
      <c r="H212" s="127"/>
      <c r="I212" s="127"/>
      <c r="J212" s="127"/>
    </row>
    <row r="213" spans="3:10" x14ac:dyDescent="0.25">
      <c r="C213" s="127"/>
      <c r="D213" s="127"/>
      <c r="E213" s="127"/>
      <c r="F213" s="127"/>
      <c r="G213" s="127"/>
      <c r="H213" s="127"/>
      <c r="I213" s="127"/>
      <c r="J213" s="127"/>
    </row>
    <row r="214" spans="3:10" x14ac:dyDescent="0.25">
      <c r="C214" s="127"/>
      <c r="D214" s="127"/>
      <c r="E214" s="127"/>
      <c r="F214" s="127"/>
      <c r="G214" s="127"/>
      <c r="H214" s="127"/>
      <c r="I214" s="127"/>
      <c r="J214" s="127"/>
    </row>
    <row r="215" spans="3:10" x14ac:dyDescent="0.25">
      <c r="C215" s="127"/>
      <c r="D215" s="127"/>
      <c r="E215" s="127"/>
      <c r="F215" s="127"/>
      <c r="G215" s="127"/>
      <c r="H215" s="127"/>
      <c r="I215" s="127"/>
      <c r="J215" s="127"/>
    </row>
    <row r="216" spans="3:10" x14ac:dyDescent="0.25">
      <c r="C216" s="127"/>
      <c r="D216" s="127"/>
      <c r="E216" s="127"/>
      <c r="F216" s="127"/>
      <c r="G216" s="127"/>
      <c r="H216" s="127"/>
      <c r="I216" s="127"/>
      <c r="J216" s="127"/>
    </row>
    <row r="217" spans="3:10" x14ac:dyDescent="0.25">
      <c r="C217" s="127"/>
      <c r="D217" s="127"/>
      <c r="E217" s="127"/>
      <c r="F217" s="127"/>
      <c r="G217" s="127"/>
      <c r="H217" s="127"/>
      <c r="I217" s="127"/>
      <c r="J217" s="127"/>
    </row>
    <row r="218" spans="3:10" x14ac:dyDescent="0.25">
      <c r="C218" s="127"/>
      <c r="D218" s="127"/>
      <c r="E218" s="127"/>
      <c r="F218" s="127"/>
      <c r="G218" s="127"/>
      <c r="H218" s="127"/>
      <c r="I218" s="127"/>
      <c r="J218" s="127"/>
    </row>
    <row r="219" spans="3:10" x14ac:dyDescent="0.25">
      <c r="C219" s="127"/>
      <c r="D219" s="127"/>
      <c r="E219" s="127"/>
      <c r="F219" s="127"/>
      <c r="G219" s="127"/>
      <c r="H219" s="127"/>
      <c r="I219" s="127"/>
      <c r="J219" s="127"/>
    </row>
    <row r="220" spans="3:10" x14ac:dyDescent="0.25">
      <c r="C220" s="127"/>
      <c r="D220" s="127"/>
      <c r="E220" s="127"/>
      <c r="F220" s="127"/>
      <c r="G220" s="127"/>
      <c r="H220" s="127"/>
      <c r="I220" s="127"/>
      <c r="J220" s="127"/>
    </row>
    <row r="221" spans="3:10" x14ac:dyDescent="0.25">
      <c r="C221" s="127"/>
      <c r="D221" s="127"/>
      <c r="E221" s="127"/>
      <c r="F221" s="127"/>
      <c r="G221" s="127"/>
      <c r="H221" s="127"/>
      <c r="I221" s="127"/>
      <c r="J221" s="127"/>
    </row>
    <row r="222" spans="3:10" x14ac:dyDescent="0.25">
      <c r="C222" s="127"/>
      <c r="D222" s="127"/>
      <c r="E222" s="127"/>
      <c r="F222" s="127"/>
      <c r="G222" s="127"/>
      <c r="H222" s="127"/>
      <c r="I222" s="127"/>
      <c r="J222" s="127"/>
    </row>
    <row r="223" spans="3:10" x14ac:dyDescent="0.25">
      <c r="C223" s="127"/>
      <c r="D223" s="127"/>
      <c r="E223" s="127"/>
      <c r="F223" s="127"/>
      <c r="G223" s="127"/>
      <c r="H223" s="127"/>
      <c r="I223" s="127"/>
      <c r="J223" s="127"/>
    </row>
    <row r="224" spans="3:10" x14ac:dyDescent="0.25">
      <c r="C224" s="127"/>
      <c r="D224" s="127"/>
      <c r="E224" s="127"/>
      <c r="F224" s="127"/>
      <c r="G224" s="127"/>
      <c r="H224" s="127"/>
      <c r="I224" s="127"/>
      <c r="J224" s="127"/>
    </row>
    <row r="225" spans="3:10" x14ac:dyDescent="0.25">
      <c r="C225" s="127"/>
      <c r="D225" s="127"/>
      <c r="E225" s="127"/>
      <c r="F225" s="127"/>
      <c r="G225" s="127"/>
      <c r="H225" s="127"/>
      <c r="I225" s="127"/>
      <c r="J225" s="127"/>
    </row>
    <row r="226" spans="3:10" x14ac:dyDescent="0.25">
      <c r="C226" s="127"/>
      <c r="D226" s="127"/>
      <c r="E226" s="127"/>
      <c r="F226" s="127"/>
      <c r="G226" s="127"/>
      <c r="H226" s="127"/>
      <c r="I226" s="127"/>
      <c r="J226" s="127"/>
    </row>
    <row r="227" spans="3:10" x14ac:dyDescent="0.25">
      <c r="C227" s="127"/>
      <c r="D227" s="127"/>
      <c r="E227" s="127"/>
      <c r="F227" s="127"/>
      <c r="G227" s="127"/>
      <c r="H227" s="127"/>
      <c r="I227" s="127"/>
      <c r="J227" s="127"/>
    </row>
    <row r="228" spans="3:10" x14ac:dyDescent="0.25">
      <c r="C228" s="127"/>
      <c r="D228" s="127"/>
      <c r="E228" s="127"/>
      <c r="F228" s="127"/>
      <c r="G228" s="127"/>
      <c r="H228" s="127"/>
      <c r="I228" s="127"/>
      <c r="J228" s="127"/>
    </row>
    <row r="229" spans="3:10" x14ac:dyDescent="0.25">
      <c r="C229" s="127"/>
      <c r="D229" s="127"/>
      <c r="E229" s="127"/>
      <c r="F229" s="127"/>
      <c r="G229" s="127"/>
      <c r="H229" s="127"/>
      <c r="I229" s="127"/>
      <c r="J229" s="127"/>
    </row>
    <row r="230" spans="3:10" x14ac:dyDescent="0.25">
      <c r="C230" s="127"/>
      <c r="D230" s="127"/>
      <c r="E230" s="127"/>
      <c r="F230" s="127"/>
      <c r="G230" s="127"/>
      <c r="H230" s="127"/>
      <c r="I230" s="127"/>
      <c r="J230" s="127"/>
    </row>
    <row r="231" spans="3:10" x14ac:dyDescent="0.25">
      <c r="C231" s="127"/>
      <c r="D231" s="127"/>
      <c r="E231" s="127"/>
      <c r="F231" s="127"/>
      <c r="G231" s="127"/>
      <c r="H231" s="127"/>
      <c r="I231" s="127"/>
      <c r="J231" s="127"/>
    </row>
    <row r="232" spans="3:10" x14ac:dyDescent="0.25">
      <c r="C232" s="127"/>
      <c r="D232" s="127"/>
      <c r="E232" s="127"/>
      <c r="F232" s="127"/>
      <c r="G232" s="127"/>
      <c r="H232" s="127"/>
      <c r="I232" s="127"/>
      <c r="J232" s="127"/>
    </row>
    <row r="233" spans="3:10" x14ac:dyDescent="0.25">
      <c r="C233" s="127"/>
      <c r="D233" s="127"/>
      <c r="E233" s="127"/>
      <c r="F233" s="127"/>
      <c r="G233" s="127"/>
      <c r="H233" s="127"/>
      <c r="I233" s="127"/>
      <c r="J233" s="127"/>
    </row>
    <row r="234" spans="3:10" x14ac:dyDescent="0.25">
      <c r="C234" s="127"/>
      <c r="D234" s="127"/>
      <c r="E234" s="127"/>
      <c r="F234" s="127"/>
      <c r="G234" s="127"/>
      <c r="H234" s="127"/>
      <c r="I234" s="127"/>
      <c r="J234" s="127"/>
    </row>
    <row r="235" spans="3:10" x14ac:dyDescent="0.25">
      <c r="C235" s="127"/>
      <c r="D235" s="127"/>
      <c r="E235" s="127"/>
      <c r="F235" s="127"/>
      <c r="G235" s="127"/>
      <c r="H235" s="127"/>
      <c r="I235" s="127"/>
      <c r="J235" s="127"/>
    </row>
    <row r="236" spans="3:10" x14ac:dyDescent="0.25">
      <c r="C236" s="127"/>
      <c r="D236" s="127"/>
      <c r="E236" s="127"/>
      <c r="F236" s="127"/>
      <c r="G236" s="127"/>
      <c r="H236" s="127"/>
      <c r="I236" s="127"/>
      <c r="J236" s="127"/>
    </row>
    <row r="237" spans="3:10" x14ac:dyDescent="0.25">
      <c r="C237" s="127"/>
      <c r="D237" s="127"/>
      <c r="E237" s="127"/>
      <c r="F237" s="127"/>
      <c r="G237" s="127"/>
      <c r="H237" s="127"/>
      <c r="I237" s="127"/>
      <c r="J237" s="127"/>
    </row>
    <row r="238" spans="3:10" x14ac:dyDescent="0.25">
      <c r="C238" s="127"/>
      <c r="D238" s="127"/>
      <c r="E238" s="127"/>
      <c r="F238" s="127"/>
      <c r="G238" s="127"/>
      <c r="H238" s="127"/>
      <c r="I238" s="127"/>
      <c r="J238" s="127"/>
    </row>
    <row r="239" spans="3:10" x14ac:dyDescent="0.25">
      <c r="C239" s="127"/>
      <c r="D239" s="127"/>
      <c r="E239" s="127"/>
      <c r="F239" s="127"/>
      <c r="G239" s="127"/>
      <c r="H239" s="127"/>
      <c r="I239" s="127"/>
      <c r="J239" s="127"/>
    </row>
    <row r="240" spans="3:10" x14ac:dyDescent="0.25">
      <c r="C240" s="127"/>
      <c r="D240" s="127"/>
      <c r="E240" s="127"/>
      <c r="F240" s="127"/>
      <c r="G240" s="127"/>
      <c r="H240" s="127"/>
      <c r="I240" s="127"/>
      <c r="J240" s="127"/>
    </row>
    <row r="241" spans="3:10" x14ac:dyDescent="0.25">
      <c r="C241" s="127"/>
      <c r="D241" s="127"/>
      <c r="E241" s="127"/>
      <c r="F241" s="127"/>
      <c r="G241" s="127"/>
      <c r="H241" s="127"/>
      <c r="I241" s="127"/>
      <c r="J241" s="127"/>
    </row>
    <row r="242" spans="3:10" x14ac:dyDescent="0.25">
      <c r="C242" s="127"/>
      <c r="D242" s="127"/>
      <c r="E242" s="127"/>
      <c r="F242" s="127"/>
      <c r="G242" s="127"/>
      <c r="H242" s="127"/>
      <c r="I242" s="127"/>
      <c r="J242" s="127"/>
    </row>
    <row r="243" spans="3:10" x14ac:dyDescent="0.25">
      <c r="C243" s="127"/>
      <c r="D243" s="127"/>
      <c r="E243" s="127"/>
      <c r="F243" s="127"/>
      <c r="G243" s="127"/>
      <c r="H243" s="127"/>
      <c r="I243" s="127"/>
      <c r="J243" s="127"/>
    </row>
    <row r="244" spans="3:10" x14ac:dyDescent="0.25">
      <c r="C244" s="127"/>
      <c r="D244" s="127"/>
      <c r="E244" s="127"/>
      <c r="F244" s="127"/>
      <c r="G244" s="127"/>
      <c r="H244" s="127"/>
      <c r="I244" s="127"/>
      <c r="J244" s="127"/>
    </row>
    <row r="245" spans="3:10" x14ac:dyDescent="0.25">
      <c r="C245" s="127"/>
      <c r="D245" s="127"/>
      <c r="E245" s="127"/>
      <c r="F245" s="127"/>
      <c r="G245" s="127"/>
      <c r="H245" s="127"/>
      <c r="I245" s="127"/>
      <c r="J245" s="127"/>
    </row>
    <row r="246" spans="3:10" x14ac:dyDescent="0.25">
      <c r="C246" s="127"/>
      <c r="D246" s="127"/>
      <c r="E246" s="127"/>
      <c r="F246" s="127"/>
      <c r="G246" s="127"/>
      <c r="H246" s="127"/>
      <c r="I246" s="127"/>
      <c r="J246" s="127"/>
    </row>
    <row r="247" spans="3:10" x14ac:dyDescent="0.25">
      <c r="C247" s="127"/>
      <c r="D247" s="127"/>
      <c r="E247" s="127"/>
      <c r="F247" s="127"/>
      <c r="G247" s="127"/>
      <c r="H247" s="127"/>
      <c r="I247" s="127"/>
      <c r="J247" s="127"/>
    </row>
    <row r="248" spans="3:10" x14ac:dyDescent="0.25">
      <c r="C248" s="127"/>
      <c r="D248" s="127"/>
      <c r="E248" s="127"/>
      <c r="F248" s="127"/>
      <c r="G248" s="127"/>
      <c r="H248" s="127"/>
      <c r="I248" s="127"/>
      <c r="J248" s="127"/>
    </row>
    <row r="249" spans="3:10" x14ac:dyDescent="0.25">
      <c r="C249" s="127"/>
      <c r="D249" s="127"/>
      <c r="E249" s="127"/>
      <c r="F249" s="127"/>
      <c r="G249" s="127"/>
      <c r="H249" s="127"/>
      <c r="I249" s="127"/>
      <c r="J249" s="127"/>
    </row>
    <row r="250" spans="3:10" x14ac:dyDescent="0.25">
      <c r="C250" s="127"/>
      <c r="D250" s="127"/>
      <c r="E250" s="127"/>
      <c r="F250" s="127"/>
      <c r="G250" s="127"/>
      <c r="H250" s="127"/>
      <c r="I250" s="127"/>
      <c r="J250" s="127"/>
    </row>
    <row r="251" spans="3:10" x14ac:dyDescent="0.25">
      <c r="C251" s="127"/>
      <c r="D251" s="127"/>
      <c r="E251" s="127"/>
      <c r="F251" s="127"/>
      <c r="G251" s="127"/>
      <c r="H251" s="127"/>
      <c r="I251" s="127"/>
      <c r="J251" s="127"/>
    </row>
    <row r="252" spans="3:10" x14ac:dyDescent="0.25">
      <c r="C252" s="127"/>
      <c r="D252" s="127"/>
      <c r="E252" s="127"/>
      <c r="F252" s="127"/>
      <c r="G252" s="127"/>
      <c r="H252" s="127"/>
      <c r="I252" s="127"/>
      <c r="J252" s="127"/>
    </row>
  </sheetData>
  <mergeCells count="12">
    <mergeCell ref="L56:W57"/>
    <mergeCell ref="S7:S8"/>
    <mergeCell ref="M6:M8"/>
    <mergeCell ref="L2:W2"/>
    <mergeCell ref="N5:W5"/>
    <mergeCell ref="N6:N8"/>
    <mergeCell ref="O6:O8"/>
    <mergeCell ref="Q6:Q8"/>
    <mergeCell ref="W6:W8"/>
    <mergeCell ref="R7:R8"/>
    <mergeCell ref="P6:P8"/>
    <mergeCell ref="V7:V8"/>
  </mergeCells>
  <pageMargins left="0.7" right="0.7" top="0.75" bottom="0.75" header="0.3" footer="0.3"/>
  <pageSetup paperSize="9" scale="55"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W249"/>
  <sheetViews>
    <sheetView workbookViewId="0">
      <pane xSplit="1" ySplit="8" topLeftCell="K32" activePane="bottomRight" state="frozen"/>
      <selection activeCell="X16" sqref="X16"/>
      <selection pane="topRight" activeCell="X16" sqref="X16"/>
      <selection pane="bottomLeft" activeCell="X16" sqref="X16"/>
      <selection pane="bottomRight" activeCell="N56" sqref="N56"/>
    </sheetView>
  </sheetViews>
  <sheetFormatPr baseColWidth="10" defaultColWidth="10.81640625" defaultRowHeight="12.5" x14ac:dyDescent="0.25"/>
  <cols>
    <col min="1" max="1" width="8.6328125" style="126" hidden="1" customWidth="1"/>
    <col min="2" max="4" width="12.453125" style="126" hidden="1" customWidth="1"/>
    <col min="5" max="5" width="12.81640625" style="126" hidden="1" customWidth="1"/>
    <col min="6" max="6" width="10.453125" style="126" hidden="1" customWidth="1"/>
    <col min="7" max="8" width="10.1796875" style="126" hidden="1" customWidth="1"/>
    <col min="9" max="9" width="12.453125" style="126" hidden="1" customWidth="1"/>
    <col min="10" max="10" width="9.453125" style="126" hidden="1" customWidth="1"/>
    <col min="11" max="11" width="2.453125" style="126" customWidth="1"/>
    <col min="12" max="23" width="12.36328125" style="126" customWidth="1"/>
    <col min="24" max="16384" width="10.81640625" style="126"/>
  </cols>
  <sheetData>
    <row r="1" spans="1:23" ht="13.5" thickBot="1" x14ac:dyDescent="0.35">
      <c r="A1" s="151"/>
      <c r="B1" s="150"/>
      <c r="C1" s="149"/>
      <c r="D1" s="149"/>
      <c r="E1" s="149"/>
      <c r="F1" s="149"/>
      <c r="G1" s="149"/>
      <c r="H1" s="149"/>
      <c r="I1" s="149"/>
      <c r="J1" s="149"/>
      <c r="K1" s="146"/>
      <c r="L1" s="146"/>
      <c r="M1" s="146"/>
      <c r="N1" s="146"/>
      <c r="O1" s="146"/>
      <c r="P1" s="146"/>
      <c r="Q1" s="146"/>
      <c r="R1" s="146"/>
      <c r="S1" s="146"/>
      <c r="T1" s="146"/>
      <c r="U1" s="146"/>
      <c r="V1" s="146"/>
      <c r="W1" s="146"/>
    </row>
    <row r="2" spans="1:23" s="155" customFormat="1" ht="33" customHeight="1" thickTop="1" x14ac:dyDescent="0.3">
      <c r="A2" s="126"/>
      <c r="B2" s="126"/>
      <c r="C2" s="126"/>
      <c r="D2" s="126"/>
      <c r="E2" s="126"/>
      <c r="F2" s="126"/>
      <c r="G2" s="126"/>
      <c r="H2" s="126"/>
      <c r="I2" s="126"/>
      <c r="J2" s="126"/>
      <c r="K2" s="156"/>
      <c r="L2" s="2333" t="s">
        <v>553</v>
      </c>
      <c r="M2" s="2334"/>
      <c r="N2" s="2334"/>
      <c r="O2" s="2334"/>
      <c r="P2" s="2334"/>
      <c r="Q2" s="2334"/>
      <c r="R2" s="2334"/>
      <c r="S2" s="2334"/>
      <c r="T2" s="2334"/>
      <c r="U2" s="2334"/>
      <c r="V2" s="2334"/>
      <c r="W2" s="2335"/>
    </row>
    <row r="3" spans="1:23" s="155" customFormat="1" ht="15" customHeight="1" x14ac:dyDescent="0.3">
      <c r="A3" s="126"/>
      <c r="B3" s="126"/>
      <c r="C3" s="126"/>
      <c r="D3" s="126"/>
      <c r="E3" s="126"/>
      <c r="F3" s="126"/>
      <c r="G3" s="126"/>
      <c r="H3" s="126"/>
      <c r="I3" s="126"/>
      <c r="J3" s="126"/>
      <c r="K3" s="156"/>
      <c r="L3" s="779"/>
      <c r="M3" s="780"/>
      <c r="N3" s="780"/>
      <c r="O3" s="780"/>
      <c r="P3" s="780"/>
      <c r="Q3" s="780"/>
      <c r="R3" s="780"/>
      <c r="S3" s="780"/>
      <c r="T3" s="780"/>
      <c r="U3" s="780"/>
      <c r="V3" s="780"/>
      <c r="W3" s="781"/>
    </row>
    <row r="4" spans="1:23" x14ac:dyDescent="0.25">
      <c r="K4" s="131"/>
      <c r="L4" s="251"/>
      <c r="M4" s="250" t="s">
        <v>20</v>
      </c>
      <c r="N4" s="250" t="s">
        <v>21</v>
      </c>
      <c r="O4" s="250" t="s">
        <v>22</v>
      </c>
      <c r="P4" s="250" t="s">
        <v>23</v>
      </c>
      <c r="Q4" s="250" t="s">
        <v>24</v>
      </c>
      <c r="R4" s="250" t="s">
        <v>25</v>
      </c>
      <c r="S4" s="167" t="s">
        <v>26</v>
      </c>
      <c r="T4" s="250" t="s">
        <v>33</v>
      </c>
      <c r="U4" s="250" t="s">
        <v>34</v>
      </c>
      <c r="V4" s="250" t="s">
        <v>37</v>
      </c>
      <c r="W4" s="259" t="s">
        <v>105</v>
      </c>
    </row>
    <row r="5" spans="1:23" ht="16" customHeight="1" thickBot="1" x14ac:dyDescent="0.3">
      <c r="K5" s="145"/>
      <c r="L5" s="251"/>
      <c r="M5" s="782"/>
      <c r="N5" s="2336" t="s">
        <v>186</v>
      </c>
      <c r="O5" s="2337"/>
      <c r="P5" s="2337"/>
      <c r="Q5" s="2337"/>
      <c r="R5" s="2337"/>
      <c r="S5" s="2337"/>
      <c r="T5" s="2337"/>
      <c r="U5" s="2337"/>
      <c r="V5" s="2337"/>
      <c r="W5" s="2338"/>
    </row>
    <row r="6" spans="1:23" ht="32.25" customHeight="1" x14ac:dyDescent="0.35">
      <c r="K6" s="131"/>
      <c r="L6" s="251"/>
      <c r="M6" s="2359" t="s">
        <v>258</v>
      </c>
      <c r="N6" s="2353" t="s">
        <v>108</v>
      </c>
      <c r="O6" s="2356" t="s">
        <v>257</v>
      </c>
      <c r="P6" s="2356" t="s">
        <v>187</v>
      </c>
      <c r="Q6" s="2356" t="s">
        <v>192</v>
      </c>
      <c r="R6" s="869"/>
      <c r="S6" s="869"/>
      <c r="T6" s="869"/>
      <c r="U6" s="869"/>
      <c r="V6" s="869"/>
      <c r="W6" s="2341" t="s">
        <v>193</v>
      </c>
    </row>
    <row r="7" spans="1:23" ht="25" customHeight="1" thickBot="1" x14ac:dyDescent="0.4">
      <c r="K7" s="131"/>
      <c r="L7" s="251"/>
      <c r="M7" s="2348"/>
      <c r="N7" s="2354"/>
      <c r="O7" s="2270"/>
      <c r="P7" s="2270"/>
      <c r="Q7" s="2270"/>
      <c r="R7" s="2350" t="s">
        <v>13</v>
      </c>
      <c r="S7" s="2270" t="s">
        <v>185</v>
      </c>
      <c r="T7" s="866"/>
      <c r="U7" s="866"/>
      <c r="V7" s="2277" t="s">
        <v>194</v>
      </c>
      <c r="W7" s="2272"/>
    </row>
    <row r="8" spans="1:23" ht="61" customHeight="1" thickBot="1" x14ac:dyDescent="0.3">
      <c r="K8" s="131"/>
      <c r="L8" s="252"/>
      <c r="M8" s="2349"/>
      <c r="N8" s="2355"/>
      <c r="O8" s="2351"/>
      <c r="P8" s="2351"/>
      <c r="Q8" s="2351"/>
      <c r="R8" s="2357"/>
      <c r="S8" s="2351" t="s">
        <v>185</v>
      </c>
      <c r="T8" s="867" t="s">
        <v>188</v>
      </c>
      <c r="U8" s="868" t="s">
        <v>189</v>
      </c>
      <c r="V8" s="2358"/>
      <c r="W8" s="2273"/>
    </row>
    <row r="9" spans="1:23" ht="15" hidden="1" customHeight="1" x14ac:dyDescent="0.25">
      <c r="K9" s="131"/>
      <c r="L9" s="135">
        <v>1970</v>
      </c>
      <c r="M9" s="783">
        <v>14</v>
      </c>
      <c r="N9" s="154">
        <v>2.4126398</v>
      </c>
      <c r="O9" s="133">
        <v>0.3445089000000004</v>
      </c>
      <c r="P9" s="133"/>
      <c r="Q9" s="133">
        <v>5.61498834</v>
      </c>
      <c r="R9" s="134">
        <v>0.3620701300000001</v>
      </c>
      <c r="S9" s="160">
        <v>8.1139127999999996</v>
      </c>
      <c r="T9" s="164"/>
      <c r="U9" s="165"/>
      <c r="V9" s="132" t="e">
        <f>#REF!-S9</f>
        <v>#REF!</v>
      </c>
      <c r="W9" s="153">
        <f t="shared" ref="W9:W32" si="0">N9-O9-Q9</f>
        <v>-3.5468574400000006</v>
      </c>
    </row>
    <row r="10" spans="1:23" ht="15" hidden="1" customHeight="1" x14ac:dyDescent="0.25">
      <c r="K10" s="131"/>
      <c r="L10" s="135">
        <f t="shared" ref="L10:L47" si="1">L9+1</f>
        <v>1971</v>
      </c>
      <c r="M10" s="783">
        <v>20</v>
      </c>
      <c r="N10" s="154">
        <v>0.62123574700000017</v>
      </c>
      <c r="O10" s="133">
        <v>2.5751309299999994</v>
      </c>
      <c r="P10" s="133"/>
      <c r="Q10" s="133">
        <v>4.9126059029999993</v>
      </c>
      <c r="R10" s="134">
        <v>0.14082795448999996</v>
      </c>
      <c r="S10" s="160">
        <v>6.3092800800000006</v>
      </c>
      <c r="T10" s="164"/>
      <c r="U10" s="165"/>
      <c r="V10" s="132" t="e">
        <f>#REF!-S10</f>
        <v>#REF!</v>
      </c>
      <c r="W10" s="153">
        <f t="shared" si="0"/>
        <v>-6.8665010859999986</v>
      </c>
    </row>
    <row r="11" spans="1:23" ht="15" hidden="1" customHeight="1" x14ac:dyDescent="0.25">
      <c r="K11" s="131"/>
      <c r="L11" s="135">
        <f t="shared" si="1"/>
        <v>1972</v>
      </c>
      <c r="M11" s="783">
        <v>23</v>
      </c>
      <c r="N11" s="154">
        <v>-0.83427635999999894</v>
      </c>
      <c r="O11" s="133">
        <v>1.0661059000000004</v>
      </c>
      <c r="P11" s="133"/>
      <c r="Q11" s="141">
        <v>5.9119252440000007</v>
      </c>
      <c r="R11" s="142">
        <v>0.17956505000000009</v>
      </c>
      <c r="S11" s="248">
        <v>7.7857474599999987</v>
      </c>
      <c r="T11" s="248"/>
      <c r="U11" s="166"/>
      <c r="V11" s="247" t="e">
        <f>#REF!-S11</f>
        <v>#REF!</v>
      </c>
      <c r="W11" s="159">
        <f t="shared" si="0"/>
        <v>-7.8123075039999996</v>
      </c>
    </row>
    <row r="12" spans="1:23" ht="15" hidden="1" customHeight="1" x14ac:dyDescent="0.25">
      <c r="K12" s="131"/>
      <c r="L12" s="135">
        <f t="shared" si="1"/>
        <v>1973</v>
      </c>
      <c r="M12" s="783">
        <v>23</v>
      </c>
      <c r="N12" s="154">
        <v>11.18155471</v>
      </c>
      <c r="O12" s="133">
        <v>12.094017570000004</v>
      </c>
      <c r="P12" s="133"/>
      <c r="Q12" s="141">
        <v>8.4966201810000026</v>
      </c>
      <c r="R12" s="142">
        <v>-0.1815000170000001</v>
      </c>
      <c r="S12" s="248">
        <v>11.903125670000001</v>
      </c>
      <c r="T12" s="248"/>
      <c r="U12" s="166"/>
      <c r="V12" s="247" t="e">
        <f>#REF!-S12</f>
        <v>#REF!</v>
      </c>
      <c r="W12" s="159">
        <f t="shared" si="0"/>
        <v>-9.4090830410000059</v>
      </c>
    </row>
    <row r="13" spans="1:23" ht="15" hidden="1" customHeight="1" x14ac:dyDescent="0.25">
      <c r="K13" s="131"/>
      <c r="L13" s="135">
        <f t="shared" si="1"/>
        <v>1974</v>
      </c>
      <c r="M13" s="783">
        <v>37</v>
      </c>
      <c r="N13" s="154">
        <v>10.017000887000002</v>
      </c>
      <c r="O13" s="133">
        <v>13.730893719999996</v>
      </c>
      <c r="P13" s="133"/>
      <c r="Q13" s="141">
        <v>8.9314641462999997</v>
      </c>
      <c r="R13" s="142">
        <v>-0.44591925859999998</v>
      </c>
      <c r="S13" s="248">
        <v>12.14380077</v>
      </c>
      <c r="T13" s="248"/>
      <c r="U13" s="166"/>
      <c r="V13" s="247" t="e">
        <f>#REF!-S13</f>
        <v>#REF!</v>
      </c>
      <c r="W13" s="159">
        <f t="shared" si="0"/>
        <v>-12.645356979299994</v>
      </c>
    </row>
    <row r="14" spans="1:23" ht="12" customHeight="1" x14ac:dyDescent="0.25">
      <c r="K14" s="131"/>
      <c r="L14" s="789">
        <f t="shared" si="1"/>
        <v>1975</v>
      </c>
      <c r="M14" s="790">
        <v>54</v>
      </c>
      <c r="N14" s="791">
        <v>5.3043714593035274</v>
      </c>
      <c r="O14" s="792">
        <v>15.307229909528353</v>
      </c>
      <c r="P14" s="792"/>
      <c r="Q14" s="793">
        <v>1.9573139426676112</v>
      </c>
      <c r="R14" s="794">
        <v>-0.747</v>
      </c>
      <c r="S14" s="795">
        <v>8.4996899999999993</v>
      </c>
      <c r="T14" s="795">
        <v>9.0624500000000001</v>
      </c>
      <c r="U14" s="796">
        <f>+S14-T14</f>
        <v>-0.56276000000000082</v>
      </c>
      <c r="V14" s="797">
        <f>+Q14-R14-S14</f>
        <v>-5.7953760573323887</v>
      </c>
      <c r="W14" s="798">
        <f t="shared" si="0"/>
        <v>-11.960172392892435</v>
      </c>
    </row>
    <row r="15" spans="1:23" ht="12" customHeight="1" x14ac:dyDescent="0.25">
      <c r="K15" s="131"/>
      <c r="L15" s="135">
        <f t="shared" si="1"/>
        <v>1976</v>
      </c>
      <c r="M15" s="784">
        <v>78</v>
      </c>
      <c r="N15" s="154">
        <v>-8.997361419212055</v>
      </c>
      <c r="O15" s="253">
        <v>-2.3678854724604714</v>
      </c>
      <c r="P15" s="253"/>
      <c r="Q15" s="255">
        <v>1.1282518931736254</v>
      </c>
      <c r="R15" s="142">
        <v>-0.82</v>
      </c>
      <c r="S15" s="248">
        <v>8.9847999999999999</v>
      </c>
      <c r="T15" s="248">
        <v>9.5796899999999994</v>
      </c>
      <c r="U15" s="166">
        <f t="shared" ref="U15:U54" si="2">+S15-T15</f>
        <v>-0.59488999999999947</v>
      </c>
      <c r="V15" s="247">
        <f t="shared" ref="V15:V54" si="3">+Q15-R15-S15</f>
        <v>-7.0365481068263751</v>
      </c>
      <c r="W15" s="246">
        <f t="shared" si="0"/>
        <v>-7.7577278399252085</v>
      </c>
    </row>
    <row r="16" spans="1:23" ht="12" customHeight="1" x14ac:dyDescent="0.25">
      <c r="K16" s="131"/>
      <c r="L16" s="135">
        <f t="shared" si="1"/>
        <v>1977</v>
      </c>
      <c r="M16" s="784">
        <v>104</v>
      </c>
      <c r="N16" s="154">
        <v>-23.250558083315642</v>
      </c>
      <c r="O16" s="253">
        <v>-11.932350526732883</v>
      </c>
      <c r="P16" s="253"/>
      <c r="Q16" s="255">
        <v>-4.5868502969730525</v>
      </c>
      <c r="R16" s="142">
        <v>-0.13700000000000001</v>
      </c>
      <c r="S16" s="248">
        <v>0.68204399999999998</v>
      </c>
      <c r="T16" s="248">
        <v>1.3904399999999999</v>
      </c>
      <c r="U16" s="166">
        <f t="shared" si="2"/>
        <v>-0.70839599999999991</v>
      </c>
      <c r="V16" s="247">
        <f t="shared" si="3"/>
        <v>-5.1318942969730523</v>
      </c>
      <c r="W16" s="246">
        <f t="shared" si="0"/>
        <v>-6.7313572596097071</v>
      </c>
    </row>
    <row r="17" spans="11:23" ht="12" customHeight="1" x14ac:dyDescent="0.25">
      <c r="K17" s="131"/>
      <c r="L17" s="135">
        <f t="shared" si="1"/>
        <v>1978</v>
      </c>
      <c r="M17" s="784">
        <v>110</v>
      </c>
      <c r="N17" s="154">
        <v>-25.322395374924788</v>
      </c>
      <c r="O17" s="253">
        <v>-12.441851900611617</v>
      </c>
      <c r="P17" s="253"/>
      <c r="Q17" s="255">
        <v>-2.8903695700901744</v>
      </c>
      <c r="R17" s="142">
        <v>0.443</v>
      </c>
      <c r="S17" s="248">
        <v>3.6046399999999998</v>
      </c>
      <c r="T17" s="248">
        <v>4.8885899999999998</v>
      </c>
      <c r="U17" s="166">
        <f t="shared" si="2"/>
        <v>-1.2839499999999999</v>
      </c>
      <c r="V17" s="247">
        <f t="shared" si="3"/>
        <v>-6.9380095700901743</v>
      </c>
      <c r="W17" s="246">
        <f t="shared" si="0"/>
        <v>-9.9901739042229973</v>
      </c>
    </row>
    <row r="18" spans="11:23" ht="12" customHeight="1" x14ac:dyDescent="0.25">
      <c r="K18" s="131"/>
      <c r="L18" s="135">
        <f t="shared" si="1"/>
        <v>1979</v>
      </c>
      <c r="M18" s="784">
        <v>114</v>
      </c>
      <c r="N18" s="154">
        <v>-30.639624018813794</v>
      </c>
      <c r="O18" s="253">
        <v>-26.570926159833913</v>
      </c>
      <c r="P18" s="253"/>
      <c r="Q18" s="255">
        <v>4.0460346156485807</v>
      </c>
      <c r="R18" s="245">
        <v>1.3</v>
      </c>
      <c r="S18" s="244">
        <v>17.4864</v>
      </c>
      <c r="T18" s="244">
        <v>19.146000000000001</v>
      </c>
      <c r="U18" s="243">
        <f t="shared" si="2"/>
        <v>-1.6596000000000011</v>
      </c>
      <c r="V18" s="242">
        <f t="shared" si="3"/>
        <v>-14.740365384351419</v>
      </c>
      <c r="W18" s="241">
        <f t="shared" si="0"/>
        <v>-8.114732474628461</v>
      </c>
    </row>
    <row r="19" spans="11:23" ht="12" customHeight="1" x14ac:dyDescent="0.25">
      <c r="K19" s="131"/>
      <c r="L19" s="139">
        <f t="shared" si="1"/>
        <v>1980</v>
      </c>
      <c r="M19" s="785">
        <v>119</v>
      </c>
      <c r="N19" s="157">
        <v>-58.429490915017688</v>
      </c>
      <c r="O19" s="257">
        <v>-37.342593624541593</v>
      </c>
      <c r="P19" s="257"/>
      <c r="Q19" s="260">
        <v>-13.169918208350103</v>
      </c>
      <c r="R19" s="142">
        <v>2.12</v>
      </c>
      <c r="S19" s="248">
        <v>3.8552499999999998</v>
      </c>
      <c r="T19" s="248">
        <v>5.78207</v>
      </c>
      <c r="U19" s="166">
        <f t="shared" si="2"/>
        <v>-1.9268200000000002</v>
      </c>
      <c r="V19" s="247">
        <f t="shared" si="3"/>
        <v>-19.1451682083501</v>
      </c>
      <c r="W19" s="246">
        <f t="shared" si="0"/>
        <v>-7.9169790821259927</v>
      </c>
    </row>
    <row r="20" spans="11:23" ht="12" customHeight="1" x14ac:dyDescent="0.25">
      <c r="K20" s="131"/>
      <c r="L20" s="135">
        <f t="shared" si="1"/>
        <v>1981</v>
      </c>
      <c r="M20" s="784">
        <v>122</v>
      </c>
      <c r="N20" s="154">
        <v>-76.505286687173765</v>
      </c>
      <c r="O20" s="253">
        <v>-35.566911919827355</v>
      </c>
      <c r="P20" s="253"/>
      <c r="Q20" s="255">
        <v>-32.132066756686825</v>
      </c>
      <c r="R20" s="142">
        <v>1.31</v>
      </c>
      <c r="S20" s="248">
        <v>-5.1824300000000001</v>
      </c>
      <c r="T20" s="248">
        <v>-2.8523900000000002</v>
      </c>
      <c r="U20" s="166">
        <f t="shared" si="2"/>
        <v>-2.3300399999999999</v>
      </c>
      <c r="V20" s="247">
        <f t="shared" si="3"/>
        <v>-28.259636756686827</v>
      </c>
      <c r="W20" s="246">
        <f t="shared" si="0"/>
        <v>-8.8063080106595848</v>
      </c>
    </row>
    <row r="21" spans="11:23" ht="12" customHeight="1" x14ac:dyDescent="0.25">
      <c r="K21" s="131"/>
      <c r="L21" s="135">
        <f t="shared" si="1"/>
        <v>1982</v>
      </c>
      <c r="M21" s="784">
        <v>126</v>
      </c>
      <c r="N21" s="154">
        <v>-88.423735795847321</v>
      </c>
      <c r="O21" s="253">
        <v>-37.529356972937173</v>
      </c>
      <c r="P21" s="253"/>
      <c r="Q21" s="255">
        <v>-38.682756445850615</v>
      </c>
      <c r="R21" s="142">
        <v>1.42</v>
      </c>
      <c r="S21" s="248">
        <v>-1.327</v>
      </c>
      <c r="T21" s="248">
        <v>1.0159</v>
      </c>
      <c r="U21" s="166">
        <f t="shared" si="2"/>
        <v>-2.3429000000000002</v>
      </c>
      <c r="V21" s="247">
        <f t="shared" si="3"/>
        <v>-38.775756445850618</v>
      </c>
      <c r="W21" s="246">
        <f t="shared" si="0"/>
        <v>-12.211622377059534</v>
      </c>
    </row>
    <row r="22" spans="11:23" ht="12" customHeight="1" x14ac:dyDescent="0.25">
      <c r="K22" s="131"/>
      <c r="L22" s="135">
        <f t="shared" si="1"/>
        <v>1983</v>
      </c>
      <c r="M22" s="784">
        <v>126</v>
      </c>
      <c r="N22" s="154">
        <v>-76.07653465981538</v>
      </c>
      <c r="O22" s="253">
        <v>-37.609389742328354</v>
      </c>
      <c r="P22" s="253"/>
      <c r="Q22" s="255">
        <v>-29.13690458542683</v>
      </c>
      <c r="R22" s="142">
        <v>1.5</v>
      </c>
      <c r="S22" s="248">
        <v>4.3809500000000003</v>
      </c>
      <c r="T22" s="248">
        <v>6.5154300000000003</v>
      </c>
      <c r="U22" s="166">
        <f t="shared" si="2"/>
        <v>-2.1344799999999999</v>
      </c>
      <c r="V22" s="247">
        <f t="shared" si="3"/>
        <v>-35.017854585426832</v>
      </c>
      <c r="W22" s="246">
        <f t="shared" si="0"/>
        <v>-9.3302403320601961</v>
      </c>
    </row>
    <row r="23" spans="11:23" ht="12" customHeight="1" x14ac:dyDescent="0.25">
      <c r="K23" s="131"/>
      <c r="L23" s="135">
        <f t="shared" si="1"/>
        <v>1984</v>
      </c>
      <c r="M23" s="784">
        <v>127</v>
      </c>
      <c r="N23" s="154">
        <v>-83.177398533984856</v>
      </c>
      <c r="O23" s="253">
        <v>-38.773357700495865</v>
      </c>
      <c r="P23" s="253"/>
      <c r="Q23" s="255">
        <v>-35.371266844947186</v>
      </c>
      <c r="R23" s="142">
        <v>1.0900000000000001</v>
      </c>
      <c r="S23" s="248">
        <v>8.3872999999999998</v>
      </c>
      <c r="T23" s="248">
        <v>10.525</v>
      </c>
      <c r="U23" s="166">
        <f t="shared" si="2"/>
        <v>-2.1377000000000006</v>
      </c>
      <c r="V23" s="247">
        <f t="shared" si="3"/>
        <v>-44.848566844947186</v>
      </c>
      <c r="W23" s="246">
        <f t="shared" si="0"/>
        <v>-9.0327739885418055</v>
      </c>
    </row>
    <row r="24" spans="11:23" ht="12" customHeight="1" x14ac:dyDescent="0.25">
      <c r="K24" s="131"/>
      <c r="L24" s="135">
        <f t="shared" si="1"/>
        <v>1985</v>
      </c>
      <c r="M24" s="784">
        <v>129</v>
      </c>
      <c r="N24" s="154">
        <v>-87.128292100285293</v>
      </c>
      <c r="O24" s="253">
        <v>-31.639557200011215</v>
      </c>
      <c r="P24" s="253"/>
      <c r="Q24" s="255">
        <v>-47.015863866005368</v>
      </c>
      <c r="R24" s="142">
        <v>0.752</v>
      </c>
      <c r="S24" s="248">
        <v>7.2998200000000004</v>
      </c>
      <c r="T24" s="248">
        <v>7.9588900000000002</v>
      </c>
      <c r="U24" s="166">
        <f t="shared" si="2"/>
        <v>-0.65906999999999982</v>
      </c>
      <c r="V24" s="247">
        <f t="shared" si="3"/>
        <v>-55.067683866005368</v>
      </c>
      <c r="W24" s="246">
        <f t="shared" si="0"/>
        <v>-8.4728710342687137</v>
      </c>
    </row>
    <row r="25" spans="11:23" ht="12" customHeight="1" x14ac:dyDescent="0.25">
      <c r="K25" s="131"/>
      <c r="L25" s="135">
        <f t="shared" si="1"/>
        <v>1986</v>
      </c>
      <c r="M25" s="784">
        <v>131</v>
      </c>
      <c r="N25" s="154">
        <v>-77.95610200001552</v>
      </c>
      <c r="O25" s="253">
        <v>-20.946701267923356</v>
      </c>
      <c r="P25" s="253"/>
      <c r="Q25" s="255">
        <v>-44.430724659965868</v>
      </c>
      <c r="R25" s="142">
        <v>5.9262023829999996E-2</v>
      </c>
      <c r="S25" s="248">
        <v>17.649699999999999</v>
      </c>
      <c r="T25" s="248">
        <v>24.7498</v>
      </c>
      <c r="U25" s="166">
        <f t="shared" si="2"/>
        <v>-7.1001000000000012</v>
      </c>
      <c r="V25" s="247">
        <f t="shared" si="3"/>
        <v>-62.139686683795873</v>
      </c>
      <c r="W25" s="246">
        <f t="shared" si="0"/>
        <v>-12.578676072126292</v>
      </c>
    </row>
    <row r="26" spans="11:23" ht="12" customHeight="1" x14ac:dyDescent="0.25">
      <c r="K26" s="131"/>
      <c r="L26" s="135">
        <f t="shared" si="1"/>
        <v>1987</v>
      </c>
      <c r="M26" s="784">
        <v>130</v>
      </c>
      <c r="N26" s="154">
        <v>-78.194555602830476</v>
      </c>
      <c r="O26" s="253">
        <v>-11.213505444712265</v>
      </c>
      <c r="P26" s="253"/>
      <c r="Q26" s="255">
        <v>-53.469345138835351</v>
      </c>
      <c r="R26" s="142">
        <v>-0.59299999999999997</v>
      </c>
      <c r="S26" s="248">
        <v>25.404299999999999</v>
      </c>
      <c r="T26" s="248">
        <v>32.175600000000003</v>
      </c>
      <c r="U26" s="166">
        <f t="shared" si="2"/>
        <v>-6.7713000000000036</v>
      </c>
      <c r="V26" s="247">
        <f t="shared" si="3"/>
        <v>-78.280645138835354</v>
      </c>
      <c r="W26" s="246">
        <f t="shared" si="0"/>
        <v>-13.511705019282857</v>
      </c>
    </row>
    <row r="27" spans="11:23" ht="12" customHeight="1" x14ac:dyDescent="0.25">
      <c r="K27" s="131"/>
      <c r="L27" s="135">
        <f t="shared" si="1"/>
        <v>1988</v>
      </c>
      <c r="M27" s="784">
        <v>129</v>
      </c>
      <c r="N27" s="154">
        <v>-66.52614353977981</v>
      </c>
      <c r="O27" s="253">
        <v>-2.7894038355406257</v>
      </c>
      <c r="P27" s="253"/>
      <c r="Q27" s="255">
        <v>-47.243305819127798</v>
      </c>
      <c r="R27" s="142">
        <v>-0.215</v>
      </c>
      <c r="S27" s="248">
        <v>39.087699999999998</v>
      </c>
      <c r="T27" s="248">
        <v>46.186</v>
      </c>
      <c r="U27" s="166">
        <f t="shared" si="2"/>
        <v>-7.0983000000000018</v>
      </c>
      <c r="V27" s="247">
        <f t="shared" si="3"/>
        <v>-86.116005819127793</v>
      </c>
      <c r="W27" s="246">
        <f t="shared" si="0"/>
        <v>-16.493433885111386</v>
      </c>
    </row>
    <row r="28" spans="11:23" ht="12" customHeight="1" x14ac:dyDescent="0.25">
      <c r="K28" s="131"/>
      <c r="L28" s="135">
        <f t="shared" si="1"/>
        <v>1989</v>
      </c>
      <c r="M28" s="784">
        <v>128</v>
      </c>
      <c r="N28" s="154">
        <v>-92.654791132361908</v>
      </c>
      <c r="O28" s="253">
        <v>-25.121217007477842</v>
      </c>
      <c r="P28" s="253"/>
      <c r="Q28" s="255">
        <v>-49.822667050547935</v>
      </c>
      <c r="R28" s="245">
        <v>-1.46</v>
      </c>
      <c r="S28" s="244">
        <v>45.049799999999998</v>
      </c>
      <c r="T28" s="244">
        <v>54.4086</v>
      </c>
      <c r="U28" s="243">
        <f t="shared" si="2"/>
        <v>-9.3588000000000022</v>
      </c>
      <c r="V28" s="242">
        <f t="shared" si="3"/>
        <v>-93.412467050547932</v>
      </c>
      <c r="W28" s="241">
        <f t="shared" si="0"/>
        <v>-17.710907074336134</v>
      </c>
    </row>
    <row r="29" spans="11:23" ht="12" customHeight="1" x14ac:dyDescent="0.25">
      <c r="K29" s="131"/>
      <c r="L29" s="139">
        <f t="shared" si="1"/>
        <v>1990</v>
      </c>
      <c r="M29" s="785">
        <v>129</v>
      </c>
      <c r="N29" s="157">
        <v>-99.36502943565533</v>
      </c>
      <c r="O29" s="257">
        <v>-20.925114130767508</v>
      </c>
      <c r="P29" s="257"/>
      <c r="Q29" s="260">
        <v>-58.515937561341509</v>
      </c>
      <c r="R29" s="142">
        <v>-4.0199999999999996</v>
      </c>
      <c r="S29" s="248">
        <v>53.582099999999997</v>
      </c>
      <c r="T29" s="248">
        <v>65.726299999999995</v>
      </c>
      <c r="U29" s="166">
        <f t="shared" si="2"/>
        <v>-12.144199999999998</v>
      </c>
      <c r="V29" s="247">
        <f t="shared" si="3"/>
        <v>-108.0780375613415</v>
      </c>
      <c r="W29" s="246">
        <f t="shared" si="0"/>
        <v>-19.92397774354631</v>
      </c>
    </row>
    <row r="30" spans="11:23" ht="12" customHeight="1" x14ac:dyDescent="0.25">
      <c r="K30" s="131"/>
      <c r="L30" s="135">
        <f t="shared" si="1"/>
        <v>1991</v>
      </c>
      <c r="M30" s="784">
        <v>127</v>
      </c>
      <c r="N30" s="154">
        <v>-124.27453797669014</v>
      </c>
      <c r="O30" s="253">
        <v>-27.06247488277354</v>
      </c>
      <c r="P30" s="253"/>
      <c r="Q30" s="255">
        <v>-69.05772785210317</v>
      </c>
      <c r="R30" s="142">
        <v>-4.04</v>
      </c>
      <c r="S30" s="248">
        <v>53.599299999999999</v>
      </c>
      <c r="T30" s="248">
        <v>68.107900000000001</v>
      </c>
      <c r="U30" s="166">
        <f t="shared" si="2"/>
        <v>-14.508600000000001</v>
      </c>
      <c r="V30" s="247">
        <f t="shared" si="3"/>
        <v>-118.61702785210316</v>
      </c>
      <c r="W30" s="246">
        <f t="shared" si="0"/>
        <v>-28.154335241813428</v>
      </c>
    </row>
    <row r="31" spans="11:23" ht="12" customHeight="1" x14ac:dyDescent="0.25">
      <c r="K31" s="131"/>
      <c r="L31" s="135">
        <f t="shared" si="1"/>
        <v>1992</v>
      </c>
      <c r="M31" s="784">
        <v>129</v>
      </c>
      <c r="N31" s="154">
        <v>-108.35793274686266</v>
      </c>
      <c r="O31" s="253">
        <v>1.1171106278638592</v>
      </c>
      <c r="P31" s="253"/>
      <c r="Q31" s="255">
        <v>-66.280115726872054</v>
      </c>
      <c r="R31" s="142">
        <v>-6.07</v>
      </c>
      <c r="S31" s="248">
        <v>51.875599999999999</v>
      </c>
      <c r="T31" s="248">
        <v>65.035300000000007</v>
      </c>
      <c r="U31" s="166">
        <f t="shared" si="2"/>
        <v>-13.159700000000008</v>
      </c>
      <c r="V31" s="247">
        <f t="shared" si="3"/>
        <v>-112.08571572687205</v>
      </c>
      <c r="W31" s="246">
        <f t="shared" si="0"/>
        <v>-43.19492764785447</v>
      </c>
    </row>
    <row r="32" spans="11:23" ht="12" customHeight="1" x14ac:dyDescent="0.25">
      <c r="K32" s="131"/>
      <c r="L32" s="135">
        <f t="shared" si="1"/>
        <v>1993</v>
      </c>
      <c r="M32" s="784">
        <v>130</v>
      </c>
      <c r="N32" s="154">
        <v>-75.150768058227285</v>
      </c>
      <c r="O32" s="253">
        <v>33.174296626297938</v>
      </c>
      <c r="P32" s="253"/>
      <c r="Q32" s="255">
        <v>-63.46153012453572</v>
      </c>
      <c r="R32" s="142">
        <v>-5.31</v>
      </c>
      <c r="S32" s="248">
        <v>50.392899999999997</v>
      </c>
      <c r="T32" s="248">
        <v>61.908799999999999</v>
      </c>
      <c r="U32" s="166">
        <f t="shared" si="2"/>
        <v>-11.515900000000002</v>
      </c>
      <c r="V32" s="247">
        <f t="shared" si="3"/>
        <v>-108.54443012453572</v>
      </c>
      <c r="W32" s="246">
        <f t="shared" si="0"/>
        <v>-44.863534559989496</v>
      </c>
    </row>
    <row r="33" spans="3:23" s="138" customFormat="1" ht="12" customHeight="1" x14ac:dyDescent="0.25">
      <c r="K33" s="144"/>
      <c r="L33" s="143">
        <f t="shared" si="1"/>
        <v>1994</v>
      </c>
      <c r="M33" s="786">
        <v>131</v>
      </c>
      <c r="N33" s="158">
        <v>-58.491800000000005</v>
      </c>
      <c r="O33" s="255">
        <v>74.644800000000004</v>
      </c>
      <c r="P33" s="255"/>
      <c r="Q33" s="255">
        <v>-79.224899999999991</v>
      </c>
      <c r="R33" s="142">
        <v>-3.39</v>
      </c>
      <c r="S33" s="248">
        <v>50.478200000000001</v>
      </c>
      <c r="T33" s="248">
        <v>61.613500000000002</v>
      </c>
      <c r="U33" s="166">
        <f t="shared" si="2"/>
        <v>-11.135300000000001</v>
      </c>
      <c r="V33" s="247">
        <f t="shared" si="3"/>
        <v>-126.31309999999999</v>
      </c>
      <c r="W33" s="159">
        <v>-53.911800000000007</v>
      </c>
    </row>
    <row r="34" spans="3:23" ht="12" customHeight="1" x14ac:dyDescent="0.25">
      <c r="K34" s="131"/>
      <c r="L34" s="135">
        <f t="shared" si="1"/>
        <v>1995</v>
      </c>
      <c r="M34" s="784">
        <v>130</v>
      </c>
      <c r="N34" s="154">
        <v>-55.4846</v>
      </c>
      <c r="O34" s="253">
        <v>83.74130000000001</v>
      </c>
      <c r="P34" s="253"/>
      <c r="Q34" s="255">
        <v>-86.752700000000004</v>
      </c>
      <c r="R34" s="142">
        <v>-3.82</v>
      </c>
      <c r="S34" s="248">
        <v>49.278599999999997</v>
      </c>
      <c r="T34" s="248">
        <v>63.247999999999998</v>
      </c>
      <c r="U34" s="166">
        <f t="shared" si="2"/>
        <v>-13.9694</v>
      </c>
      <c r="V34" s="247">
        <f t="shared" si="3"/>
        <v>-132.21129999999999</v>
      </c>
      <c r="W34" s="159">
        <v>-52.473500000000001</v>
      </c>
    </row>
    <row r="35" spans="3:23" ht="12" customHeight="1" x14ac:dyDescent="0.25">
      <c r="K35" s="131"/>
      <c r="L35" s="135">
        <f t="shared" si="1"/>
        <v>1996</v>
      </c>
      <c r="M35" s="784">
        <v>131</v>
      </c>
      <c r="N35" s="154">
        <v>-37.587300000000006</v>
      </c>
      <c r="O35" s="253">
        <v>85.2547</v>
      </c>
      <c r="P35" s="253"/>
      <c r="Q35" s="255">
        <v>-89.536199999999994</v>
      </c>
      <c r="R35" s="142">
        <v>-4.51</v>
      </c>
      <c r="S35" s="248">
        <v>72.547499999999999</v>
      </c>
      <c r="T35" s="248">
        <v>83.407499999999999</v>
      </c>
      <c r="U35" s="166">
        <f t="shared" si="2"/>
        <v>-10.86</v>
      </c>
      <c r="V35" s="247">
        <f t="shared" si="3"/>
        <v>-157.57369999999997</v>
      </c>
      <c r="W35" s="159">
        <v>-33.306199999999997</v>
      </c>
    </row>
    <row r="36" spans="3:23" ht="12" customHeight="1" x14ac:dyDescent="0.25">
      <c r="K36" s="131"/>
      <c r="L36" s="135">
        <f t="shared" si="1"/>
        <v>1997</v>
      </c>
      <c r="M36" s="784">
        <v>137</v>
      </c>
      <c r="N36" s="154">
        <v>9.2822700000000005</v>
      </c>
      <c r="O36" s="253">
        <v>110.32611</v>
      </c>
      <c r="P36" s="253"/>
      <c r="Q36" s="255">
        <v>-71.463200000000001</v>
      </c>
      <c r="R36" s="142">
        <v>4.4800000000000004</v>
      </c>
      <c r="S36" s="248">
        <v>72.921599999999998</v>
      </c>
      <c r="T36" s="248">
        <v>78.317400000000006</v>
      </c>
      <c r="U36" s="166">
        <f t="shared" si="2"/>
        <v>-5.3958000000000084</v>
      </c>
      <c r="V36" s="247">
        <f t="shared" si="3"/>
        <v>-148.8648</v>
      </c>
      <c r="W36" s="159">
        <v>-29.580200000000001</v>
      </c>
    </row>
    <row r="37" spans="3:23" ht="12" customHeight="1" x14ac:dyDescent="0.25">
      <c r="K37" s="131"/>
      <c r="L37" s="135">
        <f t="shared" si="1"/>
        <v>1998</v>
      </c>
      <c r="M37" s="784">
        <v>140</v>
      </c>
      <c r="N37" s="154">
        <v>-68.280799999999999</v>
      </c>
      <c r="O37" s="253">
        <v>63.563259999999993</v>
      </c>
      <c r="P37" s="253"/>
      <c r="Q37" s="255">
        <v>-98.391600000000011</v>
      </c>
      <c r="R37" s="142">
        <v>3.72</v>
      </c>
      <c r="S37" s="248">
        <v>57.258000000000003</v>
      </c>
      <c r="T37" s="248">
        <v>63.448599999999999</v>
      </c>
      <c r="U37" s="166">
        <f t="shared" si="2"/>
        <v>-6.1905999999999963</v>
      </c>
      <c r="V37" s="247">
        <f t="shared" si="3"/>
        <v>-159.36960000000002</v>
      </c>
      <c r="W37" s="159">
        <v>-33.452500000000001</v>
      </c>
    </row>
    <row r="38" spans="3:23" ht="12" customHeight="1" x14ac:dyDescent="0.25">
      <c r="K38" s="131"/>
      <c r="L38" s="135">
        <f t="shared" si="1"/>
        <v>1999</v>
      </c>
      <c r="M38" s="784">
        <v>143</v>
      </c>
      <c r="N38" s="154">
        <v>-101.744</v>
      </c>
      <c r="O38" s="253">
        <v>16.565239999999999</v>
      </c>
      <c r="P38" s="253"/>
      <c r="Q38" s="255">
        <v>-91.555600000000013</v>
      </c>
      <c r="R38" s="245">
        <v>2.4500000000000002</v>
      </c>
      <c r="S38" s="244">
        <v>74.155699999999996</v>
      </c>
      <c r="T38" s="244">
        <v>104.31399999999999</v>
      </c>
      <c r="U38" s="243">
        <f t="shared" si="2"/>
        <v>-30.158299999999997</v>
      </c>
      <c r="V38" s="242">
        <f t="shared" si="3"/>
        <v>-168.16130000000001</v>
      </c>
      <c r="W38" s="240">
        <v>-26.7531</v>
      </c>
    </row>
    <row r="39" spans="3:23" ht="12" customHeight="1" x14ac:dyDescent="0.25">
      <c r="K39" s="131"/>
      <c r="L39" s="139">
        <f t="shared" si="1"/>
        <v>2000</v>
      </c>
      <c r="M39" s="785">
        <v>143</v>
      </c>
      <c r="N39" s="157">
        <v>-149.76599999999999</v>
      </c>
      <c r="O39" s="257">
        <v>-22.484349999999999</v>
      </c>
      <c r="P39" s="257"/>
      <c r="Q39" s="260">
        <v>-90.921500000000009</v>
      </c>
      <c r="R39" s="142">
        <v>1.66</v>
      </c>
      <c r="S39" s="248">
        <v>72.456400000000002</v>
      </c>
      <c r="T39" s="248">
        <v>110.36</v>
      </c>
      <c r="U39" s="166">
        <f t="shared" si="2"/>
        <v>-37.903599999999997</v>
      </c>
      <c r="V39" s="247">
        <f t="shared" si="3"/>
        <v>-165.03790000000001</v>
      </c>
      <c r="W39" s="159">
        <v>-36.360100000000003</v>
      </c>
    </row>
    <row r="40" spans="3:23" ht="12" customHeight="1" x14ac:dyDescent="0.25">
      <c r="K40" s="131"/>
      <c r="L40" s="135">
        <f t="shared" si="1"/>
        <v>2001</v>
      </c>
      <c r="M40" s="784">
        <v>144</v>
      </c>
      <c r="N40" s="154">
        <v>-148.64600000000002</v>
      </c>
      <c r="O40" s="253">
        <v>-43.724900000000005</v>
      </c>
      <c r="P40" s="253"/>
      <c r="Q40" s="255">
        <v>-73.588200000000001</v>
      </c>
      <c r="R40" s="142">
        <v>1.1000000000000001</v>
      </c>
      <c r="S40" s="248">
        <v>85.918000000000006</v>
      </c>
      <c r="T40" s="248">
        <v>128.381</v>
      </c>
      <c r="U40" s="166">
        <f t="shared" si="2"/>
        <v>-42.462999999999994</v>
      </c>
      <c r="V40" s="247">
        <f t="shared" si="3"/>
        <v>-160.6062</v>
      </c>
      <c r="W40" s="159">
        <v>-31.332799999999999</v>
      </c>
    </row>
    <row r="41" spans="3:23" ht="12" customHeight="1" x14ac:dyDescent="0.25">
      <c r="K41" s="131"/>
      <c r="L41" s="135">
        <f t="shared" si="1"/>
        <v>2002</v>
      </c>
      <c r="M41" s="784">
        <v>154</v>
      </c>
      <c r="N41" s="154">
        <v>-97.793399999999991</v>
      </c>
      <c r="O41" s="253">
        <v>14.607950000000001</v>
      </c>
      <c r="P41" s="253"/>
      <c r="Q41" s="255">
        <v>-94.678200000000004</v>
      </c>
      <c r="R41" s="142">
        <v>5.73</v>
      </c>
      <c r="S41" s="248">
        <v>54.7029</v>
      </c>
      <c r="T41" s="248">
        <v>95.839100000000002</v>
      </c>
      <c r="U41" s="166">
        <f t="shared" si="2"/>
        <v>-41.136200000000002</v>
      </c>
      <c r="V41" s="247">
        <f t="shared" si="3"/>
        <v>-155.11110000000002</v>
      </c>
      <c r="W41" s="159">
        <v>-17.723099999999999</v>
      </c>
    </row>
    <row r="42" spans="3:23" ht="12" customHeight="1" x14ac:dyDescent="0.25">
      <c r="K42" s="131"/>
      <c r="L42" s="135">
        <f t="shared" si="1"/>
        <v>2003</v>
      </c>
      <c r="M42" s="784">
        <v>157</v>
      </c>
      <c r="N42" s="154">
        <v>-20.044499999999999</v>
      </c>
      <c r="O42" s="253">
        <v>65.995100000000008</v>
      </c>
      <c r="P42" s="253"/>
      <c r="Q42" s="255">
        <v>-76.640799999999999</v>
      </c>
      <c r="R42" s="142">
        <v>10.6</v>
      </c>
      <c r="S42" s="248">
        <v>77.991200000000006</v>
      </c>
      <c r="T42" s="248">
        <v>116.848</v>
      </c>
      <c r="U42" s="166">
        <f t="shared" si="2"/>
        <v>-38.856799999999993</v>
      </c>
      <c r="V42" s="247">
        <f t="shared" si="3"/>
        <v>-165.232</v>
      </c>
      <c r="W42" s="159">
        <v>-9.3987499999999997</v>
      </c>
    </row>
    <row r="43" spans="3:23" ht="12" customHeight="1" x14ac:dyDescent="0.25">
      <c r="K43" s="131"/>
      <c r="L43" s="135">
        <f t="shared" si="1"/>
        <v>2004</v>
      </c>
      <c r="M43" s="784">
        <v>159</v>
      </c>
      <c r="N43" s="154">
        <v>54.959199999999996</v>
      </c>
      <c r="O43" s="253">
        <v>89.435600000000008</v>
      </c>
      <c r="P43" s="253"/>
      <c r="Q43" s="255">
        <v>-16.214500000000001</v>
      </c>
      <c r="R43" s="142">
        <v>13.5</v>
      </c>
      <c r="S43" s="248">
        <v>162.67500000000001</v>
      </c>
      <c r="T43" s="248">
        <v>181.73400000000001</v>
      </c>
      <c r="U43" s="166">
        <f t="shared" si="2"/>
        <v>-19.058999999999997</v>
      </c>
      <c r="V43" s="247">
        <f t="shared" si="3"/>
        <v>-192.3895</v>
      </c>
      <c r="W43" s="159">
        <v>-18.262</v>
      </c>
    </row>
    <row r="44" spans="3:23" ht="12" customHeight="1" x14ac:dyDescent="0.25">
      <c r="K44" s="131"/>
      <c r="L44" s="135">
        <f t="shared" si="1"/>
        <v>2005</v>
      </c>
      <c r="M44" s="784">
        <v>170</v>
      </c>
      <c r="N44" s="154">
        <v>103.407</v>
      </c>
      <c r="O44" s="253">
        <v>137.31420000000003</v>
      </c>
      <c r="P44" s="253"/>
      <c r="Q44" s="255">
        <v>-12.4085</v>
      </c>
      <c r="R44" s="142">
        <v>10.7</v>
      </c>
      <c r="S44" s="248">
        <v>156.536</v>
      </c>
      <c r="T44" s="248">
        <v>190.14</v>
      </c>
      <c r="U44" s="166">
        <f t="shared" si="2"/>
        <v>-33.603999999999985</v>
      </c>
      <c r="V44" s="247">
        <f t="shared" si="3"/>
        <v>-179.64449999999999</v>
      </c>
      <c r="W44" s="159">
        <v>-21.4986</v>
      </c>
    </row>
    <row r="45" spans="3:23" ht="12" customHeight="1" x14ac:dyDescent="0.25">
      <c r="K45" s="131"/>
      <c r="L45" s="135">
        <f t="shared" si="1"/>
        <v>2006</v>
      </c>
      <c r="M45" s="784">
        <v>172</v>
      </c>
      <c r="N45" s="154">
        <v>253.58500000000001</v>
      </c>
      <c r="O45" s="253">
        <v>261.22300000000001</v>
      </c>
      <c r="P45" s="253"/>
      <c r="Q45" s="255">
        <v>-23.7638</v>
      </c>
      <c r="R45" s="142">
        <v>9.19</v>
      </c>
      <c r="S45" s="248">
        <v>144.81800000000001</v>
      </c>
      <c r="T45" s="248">
        <v>173.19399999999999</v>
      </c>
      <c r="U45" s="166">
        <f t="shared" si="2"/>
        <v>-28.375999999999976</v>
      </c>
      <c r="V45" s="247">
        <f t="shared" si="3"/>
        <v>-177.77180000000001</v>
      </c>
      <c r="W45" s="159">
        <v>16.126999999999999</v>
      </c>
    </row>
    <row r="46" spans="3:23" ht="12" customHeight="1" x14ac:dyDescent="0.25">
      <c r="K46" s="131"/>
      <c r="L46" s="135">
        <f t="shared" si="1"/>
        <v>2007</v>
      </c>
      <c r="M46" s="784">
        <v>173</v>
      </c>
      <c r="N46" s="154">
        <v>403.27800000000002</v>
      </c>
      <c r="O46" s="253">
        <v>404.35399999999998</v>
      </c>
      <c r="P46" s="253"/>
      <c r="Q46" s="255">
        <v>-19.454799999999999</v>
      </c>
      <c r="R46" s="142">
        <v>8.48</v>
      </c>
      <c r="S46" s="248">
        <v>106.077</v>
      </c>
      <c r="T46" s="248">
        <v>140.85499999999999</v>
      </c>
      <c r="U46" s="166">
        <f t="shared" si="2"/>
        <v>-34.777999999999992</v>
      </c>
      <c r="V46" s="247">
        <f t="shared" si="3"/>
        <v>-134.01179999999999</v>
      </c>
      <c r="W46" s="159">
        <v>18.379000000000001</v>
      </c>
    </row>
    <row r="47" spans="3:23" ht="12" customHeight="1" x14ac:dyDescent="0.25">
      <c r="K47" s="131"/>
      <c r="L47" s="135">
        <f t="shared" si="1"/>
        <v>2008</v>
      </c>
      <c r="M47" s="784">
        <v>173</v>
      </c>
      <c r="N47" s="154">
        <v>298.12299999999999</v>
      </c>
      <c r="O47" s="253">
        <v>366.34000000000003</v>
      </c>
      <c r="P47" s="253"/>
      <c r="Q47" s="255">
        <v>-99.319299999999998</v>
      </c>
      <c r="R47" s="142">
        <v>6.21</v>
      </c>
      <c r="S47" s="248">
        <v>33.152299999999997</v>
      </c>
      <c r="T47" s="248">
        <v>65.351900000000001</v>
      </c>
      <c r="U47" s="166">
        <f t="shared" si="2"/>
        <v>-32.199600000000004</v>
      </c>
      <c r="V47" s="247">
        <f t="shared" si="3"/>
        <v>-138.6816</v>
      </c>
      <c r="W47" s="159">
        <v>31.101900000000001</v>
      </c>
    </row>
    <row r="48" spans="3:23" ht="12" customHeight="1" x14ac:dyDescent="0.25">
      <c r="C48" s="127"/>
      <c r="D48" s="127"/>
      <c r="E48" s="127"/>
      <c r="F48" s="127"/>
      <c r="G48" s="127"/>
      <c r="H48" s="127"/>
      <c r="I48" s="127"/>
      <c r="J48" s="127"/>
      <c r="L48" s="140">
        <f t="shared" ref="L48:L54" si="4">L47+1</f>
        <v>2009</v>
      </c>
      <c r="M48" s="787">
        <v>175</v>
      </c>
      <c r="N48" s="249">
        <v>207.441</v>
      </c>
      <c r="O48" s="258">
        <v>289.59200000000055</v>
      </c>
      <c r="P48" s="258">
        <v>83.777999999999793</v>
      </c>
      <c r="Q48" s="239">
        <v>-46.73700000000008</v>
      </c>
      <c r="R48" s="245">
        <v>14.1</v>
      </c>
      <c r="S48" s="244">
        <v>127.06100000000001</v>
      </c>
      <c r="T48" s="244">
        <v>166.01300000000001</v>
      </c>
      <c r="U48" s="243">
        <f t="shared" si="2"/>
        <v>-38.951999999999998</v>
      </c>
      <c r="V48" s="242">
        <f t="shared" si="3"/>
        <v>-187.89800000000008</v>
      </c>
      <c r="W48" s="240">
        <v>-119.19600000000003</v>
      </c>
    </row>
    <row r="49" spans="3:23" ht="12" customHeight="1" x14ac:dyDescent="0.25">
      <c r="C49" s="127"/>
      <c r="D49" s="127"/>
      <c r="E49" s="127"/>
      <c r="F49" s="127"/>
      <c r="G49" s="127"/>
      <c r="H49" s="127"/>
      <c r="I49" s="127"/>
      <c r="J49" s="127"/>
      <c r="L49" s="135">
        <f t="shared" si="4"/>
        <v>2010</v>
      </c>
      <c r="M49" s="784">
        <v>175</v>
      </c>
      <c r="N49" s="154">
        <v>298.589</v>
      </c>
      <c r="O49" s="253">
        <v>370.22000000000116</v>
      </c>
      <c r="P49" s="253">
        <v>78.510999999999967</v>
      </c>
      <c r="Q49" s="255">
        <v>-29.215999999999894</v>
      </c>
      <c r="R49" s="142">
        <v>28</v>
      </c>
      <c r="S49" s="248">
        <v>161.05500000000001</v>
      </c>
      <c r="T49" s="248">
        <v>212.60499999999999</v>
      </c>
      <c r="U49" s="166">
        <f t="shared" si="2"/>
        <v>-51.549999999999983</v>
      </c>
      <c r="V49" s="247">
        <f t="shared" si="3"/>
        <v>-218.2709999999999</v>
      </c>
      <c r="W49" s="159">
        <v>-120.93399999999997</v>
      </c>
    </row>
    <row r="50" spans="3:23" ht="12" customHeight="1" x14ac:dyDescent="0.25">
      <c r="C50" s="127"/>
      <c r="D50" s="127"/>
      <c r="E50" s="127"/>
      <c r="F50" s="127"/>
      <c r="G50" s="127"/>
      <c r="H50" s="127"/>
      <c r="I50" s="127"/>
      <c r="J50" s="127"/>
      <c r="L50" s="135">
        <f t="shared" si="4"/>
        <v>2011</v>
      </c>
      <c r="M50" s="784">
        <v>177</v>
      </c>
      <c r="N50" s="154">
        <v>355.03</v>
      </c>
      <c r="O50" s="253">
        <v>429.18700000000172</v>
      </c>
      <c r="P50" s="253">
        <v>141.09699999999975</v>
      </c>
      <c r="Q50" s="255">
        <v>-85.788000000000011</v>
      </c>
      <c r="R50" s="142">
        <v>35.4</v>
      </c>
      <c r="S50" s="248">
        <v>166.363</v>
      </c>
      <c r="T50" s="248">
        <v>204.55199999999999</v>
      </c>
      <c r="U50" s="166">
        <f t="shared" si="2"/>
        <v>-38.188999999999993</v>
      </c>
      <c r="V50" s="247">
        <f t="shared" si="3"/>
        <v>-287.55100000000004</v>
      </c>
      <c r="W50" s="159">
        <v>-129.46299999999997</v>
      </c>
    </row>
    <row r="51" spans="3:23" ht="12" customHeight="1" x14ac:dyDescent="0.25">
      <c r="C51" s="128"/>
      <c r="D51" s="127"/>
      <c r="E51" s="127"/>
      <c r="F51" s="127"/>
      <c r="G51" s="127"/>
      <c r="H51" s="127"/>
      <c r="I51" s="127"/>
      <c r="J51" s="127"/>
      <c r="L51" s="135">
        <f t="shared" si="4"/>
        <v>2012</v>
      </c>
      <c r="M51" s="784">
        <v>179</v>
      </c>
      <c r="N51" s="154">
        <v>416.12</v>
      </c>
      <c r="O51" s="253">
        <v>488.93500000000131</v>
      </c>
      <c r="P51" s="253">
        <v>113.47899999999936</v>
      </c>
      <c r="Q51" s="255">
        <v>-47.085000000000036</v>
      </c>
      <c r="R51" s="142">
        <v>36.1</v>
      </c>
      <c r="S51" s="248">
        <v>131.47999999999999</v>
      </c>
      <c r="T51" s="248">
        <v>178.04400000000001</v>
      </c>
      <c r="U51" s="166">
        <f t="shared" si="2"/>
        <v>-46.564000000000021</v>
      </c>
      <c r="V51" s="247">
        <f t="shared" si="3"/>
        <v>-214.66500000000002</v>
      </c>
      <c r="W51" s="159">
        <v>-139.01700000000005</v>
      </c>
    </row>
    <row r="52" spans="3:23" ht="12" customHeight="1" x14ac:dyDescent="0.25">
      <c r="C52" s="127"/>
      <c r="D52" s="127"/>
      <c r="E52" s="127"/>
      <c r="F52" s="127"/>
      <c r="G52" s="127"/>
      <c r="H52" s="127"/>
      <c r="I52" s="127"/>
      <c r="J52" s="127"/>
      <c r="L52" s="135">
        <f t="shared" si="4"/>
        <v>2013</v>
      </c>
      <c r="M52" s="784">
        <v>177</v>
      </c>
      <c r="N52" s="154">
        <v>419.14</v>
      </c>
      <c r="O52" s="253">
        <v>581.875</v>
      </c>
      <c r="P52" s="253">
        <v>130.84500000000025</v>
      </c>
      <c r="Q52" s="255">
        <v>-119.90599999999995</v>
      </c>
      <c r="R52" s="142">
        <v>35</v>
      </c>
      <c r="S52" s="248">
        <v>154.405</v>
      </c>
      <c r="T52" s="248">
        <v>185.80799999999999</v>
      </c>
      <c r="U52" s="166">
        <f t="shared" si="2"/>
        <v>-31.402999999999992</v>
      </c>
      <c r="V52" s="247">
        <f t="shared" si="3"/>
        <v>-309.31099999999992</v>
      </c>
      <c r="W52" s="159">
        <v>-174.00699999999995</v>
      </c>
    </row>
    <row r="53" spans="3:23" ht="12" customHeight="1" x14ac:dyDescent="0.25">
      <c r="C53" s="127"/>
      <c r="D53" s="127"/>
      <c r="E53" s="127"/>
      <c r="F53" s="127"/>
      <c r="G53" s="127"/>
      <c r="H53" s="127"/>
      <c r="I53" s="127"/>
      <c r="J53" s="127"/>
      <c r="L53" s="135">
        <f t="shared" si="4"/>
        <v>2014</v>
      </c>
      <c r="M53" s="784">
        <v>166</v>
      </c>
      <c r="N53" s="154">
        <v>437.34300000000002</v>
      </c>
      <c r="O53" s="253">
        <v>525.08200000000215</v>
      </c>
      <c r="P53" s="253">
        <v>107.88699999999972</v>
      </c>
      <c r="Q53" s="255">
        <v>-37.384999999999764</v>
      </c>
      <c r="R53" s="142">
        <v>44.9</v>
      </c>
      <c r="S53" s="248">
        <v>142.506</v>
      </c>
      <c r="T53" s="248">
        <v>178.01300000000001</v>
      </c>
      <c r="U53" s="166">
        <f t="shared" si="2"/>
        <v>-35.507000000000005</v>
      </c>
      <c r="V53" s="247">
        <f t="shared" si="3"/>
        <v>-224.79099999999977</v>
      </c>
      <c r="W53" s="159">
        <v>-157.79500000000007</v>
      </c>
    </row>
    <row r="54" spans="3:23" ht="12" customHeight="1" thickBot="1" x14ac:dyDescent="0.3">
      <c r="C54" s="127"/>
      <c r="D54" s="127"/>
      <c r="E54" s="127"/>
      <c r="F54" s="127"/>
      <c r="G54" s="127"/>
      <c r="H54" s="127"/>
      <c r="I54" s="127"/>
      <c r="J54" s="127"/>
      <c r="L54" s="130">
        <f t="shared" si="4"/>
        <v>2015</v>
      </c>
      <c r="M54" s="788">
        <v>156</v>
      </c>
      <c r="N54" s="238">
        <v>280.09199999999998</v>
      </c>
      <c r="O54" s="256">
        <v>364.24499999999898</v>
      </c>
      <c r="P54" s="256">
        <v>147.51100000000042</v>
      </c>
      <c r="Q54" s="254">
        <v>-64.93100000000004</v>
      </c>
      <c r="R54" s="237">
        <v>47.7</v>
      </c>
      <c r="S54" s="236">
        <v>187.024</v>
      </c>
      <c r="T54" s="236">
        <v>203.279</v>
      </c>
      <c r="U54" s="235">
        <f t="shared" si="2"/>
        <v>-16.254999999999995</v>
      </c>
      <c r="V54" s="234">
        <f t="shared" si="3"/>
        <v>-299.65500000000003</v>
      </c>
      <c r="W54" s="233">
        <v>-166.36199999999985</v>
      </c>
    </row>
    <row r="55" spans="3:23" ht="13" thickTop="1" x14ac:dyDescent="0.25">
      <c r="C55" s="127"/>
      <c r="D55" s="127"/>
      <c r="E55" s="127"/>
      <c r="F55" s="127"/>
      <c r="G55" s="127"/>
      <c r="H55" s="127"/>
      <c r="I55" s="127"/>
      <c r="J55" s="127"/>
      <c r="N55" s="127"/>
    </row>
    <row r="56" spans="3:23" x14ac:dyDescent="0.25">
      <c r="C56" s="127"/>
      <c r="D56" s="127"/>
      <c r="E56" s="127"/>
      <c r="F56" s="127"/>
      <c r="G56" s="127"/>
      <c r="H56" s="127"/>
      <c r="I56" s="127"/>
      <c r="J56" s="127"/>
    </row>
    <row r="57" spans="3:23" x14ac:dyDescent="0.25">
      <c r="C57" s="127"/>
      <c r="D57" s="127"/>
      <c r="E57" s="127"/>
      <c r="F57" s="127"/>
      <c r="G57" s="127"/>
      <c r="H57" s="127"/>
      <c r="I57" s="127"/>
      <c r="J57" s="127"/>
    </row>
    <row r="58" spans="3:23" x14ac:dyDescent="0.25">
      <c r="C58" s="127"/>
      <c r="D58" s="127"/>
      <c r="E58" s="127"/>
      <c r="F58" s="127"/>
      <c r="G58" s="127"/>
      <c r="H58" s="127"/>
      <c r="I58" s="127"/>
      <c r="J58" s="127"/>
    </row>
    <row r="59" spans="3:23" x14ac:dyDescent="0.25">
      <c r="C59" s="127"/>
      <c r="D59" s="127"/>
      <c r="E59" s="127"/>
      <c r="F59" s="127"/>
      <c r="G59" s="127"/>
      <c r="H59" s="127"/>
      <c r="I59" s="127"/>
      <c r="J59" s="127"/>
    </row>
    <row r="60" spans="3:23" x14ac:dyDescent="0.25">
      <c r="C60" s="127"/>
      <c r="D60" s="127"/>
      <c r="E60" s="127"/>
      <c r="F60" s="127"/>
      <c r="G60" s="127"/>
      <c r="H60" s="127"/>
      <c r="I60" s="127"/>
      <c r="J60" s="127"/>
    </row>
    <row r="61" spans="3:23" x14ac:dyDescent="0.25">
      <c r="C61" s="127"/>
      <c r="D61" s="127"/>
      <c r="E61" s="127"/>
      <c r="F61" s="127"/>
      <c r="G61" s="127"/>
      <c r="H61" s="127"/>
      <c r="I61" s="127"/>
      <c r="J61" s="127"/>
    </row>
    <row r="62" spans="3:23" x14ac:dyDescent="0.25">
      <c r="C62" s="127"/>
      <c r="D62" s="127"/>
      <c r="E62" s="127"/>
      <c r="F62" s="127"/>
      <c r="G62" s="127"/>
      <c r="H62" s="127"/>
      <c r="I62" s="127"/>
      <c r="J62" s="127"/>
    </row>
    <row r="63" spans="3:23" x14ac:dyDescent="0.25">
      <c r="C63" s="127"/>
      <c r="D63" s="127"/>
      <c r="E63" s="127"/>
      <c r="F63" s="127"/>
      <c r="G63" s="127"/>
      <c r="H63" s="127"/>
      <c r="I63" s="127"/>
      <c r="J63" s="127"/>
    </row>
    <row r="64" spans="3:23" x14ac:dyDescent="0.25">
      <c r="C64" s="127"/>
      <c r="D64" s="127"/>
      <c r="E64" s="127"/>
      <c r="F64" s="127"/>
      <c r="G64" s="127"/>
      <c r="H64" s="127"/>
      <c r="I64" s="127"/>
      <c r="J64" s="127"/>
    </row>
    <row r="65" spans="3:10" x14ac:dyDescent="0.25">
      <c r="C65" s="127"/>
      <c r="D65" s="127"/>
      <c r="E65" s="127"/>
      <c r="F65" s="127"/>
      <c r="G65" s="127"/>
      <c r="H65" s="127"/>
      <c r="I65" s="127"/>
      <c r="J65" s="127"/>
    </row>
    <row r="66" spans="3:10" x14ac:dyDescent="0.25">
      <c r="C66" s="127"/>
      <c r="D66" s="127"/>
      <c r="E66" s="127"/>
      <c r="F66" s="127"/>
      <c r="G66" s="127"/>
      <c r="H66" s="127"/>
      <c r="I66" s="127"/>
      <c r="J66" s="127"/>
    </row>
    <row r="67" spans="3:10" x14ac:dyDescent="0.25">
      <c r="C67" s="127"/>
      <c r="D67" s="127"/>
      <c r="E67" s="127"/>
      <c r="F67" s="127"/>
      <c r="G67" s="127"/>
      <c r="H67" s="127"/>
      <c r="I67" s="127"/>
      <c r="J67" s="127"/>
    </row>
    <row r="68" spans="3:10" x14ac:dyDescent="0.25">
      <c r="C68" s="127"/>
      <c r="D68" s="127"/>
      <c r="E68" s="127"/>
      <c r="F68" s="127"/>
      <c r="G68" s="127"/>
      <c r="H68" s="127"/>
      <c r="I68" s="127"/>
      <c r="J68" s="127"/>
    </row>
    <row r="69" spans="3:10" x14ac:dyDescent="0.25">
      <c r="C69" s="127"/>
      <c r="D69" s="127"/>
      <c r="E69" s="127"/>
      <c r="F69" s="127"/>
      <c r="G69" s="127"/>
      <c r="H69" s="127"/>
      <c r="I69" s="127"/>
      <c r="J69" s="127"/>
    </row>
    <row r="70" spans="3:10" x14ac:dyDescent="0.25">
      <c r="C70" s="127"/>
      <c r="D70" s="127"/>
      <c r="E70" s="127"/>
      <c r="F70" s="127"/>
      <c r="G70" s="127"/>
      <c r="H70" s="127"/>
      <c r="I70" s="127"/>
      <c r="J70" s="127"/>
    </row>
    <row r="71" spans="3:10" x14ac:dyDescent="0.25">
      <c r="C71" s="127"/>
      <c r="D71" s="127"/>
      <c r="E71" s="127"/>
      <c r="F71" s="127"/>
      <c r="G71" s="127"/>
      <c r="H71" s="127"/>
      <c r="I71" s="127"/>
      <c r="J71" s="127"/>
    </row>
    <row r="72" spans="3:10" x14ac:dyDescent="0.25">
      <c r="C72" s="127"/>
      <c r="D72" s="127"/>
      <c r="E72" s="127"/>
      <c r="F72" s="127"/>
      <c r="G72" s="127"/>
      <c r="H72" s="127"/>
      <c r="I72" s="127"/>
      <c r="J72" s="127"/>
    </row>
    <row r="73" spans="3:10" x14ac:dyDescent="0.25">
      <c r="C73" s="127"/>
      <c r="D73" s="127"/>
      <c r="E73" s="127"/>
      <c r="F73" s="127"/>
      <c r="G73" s="127"/>
      <c r="H73" s="127"/>
      <c r="I73" s="127"/>
      <c r="J73" s="127"/>
    </row>
    <row r="74" spans="3:10" x14ac:dyDescent="0.25">
      <c r="C74" s="127"/>
      <c r="D74" s="127"/>
      <c r="E74" s="127"/>
      <c r="F74" s="127"/>
      <c r="G74" s="127"/>
      <c r="H74" s="127"/>
      <c r="I74" s="127"/>
      <c r="J74" s="127"/>
    </row>
    <row r="75" spans="3:10" x14ac:dyDescent="0.25">
      <c r="C75" s="127"/>
      <c r="D75" s="127"/>
      <c r="E75" s="127"/>
      <c r="F75" s="127"/>
      <c r="G75" s="127"/>
      <c r="H75" s="127"/>
      <c r="I75" s="127"/>
      <c r="J75" s="127"/>
    </row>
    <row r="76" spans="3:10" x14ac:dyDescent="0.25">
      <c r="C76" s="127"/>
      <c r="D76" s="127"/>
      <c r="E76" s="127"/>
      <c r="F76" s="127"/>
      <c r="G76" s="127"/>
      <c r="H76" s="127"/>
      <c r="I76" s="127"/>
      <c r="J76" s="127"/>
    </row>
    <row r="77" spans="3:10" x14ac:dyDescent="0.25">
      <c r="C77" s="127"/>
      <c r="D77" s="127"/>
      <c r="E77" s="127"/>
      <c r="F77" s="127"/>
      <c r="G77" s="127"/>
      <c r="H77" s="127"/>
      <c r="I77" s="127"/>
      <c r="J77" s="127"/>
    </row>
    <row r="78" spans="3:10" x14ac:dyDescent="0.25">
      <c r="C78" s="127"/>
      <c r="D78" s="127"/>
      <c r="E78" s="127"/>
      <c r="F78" s="127"/>
      <c r="G78" s="127"/>
      <c r="H78" s="127"/>
      <c r="I78" s="127"/>
      <c r="J78" s="127"/>
    </row>
    <row r="79" spans="3:10" x14ac:dyDescent="0.25">
      <c r="C79" s="127"/>
      <c r="D79" s="127"/>
      <c r="E79" s="127"/>
      <c r="F79" s="127"/>
      <c r="G79" s="127"/>
      <c r="H79" s="127"/>
      <c r="I79" s="127"/>
      <c r="J79" s="127"/>
    </row>
    <row r="80" spans="3:10" x14ac:dyDescent="0.25">
      <c r="C80" s="127"/>
      <c r="D80" s="127"/>
      <c r="E80" s="127"/>
      <c r="F80" s="127"/>
      <c r="G80" s="127"/>
      <c r="H80" s="127"/>
      <c r="I80" s="127"/>
      <c r="J80" s="127"/>
    </row>
    <row r="81" spans="3:10" x14ac:dyDescent="0.25">
      <c r="C81" s="127"/>
      <c r="D81" s="127"/>
      <c r="E81" s="127"/>
      <c r="F81" s="127"/>
      <c r="G81" s="127"/>
      <c r="H81" s="127"/>
      <c r="I81" s="127"/>
      <c r="J81" s="127"/>
    </row>
    <row r="82" spans="3:10" x14ac:dyDescent="0.25">
      <c r="C82" s="127"/>
      <c r="D82" s="127"/>
      <c r="E82" s="127"/>
      <c r="F82" s="127"/>
      <c r="G82" s="127"/>
      <c r="H82" s="127"/>
      <c r="I82" s="127"/>
      <c r="J82" s="127"/>
    </row>
    <row r="83" spans="3:10" x14ac:dyDescent="0.25">
      <c r="C83" s="127"/>
      <c r="D83" s="127"/>
      <c r="E83" s="127"/>
      <c r="F83" s="127"/>
      <c r="G83" s="127"/>
      <c r="H83" s="127"/>
      <c r="I83" s="127"/>
      <c r="J83" s="127"/>
    </row>
    <row r="84" spans="3:10" x14ac:dyDescent="0.25">
      <c r="C84" s="127"/>
      <c r="D84" s="127"/>
      <c r="E84" s="127"/>
      <c r="F84" s="127"/>
      <c r="G84" s="127"/>
      <c r="H84" s="127"/>
      <c r="I84" s="127"/>
      <c r="J84" s="127"/>
    </row>
    <row r="85" spans="3:10" x14ac:dyDescent="0.25">
      <c r="C85" s="127"/>
      <c r="D85" s="127"/>
      <c r="E85" s="127"/>
      <c r="F85" s="127"/>
      <c r="G85" s="127"/>
      <c r="H85" s="127"/>
      <c r="I85" s="127"/>
      <c r="J85" s="127"/>
    </row>
    <row r="86" spans="3:10" x14ac:dyDescent="0.25">
      <c r="C86" s="127"/>
      <c r="D86" s="127"/>
      <c r="E86" s="127"/>
      <c r="F86" s="127"/>
      <c r="G86" s="127"/>
      <c r="H86" s="127"/>
      <c r="I86" s="127"/>
      <c r="J86" s="127"/>
    </row>
    <row r="87" spans="3:10" x14ac:dyDescent="0.25">
      <c r="C87" s="127"/>
      <c r="D87" s="127"/>
      <c r="E87" s="127"/>
      <c r="F87" s="127"/>
      <c r="G87" s="127"/>
      <c r="H87" s="127"/>
      <c r="I87" s="127"/>
      <c r="J87" s="127"/>
    </row>
    <row r="88" spans="3:10" x14ac:dyDescent="0.25">
      <c r="C88" s="127"/>
      <c r="D88" s="127"/>
      <c r="E88" s="127"/>
      <c r="F88" s="127"/>
      <c r="G88" s="127"/>
      <c r="H88" s="127"/>
      <c r="I88" s="127"/>
      <c r="J88" s="127"/>
    </row>
    <row r="89" spans="3:10" x14ac:dyDescent="0.25">
      <c r="C89" s="127"/>
      <c r="D89" s="127"/>
      <c r="E89" s="127"/>
      <c r="F89" s="127"/>
      <c r="G89" s="127"/>
      <c r="H89" s="127"/>
      <c r="I89" s="127"/>
      <c r="J89" s="127"/>
    </row>
    <row r="90" spans="3:10" x14ac:dyDescent="0.25">
      <c r="C90" s="127"/>
      <c r="D90" s="127"/>
      <c r="E90" s="127"/>
      <c r="F90" s="127"/>
      <c r="G90" s="127"/>
      <c r="H90" s="127"/>
      <c r="I90" s="127"/>
      <c r="J90" s="127"/>
    </row>
    <row r="91" spans="3:10" x14ac:dyDescent="0.25">
      <c r="C91" s="127"/>
      <c r="D91" s="127"/>
      <c r="E91" s="127"/>
      <c r="F91" s="127"/>
      <c r="G91" s="127"/>
      <c r="H91" s="127"/>
      <c r="I91" s="127"/>
      <c r="J91" s="127"/>
    </row>
    <row r="92" spans="3:10" x14ac:dyDescent="0.25">
      <c r="C92" s="127"/>
      <c r="D92" s="127"/>
      <c r="E92" s="127"/>
      <c r="F92" s="127"/>
      <c r="G92" s="127"/>
      <c r="H92" s="127"/>
      <c r="I92" s="127"/>
      <c r="J92" s="127"/>
    </row>
    <row r="93" spans="3:10" x14ac:dyDescent="0.25">
      <c r="C93" s="127"/>
      <c r="D93" s="127"/>
      <c r="E93" s="127"/>
      <c r="F93" s="127"/>
      <c r="G93" s="127"/>
      <c r="H93" s="127"/>
      <c r="I93" s="127"/>
      <c r="J93" s="127"/>
    </row>
    <row r="94" spans="3:10" x14ac:dyDescent="0.25">
      <c r="C94" s="127"/>
      <c r="D94" s="127"/>
      <c r="E94" s="127"/>
      <c r="F94" s="127"/>
      <c r="G94" s="127"/>
      <c r="H94" s="127"/>
      <c r="I94" s="127"/>
      <c r="J94" s="127"/>
    </row>
    <row r="95" spans="3:10" x14ac:dyDescent="0.25">
      <c r="C95" s="127"/>
      <c r="D95" s="127"/>
      <c r="E95" s="127"/>
      <c r="F95" s="127"/>
      <c r="G95" s="127"/>
      <c r="H95" s="127"/>
      <c r="I95" s="127"/>
      <c r="J95" s="127"/>
    </row>
    <row r="96" spans="3:10" x14ac:dyDescent="0.25">
      <c r="C96" s="127"/>
      <c r="D96" s="127"/>
      <c r="E96" s="127"/>
      <c r="F96" s="127"/>
      <c r="G96" s="127"/>
      <c r="H96" s="127"/>
      <c r="I96" s="127"/>
      <c r="J96" s="127"/>
    </row>
    <row r="97" spans="3:10" x14ac:dyDescent="0.25">
      <c r="C97" s="127"/>
      <c r="D97" s="127"/>
      <c r="E97" s="127"/>
      <c r="F97" s="127"/>
      <c r="G97" s="127"/>
      <c r="H97" s="127"/>
      <c r="I97" s="127"/>
      <c r="J97" s="127"/>
    </row>
    <row r="98" spans="3:10" x14ac:dyDescent="0.25">
      <c r="C98" s="127"/>
      <c r="D98" s="127"/>
      <c r="E98" s="127"/>
      <c r="F98" s="127"/>
      <c r="G98" s="127"/>
      <c r="H98" s="127"/>
      <c r="I98" s="127"/>
      <c r="J98" s="127"/>
    </row>
    <row r="99" spans="3:10" x14ac:dyDescent="0.25">
      <c r="C99" s="127"/>
      <c r="D99" s="127"/>
      <c r="E99" s="127"/>
      <c r="F99" s="127"/>
      <c r="G99" s="127"/>
      <c r="H99" s="127"/>
      <c r="I99" s="127"/>
      <c r="J99" s="127"/>
    </row>
    <row r="100" spans="3:10" x14ac:dyDescent="0.25">
      <c r="C100" s="127"/>
      <c r="D100" s="127"/>
      <c r="E100" s="127"/>
      <c r="F100" s="127"/>
      <c r="G100" s="127"/>
      <c r="H100" s="127"/>
      <c r="I100" s="127"/>
      <c r="J100" s="127"/>
    </row>
    <row r="101" spans="3:10" x14ac:dyDescent="0.25">
      <c r="C101" s="127"/>
      <c r="D101" s="127"/>
      <c r="E101" s="127"/>
      <c r="F101" s="127"/>
      <c r="G101" s="127"/>
      <c r="H101" s="127"/>
      <c r="I101" s="127"/>
      <c r="J101" s="127"/>
    </row>
    <row r="102" spans="3:10" x14ac:dyDescent="0.25">
      <c r="C102" s="127"/>
      <c r="D102" s="127"/>
      <c r="E102" s="127"/>
      <c r="F102" s="127"/>
      <c r="G102" s="127"/>
      <c r="H102" s="127"/>
      <c r="I102" s="127"/>
      <c r="J102" s="127"/>
    </row>
    <row r="103" spans="3:10" x14ac:dyDescent="0.25">
      <c r="C103" s="127"/>
      <c r="D103" s="127"/>
      <c r="E103" s="127"/>
      <c r="F103" s="127"/>
      <c r="G103" s="127"/>
      <c r="H103" s="127"/>
      <c r="I103" s="127"/>
      <c r="J103" s="127"/>
    </row>
    <row r="104" spans="3:10" x14ac:dyDescent="0.25">
      <c r="C104" s="127"/>
      <c r="D104" s="127"/>
      <c r="E104" s="127"/>
      <c r="F104" s="127"/>
      <c r="G104" s="127"/>
      <c r="H104" s="127"/>
      <c r="I104" s="127"/>
      <c r="J104" s="127"/>
    </row>
    <row r="105" spans="3:10" x14ac:dyDescent="0.25">
      <c r="C105" s="127"/>
      <c r="D105" s="127"/>
      <c r="E105" s="127"/>
      <c r="F105" s="127"/>
      <c r="G105" s="127"/>
      <c r="H105" s="127"/>
      <c r="I105" s="127"/>
      <c r="J105" s="127"/>
    </row>
    <row r="106" spans="3:10" x14ac:dyDescent="0.25">
      <c r="C106" s="127"/>
      <c r="D106" s="127"/>
      <c r="E106" s="127"/>
      <c r="F106" s="127"/>
      <c r="G106" s="127"/>
      <c r="H106" s="127"/>
      <c r="I106" s="127"/>
      <c r="J106" s="127"/>
    </row>
    <row r="107" spans="3:10" x14ac:dyDescent="0.25">
      <c r="C107" s="127"/>
      <c r="D107" s="127"/>
      <c r="E107" s="127"/>
      <c r="F107" s="127"/>
      <c r="G107" s="127"/>
      <c r="H107" s="127"/>
      <c r="I107" s="127"/>
      <c r="J107" s="127"/>
    </row>
    <row r="108" spans="3:10" x14ac:dyDescent="0.25">
      <c r="C108" s="127"/>
      <c r="D108" s="127"/>
      <c r="E108" s="127"/>
      <c r="F108" s="127"/>
      <c r="G108" s="127"/>
      <c r="H108" s="127"/>
      <c r="I108" s="127"/>
      <c r="J108" s="127"/>
    </row>
    <row r="109" spans="3:10" x14ac:dyDescent="0.25">
      <c r="C109" s="127"/>
      <c r="D109" s="127"/>
      <c r="E109" s="127"/>
      <c r="F109" s="127"/>
      <c r="G109" s="127"/>
      <c r="H109" s="127"/>
      <c r="I109" s="127"/>
      <c r="J109" s="127"/>
    </row>
    <row r="110" spans="3:10" x14ac:dyDescent="0.25">
      <c r="C110" s="127"/>
      <c r="D110" s="127"/>
      <c r="E110" s="127"/>
      <c r="F110" s="127"/>
      <c r="G110" s="127"/>
      <c r="H110" s="127"/>
      <c r="I110" s="127"/>
      <c r="J110" s="127"/>
    </row>
    <row r="111" spans="3:10" x14ac:dyDescent="0.25">
      <c r="C111" s="127"/>
      <c r="D111" s="127"/>
      <c r="E111" s="127"/>
      <c r="F111" s="127"/>
      <c r="G111" s="127"/>
      <c r="H111" s="127"/>
      <c r="I111" s="127"/>
      <c r="J111" s="127"/>
    </row>
    <row r="112" spans="3:10" x14ac:dyDescent="0.25">
      <c r="C112" s="127"/>
      <c r="D112" s="127"/>
      <c r="E112" s="127"/>
      <c r="F112" s="127"/>
      <c r="G112" s="127"/>
      <c r="H112" s="127"/>
      <c r="I112" s="127"/>
      <c r="J112" s="127"/>
    </row>
    <row r="113" spans="3:10" x14ac:dyDescent="0.25">
      <c r="C113" s="127"/>
      <c r="D113" s="127"/>
      <c r="E113" s="127"/>
      <c r="F113" s="127"/>
      <c r="G113" s="127"/>
      <c r="H113" s="127"/>
      <c r="I113" s="127"/>
      <c r="J113" s="127"/>
    </row>
    <row r="114" spans="3:10" x14ac:dyDescent="0.25">
      <c r="C114" s="127"/>
      <c r="D114" s="127"/>
      <c r="E114" s="127"/>
      <c r="F114" s="127"/>
      <c r="G114" s="127"/>
      <c r="H114" s="127"/>
      <c r="I114" s="127"/>
      <c r="J114" s="127"/>
    </row>
    <row r="115" spans="3:10" x14ac:dyDescent="0.25">
      <c r="C115" s="127"/>
      <c r="D115" s="127"/>
      <c r="E115" s="127"/>
      <c r="F115" s="127"/>
      <c r="G115" s="127"/>
      <c r="H115" s="127"/>
      <c r="I115" s="127"/>
      <c r="J115" s="127"/>
    </row>
    <row r="116" spans="3:10" x14ac:dyDescent="0.25">
      <c r="C116" s="127"/>
      <c r="D116" s="127"/>
      <c r="E116" s="127"/>
      <c r="F116" s="127"/>
      <c r="G116" s="127"/>
      <c r="H116" s="127"/>
      <c r="I116" s="127"/>
      <c r="J116" s="127"/>
    </row>
    <row r="117" spans="3:10" x14ac:dyDescent="0.25">
      <c r="C117" s="127"/>
      <c r="D117" s="127"/>
      <c r="E117" s="127"/>
      <c r="F117" s="127"/>
      <c r="G117" s="127"/>
      <c r="H117" s="127"/>
      <c r="I117" s="127"/>
      <c r="J117" s="127"/>
    </row>
    <row r="118" spans="3:10" x14ac:dyDescent="0.25">
      <c r="C118" s="127"/>
      <c r="D118" s="127"/>
      <c r="E118" s="127"/>
      <c r="F118" s="127"/>
      <c r="G118" s="127"/>
      <c r="H118" s="127"/>
      <c r="I118" s="127"/>
      <c r="J118" s="127"/>
    </row>
    <row r="119" spans="3:10" x14ac:dyDescent="0.25">
      <c r="C119" s="127"/>
      <c r="D119" s="127"/>
      <c r="E119" s="127"/>
      <c r="F119" s="127"/>
      <c r="G119" s="127"/>
      <c r="H119" s="127"/>
      <c r="I119" s="127"/>
      <c r="J119" s="127"/>
    </row>
    <row r="120" spans="3:10" x14ac:dyDescent="0.25">
      <c r="C120" s="127"/>
      <c r="D120" s="127"/>
      <c r="E120" s="127"/>
      <c r="F120" s="127"/>
      <c r="G120" s="127"/>
      <c r="H120" s="127"/>
      <c r="I120" s="127"/>
      <c r="J120" s="127"/>
    </row>
    <row r="121" spans="3:10" x14ac:dyDescent="0.25">
      <c r="C121" s="127"/>
      <c r="D121" s="127"/>
      <c r="E121" s="127"/>
      <c r="F121" s="127"/>
      <c r="G121" s="127"/>
      <c r="H121" s="127"/>
      <c r="I121" s="127"/>
      <c r="J121" s="127"/>
    </row>
    <row r="122" spans="3:10" x14ac:dyDescent="0.25">
      <c r="C122" s="127"/>
      <c r="D122" s="127"/>
      <c r="E122" s="127"/>
      <c r="F122" s="127"/>
      <c r="G122" s="127"/>
      <c r="H122" s="127"/>
      <c r="I122" s="127"/>
      <c r="J122" s="127"/>
    </row>
    <row r="123" spans="3:10" x14ac:dyDescent="0.25">
      <c r="C123" s="127"/>
      <c r="D123" s="127"/>
      <c r="E123" s="127"/>
      <c r="F123" s="127"/>
      <c r="G123" s="127"/>
      <c r="H123" s="127"/>
      <c r="I123" s="127"/>
      <c r="J123" s="127"/>
    </row>
    <row r="124" spans="3:10" x14ac:dyDescent="0.25">
      <c r="C124" s="127"/>
      <c r="D124" s="127"/>
      <c r="E124" s="127"/>
      <c r="F124" s="127"/>
      <c r="G124" s="127"/>
      <c r="H124" s="127"/>
      <c r="I124" s="127"/>
      <c r="J124" s="127"/>
    </row>
    <row r="125" spans="3:10" x14ac:dyDescent="0.25">
      <c r="C125" s="127"/>
      <c r="D125" s="127"/>
      <c r="E125" s="127"/>
      <c r="F125" s="127"/>
      <c r="G125" s="127"/>
      <c r="H125" s="127"/>
      <c r="I125" s="127"/>
      <c r="J125" s="127"/>
    </row>
    <row r="126" spans="3:10" x14ac:dyDescent="0.25">
      <c r="C126" s="127"/>
      <c r="D126" s="127"/>
      <c r="E126" s="127"/>
      <c r="F126" s="127"/>
      <c r="G126" s="127"/>
      <c r="H126" s="127"/>
      <c r="I126" s="127"/>
      <c r="J126" s="127"/>
    </row>
    <row r="127" spans="3:10" x14ac:dyDescent="0.25">
      <c r="C127" s="127"/>
      <c r="D127" s="127"/>
      <c r="E127" s="127"/>
      <c r="F127" s="127"/>
      <c r="G127" s="127"/>
      <c r="H127" s="127"/>
      <c r="I127" s="127"/>
      <c r="J127" s="127"/>
    </row>
    <row r="128" spans="3:10" x14ac:dyDescent="0.25">
      <c r="C128" s="127"/>
      <c r="D128" s="127"/>
      <c r="E128" s="127"/>
      <c r="F128" s="127"/>
      <c r="G128" s="127"/>
      <c r="H128" s="127"/>
      <c r="I128" s="127"/>
      <c r="J128" s="127"/>
    </row>
    <row r="129" spans="3:10" x14ac:dyDescent="0.25">
      <c r="C129" s="127"/>
      <c r="D129" s="127"/>
      <c r="E129" s="127"/>
      <c r="F129" s="127"/>
      <c r="G129" s="127"/>
      <c r="H129" s="127"/>
      <c r="I129" s="127"/>
      <c r="J129" s="127"/>
    </row>
    <row r="130" spans="3:10" x14ac:dyDescent="0.25">
      <c r="C130" s="127"/>
      <c r="D130" s="127"/>
      <c r="E130" s="127"/>
      <c r="F130" s="127"/>
      <c r="G130" s="127"/>
      <c r="H130" s="127"/>
      <c r="I130" s="127"/>
      <c r="J130" s="127"/>
    </row>
    <row r="131" spans="3:10" x14ac:dyDescent="0.25">
      <c r="C131" s="127"/>
      <c r="D131" s="127"/>
      <c r="E131" s="127"/>
      <c r="F131" s="127"/>
      <c r="G131" s="127"/>
      <c r="H131" s="127"/>
      <c r="I131" s="127"/>
      <c r="J131" s="127"/>
    </row>
    <row r="132" spans="3:10" x14ac:dyDescent="0.25">
      <c r="C132" s="127"/>
      <c r="D132" s="127"/>
      <c r="E132" s="127"/>
      <c r="F132" s="127"/>
      <c r="G132" s="127"/>
      <c r="H132" s="127"/>
      <c r="I132" s="127"/>
      <c r="J132" s="127"/>
    </row>
    <row r="133" spans="3:10" x14ac:dyDescent="0.25">
      <c r="C133" s="127"/>
      <c r="D133" s="127"/>
      <c r="E133" s="127"/>
      <c r="F133" s="127"/>
      <c r="G133" s="127"/>
      <c r="H133" s="127"/>
      <c r="I133" s="127"/>
      <c r="J133" s="127"/>
    </row>
    <row r="134" spans="3:10" x14ac:dyDescent="0.25">
      <c r="C134" s="127"/>
      <c r="D134" s="127"/>
      <c r="E134" s="127"/>
      <c r="F134" s="127"/>
      <c r="G134" s="127"/>
      <c r="H134" s="127"/>
      <c r="I134" s="127"/>
      <c r="J134" s="127"/>
    </row>
    <row r="135" spans="3:10" x14ac:dyDescent="0.25">
      <c r="C135" s="127"/>
      <c r="D135" s="127"/>
      <c r="E135" s="127"/>
      <c r="F135" s="127"/>
      <c r="G135" s="127"/>
      <c r="H135" s="127"/>
      <c r="I135" s="127"/>
      <c r="J135" s="127"/>
    </row>
    <row r="136" spans="3:10" x14ac:dyDescent="0.25">
      <c r="C136" s="127"/>
      <c r="D136" s="127"/>
      <c r="E136" s="127"/>
      <c r="F136" s="127"/>
      <c r="G136" s="127"/>
      <c r="H136" s="127"/>
      <c r="I136" s="127"/>
      <c r="J136" s="127"/>
    </row>
    <row r="137" spans="3:10" x14ac:dyDescent="0.25">
      <c r="C137" s="127"/>
      <c r="D137" s="127"/>
      <c r="E137" s="127"/>
      <c r="F137" s="127"/>
      <c r="G137" s="127"/>
      <c r="H137" s="127"/>
      <c r="I137" s="127"/>
      <c r="J137" s="127"/>
    </row>
    <row r="138" spans="3:10" x14ac:dyDescent="0.25">
      <c r="C138" s="127"/>
      <c r="D138" s="127"/>
      <c r="E138" s="127"/>
      <c r="F138" s="127"/>
      <c r="G138" s="127"/>
      <c r="H138" s="127"/>
      <c r="I138" s="127"/>
      <c r="J138" s="127"/>
    </row>
    <row r="139" spans="3:10" x14ac:dyDescent="0.25">
      <c r="C139" s="127"/>
      <c r="D139" s="127"/>
      <c r="E139" s="127"/>
      <c r="F139" s="127"/>
      <c r="G139" s="127"/>
      <c r="H139" s="127"/>
      <c r="I139" s="127"/>
      <c r="J139" s="127"/>
    </row>
    <row r="140" spans="3:10" x14ac:dyDescent="0.25">
      <c r="C140" s="127"/>
      <c r="D140" s="127"/>
      <c r="E140" s="127"/>
      <c r="F140" s="127"/>
      <c r="G140" s="127"/>
      <c r="H140" s="127"/>
      <c r="I140" s="127"/>
      <c r="J140" s="127"/>
    </row>
    <row r="141" spans="3:10" x14ac:dyDescent="0.25">
      <c r="C141" s="127"/>
      <c r="D141" s="127"/>
      <c r="E141" s="127"/>
      <c r="F141" s="127"/>
      <c r="G141" s="127"/>
      <c r="H141" s="127"/>
      <c r="I141" s="127"/>
      <c r="J141" s="127"/>
    </row>
    <row r="142" spans="3:10" x14ac:dyDescent="0.25">
      <c r="C142" s="127"/>
      <c r="D142" s="127"/>
      <c r="E142" s="127"/>
      <c r="F142" s="127"/>
      <c r="G142" s="127"/>
      <c r="H142" s="127"/>
      <c r="I142" s="127"/>
      <c r="J142" s="127"/>
    </row>
    <row r="143" spans="3:10" x14ac:dyDescent="0.25">
      <c r="C143" s="127"/>
      <c r="D143" s="127"/>
      <c r="E143" s="127"/>
      <c r="F143" s="127"/>
      <c r="G143" s="127"/>
      <c r="H143" s="127"/>
      <c r="I143" s="127"/>
      <c r="J143" s="127"/>
    </row>
    <row r="144" spans="3:10" x14ac:dyDescent="0.25">
      <c r="C144" s="127"/>
      <c r="D144" s="127"/>
      <c r="E144" s="127"/>
      <c r="F144" s="127"/>
      <c r="G144" s="127"/>
      <c r="H144" s="127"/>
      <c r="I144" s="127"/>
      <c r="J144" s="127"/>
    </row>
    <row r="145" spans="3:10" x14ac:dyDescent="0.25">
      <c r="C145" s="127"/>
      <c r="D145" s="127"/>
      <c r="E145" s="127"/>
      <c r="F145" s="127"/>
      <c r="G145" s="127"/>
      <c r="H145" s="127"/>
      <c r="I145" s="127"/>
      <c r="J145" s="127"/>
    </row>
    <row r="146" spans="3:10" x14ac:dyDescent="0.25">
      <c r="C146" s="127"/>
      <c r="D146" s="127"/>
      <c r="E146" s="127"/>
      <c r="F146" s="127"/>
      <c r="G146" s="127"/>
      <c r="H146" s="127"/>
      <c r="I146" s="127"/>
      <c r="J146" s="127"/>
    </row>
    <row r="147" spans="3:10" x14ac:dyDescent="0.25">
      <c r="C147" s="127"/>
      <c r="D147" s="127"/>
      <c r="E147" s="127"/>
      <c r="F147" s="127"/>
      <c r="G147" s="127"/>
      <c r="H147" s="127"/>
      <c r="I147" s="127"/>
      <c r="J147" s="127"/>
    </row>
    <row r="148" spans="3:10" x14ac:dyDescent="0.25">
      <c r="C148" s="127"/>
      <c r="D148" s="127"/>
      <c r="E148" s="127"/>
      <c r="F148" s="127"/>
      <c r="G148" s="127"/>
      <c r="H148" s="127"/>
      <c r="I148" s="127"/>
      <c r="J148" s="127"/>
    </row>
    <row r="149" spans="3:10" x14ac:dyDescent="0.25">
      <c r="C149" s="127"/>
      <c r="D149" s="127"/>
      <c r="E149" s="127"/>
      <c r="F149" s="127"/>
      <c r="G149" s="127"/>
      <c r="H149" s="127"/>
      <c r="I149" s="127"/>
      <c r="J149" s="127"/>
    </row>
    <row r="150" spans="3:10" x14ac:dyDescent="0.25">
      <c r="C150" s="127"/>
      <c r="D150" s="127"/>
      <c r="E150" s="127"/>
      <c r="F150" s="127"/>
      <c r="G150" s="127"/>
      <c r="H150" s="127"/>
      <c r="I150" s="127"/>
      <c r="J150" s="127"/>
    </row>
    <row r="151" spans="3:10" x14ac:dyDescent="0.25">
      <c r="C151" s="127"/>
      <c r="D151" s="127"/>
      <c r="E151" s="127"/>
      <c r="F151" s="127"/>
      <c r="G151" s="127"/>
      <c r="H151" s="127"/>
      <c r="I151" s="127"/>
      <c r="J151" s="127"/>
    </row>
    <row r="152" spans="3:10" x14ac:dyDescent="0.25">
      <c r="C152" s="127"/>
      <c r="D152" s="127"/>
      <c r="E152" s="127"/>
      <c r="F152" s="127"/>
      <c r="G152" s="127"/>
      <c r="H152" s="127"/>
      <c r="I152" s="127"/>
      <c r="J152" s="127"/>
    </row>
    <row r="153" spans="3:10" x14ac:dyDescent="0.25">
      <c r="C153" s="127"/>
      <c r="D153" s="127"/>
      <c r="E153" s="127"/>
      <c r="F153" s="127"/>
      <c r="G153" s="127"/>
      <c r="H153" s="127"/>
      <c r="I153" s="127"/>
      <c r="J153" s="127"/>
    </row>
    <row r="154" spans="3:10" x14ac:dyDescent="0.25">
      <c r="C154" s="127"/>
      <c r="D154" s="127"/>
      <c r="E154" s="127"/>
      <c r="F154" s="127"/>
      <c r="G154" s="127"/>
      <c r="H154" s="127"/>
      <c r="I154" s="127"/>
      <c r="J154" s="127"/>
    </row>
    <row r="155" spans="3:10" x14ac:dyDescent="0.25">
      <c r="C155" s="127"/>
      <c r="D155" s="127"/>
      <c r="E155" s="127"/>
      <c r="F155" s="127"/>
      <c r="G155" s="127"/>
      <c r="H155" s="127"/>
      <c r="I155" s="127"/>
      <c r="J155" s="127"/>
    </row>
    <row r="156" spans="3:10" x14ac:dyDescent="0.25">
      <c r="C156" s="127"/>
      <c r="D156" s="127"/>
      <c r="E156" s="127"/>
      <c r="F156" s="127"/>
      <c r="G156" s="127"/>
      <c r="H156" s="127"/>
      <c r="I156" s="127"/>
      <c r="J156" s="127"/>
    </row>
    <row r="157" spans="3:10" x14ac:dyDescent="0.25">
      <c r="C157" s="127"/>
      <c r="D157" s="127"/>
      <c r="E157" s="127"/>
      <c r="F157" s="127"/>
      <c r="G157" s="127"/>
      <c r="H157" s="127"/>
      <c r="I157" s="127"/>
      <c r="J157" s="127"/>
    </row>
    <row r="158" spans="3:10" x14ac:dyDescent="0.25">
      <c r="C158" s="127"/>
      <c r="D158" s="127"/>
      <c r="E158" s="127"/>
      <c r="F158" s="127"/>
      <c r="G158" s="127"/>
      <c r="H158" s="127"/>
      <c r="I158" s="127"/>
      <c r="J158" s="127"/>
    </row>
    <row r="159" spans="3:10" x14ac:dyDescent="0.25">
      <c r="C159" s="127"/>
      <c r="D159" s="127"/>
      <c r="E159" s="127"/>
      <c r="F159" s="127"/>
      <c r="G159" s="127"/>
      <c r="H159" s="127"/>
      <c r="I159" s="127"/>
      <c r="J159" s="127"/>
    </row>
    <row r="160" spans="3:10" x14ac:dyDescent="0.25">
      <c r="C160" s="127"/>
      <c r="D160" s="127"/>
      <c r="E160" s="127"/>
      <c r="F160" s="127"/>
      <c r="G160" s="127"/>
      <c r="H160" s="127"/>
      <c r="I160" s="127"/>
      <c r="J160" s="127"/>
    </row>
    <row r="161" spans="3:10" x14ac:dyDescent="0.25">
      <c r="C161" s="127"/>
      <c r="D161" s="127"/>
      <c r="E161" s="127"/>
      <c r="F161" s="127"/>
      <c r="G161" s="127"/>
      <c r="H161" s="127"/>
      <c r="I161" s="127"/>
      <c r="J161" s="127"/>
    </row>
    <row r="162" spans="3:10" x14ac:dyDescent="0.25">
      <c r="C162" s="127"/>
      <c r="D162" s="127"/>
      <c r="E162" s="127"/>
      <c r="F162" s="127"/>
      <c r="G162" s="127"/>
      <c r="H162" s="127"/>
      <c r="I162" s="127"/>
      <c r="J162" s="127"/>
    </row>
    <row r="163" spans="3:10" x14ac:dyDescent="0.25">
      <c r="C163" s="127"/>
      <c r="D163" s="127"/>
      <c r="E163" s="127"/>
      <c r="F163" s="127"/>
      <c r="G163" s="127"/>
      <c r="H163" s="127"/>
      <c r="I163" s="127"/>
      <c r="J163" s="127"/>
    </row>
    <row r="164" spans="3:10" x14ac:dyDescent="0.25">
      <c r="C164" s="127"/>
      <c r="D164" s="127"/>
      <c r="E164" s="127"/>
      <c r="F164" s="127"/>
      <c r="G164" s="127"/>
      <c r="H164" s="127"/>
      <c r="I164" s="127"/>
      <c r="J164" s="127"/>
    </row>
    <row r="165" spans="3:10" x14ac:dyDescent="0.25">
      <c r="C165" s="127"/>
      <c r="D165" s="127"/>
      <c r="E165" s="127"/>
      <c r="F165" s="127"/>
      <c r="G165" s="127"/>
      <c r="H165" s="127"/>
      <c r="I165" s="127"/>
      <c r="J165" s="127"/>
    </row>
    <row r="166" spans="3:10" x14ac:dyDescent="0.25">
      <c r="C166" s="127"/>
      <c r="D166" s="127"/>
      <c r="E166" s="127"/>
      <c r="F166" s="127"/>
      <c r="G166" s="127"/>
      <c r="H166" s="127"/>
      <c r="I166" s="127"/>
      <c r="J166" s="127"/>
    </row>
    <row r="167" spans="3:10" x14ac:dyDescent="0.25">
      <c r="C167" s="127"/>
      <c r="D167" s="127"/>
      <c r="E167" s="127"/>
      <c r="F167" s="127"/>
      <c r="G167" s="127"/>
      <c r="H167" s="127"/>
      <c r="I167" s="127"/>
      <c r="J167" s="127"/>
    </row>
    <row r="168" spans="3:10" x14ac:dyDescent="0.25">
      <c r="C168" s="127"/>
      <c r="D168" s="127"/>
      <c r="E168" s="127"/>
      <c r="F168" s="127"/>
      <c r="G168" s="127"/>
      <c r="H168" s="127"/>
      <c r="I168" s="127"/>
      <c r="J168" s="127"/>
    </row>
    <row r="169" spans="3:10" x14ac:dyDescent="0.25">
      <c r="C169" s="127"/>
      <c r="D169" s="127"/>
      <c r="E169" s="127"/>
      <c r="F169" s="127"/>
      <c r="G169" s="127"/>
      <c r="H169" s="127"/>
      <c r="I169" s="127"/>
      <c r="J169" s="127"/>
    </row>
    <row r="170" spans="3:10" x14ac:dyDescent="0.25">
      <c r="C170" s="127"/>
      <c r="D170" s="127"/>
      <c r="E170" s="127"/>
      <c r="F170" s="127"/>
      <c r="G170" s="127"/>
      <c r="H170" s="127"/>
      <c r="I170" s="127"/>
      <c r="J170" s="127"/>
    </row>
    <row r="171" spans="3:10" x14ac:dyDescent="0.25">
      <c r="C171" s="127"/>
      <c r="D171" s="127"/>
      <c r="E171" s="127"/>
      <c r="F171" s="127"/>
      <c r="G171" s="127"/>
      <c r="H171" s="127"/>
      <c r="I171" s="127"/>
      <c r="J171" s="127"/>
    </row>
    <row r="172" spans="3:10" x14ac:dyDescent="0.25">
      <c r="C172" s="127"/>
      <c r="D172" s="127"/>
      <c r="E172" s="127"/>
      <c r="F172" s="127"/>
      <c r="G172" s="127"/>
      <c r="H172" s="127"/>
      <c r="I172" s="127"/>
      <c r="J172" s="127"/>
    </row>
    <row r="173" spans="3:10" x14ac:dyDescent="0.25">
      <c r="C173" s="127"/>
      <c r="D173" s="127"/>
      <c r="E173" s="127"/>
      <c r="F173" s="127"/>
      <c r="G173" s="127"/>
      <c r="H173" s="127"/>
      <c r="I173" s="127"/>
      <c r="J173" s="127"/>
    </row>
    <row r="174" spans="3:10" x14ac:dyDescent="0.25">
      <c r="C174" s="127"/>
      <c r="D174" s="127"/>
      <c r="E174" s="127"/>
      <c r="F174" s="127"/>
      <c r="G174" s="127"/>
      <c r="H174" s="127"/>
      <c r="I174" s="127"/>
      <c r="J174" s="127"/>
    </row>
    <row r="175" spans="3:10" x14ac:dyDescent="0.25">
      <c r="C175" s="127"/>
      <c r="D175" s="127"/>
      <c r="E175" s="127"/>
      <c r="F175" s="127"/>
      <c r="G175" s="127"/>
      <c r="H175" s="127"/>
      <c r="I175" s="127"/>
      <c r="J175" s="127"/>
    </row>
    <row r="176" spans="3:10" x14ac:dyDescent="0.25">
      <c r="C176" s="127"/>
      <c r="D176" s="127"/>
      <c r="E176" s="127"/>
      <c r="F176" s="127"/>
      <c r="G176" s="127"/>
      <c r="H176" s="127"/>
      <c r="I176" s="127"/>
      <c r="J176" s="127"/>
    </row>
    <row r="177" spans="3:10" x14ac:dyDescent="0.25">
      <c r="C177" s="127"/>
      <c r="D177" s="127"/>
      <c r="E177" s="127"/>
      <c r="F177" s="127"/>
      <c r="G177" s="127"/>
      <c r="H177" s="127"/>
      <c r="I177" s="127"/>
      <c r="J177" s="127"/>
    </row>
    <row r="178" spans="3:10" x14ac:dyDescent="0.25">
      <c r="C178" s="127"/>
      <c r="D178" s="127"/>
      <c r="E178" s="127"/>
      <c r="F178" s="127"/>
      <c r="G178" s="127"/>
      <c r="H178" s="127"/>
      <c r="I178" s="127"/>
      <c r="J178" s="127"/>
    </row>
    <row r="179" spans="3:10" x14ac:dyDescent="0.25">
      <c r="C179" s="127"/>
      <c r="D179" s="127"/>
      <c r="E179" s="127"/>
      <c r="F179" s="127"/>
      <c r="G179" s="127"/>
      <c r="H179" s="127"/>
      <c r="I179" s="127"/>
      <c r="J179" s="127"/>
    </row>
    <row r="180" spans="3:10" x14ac:dyDescent="0.25">
      <c r="C180" s="127"/>
      <c r="D180" s="127"/>
      <c r="E180" s="127"/>
      <c r="F180" s="127"/>
      <c r="G180" s="127"/>
      <c r="H180" s="127"/>
      <c r="I180" s="127"/>
      <c r="J180" s="127"/>
    </row>
    <row r="181" spans="3:10" x14ac:dyDescent="0.25">
      <c r="C181" s="127"/>
      <c r="D181" s="127"/>
      <c r="E181" s="127"/>
      <c r="F181" s="127"/>
      <c r="G181" s="127"/>
      <c r="H181" s="127"/>
      <c r="I181" s="127"/>
      <c r="J181" s="127"/>
    </row>
    <row r="182" spans="3:10" x14ac:dyDescent="0.25">
      <c r="C182" s="127"/>
      <c r="D182" s="127"/>
      <c r="E182" s="127"/>
      <c r="F182" s="127"/>
      <c r="G182" s="127"/>
      <c r="H182" s="127"/>
      <c r="I182" s="127"/>
      <c r="J182" s="127"/>
    </row>
    <row r="183" spans="3:10" x14ac:dyDescent="0.25">
      <c r="C183" s="127"/>
      <c r="D183" s="127"/>
      <c r="E183" s="127"/>
      <c r="F183" s="127"/>
      <c r="G183" s="127"/>
      <c r="H183" s="127"/>
      <c r="I183" s="127"/>
      <c r="J183" s="127"/>
    </row>
    <row r="184" spans="3:10" x14ac:dyDescent="0.25">
      <c r="C184" s="127"/>
      <c r="D184" s="127"/>
      <c r="E184" s="127"/>
      <c r="F184" s="127"/>
      <c r="G184" s="127"/>
      <c r="H184" s="127"/>
      <c r="I184" s="127"/>
      <c r="J184" s="127"/>
    </row>
    <row r="185" spans="3:10" x14ac:dyDescent="0.25">
      <c r="C185" s="127"/>
      <c r="D185" s="127"/>
      <c r="E185" s="127"/>
      <c r="F185" s="127"/>
      <c r="G185" s="127"/>
      <c r="H185" s="127"/>
      <c r="I185" s="127"/>
      <c r="J185" s="127"/>
    </row>
    <row r="186" spans="3:10" x14ac:dyDescent="0.25">
      <c r="C186" s="127"/>
      <c r="D186" s="127"/>
      <c r="E186" s="127"/>
      <c r="F186" s="127"/>
      <c r="G186" s="127"/>
      <c r="H186" s="127"/>
      <c r="I186" s="127"/>
      <c r="J186" s="127"/>
    </row>
    <row r="187" spans="3:10" x14ac:dyDescent="0.25">
      <c r="C187" s="127"/>
      <c r="D187" s="127"/>
      <c r="E187" s="127"/>
      <c r="F187" s="127"/>
      <c r="G187" s="127"/>
      <c r="H187" s="127"/>
      <c r="I187" s="127"/>
      <c r="J187" s="127"/>
    </row>
    <row r="188" spans="3:10" x14ac:dyDescent="0.25">
      <c r="C188" s="127"/>
      <c r="D188" s="127"/>
      <c r="E188" s="127"/>
      <c r="F188" s="127"/>
      <c r="G188" s="127"/>
      <c r="H188" s="127"/>
      <c r="I188" s="127"/>
      <c r="J188" s="127"/>
    </row>
    <row r="189" spans="3:10" x14ac:dyDescent="0.25">
      <c r="C189" s="127"/>
      <c r="D189" s="127"/>
      <c r="E189" s="127"/>
      <c r="F189" s="127"/>
      <c r="G189" s="127"/>
      <c r="H189" s="127"/>
      <c r="I189" s="127"/>
      <c r="J189" s="127"/>
    </row>
    <row r="190" spans="3:10" x14ac:dyDescent="0.25">
      <c r="C190" s="127"/>
      <c r="D190" s="127"/>
      <c r="E190" s="127"/>
      <c r="F190" s="127"/>
      <c r="G190" s="127"/>
      <c r="H190" s="127"/>
      <c r="I190" s="127"/>
      <c r="J190" s="127"/>
    </row>
    <row r="191" spans="3:10" x14ac:dyDescent="0.25">
      <c r="C191" s="127"/>
      <c r="D191" s="127"/>
      <c r="E191" s="127"/>
      <c r="F191" s="127"/>
      <c r="G191" s="127"/>
      <c r="H191" s="127"/>
      <c r="I191" s="127"/>
      <c r="J191" s="127"/>
    </row>
    <row r="192" spans="3:10" x14ac:dyDescent="0.25">
      <c r="C192" s="127"/>
      <c r="D192" s="127"/>
      <c r="E192" s="127"/>
      <c r="F192" s="127"/>
      <c r="G192" s="127"/>
      <c r="H192" s="127"/>
      <c r="I192" s="127"/>
      <c r="J192" s="127"/>
    </row>
    <row r="193" spans="3:10" x14ac:dyDescent="0.25">
      <c r="C193" s="127"/>
      <c r="D193" s="127"/>
      <c r="E193" s="127"/>
      <c r="F193" s="127"/>
      <c r="G193" s="127"/>
      <c r="H193" s="127"/>
      <c r="I193" s="127"/>
      <c r="J193" s="127"/>
    </row>
    <row r="194" spans="3:10" x14ac:dyDescent="0.25">
      <c r="C194" s="127"/>
      <c r="D194" s="127"/>
      <c r="E194" s="127"/>
      <c r="F194" s="127"/>
      <c r="G194" s="127"/>
      <c r="H194" s="127"/>
      <c r="I194" s="127"/>
      <c r="J194" s="127"/>
    </row>
    <row r="195" spans="3:10" x14ac:dyDescent="0.25">
      <c r="C195" s="127"/>
      <c r="D195" s="127"/>
      <c r="E195" s="127"/>
      <c r="F195" s="127"/>
      <c r="G195" s="127"/>
      <c r="H195" s="127"/>
      <c r="I195" s="127"/>
      <c r="J195" s="127"/>
    </row>
    <row r="196" spans="3:10" x14ac:dyDescent="0.25">
      <c r="C196" s="127"/>
      <c r="D196" s="127"/>
      <c r="E196" s="127"/>
      <c r="F196" s="127"/>
      <c r="G196" s="127"/>
      <c r="H196" s="127"/>
      <c r="I196" s="127"/>
      <c r="J196" s="127"/>
    </row>
    <row r="197" spans="3:10" x14ac:dyDescent="0.25">
      <c r="C197" s="127"/>
      <c r="D197" s="127"/>
      <c r="E197" s="127"/>
      <c r="F197" s="127"/>
      <c r="G197" s="127"/>
      <c r="H197" s="127"/>
      <c r="I197" s="127"/>
      <c r="J197" s="127"/>
    </row>
    <row r="198" spans="3:10" x14ac:dyDescent="0.25">
      <c r="C198" s="127"/>
      <c r="D198" s="127"/>
      <c r="E198" s="127"/>
      <c r="F198" s="127"/>
      <c r="G198" s="127"/>
      <c r="H198" s="127"/>
      <c r="I198" s="127"/>
      <c r="J198" s="127"/>
    </row>
    <row r="199" spans="3:10" x14ac:dyDescent="0.25">
      <c r="C199" s="127"/>
      <c r="D199" s="127"/>
      <c r="E199" s="127"/>
      <c r="F199" s="127"/>
      <c r="G199" s="127"/>
      <c r="H199" s="127"/>
      <c r="I199" s="127"/>
      <c r="J199" s="127"/>
    </row>
    <row r="200" spans="3:10" x14ac:dyDescent="0.25">
      <c r="C200" s="127"/>
      <c r="D200" s="127"/>
      <c r="E200" s="127"/>
      <c r="F200" s="127"/>
      <c r="G200" s="127"/>
      <c r="H200" s="127"/>
      <c r="I200" s="127"/>
      <c r="J200" s="127"/>
    </row>
    <row r="201" spans="3:10" x14ac:dyDescent="0.25">
      <c r="C201" s="127"/>
      <c r="D201" s="127"/>
      <c r="E201" s="127"/>
      <c r="F201" s="127"/>
      <c r="G201" s="127"/>
      <c r="H201" s="127"/>
      <c r="I201" s="127"/>
      <c r="J201" s="127"/>
    </row>
    <row r="202" spans="3:10" x14ac:dyDescent="0.25">
      <c r="C202" s="127"/>
      <c r="D202" s="127"/>
      <c r="E202" s="127"/>
      <c r="F202" s="127"/>
      <c r="G202" s="127"/>
      <c r="H202" s="127"/>
      <c r="I202" s="127"/>
      <c r="J202" s="127"/>
    </row>
    <row r="203" spans="3:10" x14ac:dyDescent="0.25">
      <c r="C203" s="127"/>
      <c r="D203" s="127"/>
      <c r="E203" s="127"/>
      <c r="F203" s="127"/>
      <c r="G203" s="127"/>
      <c r="H203" s="127"/>
      <c r="I203" s="127"/>
      <c r="J203" s="127"/>
    </row>
    <row r="204" spans="3:10" x14ac:dyDescent="0.25">
      <c r="C204" s="127"/>
      <c r="D204" s="127"/>
      <c r="E204" s="127"/>
      <c r="F204" s="127"/>
      <c r="G204" s="127"/>
      <c r="H204" s="127"/>
      <c r="I204" s="127"/>
      <c r="J204" s="127"/>
    </row>
    <row r="205" spans="3:10" x14ac:dyDescent="0.25">
      <c r="C205" s="127"/>
      <c r="D205" s="127"/>
      <c r="E205" s="127"/>
      <c r="F205" s="127"/>
      <c r="G205" s="127"/>
      <c r="H205" s="127"/>
      <c r="I205" s="127"/>
      <c r="J205" s="127"/>
    </row>
    <row r="206" spans="3:10" x14ac:dyDescent="0.25">
      <c r="C206" s="127"/>
      <c r="D206" s="127"/>
      <c r="E206" s="127"/>
      <c r="F206" s="127"/>
      <c r="G206" s="127"/>
      <c r="H206" s="127"/>
      <c r="I206" s="127"/>
      <c r="J206" s="127"/>
    </row>
    <row r="207" spans="3:10" x14ac:dyDescent="0.25">
      <c r="C207" s="127"/>
      <c r="D207" s="127"/>
      <c r="E207" s="127"/>
      <c r="F207" s="127"/>
      <c r="G207" s="127"/>
      <c r="H207" s="127"/>
      <c r="I207" s="127"/>
      <c r="J207" s="127"/>
    </row>
    <row r="208" spans="3:10" x14ac:dyDescent="0.25">
      <c r="C208" s="127"/>
      <c r="D208" s="127"/>
      <c r="E208" s="127"/>
      <c r="F208" s="127"/>
      <c r="G208" s="127"/>
      <c r="H208" s="127"/>
      <c r="I208" s="127"/>
      <c r="J208" s="127"/>
    </row>
    <row r="209" spans="3:10" x14ac:dyDescent="0.25">
      <c r="C209" s="127"/>
      <c r="D209" s="127"/>
      <c r="E209" s="127"/>
      <c r="F209" s="127"/>
      <c r="G209" s="127"/>
      <c r="H209" s="127"/>
      <c r="I209" s="127"/>
      <c r="J209" s="127"/>
    </row>
    <row r="210" spans="3:10" x14ac:dyDescent="0.25">
      <c r="C210" s="127"/>
      <c r="D210" s="127"/>
      <c r="E210" s="127"/>
      <c r="F210" s="127"/>
      <c r="G210" s="127"/>
      <c r="H210" s="127"/>
      <c r="I210" s="127"/>
      <c r="J210" s="127"/>
    </row>
    <row r="211" spans="3:10" x14ac:dyDescent="0.25">
      <c r="C211" s="127"/>
      <c r="D211" s="127"/>
      <c r="E211" s="127"/>
      <c r="F211" s="127"/>
      <c r="G211" s="127"/>
      <c r="H211" s="127"/>
      <c r="I211" s="127"/>
      <c r="J211" s="127"/>
    </row>
    <row r="212" spans="3:10" x14ac:dyDescent="0.25">
      <c r="C212" s="127"/>
      <c r="D212" s="127"/>
      <c r="E212" s="127"/>
      <c r="F212" s="127"/>
      <c r="G212" s="127"/>
      <c r="H212" s="127"/>
      <c r="I212" s="127"/>
      <c r="J212" s="127"/>
    </row>
    <row r="213" spans="3:10" x14ac:dyDescent="0.25">
      <c r="C213" s="127"/>
      <c r="D213" s="127"/>
      <c r="E213" s="127"/>
      <c r="F213" s="127"/>
      <c r="G213" s="127"/>
      <c r="H213" s="127"/>
      <c r="I213" s="127"/>
      <c r="J213" s="127"/>
    </row>
    <row r="214" spans="3:10" x14ac:dyDescent="0.25">
      <c r="C214" s="127"/>
      <c r="D214" s="127"/>
      <c r="E214" s="127"/>
      <c r="F214" s="127"/>
      <c r="G214" s="127"/>
      <c r="H214" s="127"/>
      <c r="I214" s="127"/>
      <c r="J214" s="127"/>
    </row>
    <row r="215" spans="3:10" x14ac:dyDescent="0.25">
      <c r="C215" s="127"/>
      <c r="D215" s="127"/>
      <c r="E215" s="127"/>
      <c r="F215" s="127"/>
      <c r="G215" s="127"/>
      <c r="H215" s="127"/>
      <c r="I215" s="127"/>
      <c r="J215" s="127"/>
    </row>
    <row r="216" spans="3:10" x14ac:dyDescent="0.25">
      <c r="C216" s="127"/>
      <c r="D216" s="127"/>
      <c r="E216" s="127"/>
      <c r="F216" s="127"/>
      <c r="G216" s="127"/>
      <c r="H216" s="127"/>
      <c r="I216" s="127"/>
      <c r="J216" s="127"/>
    </row>
    <row r="217" spans="3:10" x14ac:dyDescent="0.25">
      <c r="C217" s="127"/>
      <c r="D217" s="127"/>
      <c r="E217" s="127"/>
      <c r="F217" s="127"/>
      <c r="G217" s="127"/>
      <c r="H217" s="127"/>
      <c r="I217" s="127"/>
      <c r="J217" s="127"/>
    </row>
    <row r="218" spans="3:10" x14ac:dyDescent="0.25">
      <c r="C218" s="127"/>
      <c r="D218" s="127"/>
      <c r="E218" s="127"/>
      <c r="F218" s="127"/>
      <c r="G218" s="127"/>
      <c r="H218" s="127"/>
      <c r="I218" s="127"/>
      <c r="J218" s="127"/>
    </row>
    <row r="219" spans="3:10" x14ac:dyDescent="0.25">
      <c r="C219" s="127"/>
      <c r="D219" s="127"/>
      <c r="E219" s="127"/>
      <c r="F219" s="127"/>
      <c r="G219" s="127"/>
      <c r="H219" s="127"/>
      <c r="I219" s="127"/>
      <c r="J219" s="127"/>
    </row>
    <row r="220" spans="3:10" x14ac:dyDescent="0.25">
      <c r="C220" s="127"/>
      <c r="D220" s="127"/>
      <c r="E220" s="127"/>
      <c r="F220" s="127"/>
      <c r="G220" s="127"/>
      <c r="H220" s="127"/>
      <c r="I220" s="127"/>
      <c r="J220" s="127"/>
    </row>
    <row r="221" spans="3:10" x14ac:dyDescent="0.25">
      <c r="C221" s="127"/>
      <c r="D221" s="127"/>
      <c r="E221" s="127"/>
      <c r="F221" s="127"/>
      <c r="G221" s="127"/>
      <c r="H221" s="127"/>
      <c r="I221" s="127"/>
      <c r="J221" s="127"/>
    </row>
    <row r="222" spans="3:10" x14ac:dyDescent="0.25">
      <c r="C222" s="127"/>
      <c r="D222" s="127"/>
      <c r="E222" s="127"/>
      <c r="F222" s="127"/>
      <c r="G222" s="127"/>
      <c r="H222" s="127"/>
      <c r="I222" s="127"/>
      <c r="J222" s="127"/>
    </row>
    <row r="223" spans="3:10" x14ac:dyDescent="0.25">
      <c r="C223" s="127"/>
      <c r="D223" s="127"/>
      <c r="E223" s="127"/>
      <c r="F223" s="127"/>
      <c r="G223" s="127"/>
      <c r="H223" s="127"/>
      <c r="I223" s="127"/>
      <c r="J223" s="127"/>
    </row>
    <row r="224" spans="3:10" x14ac:dyDescent="0.25">
      <c r="C224" s="127"/>
      <c r="D224" s="127"/>
      <c r="E224" s="127"/>
      <c r="F224" s="127"/>
      <c r="G224" s="127"/>
      <c r="H224" s="127"/>
      <c r="I224" s="127"/>
      <c r="J224" s="127"/>
    </row>
    <row r="225" spans="3:10" x14ac:dyDescent="0.25">
      <c r="C225" s="127"/>
      <c r="D225" s="127"/>
      <c r="E225" s="127"/>
      <c r="F225" s="127"/>
      <c r="G225" s="127"/>
      <c r="H225" s="127"/>
      <c r="I225" s="127"/>
      <c r="J225" s="127"/>
    </row>
    <row r="226" spans="3:10" x14ac:dyDescent="0.25">
      <c r="C226" s="127"/>
      <c r="D226" s="127"/>
      <c r="E226" s="127"/>
      <c r="F226" s="127"/>
      <c r="G226" s="127"/>
      <c r="H226" s="127"/>
      <c r="I226" s="127"/>
      <c r="J226" s="127"/>
    </row>
    <row r="227" spans="3:10" x14ac:dyDescent="0.25">
      <c r="C227" s="127"/>
      <c r="D227" s="127"/>
      <c r="E227" s="127"/>
      <c r="F227" s="127"/>
      <c r="G227" s="127"/>
      <c r="H227" s="127"/>
      <c r="I227" s="127"/>
      <c r="J227" s="127"/>
    </row>
    <row r="228" spans="3:10" x14ac:dyDescent="0.25">
      <c r="C228" s="127"/>
      <c r="D228" s="127"/>
      <c r="E228" s="127"/>
      <c r="F228" s="127"/>
      <c r="G228" s="127"/>
      <c r="H228" s="127"/>
      <c r="I228" s="127"/>
      <c r="J228" s="127"/>
    </row>
    <row r="229" spans="3:10" x14ac:dyDescent="0.25">
      <c r="C229" s="127"/>
      <c r="D229" s="127"/>
      <c r="E229" s="127"/>
      <c r="F229" s="127"/>
      <c r="G229" s="127"/>
      <c r="H229" s="127"/>
      <c r="I229" s="127"/>
      <c r="J229" s="127"/>
    </row>
    <row r="230" spans="3:10" x14ac:dyDescent="0.25">
      <c r="C230" s="127"/>
      <c r="D230" s="127"/>
      <c r="E230" s="127"/>
      <c r="F230" s="127"/>
      <c r="G230" s="127"/>
      <c r="H230" s="127"/>
      <c r="I230" s="127"/>
      <c r="J230" s="127"/>
    </row>
    <row r="231" spans="3:10" x14ac:dyDescent="0.25">
      <c r="C231" s="127"/>
      <c r="D231" s="127"/>
      <c r="E231" s="127"/>
      <c r="F231" s="127"/>
      <c r="G231" s="127"/>
      <c r="H231" s="127"/>
      <c r="I231" s="127"/>
      <c r="J231" s="127"/>
    </row>
    <row r="232" spans="3:10" x14ac:dyDescent="0.25">
      <c r="C232" s="127"/>
      <c r="D232" s="127"/>
      <c r="E232" s="127"/>
      <c r="F232" s="127"/>
      <c r="G232" s="127"/>
      <c r="H232" s="127"/>
      <c r="I232" s="127"/>
      <c r="J232" s="127"/>
    </row>
    <row r="233" spans="3:10" x14ac:dyDescent="0.25">
      <c r="C233" s="127"/>
      <c r="D233" s="127"/>
      <c r="E233" s="127"/>
      <c r="F233" s="127"/>
      <c r="G233" s="127"/>
      <c r="H233" s="127"/>
      <c r="I233" s="127"/>
      <c r="J233" s="127"/>
    </row>
    <row r="234" spans="3:10" x14ac:dyDescent="0.25">
      <c r="C234" s="127"/>
      <c r="D234" s="127"/>
      <c r="E234" s="127"/>
      <c r="F234" s="127"/>
      <c r="G234" s="127"/>
      <c r="H234" s="127"/>
      <c r="I234" s="127"/>
      <c r="J234" s="127"/>
    </row>
    <row r="235" spans="3:10" x14ac:dyDescent="0.25">
      <c r="C235" s="127"/>
      <c r="D235" s="127"/>
      <c r="E235" s="127"/>
      <c r="F235" s="127"/>
      <c r="G235" s="127"/>
      <c r="H235" s="127"/>
      <c r="I235" s="127"/>
      <c r="J235" s="127"/>
    </row>
    <row r="236" spans="3:10" x14ac:dyDescent="0.25">
      <c r="C236" s="127"/>
      <c r="D236" s="127"/>
      <c r="E236" s="127"/>
      <c r="F236" s="127"/>
      <c r="G236" s="127"/>
      <c r="H236" s="127"/>
      <c r="I236" s="127"/>
      <c r="J236" s="127"/>
    </row>
    <row r="237" spans="3:10" x14ac:dyDescent="0.25">
      <c r="C237" s="127"/>
      <c r="D237" s="127"/>
      <c r="E237" s="127"/>
      <c r="F237" s="127"/>
      <c r="G237" s="127"/>
      <c r="H237" s="127"/>
      <c r="I237" s="127"/>
      <c r="J237" s="127"/>
    </row>
    <row r="238" spans="3:10" x14ac:dyDescent="0.25">
      <c r="C238" s="127"/>
      <c r="D238" s="127"/>
      <c r="E238" s="127"/>
      <c r="F238" s="127"/>
      <c r="G238" s="127"/>
      <c r="H238" s="127"/>
      <c r="I238" s="127"/>
      <c r="J238" s="127"/>
    </row>
    <row r="239" spans="3:10" x14ac:dyDescent="0.25">
      <c r="C239" s="127"/>
      <c r="D239" s="127"/>
      <c r="E239" s="127"/>
      <c r="F239" s="127"/>
      <c r="G239" s="127"/>
      <c r="H239" s="127"/>
      <c r="I239" s="127"/>
      <c r="J239" s="127"/>
    </row>
    <row r="240" spans="3:10" x14ac:dyDescent="0.25">
      <c r="C240" s="127"/>
      <c r="D240" s="127"/>
      <c r="E240" s="127"/>
      <c r="F240" s="127"/>
      <c r="G240" s="127"/>
      <c r="H240" s="127"/>
      <c r="I240" s="127"/>
      <c r="J240" s="127"/>
    </row>
    <row r="241" spans="3:10" x14ac:dyDescent="0.25">
      <c r="C241" s="127"/>
      <c r="D241" s="127"/>
      <c r="E241" s="127"/>
      <c r="F241" s="127"/>
      <c r="G241" s="127"/>
      <c r="H241" s="127"/>
      <c r="I241" s="127"/>
      <c r="J241" s="127"/>
    </row>
    <row r="242" spans="3:10" x14ac:dyDescent="0.25">
      <c r="C242" s="127"/>
      <c r="D242" s="127"/>
      <c r="E242" s="127"/>
      <c r="F242" s="127"/>
      <c r="G242" s="127"/>
      <c r="H242" s="127"/>
      <c r="I242" s="127"/>
      <c r="J242" s="127"/>
    </row>
    <row r="243" spans="3:10" x14ac:dyDescent="0.25">
      <c r="C243" s="127"/>
      <c r="D243" s="127"/>
      <c r="E243" s="127"/>
      <c r="F243" s="127"/>
      <c r="G243" s="127"/>
      <c r="H243" s="127"/>
      <c r="I243" s="127"/>
      <c r="J243" s="127"/>
    </row>
    <row r="244" spans="3:10" x14ac:dyDescent="0.25">
      <c r="C244" s="127"/>
      <c r="D244" s="127"/>
      <c r="E244" s="127"/>
      <c r="F244" s="127"/>
      <c r="G244" s="127"/>
      <c r="H244" s="127"/>
      <c r="I244" s="127"/>
      <c r="J244" s="127"/>
    </row>
    <row r="245" spans="3:10" x14ac:dyDescent="0.25">
      <c r="C245" s="127"/>
      <c r="D245" s="127"/>
      <c r="E245" s="127"/>
      <c r="F245" s="127"/>
      <c r="G245" s="127"/>
      <c r="H245" s="127"/>
      <c r="I245" s="127"/>
      <c r="J245" s="127"/>
    </row>
    <row r="246" spans="3:10" x14ac:dyDescent="0.25">
      <c r="C246" s="127"/>
      <c r="D246" s="127"/>
      <c r="E246" s="127"/>
      <c r="F246" s="127"/>
      <c r="G246" s="127"/>
      <c r="H246" s="127"/>
      <c r="I246" s="127"/>
      <c r="J246" s="127"/>
    </row>
    <row r="247" spans="3:10" x14ac:dyDescent="0.25">
      <c r="C247" s="127"/>
      <c r="D247" s="127"/>
      <c r="E247" s="127"/>
      <c r="F247" s="127"/>
      <c r="G247" s="127"/>
      <c r="H247" s="127"/>
      <c r="I247" s="127"/>
      <c r="J247" s="127"/>
    </row>
    <row r="248" spans="3:10" x14ac:dyDescent="0.25">
      <c r="C248" s="127"/>
      <c r="D248" s="127"/>
      <c r="E248" s="127"/>
      <c r="F248" s="127"/>
      <c r="G248" s="127"/>
      <c r="H248" s="127"/>
      <c r="I248" s="127"/>
      <c r="J248" s="127"/>
    </row>
    <row r="249" spans="3:10" x14ac:dyDescent="0.25">
      <c r="C249" s="127"/>
      <c r="D249" s="127"/>
      <c r="E249" s="127"/>
      <c r="F249" s="127"/>
      <c r="G249" s="127"/>
      <c r="H249" s="127"/>
      <c r="I249" s="127"/>
      <c r="J249" s="127"/>
    </row>
  </sheetData>
  <mergeCells count="11">
    <mergeCell ref="L2:W2"/>
    <mergeCell ref="N5:W5"/>
    <mergeCell ref="N6:N8"/>
    <mergeCell ref="O6:O8"/>
    <mergeCell ref="Q6:Q8"/>
    <mergeCell ref="W6:W8"/>
    <mergeCell ref="R7:R8"/>
    <mergeCell ref="M6:M8"/>
    <mergeCell ref="P6:P8"/>
    <mergeCell ref="S7:S8"/>
    <mergeCell ref="V7:V8"/>
  </mergeCells>
  <phoneticPr fontId="62" type="noConversion"/>
  <pageMargins left="0.7" right="0.7" top="0.75" bottom="0.75" header="0.3" footer="0.3"/>
  <pageSetup paperSize="9" scale="58"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V233"/>
  <sheetViews>
    <sheetView zoomScale="85" zoomScaleNormal="85" zoomScalePageLayoutView="85" workbookViewId="0">
      <pane xSplit="4" ySplit="8" topLeftCell="E9" activePane="bottomRight" state="frozen"/>
      <selection activeCell="C1" sqref="C1"/>
      <selection pane="topRight" activeCell="E1" sqref="E1"/>
      <selection pane="bottomLeft" activeCell="C5" sqref="C5"/>
      <selection pane="bottomRight" activeCell="R12" sqref="R12"/>
    </sheetView>
  </sheetViews>
  <sheetFormatPr baseColWidth="10" defaultColWidth="7.6328125" defaultRowHeight="12.5" x14ac:dyDescent="0.25"/>
  <cols>
    <col min="1" max="1" width="8" style="379" hidden="1" customWidth="1"/>
    <col min="2" max="2" width="13" style="379" hidden="1" customWidth="1"/>
    <col min="3" max="3" width="7.6328125" style="379" hidden="1" customWidth="1"/>
    <col min="4" max="4" width="26.1796875" style="379" customWidth="1"/>
    <col min="5" max="8" width="11.81640625" style="379" customWidth="1"/>
    <col min="9" max="13" width="11.81640625" style="408" customWidth="1"/>
    <col min="14" max="16" width="11.81640625" style="379" customWidth="1"/>
    <col min="17" max="17" width="11.81640625" style="408" customWidth="1"/>
    <col min="18" max="18" width="11.81640625" style="379" customWidth="1"/>
    <col min="19" max="16384" width="7.6328125" style="379"/>
  </cols>
  <sheetData>
    <row r="1" spans="2:22" ht="12" customHeight="1" thickBot="1" x14ac:dyDescent="0.3">
      <c r="N1" s="408"/>
    </row>
    <row r="2" spans="2:22" ht="33" customHeight="1" thickTop="1" x14ac:dyDescent="0.25">
      <c r="B2" s="379" t="s">
        <v>263</v>
      </c>
      <c r="D2" s="2373" t="s">
        <v>579</v>
      </c>
      <c r="E2" s="2374"/>
      <c r="F2" s="2374"/>
      <c r="G2" s="2374"/>
      <c r="H2" s="2374"/>
      <c r="I2" s="2374"/>
      <c r="J2" s="2374"/>
      <c r="K2" s="2374"/>
      <c r="L2" s="2374"/>
      <c r="M2" s="2374"/>
      <c r="N2" s="2374"/>
      <c r="O2" s="2374"/>
      <c r="P2" s="2374"/>
      <c r="Q2" s="2374"/>
      <c r="R2" s="2375"/>
    </row>
    <row r="3" spans="2:22" ht="18" x14ac:dyDescent="0.4">
      <c r="D3" s="751"/>
      <c r="E3" s="406"/>
      <c r="F3" s="406"/>
      <c r="G3" s="406"/>
      <c r="H3" s="406"/>
      <c r="I3" s="406"/>
      <c r="J3" s="406"/>
      <c r="K3" s="406"/>
      <c r="L3" s="406"/>
      <c r="M3" s="406"/>
      <c r="N3" s="406"/>
      <c r="O3" s="406"/>
      <c r="P3" s="406"/>
      <c r="Q3" s="406"/>
      <c r="R3" s="752"/>
    </row>
    <row r="4" spans="2:22" ht="18" x14ac:dyDescent="0.4">
      <c r="D4" s="751"/>
      <c r="E4" s="407" t="s">
        <v>20</v>
      </c>
      <c r="F4" s="407" t="s">
        <v>21</v>
      </c>
      <c r="G4" s="407" t="s">
        <v>22</v>
      </c>
      <c r="H4" s="407" t="s">
        <v>23</v>
      </c>
      <c r="I4" s="407" t="s">
        <v>24</v>
      </c>
      <c r="J4" s="407" t="s">
        <v>25</v>
      </c>
      <c r="K4" s="409" t="s">
        <v>26</v>
      </c>
      <c r="L4" s="407" t="s">
        <v>33</v>
      </c>
      <c r="M4" s="407" t="s">
        <v>34</v>
      </c>
      <c r="N4" s="407" t="s">
        <v>37</v>
      </c>
      <c r="O4" s="407" t="s">
        <v>105</v>
      </c>
      <c r="P4" s="407" t="s">
        <v>138</v>
      </c>
      <c r="Q4" s="407" t="s">
        <v>139</v>
      </c>
      <c r="R4" s="753" t="s">
        <v>140</v>
      </c>
    </row>
    <row r="5" spans="2:22" ht="21.75" customHeight="1" thickBot="1" x14ac:dyDescent="0.45">
      <c r="D5" s="751"/>
      <c r="E5" s="2370" t="s">
        <v>506</v>
      </c>
      <c r="F5" s="2371"/>
      <c r="G5" s="2371"/>
      <c r="H5" s="2371"/>
      <c r="I5" s="2371"/>
      <c r="J5" s="2371"/>
      <c r="K5" s="2371"/>
      <c r="L5" s="2371"/>
      <c r="M5" s="2371"/>
      <c r="N5" s="2371"/>
      <c r="O5" s="2371"/>
      <c r="P5" s="2371"/>
      <c r="Q5" s="2371"/>
      <c r="R5" s="2372"/>
    </row>
    <row r="6" spans="2:22" ht="32.25" customHeight="1" x14ac:dyDescent="0.35">
      <c r="B6" s="379" t="s">
        <v>494</v>
      </c>
      <c r="D6" s="754"/>
      <c r="E6" s="2376" t="s">
        <v>547</v>
      </c>
      <c r="F6" s="2377"/>
      <c r="G6" s="2377"/>
      <c r="H6" s="2377"/>
      <c r="I6" s="2380" t="s">
        <v>550</v>
      </c>
      <c r="J6" s="2381"/>
      <c r="K6" s="2381"/>
      <c r="L6" s="2381"/>
      <c r="M6" s="2381"/>
      <c r="N6" s="2376" t="s">
        <v>551</v>
      </c>
      <c r="O6" s="2377"/>
      <c r="P6" s="2377"/>
      <c r="Q6" s="2377"/>
      <c r="R6" s="808" t="s">
        <v>554</v>
      </c>
    </row>
    <row r="7" spans="2:22" ht="78" customHeight="1" x14ac:dyDescent="0.35">
      <c r="D7" s="754"/>
      <c r="E7" s="2368" t="s">
        <v>493</v>
      </c>
      <c r="F7" s="2366" t="s">
        <v>492</v>
      </c>
      <c r="G7" s="2366" t="s">
        <v>491</v>
      </c>
      <c r="H7" s="2366" t="s">
        <v>548</v>
      </c>
      <c r="I7" s="2378" t="s">
        <v>557</v>
      </c>
      <c r="J7" s="756" t="s">
        <v>497</v>
      </c>
      <c r="K7" s="756" t="s">
        <v>496</v>
      </c>
      <c r="L7" s="2366" t="s">
        <v>549</v>
      </c>
      <c r="M7" s="2366" t="s">
        <v>556</v>
      </c>
      <c r="N7" s="2368" t="s">
        <v>493</v>
      </c>
      <c r="O7" s="2366" t="s">
        <v>492</v>
      </c>
      <c r="P7" s="2366" t="s">
        <v>491</v>
      </c>
      <c r="Q7" s="2366" t="s">
        <v>490</v>
      </c>
      <c r="R7" s="2382" t="s">
        <v>555</v>
      </c>
    </row>
    <row r="8" spans="2:22" s="382" customFormat="1" ht="66" customHeight="1" x14ac:dyDescent="0.35">
      <c r="D8" s="755"/>
      <c r="E8" s="2369"/>
      <c r="F8" s="2367"/>
      <c r="G8" s="2367"/>
      <c r="H8" s="2367"/>
      <c r="I8" s="2379"/>
      <c r="J8" s="803"/>
      <c r="K8" s="803"/>
      <c r="L8" s="2367"/>
      <c r="M8" s="2367"/>
      <c r="N8" s="2369"/>
      <c r="O8" s="2367"/>
      <c r="P8" s="2367"/>
      <c r="Q8" s="2367"/>
      <c r="R8" s="2383"/>
    </row>
    <row r="9" spans="2:22" s="382" customFormat="1" ht="40" customHeight="1" x14ac:dyDescent="0.35">
      <c r="D9" s="766" t="s">
        <v>98</v>
      </c>
      <c r="E9" s="804">
        <f>SUM(E10:E44)</f>
        <v>964504.39049308503</v>
      </c>
      <c r="F9" s="805">
        <f t="shared" ref="F9:R9" si="0">SUM(F10:F44)</f>
        <v>1044810</v>
      </c>
      <c r="G9" s="805">
        <f t="shared" si="0"/>
        <v>816765.6565721666</v>
      </c>
      <c r="H9" s="805">
        <f t="shared" si="0"/>
        <v>148065.48273750852</v>
      </c>
      <c r="I9" s="806">
        <f t="shared" si="0"/>
        <v>107123.62778134528</v>
      </c>
      <c r="J9" s="805">
        <f t="shared" si="0"/>
        <v>94581.7</v>
      </c>
      <c r="K9" s="805">
        <f t="shared" si="0"/>
        <v>12541.927781345275</v>
      </c>
      <c r="L9" s="805">
        <f t="shared" si="0"/>
        <v>0</v>
      </c>
      <c r="M9" s="805">
        <f t="shared" si="0"/>
        <v>0</v>
      </c>
      <c r="N9" s="804">
        <f t="shared" si="0"/>
        <v>1357226.2317901247</v>
      </c>
      <c r="O9" s="805">
        <f t="shared" si="0"/>
        <v>1473626.8579402301</v>
      </c>
      <c r="P9" s="805">
        <f t="shared" si="0"/>
        <v>682646.87285153859</v>
      </c>
      <c r="Q9" s="805">
        <f t="shared" si="0"/>
        <v>674579.35893858597</v>
      </c>
      <c r="R9" s="807">
        <f t="shared" si="0"/>
        <v>111280.98316547611</v>
      </c>
    </row>
    <row r="10" spans="2:22" ht="14.25" customHeight="1" x14ac:dyDescent="0.35">
      <c r="D10" s="757" t="s">
        <v>54</v>
      </c>
      <c r="E10" s="763">
        <f>HLOOKUP(D10,'[3]Inward, All'!$C$10:$AL$1005,252,0)</f>
        <v>23973.251183410001</v>
      </c>
      <c r="F10" s="762">
        <f>+VLOOKUP(D10,[3]IMF_fdi_credit_debitinc!$A$1:$C$201,3,0)/1000000</f>
        <v>24300</v>
      </c>
      <c r="G10" s="762">
        <f>+'[3]Outward, All'!AM13-'[3]Outward, All'!AN13+VLOOKUP(D10,'[3]DIA Eurostat'!$A$4:$AN$307,40,0)</f>
        <v>15084.14745168254</v>
      </c>
      <c r="H10" s="762">
        <f>+F10-G10</f>
        <v>9215.8525483174599</v>
      </c>
      <c r="I10" s="764"/>
      <c r="J10" s="762"/>
      <c r="K10" s="762"/>
      <c r="L10" s="762"/>
      <c r="M10" s="762"/>
      <c r="N10" s="763">
        <f>+HLOOKUP(D10,'[3]Outward, All'!$C$10:$AM$11,2,0)</f>
        <v>13385.678863927</v>
      </c>
      <c r="O10" s="762">
        <f>+VLOOKUP(D10,[3]IMF_fdi_credit_debitinc!$A$1:$C$201,2,0)/1000000</f>
        <v>13900</v>
      </c>
      <c r="P10" s="762">
        <f>+'[3]Inward, All'!AM15-'[3]Inward, All'!AN15+VLOOKUP(D10,'[3]DIRE Eurostat'!$A$3:$AQ$306,40,0)</f>
        <v>5236.9695951766162</v>
      </c>
      <c r="Q10" s="762">
        <f t="shared" ref="Q10:Q44" si="1">+N10-P10</f>
        <v>8148.7092687503837</v>
      </c>
      <c r="R10" s="799"/>
    </row>
    <row r="11" spans="2:22" ht="14.25" customHeight="1" x14ac:dyDescent="0.35">
      <c r="D11" s="757" t="s">
        <v>55</v>
      </c>
      <c r="E11" s="763">
        <f>F11</f>
        <v>15300</v>
      </c>
      <c r="F11" s="762">
        <f>+VLOOKUP(D11,[3]IMF_fdi_credit_debitinc!$A$1:$C$201,3,0)/1000000</f>
        <v>15300</v>
      </c>
      <c r="G11" s="762">
        <f>+'[3]Outward, All'!AM14-'[3]Outward, All'!AN14+VLOOKUP(D11,'[3]DIA Eurostat'!$A$4:$AN$307,40,0)</f>
        <v>8746.0155314162403</v>
      </c>
      <c r="H11" s="762">
        <f t="shared" ref="H11:H44" si="2">+E11-G11</f>
        <v>6553.9844685837597</v>
      </c>
      <c r="I11" s="764"/>
      <c r="J11" s="762"/>
      <c r="K11" s="762"/>
      <c r="L11" s="762"/>
      <c r="M11" s="762"/>
      <c r="N11" s="763">
        <f>+(VLOOKUP(D11, '[3]IMF balance of payment all'!$A:$P,8,0)+VLOOKUP(D11,'[3]IMF balance of payment all'!$A:$P,5,0))/1000000</f>
        <v>16982.133813799999</v>
      </c>
      <c r="O11" s="762">
        <f>+VLOOKUP(D11,[3]IMF_fdi_credit_debitinc!$A$1:$C$201,2,0)/1000000</f>
        <v>17000</v>
      </c>
      <c r="P11" s="762">
        <f>+'[3]Inward, All'!AM16-'[3]Inward, All'!AN16+VLOOKUP(D11,'[3]DIRE Eurostat'!$A$3:$AQ$306,40,0)</f>
        <v>8594.2593145658138</v>
      </c>
      <c r="Q11" s="762">
        <f t="shared" si="1"/>
        <v>8387.8744992341854</v>
      </c>
      <c r="R11" s="799">
        <f>+-IF(VLOOKUP(D11,TableB11!$H$8:$M$39,6,0)&lt;0,VLOOKUP(D11,TableB11!$H$8:$M$39,6,0),0)*1000</f>
        <v>8291.6046975630488</v>
      </c>
    </row>
    <row r="12" spans="2:22" ht="14.25" customHeight="1" x14ac:dyDescent="0.35">
      <c r="D12" s="757" t="s">
        <v>2</v>
      </c>
      <c r="E12" s="763">
        <f>HLOOKUP(D12,'[3]Inward, All'!$C$10:$AL$1005,252,0)</f>
        <v>20734.331669439998</v>
      </c>
      <c r="F12" s="762">
        <f>+VLOOKUP(D12,[3]IMF_fdi_credit_debitinc!$A$1:$C$201,3,0)/1000000</f>
        <v>29600</v>
      </c>
      <c r="G12" s="762">
        <f>+'[3]Outward, All'!AM15-'[3]Outward, All'!AN15+VLOOKUP(D12,'[3]DIA Eurostat'!$A$4:$AN$307,40,0)</f>
        <v>27800.73952074621</v>
      </c>
      <c r="H12" s="762">
        <f t="shared" si="2"/>
        <v>-7066.4078513062123</v>
      </c>
      <c r="I12" s="2043">
        <f>TableB11!G26*1000</f>
        <v>1522.8850683018743</v>
      </c>
      <c r="J12" s="2044">
        <f>TableB11!C26*1000</f>
        <v>2983.1</v>
      </c>
      <c r="K12" s="2044">
        <f>I12-J12</f>
        <v>-1460.2149316981256</v>
      </c>
      <c r="L12" s="762"/>
      <c r="M12" s="762"/>
      <c r="N12" s="763">
        <f>+HLOOKUP(D12,'[3]Outward, All'!$C$10:$AM$11,2,0)</f>
        <v>13926.788685523999</v>
      </c>
      <c r="O12" s="762">
        <f>+VLOOKUP(D12,[3]IMF_fdi_credit_debitinc!$A$1:$C$201,2,0)/1000000</f>
        <v>21100</v>
      </c>
      <c r="P12" s="762">
        <f>+'[3]Inward, All'!AM17-'[3]Inward, All'!AN17+VLOOKUP(D12,'[3]DIRE Eurostat'!$A$3:$AQ$306,40,0)</f>
        <v>26715.621529801992</v>
      </c>
      <c r="Q12" s="762">
        <f t="shared" si="1"/>
        <v>-12788.832844277993</v>
      </c>
      <c r="R12" s="799">
        <f>+-IF(VLOOKUP(D12,TableB11!$H$8:$M$39,6,0)&lt;0,VLOOKUP(D12,TableB11!$H$8:$M$39,6,0),0)*1000</f>
        <v>16719.735509765891</v>
      </c>
    </row>
    <row r="13" spans="2:22" ht="14.25" customHeight="1" x14ac:dyDescent="0.35">
      <c r="D13" s="757" t="s">
        <v>56</v>
      </c>
      <c r="E13" s="763">
        <f>HLOOKUP(D13,'[3]Inward, All'!$C$10:$AL$1005,252,0)</f>
        <v>33733.083000860999</v>
      </c>
      <c r="F13" s="762">
        <f>+VLOOKUP(D13,[3]IMF_fdi_credit_debitinc!$A$1:$C$201,3,0)/1000000</f>
        <v>33800</v>
      </c>
      <c r="G13" s="762">
        <f>+'[3]Outward, All'!AM16-'[3]Outward, All'!AN16+VLOOKUP(D13,'[3]DIA Eurostat'!$A$4:$AN$307,40,0)</f>
        <v>18702.496557745493</v>
      </c>
      <c r="H13" s="762">
        <f t="shared" si="2"/>
        <v>15030.586443115506</v>
      </c>
      <c r="I13" s="764"/>
      <c r="J13" s="762"/>
      <c r="K13" s="762"/>
      <c r="L13" s="762"/>
      <c r="M13" s="762"/>
      <c r="N13" s="763">
        <f>+HLOOKUP(D13,'[3]Outward, All'!$C$10:$AM$11,2,0)</f>
        <v>40494.406633810999</v>
      </c>
      <c r="O13" s="762">
        <f>+VLOOKUP(D13,[3]IMF_fdi_credit_debitinc!$A$1:$C$201,2,0)/1000000</f>
        <v>40500</v>
      </c>
      <c r="P13" s="762">
        <f>+'[3]Inward, All'!AM18-'[3]Inward, All'!AN18+VLOOKUP(D13,'[3]DIRE Eurostat'!$A$3:$AQ$306,40,0)</f>
        <v>26063.670054359609</v>
      </c>
      <c r="Q13" s="762">
        <f t="shared" si="1"/>
        <v>14430.73657945139</v>
      </c>
      <c r="R13" s="799">
        <f>+-IF(VLOOKUP(D13,TableB11!$H$8:$M$39,6,0)&lt;0,VLOOKUP(D13,TableB11!$H$8:$M$39,6,0),0)*1000</f>
        <v>0</v>
      </c>
    </row>
    <row r="14" spans="2:22" ht="14.25" customHeight="1" x14ac:dyDescent="0.35">
      <c r="D14" s="757" t="s">
        <v>57</v>
      </c>
      <c r="E14" s="763">
        <f>HLOOKUP(D14,'[3]Inward, All'!$C$10:$AL$1005,252,0)</f>
        <v>10233.519814927</v>
      </c>
      <c r="F14" s="762">
        <f>+VLOOKUP(D14,[3]IMF_fdi_credit_debitinc!$A$1:$C$201,3,0)/1000000</f>
        <v>11000</v>
      </c>
      <c r="G14" s="762">
        <f>+'[3]Outward, All'!AM17-'[3]Outward, All'!AN17+VLOOKUP(D14,'[3]DIA Eurostat'!$A$4:$AN$307,40,0)</f>
        <v>3417.4988467258759</v>
      </c>
      <c r="H14" s="762">
        <f t="shared" si="2"/>
        <v>6816.0209682011246</v>
      </c>
      <c r="I14" s="764"/>
      <c r="J14" s="762"/>
      <c r="K14" s="762"/>
      <c r="L14" s="762"/>
      <c r="M14" s="762"/>
      <c r="N14" s="763">
        <f>+HLOOKUP(D14,'[3]Outward, All'!$C$10:$AM$11,2,0)</f>
        <v>3882.6249462321998</v>
      </c>
      <c r="O14" s="762">
        <f>+VLOOKUP(D14,[3]IMF_fdi_credit_debitinc!$A$1:$C$201,2,0)/1000000</f>
        <v>4630</v>
      </c>
      <c r="P14" s="762">
        <f>+'[3]Inward, All'!AM19-'[3]Inward, All'!AN19+VLOOKUP(D14,'[3]DIRE Eurostat'!$A$3:$AQ$306,40,0)</f>
        <v>86.35224899087369</v>
      </c>
      <c r="Q14" s="762">
        <f t="shared" si="1"/>
        <v>3796.2726972413261</v>
      </c>
      <c r="R14" s="799"/>
      <c r="V14" s="761"/>
    </row>
    <row r="15" spans="2:22" ht="14.25" customHeight="1" x14ac:dyDescent="0.35">
      <c r="D15" s="757" t="s">
        <v>58</v>
      </c>
      <c r="E15" s="763">
        <f>HLOOKUP(D15,'[3]Inward, All'!$C$10:$AL$1005,252,0)</f>
        <v>14473.473712032001</v>
      </c>
      <c r="F15" s="762">
        <f>+VLOOKUP(D15,[3]IMF_fdi_credit_debitinc!$A$1:$C$201,3,0)/1000000</f>
        <v>14600</v>
      </c>
      <c r="G15" s="762">
        <f>+'[3]Outward, All'!AM18-'[3]Outward, All'!AN18+VLOOKUP(D15,'[3]DIA Eurostat'!$A$4:$AN$307,40,0)</f>
        <v>9765.0656740439226</v>
      </c>
      <c r="H15" s="762">
        <f t="shared" si="2"/>
        <v>4708.4080379880779</v>
      </c>
      <c r="I15" s="764"/>
      <c r="J15" s="762"/>
      <c r="K15" s="762"/>
      <c r="L15" s="762"/>
      <c r="M15" s="762"/>
      <c r="N15" s="763">
        <f>+HLOOKUP(D15,'[3]Outward, All'!$C$10:$AM$11,2,0)</f>
        <v>1860.9017606636</v>
      </c>
      <c r="O15" s="762">
        <f>+VLOOKUP(D15,[3]IMF_fdi_credit_debitinc!$A$1:$C$201,2,0)/1000000</f>
        <v>1980</v>
      </c>
      <c r="P15" s="762">
        <f>+'[3]Inward, All'!AM20-'[3]Inward, All'!AN20+VLOOKUP(D15,'[3]DIRE Eurostat'!$A$3:$AQ$306,40,0)</f>
        <v>1674.7697382778817</v>
      </c>
      <c r="Q15" s="762">
        <f t="shared" si="1"/>
        <v>186.1320223857183</v>
      </c>
      <c r="R15" s="799">
        <f>+-IF(VLOOKUP(D15,TableB11!$H$8:$M$39,6,0)&lt;0,VLOOKUP(D15,TableB11!$H$8:$M$39,6,0),0)*1000</f>
        <v>0</v>
      </c>
    </row>
    <row r="16" spans="2:22" ht="14.25" customHeight="1" x14ac:dyDescent="0.35">
      <c r="D16" s="757" t="s">
        <v>59</v>
      </c>
      <c r="E16" s="763">
        <f>HLOOKUP(D16,'[3]Inward, All'!$C$10:$AL$1005,252,0)</f>
        <v>5206.0843964671003</v>
      </c>
      <c r="F16" s="762">
        <f>+VLOOKUP(D16,[3]IMF_fdi_credit_debitinc!$A$1:$C$201,3,0)/1000000</f>
        <v>5510</v>
      </c>
      <c r="G16" s="762">
        <f>+'[3]Outward, All'!AM19-'[3]Outward, All'!AN19+VLOOKUP(D16,'[3]DIA Eurostat'!$A$4:$AN$307,40,0)</f>
        <v>6679.3552335053964</v>
      </c>
      <c r="H16" s="762">
        <f t="shared" si="2"/>
        <v>-1473.2708370382961</v>
      </c>
      <c r="I16" s="764"/>
      <c r="J16" s="762"/>
      <c r="K16" s="762"/>
      <c r="L16" s="762"/>
      <c r="M16" s="762"/>
      <c r="N16" s="763">
        <f>+HLOOKUP(D16,'[3]Outward, All'!$C$10:$AM$11,2,0)</f>
        <v>12909.418027181</v>
      </c>
      <c r="O16" s="762">
        <f>+VLOOKUP(D16,[3]IMF_fdi_credit_debitinc!$A$1:$C$201,2,0)/1000000</f>
        <v>13400</v>
      </c>
      <c r="P16" s="762">
        <f>+'[3]Inward, All'!AM21-'[3]Inward, All'!AN21+VLOOKUP(D16,'[3]DIRE Eurostat'!$A$3:$AQ$306,40,0)</f>
        <v>7705.3930798993551</v>
      </c>
      <c r="Q16" s="762">
        <f t="shared" si="1"/>
        <v>5204.0249472816449</v>
      </c>
      <c r="R16" s="799">
        <f>+-IF(VLOOKUP(D16,TableB11!$H$8:$M$39,6,0)&lt;0,VLOOKUP(D16,TableB11!$H$8:$M$39,6,0),0)*1000</f>
        <v>275.82489610817373</v>
      </c>
    </row>
    <row r="17" spans="4:18" ht="14.25" customHeight="1" x14ac:dyDescent="0.35">
      <c r="D17" s="757" t="s">
        <v>60</v>
      </c>
      <c r="E17" s="763">
        <f>HLOOKUP(D17,'[3]Inward, All'!$C$10:$AL$1005,252,0)</f>
        <v>1321.7160288407999</v>
      </c>
      <c r="F17" s="762">
        <f>+VLOOKUP(D17,[3]IMF_fdi_credit_debitinc!$A$1:$C$201,3,0)/1000000</f>
        <v>1350</v>
      </c>
      <c r="G17" s="762">
        <f>+'[3]Outward, All'!AM20-'[3]Outward, All'!AN20+VLOOKUP(D17,'[3]DIA Eurostat'!$A$4:$AN$307,40,0)</f>
        <v>691.64583955451508</v>
      </c>
      <c r="H17" s="762">
        <f t="shared" si="2"/>
        <v>630.07018928628486</v>
      </c>
      <c r="I17" s="764"/>
      <c r="J17" s="762"/>
      <c r="K17" s="762"/>
      <c r="L17" s="762"/>
      <c r="M17" s="762"/>
      <c r="N17" s="763">
        <f>+HLOOKUP(D17,'[3]Outward, All'!$C$10:$AM$11,2,0)</f>
        <v>334.27620632280002</v>
      </c>
      <c r="O17" s="762">
        <f>+VLOOKUP(D17,[3]IMF_fdi_credit_debitinc!$A$1:$C$201,2,0)/1000000</f>
        <v>353</v>
      </c>
      <c r="P17" s="762">
        <f>+'[3]Inward, All'!AM22-'[3]Inward, All'!AN22+VLOOKUP(D17,'[3]DIRE Eurostat'!$A$3:$AQ$306,40,0)</f>
        <v>155.39999999999998</v>
      </c>
      <c r="Q17" s="762">
        <f t="shared" si="1"/>
        <v>178.87620632280004</v>
      </c>
      <c r="R17" s="799">
        <f>+-IF(VLOOKUP(D17,TableB11!$H$8:$M$39,6,0)&lt;0,VLOOKUP(D17,TableB11!$H$8:$M$39,6,0),0)*1000</f>
        <v>0</v>
      </c>
    </row>
    <row r="18" spans="4:18" ht="14.25" customHeight="1" x14ac:dyDescent="0.35">
      <c r="D18" s="757" t="s">
        <v>61</v>
      </c>
      <c r="E18" s="763">
        <f>+'[3]DIRE Eurostat'!AB306/E229</f>
        <v>4089.1290388051361</v>
      </c>
      <c r="F18" s="762">
        <f>+VLOOKUP(D18,[3]IMF_fdi_credit_debitinc!$A$1:$C$201,3,0)/1000000</f>
        <v>0</v>
      </c>
      <c r="G18" s="762">
        <f>+'[3]Outward, All'!AM21-'[3]Outward, All'!AN21+VLOOKUP(D18,'[3]DIA Eurostat'!$A$4:$AN$307,40,0)</f>
        <v>4310.8212187169474</v>
      </c>
      <c r="H18" s="762">
        <f t="shared" si="2"/>
        <v>-221.69217991181131</v>
      </c>
      <c r="I18" s="764"/>
      <c r="J18" s="762"/>
      <c r="K18" s="762"/>
      <c r="L18" s="762"/>
      <c r="M18" s="762"/>
      <c r="N18" s="763">
        <f>+(VLOOKUP(D18, '[3]IMF balance of payment all'!$A:$P,8,0)+VLOOKUP(D18,'[3]IMF balance of payment all'!$A:$P,5,0))/1000000</f>
        <v>6937.5328116999999</v>
      </c>
      <c r="O18" s="762">
        <f>+VLOOKUP(D18,[3]IMF_fdi_credit_debitinc!$A$1:$C$201,2,0)/1000000</f>
        <v>7710</v>
      </c>
      <c r="P18" s="762">
        <f>+'[3]Inward, All'!AM23-'[3]Inward, All'!AN23+VLOOKUP(D18,'[3]DIRE Eurostat'!$A$3:$AQ$306,40,0)</f>
        <v>3400.9986366577896</v>
      </c>
      <c r="Q18" s="762">
        <f t="shared" si="1"/>
        <v>3536.5341750422103</v>
      </c>
      <c r="R18" s="799">
        <f>+-IF(VLOOKUP(D18,TableB11!$H$8:$M$39,6,0)&lt;0,VLOOKUP(D18,TableB11!$H$8:$M$39,6,0),0)*1000</f>
        <v>0</v>
      </c>
    </row>
    <row r="19" spans="4:18" ht="14.25" customHeight="1" x14ac:dyDescent="0.35">
      <c r="D19" s="757" t="s">
        <v>48</v>
      </c>
      <c r="E19" s="763">
        <f>HLOOKUP(D19,'[3]Inward, All'!$C$10:$AL$1005,252,0)</f>
        <v>25964.503605103</v>
      </c>
      <c r="F19" s="762">
        <f>+VLOOKUP(D19,[3]IMF_fdi_credit_debitinc!$A$1:$C$201,3,0)/1000000</f>
        <v>29400</v>
      </c>
      <c r="G19" s="762">
        <f>+'[3]Outward, All'!AM22-'[3]Outward, All'!AN22+VLOOKUP(D19,'[3]DIA Eurostat'!$A$4:$AN$307,40,0)</f>
        <v>18278.668543060412</v>
      </c>
      <c r="H19" s="762">
        <f t="shared" si="2"/>
        <v>7685.8350620425881</v>
      </c>
      <c r="I19" s="764"/>
      <c r="J19" s="762"/>
      <c r="K19" s="762"/>
      <c r="L19" s="762"/>
      <c r="M19" s="762"/>
      <c r="N19" s="763">
        <f>+HLOOKUP(D19,'[3]Outward, All'!$C$10:$AM$11,2,0)</f>
        <v>70779.811425402004</v>
      </c>
      <c r="O19" s="762">
        <f>+VLOOKUP(D19,[3]IMF_fdi_credit_debitinc!$A$1:$C$201,2,0)/1000000</f>
        <v>74000</v>
      </c>
      <c r="P19" s="762">
        <f>+'[3]Inward, All'!AM24-'[3]Inward, All'!AN24+VLOOKUP(D19,'[3]DIRE Eurostat'!$A$3:$AQ$306,40,0)</f>
        <v>53256.887019926573</v>
      </c>
      <c r="Q19" s="762">
        <f t="shared" si="1"/>
        <v>17522.924405475431</v>
      </c>
      <c r="R19" s="799">
        <f>+-IF(VLOOKUP(D19,TableB11!$H$8:$M$39,6,0)&lt;0,VLOOKUP(D19,TableB11!$H$8:$M$39,6,0),0)*1000</f>
        <v>5134.6462465300065</v>
      </c>
    </row>
    <row r="20" spans="4:18" ht="14.25" customHeight="1" x14ac:dyDescent="0.35">
      <c r="D20" s="757" t="s">
        <v>62</v>
      </c>
      <c r="E20" s="763">
        <f>HLOOKUP(D20,'[3]Inward, All'!$C$10:$AL$1005,252,0)</f>
        <v>33633.943427621001</v>
      </c>
      <c r="F20" s="762">
        <f>+VLOOKUP(D20,[3]IMF_fdi_credit_debitinc!$A$1:$C$201,3,0)/1000000</f>
        <v>43600</v>
      </c>
      <c r="G20" s="762">
        <f>+'[3]Outward, All'!AM23-'[3]Outward, All'!AN23+VLOOKUP(D20,'[3]DIA Eurostat'!$A$4:$AN$307,40,0)</f>
        <v>28795.112841251059</v>
      </c>
      <c r="H20" s="762">
        <f t="shared" si="2"/>
        <v>4838.8305863699425</v>
      </c>
      <c r="I20" s="764"/>
      <c r="J20" s="762"/>
      <c r="K20" s="762"/>
      <c r="L20" s="762"/>
      <c r="M20" s="762"/>
      <c r="N20" s="763">
        <f>+HLOOKUP(D20,'[3]Outward, All'!$C$10:$AM$11,2,0)</f>
        <v>74202.995008319005</v>
      </c>
      <c r="O20" s="762">
        <f>+VLOOKUP(D20,[3]IMF_fdi_credit_debitinc!$A$1:$C$201,2,0)/1000000</f>
        <v>84200</v>
      </c>
      <c r="P20" s="762">
        <f>+'[3]Inward, All'!AM25-'[3]Inward, All'!AN25+VLOOKUP(D20,'[3]DIRE Eurostat'!$A$3:$AQ$306,40,0)</f>
        <v>65092.017891796029</v>
      </c>
      <c r="Q20" s="762">
        <f t="shared" si="1"/>
        <v>9110.9771165229758</v>
      </c>
      <c r="R20" s="799">
        <f>+-IF(VLOOKUP(D20,TableB11!$H$8:$M$39,6,0)&lt;0,VLOOKUP(D20,TableB11!$H$8:$M$39,6,0),0)*1000</f>
        <v>25909.240633099653</v>
      </c>
    </row>
    <row r="21" spans="4:18" ht="14.25" customHeight="1" x14ac:dyDescent="0.35">
      <c r="D21" s="757" t="s">
        <v>63</v>
      </c>
      <c r="E21" s="763">
        <f>HLOOKUP(D21,'[3]Inward, All'!$C$10:$AL$1005,252,0)</f>
        <v>1156.7556206323</v>
      </c>
      <c r="F21" s="762">
        <f>+VLOOKUP(D21,[3]IMF_fdi_credit_debitinc!$A$1:$C$201,3,0)/1000000</f>
        <v>1030</v>
      </c>
      <c r="G21" s="762">
        <f>+'[3]Outward, All'!AM24-'[3]Outward, All'!AN24+VLOOKUP(D21,'[3]DIA Eurostat'!$A$4:$AN$307,40,0)</f>
        <v>1111.5008855783394</v>
      </c>
      <c r="H21" s="762">
        <f t="shared" si="2"/>
        <v>45.25473505396053</v>
      </c>
      <c r="I21" s="764"/>
      <c r="J21" s="762"/>
      <c r="K21" s="762"/>
      <c r="L21" s="762"/>
      <c r="M21" s="762"/>
      <c r="N21" s="763">
        <f>+HLOOKUP(D21,'[3]Outward, All'!$C$10:$AM$11,2,0)</f>
        <v>1801.5251170271999</v>
      </c>
      <c r="O21" s="762">
        <f>+VLOOKUP(D21,[3]IMF_fdi_credit_debitinc!$A$1:$C$201,2,0)/1000000</f>
        <v>2350</v>
      </c>
      <c r="P21" s="762">
        <f>+'[3]Inward, All'!AM26-'[3]Inward, All'!AN26+VLOOKUP(D21,'[3]DIRE Eurostat'!$A$3:$AQ$306,40,0)</f>
        <v>643.86980787518678</v>
      </c>
      <c r="Q21" s="762">
        <f t="shared" si="1"/>
        <v>1157.6553091520132</v>
      </c>
      <c r="R21" s="799">
        <f>+-IF(VLOOKUP(D21,TableB11!$H$8:$M$39,6,0)&lt;0,VLOOKUP(D21,TableB11!$H$8:$M$39,6,0),0)*1000</f>
        <v>0</v>
      </c>
    </row>
    <row r="22" spans="4:18" ht="14.25" customHeight="1" x14ac:dyDescent="0.35">
      <c r="D22" s="757" t="s">
        <v>64</v>
      </c>
      <c r="E22" s="763">
        <f>HLOOKUP(D22,'[3]Inward, All'!$C$10:$AL$1005,252,0)</f>
        <v>11620.257269139</v>
      </c>
      <c r="F22" s="762">
        <f>+VLOOKUP(D22,[3]IMF_fdi_credit_debitinc!$A$1:$C$201,3,0)/1000000</f>
        <v>13300</v>
      </c>
      <c r="G22" s="762">
        <f>+'[3]Outward, All'!AM25-'[3]Outward, All'!AN25+VLOOKUP(D22,'[3]DIA Eurostat'!$A$4:$AN$307,40,0)</f>
        <v>7319.2399710567806</v>
      </c>
      <c r="H22" s="762">
        <f t="shared" si="2"/>
        <v>4301.017298082219</v>
      </c>
      <c r="I22" s="764"/>
      <c r="J22" s="762"/>
      <c r="K22" s="762"/>
      <c r="L22" s="762"/>
      <c r="M22" s="762"/>
      <c r="N22" s="763">
        <f>+HLOOKUP(D22,'[3]Outward, All'!$C$10:$AM$11,2,0)</f>
        <v>3943.6663646067</v>
      </c>
      <c r="O22" s="762">
        <f>+VLOOKUP(D22,[3]IMF_fdi_credit_debitinc!$A$1:$C$201,2,0)/1000000</f>
        <v>5480</v>
      </c>
      <c r="P22" s="762">
        <f>+'[3]Inward, All'!AM27-'[3]Inward, All'!AN27+VLOOKUP(D22,'[3]DIRE Eurostat'!$A$3:$AQ$306,40,0)</f>
        <v>948.10469657704039</v>
      </c>
      <c r="Q22" s="762">
        <f t="shared" si="1"/>
        <v>2995.5616680296598</v>
      </c>
      <c r="R22" s="799">
        <f>+-IF(VLOOKUP(D22,TableB11!$H$8:$M$39,6,0)&lt;0,VLOOKUP(D22,TableB11!$H$8:$M$39,6,0),0)*1000</f>
        <v>0</v>
      </c>
    </row>
    <row r="23" spans="4:18" ht="14.25" customHeight="1" x14ac:dyDescent="0.35">
      <c r="D23" s="757" t="s">
        <v>65</v>
      </c>
      <c r="E23" s="763">
        <f>HLOOKUP(D23,'[3]Inward, All'!$C$10:$AL$1005,252,0)</f>
        <v>36.721543558576997</v>
      </c>
      <c r="F23" s="762">
        <f>+VLOOKUP(D23,[3]IMF_fdi_credit_debitinc!$A$1:$C$201,3,0)/1000000</f>
        <v>230</v>
      </c>
      <c r="G23" s="762">
        <f>+'[3]Outward, All'!AM26-'[3]Outward, All'!AN26+VLOOKUP(D23,'[3]DIA Eurostat'!$A$4:$AN$307,40,0)</f>
        <v>176.20863807149999</v>
      </c>
      <c r="H23" s="762">
        <f t="shared" si="2"/>
        <v>-139.48709451292299</v>
      </c>
      <c r="I23" s="764"/>
      <c r="J23" s="762"/>
      <c r="K23" s="762"/>
      <c r="L23" s="762"/>
      <c r="M23" s="762"/>
      <c r="N23" s="763">
        <f>+HLOOKUP(D23,'[3]Outward, All'!$C$10:$AM$11,2,0)</f>
        <v>290.37895851496</v>
      </c>
      <c r="O23" s="762">
        <f>+VLOOKUP(D23,[3]IMF_fdi_credit_debitinc!$A$1:$C$201,2,0)/1000000</f>
        <v>487</v>
      </c>
      <c r="P23" s="762">
        <f>+'[3]Inward, All'!AM28-'[3]Inward, All'!AN28+VLOOKUP(D23,'[3]DIRE Eurostat'!$A$3:$AQ$306,40,0)</f>
        <v>78.153061464591289</v>
      </c>
      <c r="Q23" s="762">
        <f t="shared" si="1"/>
        <v>212.2258970503687</v>
      </c>
      <c r="R23" s="799"/>
    </row>
    <row r="24" spans="4:18" ht="14.25" customHeight="1" x14ac:dyDescent="0.35">
      <c r="D24" s="757" t="s">
        <v>19</v>
      </c>
      <c r="E24" s="763">
        <f>HLOOKUP(D24,'[3]Inward, All'!$C$10:$AL$1005,252,0)</f>
        <v>64705.490848586</v>
      </c>
      <c r="F24" s="762">
        <f>+VLOOKUP(D24,[3]IMF_fdi_credit_debitinc!$A$1:$C$201,3,0)/1000000</f>
        <v>66200</v>
      </c>
      <c r="G24" s="762">
        <f>+'[3]Outward, All'!AM27-'[3]Outward, All'!AN27+VLOOKUP(D24,'[3]DIA Eurostat'!$A$4:$AN$307,40,0)</f>
        <v>73812.560486827089</v>
      </c>
      <c r="H24" s="762">
        <f t="shared" si="2"/>
        <v>-9107.0696382410897</v>
      </c>
      <c r="I24" s="764">
        <f>+TableB11!G37*1000</f>
        <v>44744.7</v>
      </c>
      <c r="J24" s="762">
        <f>+TableB11!C37*1000</f>
        <v>46219.5</v>
      </c>
      <c r="K24" s="762">
        <f>I24-J24</f>
        <v>-1474.8000000000029</v>
      </c>
      <c r="L24" s="762"/>
      <c r="M24" s="762"/>
      <c r="N24" s="763">
        <f>+HLOOKUP(D24,'[3]Outward, All'!$C$10:$AM$11,2,0)</f>
        <v>11762.617859124</v>
      </c>
      <c r="O24" s="762">
        <f>+VLOOKUP(D24,[3]IMF_fdi_credit_debitinc!$A$1:$C$201,2,0)/1000000</f>
        <v>17500</v>
      </c>
      <c r="P24" s="762">
        <f>+'[3]Inward, All'!AM29-'[3]Inward, All'!AN29+VLOOKUP(D24,'[3]DIRE Eurostat'!$A$3:$AQ$306,40,0)</f>
        <v>12167.529469148147</v>
      </c>
      <c r="Q24" s="762">
        <f t="shared" si="1"/>
        <v>-404.91161002414628</v>
      </c>
      <c r="R24" s="799">
        <f>+-IF(VLOOKUP(D24,TableB11!$H$8:$M$39,6,0)&lt;0,VLOOKUP(D24,TableB11!$H$8:$M$39,6,0),0)*1000</f>
        <v>0</v>
      </c>
    </row>
    <row r="25" spans="4:18" ht="14.25" customHeight="1" x14ac:dyDescent="0.35">
      <c r="D25" s="757" t="s">
        <v>95</v>
      </c>
      <c r="E25" s="763">
        <f>F25</f>
        <v>5020</v>
      </c>
      <c r="F25" s="762">
        <f>+VLOOKUP(D25,[3]IMF_fdi_credit_debitinc!$A$1:$C$201,3,0)/1000000</f>
        <v>5020</v>
      </c>
      <c r="G25" s="762">
        <f>+VLOOKUP(D25,'[3]Outward, All'!A:AN,39,0)-+VLOOKUP(D25,'[3]Outward, All'!A:AN,40,0)+VLOOKUP(D25,'[3]DIA Eurostat'!$A$4:$AN$307,40,0)</f>
        <v>1082.9000000000001</v>
      </c>
      <c r="H25" s="762">
        <f t="shared" si="2"/>
        <v>3937.1</v>
      </c>
      <c r="I25" s="764"/>
      <c r="J25" s="762"/>
      <c r="K25" s="762"/>
      <c r="L25" s="762"/>
      <c r="M25" s="762"/>
      <c r="N25" s="1631">
        <f>O25</f>
        <v>6400</v>
      </c>
      <c r="O25" s="762">
        <f>+VLOOKUP(D25,[3]IMF_fdi_credit_debitinc!$A$1:$C$201,2,0)/1000000</f>
        <v>6400</v>
      </c>
      <c r="P25" s="762">
        <f>+VLOOKUP(D25,'[3]Inward, All'!A:AN,39,0)-+VLOOKUP(D25,'[3]Inward, All'!A:AN,40,0)+VLOOKUP(D25,'[3]DIRE Eurostat'!$A$3:$AQ$306,40,0)</f>
        <v>-24.997835689045985</v>
      </c>
      <c r="Q25" s="762">
        <f t="shared" si="1"/>
        <v>6424.997835689046</v>
      </c>
      <c r="R25" s="799"/>
    </row>
    <row r="26" spans="4:18" ht="14.25" customHeight="1" x14ac:dyDescent="0.35">
      <c r="D26" s="757" t="s">
        <v>66</v>
      </c>
      <c r="E26" s="763">
        <f>HLOOKUP(D26,'[3]Inward, All'!$C$10:$AL$1005,252,0)</f>
        <v>11685.327787022001</v>
      </c>
      <c r="F26" s="762">
        <f>+VLOOKUP(D26,[3]IMF_fdi_credit_debitinc!$A$1:$C$201,3,0)/1000000</f>
        <v>14800</v>
      </c>
      <c r="G26" s="762">
        <f>+'[3]Outward, All'!AM29-'[3]Outward, All'!AN29+VLOOKUP(D26,'[3]DIA Eurostat'!$A$4:$AN$307,40,0)</f>
        <v>14399.63306024618</v>
      </c>
      <c r="H26" s="762">
        <f t="shared" si="2"/>
        <v>-2714.3052732241795</v>
      </c>
      <c r="I26" s="764"/>
      <c r="J26" s="762"/>
      <c r="K26" s="762"/>
      <c r="L26" s="762"/>
      <c r="M26" s="762"/>
      <c r="N26" s="763">
        <f>+HLOOKUP(D26,'[3]Outward, All'!$C$10:$AM$11,2,0)</f>
        <v>12171.589572934001</v>
      </c>
      <c r="O26" s="762">
        <f>+VLOOKUP(D26,[3]IMF_fdi_credit_debitinc!$A$1:$C$201,2,0)/1000000</f>
        <v>15300</v>
      </c>
      <c r="P26" s="762">
        <f>+'[3]Inward, All'!AM31-'[3]Inward, All'!AN31+VLOOKUP(D26,'[3]DIRE Eurostat'!$A$3:$AQ$306,40,0)</f>
        <v>10427.157751708566</v>
      </c>
      <c r="Q26" s="762">
        <f t="shared" si="1"/>
        <v>1744.4318212254348</v>
      </c>
      <c r="R26" s="799">
        <f>+-IF(VLOOKUP(D26,TableB11!$H$8:$M$39,6,0)&lt;0,VLOOKUP(D26,TableB11!$H$8:$M$39,6,0),0)*1000</f>
        <v>1254.4653799274456</v>
      </c>
    </row>
    <row r="27" spans="4:18" ht="14.25" customHeight="1" x14ac:dyDescent="0.35">
      <c r="D27" s="757" t="s">
        <v>67</v>
      </c>
      <c r="E27" s="763">
        <f>HLOOKUP(D27,'[3]Inward, All'!$C$10:$AL$1005,252,0)</f>
        <v>24191.297999145001</v>
      </c>
      <c r="F27" s="762">
        <f>+VLOOKUP(D27,[3]IMF_fdi_credit_debitinc!$A$1:$C$201,3,0)/1000000</f>
        <v>24200</v>
      </c>
      <c r="G27" s="762">
        <f>+'[3]Outward, All'!AM30-'[3]Outward, All'!AN30+VLOOKUP(D27,'[3]DIA Eurostat'!$A$4:$AN$307,40,0)</f>
        <v>14144.417507000473</v>
      </c>
      <c r="H27" s="762">
        <f t="shared" si="2"/>
        <v>10046.880492144528</v>
      </c>
      <c r="I27" s="764"/>
      <c r="J27" s="762"/>
      <c r="K27" s="762"/>
      <c r="L27" s="762"/>
      <c r="M27" s="762"/>
      <c r="N27" s="763">
        <f>+HLOOKUP(D27,'[3]Outward, All'!$C$10:$AM$11,2,0)</f>
        <v>94342.367206581999</v>
      </c>
      <c r="O27" s="762">
        <f>+VLOOKUP(D27,[3]IMF_fdi_credit_debitinc!$A$1:$C$201,2,0)/1000000</f>
        <v>94200</v>
      </c>
      <c r="P27" s="762">
        <f>+'[3]Inward, All'!AM32-'[3]Inward, All'!AN32+VLOOKUP(D27,'[3]DIRE Eurostat'!$A$3:$AQ$306,40,0)</f>
        <v>33072.343830371668</v>
      </c>
      <c r="Q27" s="762">
        <f t="shared" si="1"/>
        <v>61270.023376210331</v>
      </c>
      <c r="R27" s="799">
        <f>+-IF(VLOOKUP(D27,TableB11!$H$8:$M$39,6,0)&lt;0,VLOOKUP(D27,TableB11!$H$8:$M$39,6,0),0)*1000</f>
        <v>0</v>
      </c>
    </row>
    <row r="28" spans="4:18" ht="14.25" customHeight="1" x14ac:dyDescent="0.35">
      <c r="D28" s="757" t="s">
        <v>68</v>
      </c>
      <c r="E28" s="763">
        <f>HLOOKUP(D28,'[3]Inward, All'!$C$10:$AL$1005,252,0)</f>
        <v>2261.1056400176999</v>
      </c>
      <c r="F28" s="762">
        <f>+VLOOKUP("Korea, Republic of",[3]IMF_fdi_credit_debitinc!$A$1:$C$201,3,0)/1000000</f>
        <v>10600</v>
      </c>
      <c r="G28" s="762">
        <f>+'[3]Outward, All'!AM31-'[3]Outward, All'!AN31+VLOOKUP(D28,'[3]DIA Eurostat'!$A$4:$AN$307,40,0)</f>
        <v>7920.6575588544893</v>
      </c>
      <c r="H28" s="762">
        <f t="shared" si="2"/>
        <v>-5659.5519188367889</v>
      </c>
      <c r="I28" s="764"/>
      <c r="J28" s="762"/>
      <c r="K28" s="762"/>
      <c r="L28" s="762"/>
      <c r="M28" s="762"/>
      <c r="N28" s="763">
        <f>+HLOOKUP(D28,'[3]Outward, All'!$C$10:$AM$11,2,0)</f>
        <v>-123.834732</v>
      </c>
      <c r="O28" s="762">
        <f>+VLOOKUP("Korea, Republic of",[3]IMF_fdi_credit_debitinc!$A$1:$C$201,2,0)/1000000</f>
        <v>10800</v>
      </c>
      <c r="P28" s="762">
        <f>+'[3]Inward, All'!AM33-'[3]Inward, All'!AN33+VLOOKUP(D28,'[3]DIRE Eurostat'!$A$3:$AQ$306,40,0)</f>
        <v>3507.8817069653305</v>
      </c>
      <c r="Q28" s="762">
        <f t="shared" si="1"/>
        <v>-3631.7164389653303</v>
      </c>
      <c r="R28" s="799"/>
    </row>
    <row r="29" spans="4:18" ht="14.25" customHeight="1" x14ac:dyDescent="0.35">
      <c r="D29" s="757" t="s">
        <v>69</v>
      </c>
      <c r="E29" s="763">
        <f>HLOOKUP(D29,'[3]Inward, All'!$C$10:$AL$1005,252,0)</f>
        <v>1151.4143094842</v>
      </c>
      <c r="F29" s="762">
        <f>+VLOOKUP(D29,[3]IMF_fdi_credit_debitinc!$A$1:$C$201,3,0)/1000000</f>
        <v>1180</v>
      </c>
      <c r="G29" s="762">
        <f>+'[3]Outward, All'!AM32-'[3]Outward, All'!AN32+VLOOKUP(D29,'[3]DIA Eurostat'!$A$4:$AN$307,40,0)</f>
        <v>686.13284062363823</v>
      </c>
      <c r="H29" s="762">
        <f t="shared" si="2"/>
        <v>465.28146886056174</v>
      </c>
      <c r="I29" s="764"/>
      <c r="J29" s="762"/>
      <c r="K29" s="762"/>
      <c r="L29" s="762"/>
      <c r="M29" s="762"/>
      <c r="N29" s="763">
        <f>+HLOOKUP(D29,'[3]Outward, All'!$C$10:$AM$11,2,0)</f>
        <v>154.18746533555</v>
      </c>
      <c r="O29" s="762">
        <f>+VLOOKUP(D29,[3]IMF_fdi_credit_debitinc!$A$1:$C$201,2,0)/1000000</f>
        <v>199</v>
      </c>
      <c r="P29" s="762">
        <f>+'[3]Inward, All'!AM34-'[3]Inward, All'!AN34+VLOOKUP(D29,'[3]DIRE Eurostat'!$A$3:$AQ$306,40,0)</f>
        <v>85.598722190536279</v>
      </c>
      <c r="Q29" s="762">
        <f t="shared" si="1"/>
        <v>68.588743145013723</v>
      </c>
      <c r="R29" s="799">
        <f>+-IF(VLOOKUP(D29,TableB11!$H$8:$M$39,6,0)&lt;0,VLOOKUP(D29,TableB11!$H$8:$M$39,6,0),0)*1000</f>
        <v>9.0943471977765462</v>
      </c>
    </row>
    <row r="30" spans="4:18" ht="14.25" customHeight="1" x14ac:dyDescent="0.35">
      <c r="D30" s="757" t="s">
        <v>70</v>
      </c>
      <c r="E30" s="763">
        <f>HLOOKUP(D30,'[3]Inward, All'!$C$10:$AL$1005,252,0)</f>
        <v>64727.676095397001</v>
      </c>
      <c r="F30" s="762">
        <f>+VLOOKUP(D30,[3]IMF_fdi_credit_debitinc!$A$1:$C$201,3,0)/1000000</f>
        <v>86700</v>
      </c>
      <c r="G30" s="762">
        <f>+'[3]Outward, All'!AM33-'[3]Outward, All'!AN33+VLOOKUP(D30,'[3]DIA Eurostat'!$A$4:$AN$307,40,0)</f>
        <v>62909.762243116493</v>
      </c>
      <c r="H30" s="762">
        <f t="shared" si="2"/>
        <v>1817.9138522805079</v>
      </c>
      <c r="I30" s="764">
        <f>+TableB11!G35*1000</f>
        <v>29171.24783593354</v>
      </c>
      <c r="J30" s="762">
        <f>+TableB11!C35*1000</f>
        <v>23136.3</v>
      </c>
      <c r="K30" s="762">
        <f>I30-J30</f>
        <v>6034.9478359335408</v>
      </c>
      <c r="L30" s="762"/>
      <c r="M30" s="762"/>
      <c r="N30" s="763">
        <f>+HLOOKUP(D30,'[3]Outward, All'!$C$10:$AM$11,2,0)</f>
        <v>90364.947310039002</v>
      </c>
      <c r="O30" s="762">
        <f>+VLOOKUP(D30,[3]IMF_fdi_credit_debitinc!$A$1:$C$201,2,0)/1000000</f>
        <v>112000</v>
      </c>
      <c r="P30" s="762">
        <f>+'[3]Inward, All'!AM35-'[3]Inward, All'!AN35+VLOOKUP(D30,'[3]DIRE Eurostat'!$A$3:$AQ$306,40,0)</f>
        <v>69180.079632939945</v>
      </c>
      <c r="Q30" s="762">
        <f t="shared" si="1"/>
        <v>21184.867677099057</v>
      </c>
      <c r="R30" s="799">
        <f>+-IF(VLOOKUP(D30,TableB11!$H$8:$M$39,6,0)&lt;0,VLOOKUP(D30,TableB11!$H$8:$M$39,6,0),0)*1000</f>
        <v>48802.596103404954</v>
      </c>
    </row>
    <row r="31" spans="4:18" ht="14.25" customHeight="1" x14ac:dyDescent="0.35">
      <c r="D31" s="757" t="s">
        <v>71</v>
      </c>
      <c r="E31" s="763">
        <f>F31</f>
        <v>16300</v>
      </c>
      <c r="F31" s="762">
        <f>+VLOOKUP(D31,[3]IMF_fdi_credit_debitinc!$A$1:$C$201,3,0)/1000000</f>
        <v>16300</v>
      </c>
      <c r="G31" s="762">
        <f>+'[3]Outward, All'!AM34-'[3]Outward, All'!AN34+VLOOKUP(D31,'[3]DIA Eurostat'!$A$4:$AN$307,40,0)</f>
        <v>17084.280597131503</v>
      </c>
      <c r="H31" s="762">
        <f t="shared" si="2"/>
        <v>-784.28059713150287</v>
      </c>
      <c r="I31" s="764"/>
      <c r="J31" s="762"/>
      <c r="K31" s="762"/>
      <c r="L31" s="762"/>
      <c r="M31" s="762"/>
      <c r="N31" s="763">
        <f>O31</f>
        <v>4550</v>
      </c>
      <c r="O31" s="762">
        <f>+VLOOKUP(D31,[3]IMF_fdi_credit_debitinc!$A$1:$C$201,2,0)/1000000</f>
        <v>4550</v>
      </c>
      <c r="P31" s="762">
        <f>+VLOOKUP(D31,'[3]Inward, All'!A:AN,39,0)-+VLOOKUP(D31,'[3]Inward, All'!A:AN,40,0)+VLOOKUP(D31,'[3]DIRE Eurostat'!$A$3:$AQ$306,40,0)</f>
        <v>1709.8565963684346</v>
      </c>
      <c r="Q31" s="762">
        <f t="shared" si="1"/>
        <v>2840.1434036315654</v>
      </c>
      <c r="R31" s="799"/>
    </row>
    <row r="32" spans="4:18" ht="14.25" customHeight="1" x14ac:dyDescent="0.35">
      <c r="D32" s="757" t="s">
        <v>72</v>
      </c>
      <c r="E32" s="763">
        <f>HLOOKUP(D32,'[3]Inward, All'!$C$10:$AL$1005,252,0)</f>
        <v>181210.20521352999</v>
      </c>
      <c r="F32" s="762">
        <f>+VLOOKUP(D32,[3]IMF_fdi_credit_debitinc!$A$1:$C$201,3,0)/1000000</f>
        <v>187000</v>
      </c>
      <c r="G32" s="762">
        <f>+'[3]Outward, All'!AM35-'[3]Outward, All'!AN35+VLOOKUP(D32,'[3]DIA Eurostat'!$A$4:$AN$307,40,0)</f>
        <v>111789.87582132951</v>
      </c>
      <c r="H32" s="762">
        <f t="shared" si="2"/>
        <v>69420.329392200481</v>
      </c>
      <c r="I32" s="764">
        <f>+TableB11!G36*1000</f>
        <v>31684.794877109867</v>
      </c>
      <c r="J32" s="762">
        <f>+TableB11!C36*1000</f>
        <v>22242.800000000003</v>
      </c>
      <c r="K32" s="762">
        <f>I32-J32</f>
        <v>9441.9948771098643</v>
      </c>
      <c r="L32" s="762"/>
      <c r="M32" s="762"/>
      <c r="N32" s="763">
        <f>+HLOOKUP(D32,'[3]Outward, All'!$C$10:$AM$11,2,0)</f>
        <v>213437.60399333999</v>
      </c>
      <c r="O32" s="762">
        <f>+VLOOKUP(D32,[3]IMF_fdi_credit_debitinc!$A$1:$C$201,2,0)/1000000</f>
        <v>215000</v>
      </c>
      <c r="P32" s="762">
        <f>+'[3]Inward, All'!AM37-'[3]Inward, All'!AN37+VLOOKUP(D32,'[3]DIRE Eurostat'!$A$3:$AQ$306,40,0)</f>
        <v>91096.936710870068</v>
      </c>
      <c r="Q32" s="762">
        <f t="shared" si="1"/>
        <v>122340.66728246992</v>
      </c>
      <c r="R32" s="799">
        <f>+-IF(VLOOKUP(D32,TableB11!$H$8:$M$39,6,0)&lt;0,VLOOKUP(D32,TableB11!$H$8:$M$39,6,0),0)*1000</f>
        <v>0</v>
      </c>
    </row>
    <row r="33" spans="1:18" ht="14.25" customHeight="1" x14ac:dyDescent="0.35">
      <c r="D33" s="757" t="s">
        <v>73</v>
      </c>
      <c r="E33" s="763">
        <f>HLOOKUP(D33,'[3]Inward, All'!$C$10:$AL$1005,252,0)</f>
        <v>5867.7600055780003</v>
      </c>
      <c r="F33" s="762">
        <f>+VLOOKUP(D33,[3]IMF_fdi_credit_debitinc!$A$1:$C$201,3,0)/1000000</f>
        <v>6100</v>
      </c>
      <c r="G33" s="762">
        <f>+'[3]Outward, All'!AM36-'[3]Outward, All'!AN36+VLOOKUP(D33,'[3]DIA Eurostat'!$A$4:$AN$307,40,0)</f>
        <v>4530.9737255284817</v>
      </c>
      <c r="H33" s="762">
        <f t="shared" si="2"/>
        <v>1336.7862800495186</v>
      </c>
      <c r="I33" s="764"/>
      <c r="J33" s="762"/>
      <c r="K33" s="762"/>
      <c r="L33" s="762"/>
      <c r="M33" s="762"/>
      <c r="N33" s="763">
        <f>+HLOOKUP(D33,'[3]Outward, All'!$C$10:$AM$11,2,0)</f>
        <v>491.57955654720001</v>
      </c>
      <c r="O33" s="762">
        <f>+VLOOKUP(D33,[3]IMF_fdi_credit_debitinc!$A$1:$C$201,2,0)/1000000</f>
        <v>704</v>
      </c>
      <c r="P33" s="762">
        <f>+'[3]Inward, All'!AM38-'[3]Inward, All'!AN38+VLOOKUP(D33,'[3]DIRE Eurostat'!$A$3:$AQ$306,40,0)</f>
        <v>1059.3328761591561</v>
      </c>
      <c r="Q33" s="762">
        <f t="shared" si="1"/>
        <v>-567.75331961195604</v>
      </c>
      <c r="R33" s="799"/>
    </row>
    <row r="34" spans="1:18" ht="14.25" customHeight="1" x14ac:dyDescent="0.35">
      <c r="D34" s="757" t="s">
        <v>74</v>
      </c>
      <c r="E34" s="763">
        <f>HLOOKUP(D34,'[3]Inward, All'!$C$10:$AL$1005,252,0)</f>
        <v>6038.0938209143997</v>
      </c>
      <c r="F34" s="762">
        <f>+VLOOKUP(D34,[3]IMF_fdi_credit_debitinc!$A$1:$C$201,3,0)/1000000</f>
        <v>6420</v>
      </c>
      <c r="G34" s="762">
        <f>+'[3]Outward, All'!AM37-'[3]Outward, All'!AN37+VLOOKUP(D34,'[3]DIA Eurostat'!$A$4:$AN$307,40,0)</f>
        <v>6445.7190919453233</v>
      </c>
      <c r="H34" s="762">
        <f t="shared" si="2"/>
        <v>-407.62527103092361</v>
      </c>
      <c r="I34" s="764"/>
      <c r="J34" s="762"/>
      <c r="K34" s="762"/>
      <c r="L34" s="762"/>
      <c r="M34" s="762"/>
      <c r="N34" s="763">
        <f>+HLOOKUP(D34,'[3]Outward, All'!$C$10:$AM$11,2,0)</f>
        <v>9078.4073013156994</v>
      </c>
      <c r="O34" s="762">
        <f>+VLOOKUP(D34,[3]IMF_fdi_credit_debitinc!$A$1:$C$201,2,0)/1000000</f>
        <v>11100</v>
      </c>
      <c r="P34" s="762">
        <f>+'[3]Inward, All'!AM39-'[3]Inward, All'!AN39+VLOOKUP(D34,'[3]DIRE Eurostat'!$A$3:$AQ$306,40,0)</f>
        <v>4977.5100788552527</v>
      </c>
      <c r="Q34" s="762">
        <f t="shared" si="1"/>
        <v>4100.8972224604468</v>
      </c>
      <c r="R34" s="799"/>
    </row>
    <row r="35" spans="1:18" ht="14.25" customHeight="1" x14ac:dyDescent="0.35">
      <c r="D35" s="757" t="s">
        <v>75</v>
      </c>
      <c r="E35" s="763">
        <f>HLOOKUP(D35,'[3]Inward, All'!$C$10:$AL$1005,252,0)</f>
        <v>18057.344437961001</v>
      </c>
      <c r="F35" s="762">
        <f>+VLOOKUP(D35,[3]IMF_fdi_credit_debitinc!$A$1:$C$201,3,0)/1000000</f>
        <v>18800</v>
      </c>
      <c r="G35" s="762">
        <f>+'[3]Outward, All'!AM38-'[3]Outward, All'!AN38+VLOOKUP(D35,'[3]DIA Eurostat'!$A$4:$AN$307,40,0)</f>
        <v>10357.826171812563</v>
      </c>
      <c r="H35" s="762">
        <f t="shared" si="2"/>
        <v>7699.5182661484378</v>
      </c>
      <c r="I35" s="764"/>
      <c r="J35" s="762"/>
      <c r="K35" s="762"/>
      <c r="L35" s="762"/>
      <c r="M35" s="762"/>
      <c r="N35" s="763">
        <f>+HLOOKUP(D35,'[3]Outward, All'!$C$10:$AM$11,2,0)</f>
        <v>945.81189326825995</v>
      </c>
      <c r="O35" s="762">
        <f>+VLOOKUP(D35,[3]IMF_fdi_credit_debitinc!$A$1:$C$201,2,0)/1000000</f>
        <v>1330</v>
      </c>
      <c r="P35" s="762">
        <f>+'[3]Inward, All'!AM40-'[3]Inward, All'!AN40+VLOOKUP(D35,'[3]DIRE Eurostat'!$A$3:$AQ$306,40,0)</f>
        <v>673.03081358580391</v>
      </c>
      <c r="Q35" s="762">
        <f t="shared" si="1"/>
        <v>272.78107968245604</v>
      </c>
      <c r="R35" s="799">
        <f>+-IF(VLOOKUP(D35,TableB11!$H$8:$M$39,6,0)&lt;0,VLOOKUP(D35,TableB11!$H$8:$M$39,6,0),0)*1000</f>
        <v>38.817335600265679</v>
      </c>
    </row>
    <row r="36" spans="1:18" ht="14.25" customHeight="1" x14ac:dyDescent="0.35">
      <c r="D36" s="757" t="s">
        <v>76</v>
      </c>
      <c r="E36" s="763">
        <f>HLOOKUP(D36,'[3]Inward, All'!$C$10:$AL$1005,252,0)</f>
        <v>4857.4597892401998</v>
      </c>
      <c r="F36" s="762">
        <f>+VLOOKUP(D36,[3]IMF_fdi_credit_debitinc!$A$1:$C$201,3,0)/1000000</f>
        <v>5230</v>
      </c>
      <c r="G36" s="762">
        <f>+'[3]Outward, All'!AM39-'[3]Outward, All'!AN39+VLOOKUP(D36,'[3]DIA Eurostat'!$A$4:$AN$307,40,0)</f>
        <v>4053.400083082227</v>
      </c>
      <c r="H36" s="762">
        <f t="shared" si="2"/>
        <v>804.05970615797287</v>
      </c>
      <c r="I36" s="764"/>
      <c r="J36" s="762"/>
      <c r="K36" s="762"/>
      <c r="L36" s="762"/>
      <c r="M36" s="762"/>
      <c r="N36" s="763">
        <f>+HLOOKUP(D36,'[3]Outward, All'!$C$10:$AM$11,2,0)</f>
        <v>1911.2590127564999</v>
      </c>
      <c r="O36" s="762">
        <f>+VLOOKUP(D36,[3]IMF_fdi_credit_debitinc!$A$1:$C$201,2,0)/1000000</f>
        <v>2300</v>
      </c>
      <c r="P36" s="762">
        <f>+'[3]Inward, All'!AM41-'[3]Inward, All'!AN41+VLOOKUP(D36,'[3]DIRE Eurostat'!$A$3:$AQ$306,40,0)</f>
        <v>399.74098939929326</v>
      </c>
      <c r="Q36" s="762">
        <f t="shared" si="1"/>
        <v>1511.5180233572066</v>
      </c>
      <c r="R36" s="799">
        <f>+-IF(VLOOKUP(D36,TableB11!$H$8:$M$39,6,0)&lt;0,VLOOKUP(D36,TableB11!$H$8:$M$39,6,0),0)*1000</f>
        <v>0</v>
      </c>
    </row>
    <row r="37" spans="1:18" ht="14.25" customHeight="1" x14ac:dyDescent="0.35">
      <c r="D37" s="757" t="s">
        <v>77</v>
      </c>
      <c r="E37" s="763">
        <f>F37</f>
        <v>3710</v>
      </c>
      <c r="F37" s="762">
        <f>+VLOOKUP(D37,[3]IMF_fdi_credit_debitinc!$A$1:$C$201,3,0)/1000000</f>
        <v>3710</v>
      </c>
      <c r="G37" s="762">
        <f>+'[3]Outward, All'!AM40-'[3]Outward, All'!AN40+VLOOKUP(D37,'[3]DIA Eurostat'!$A$4:$AN$307,40,0)</f>
        <v>4731.3233592984134</v>
      </c>
      <c r="H37" s="762">
        <f t="shared" si="2"/>
        <v>-1021.3233592984134</v>
      </c>
      <c r="I37" s="764"/>
      <c r="J37" s="762"/>
      <c r="K37" s="762"/>
      <c r="L37" s="762"/>
      <c r="M37" s="762"/>
      <c r="N37" s="763">
        <f>+(VLOOKUP(D37, '[3]IMF balance of payment all'!$A:$P,8,0)+VLOOKUP(D37,'[3]IMF balance of payment all'!$A:$P,5,0))/1000000</f>
        <v>257.14810130000001</v>
      </c>
      <c r="O37" s="762">
        <f>+VLOOKUP(D37,[3]IMF_fdi_credit_debitinc!$A$1:$C$201,2,0)/1000000</f>
        <v>257</v>
      </c>
      <c r="P37" s="762">
        <f>+'[3]Inward, All'!AM42-'[3]Inward, All'!AN42+VLOOKUP(D37,'[3]DIRE Eurostat'!$A$3:$AQ$306,40,0)</f>
        <v>421.07860217717945</v>
      </c>
      <c r="Q37" s="762">
        <f t="shared" si="1"/>
        <v>-163.93050087717944</v>
      </c>
      <c r="R37" s="799"/>
    </row>
    <row r="38" spans="1:18" ht="14.25" customHeight="1" x14ac:dyDescent="0.35">
      <c r="D38" s="757" t="s">
        <v>78</v>
      </c>
      <c r="E38" s="763">
        <f>HLOOKUP(D38,'[3]Inward, All'!$C$10:$AL$1005,252,0)</f>
        <v>1078.1752634498</v>
      </c>
      <c r="F38" s="762">
        <f>+VLOOKUP(D38,[3]IMF_fdi_credit_debitinc!$A$1:$C$201,3,0)/1000000</f>
        <v>1090</v>
      </c>
      <c r="G38" s="762">
        <f>+'[3]Outward, All'!AM41-'[3]Outward, All'!AN41+VLOOKUP(D38,'[3]DIA Eurostat'!$A$4:$AN$307,40,0)</f>
        <v>779.06403655617976</v>
      </c>
      <c r="H38" s="762">
        <f t="shared" si="2"/>
        <v>299.11122689362026</v>
      </c>
      <c r="I38" s="764"/>
      <c r="J38" s="762"/>
      <c r="K38" s="762"/>
      <c r="L38" s="762"/>
      <c r="M38" s="762"/>
      <c r="N38" s="763">
        <f>+HLOOKUP(D38,'[3]Outward, All'!$C$10:$AM$11,2,0)</f>
        <v>55.169162506932999</v>
      </c>
      <c r="O38" s="762">
        <f>+VLOOKUP(D38,[3]IMF_fdi_credit_debitinc!$A$1:$C$201,2,0)/1000000</f>
        <v>71.857940230000011</v>
      </c>
      <c r="P38" s="762">
        <f>+'[3]Inward, All'!AM43-'[3]Inward, All'!AN43+VLOOKUP(D38,'[3]DIRE Eurostat'!$A$3:$AQ$306,40,0)</f>
        <v>52.5</v>
      </c>
      <c r="Q38" s="762">
        <f t="shared" si="1"/>
        <v>2.6691625069329987</v>
      </c>
      <c r="R38" s="799">
        <f>+-IF(VLOOKUP(D38,TableB11!$H$8:$M$39,6,0)&lt;0,VLOOKUP(D38,TableB11!$H$8:$M$39,6,0),0)*1000</f>
        <v>56.451496630100742</v>
      </c>
    </row>
    <row r="39" spans="1:18" ht="14.25" customHeight="1" x14ac:dyDescent="0.35">
      <c r="D39" s="757" t="s">
        <v>79</v>
      </c>
      <c r="E39" s="763">
        <f>HLOOKUP(D39,'[3]Inward, All'!$C$10:$AL$1005,252,0)</f>
        <v>21338.879645035999</v>
      </c>
      <c r="F39" s="762">
        <f>+VLOOKUP(D39,[3]IMF_fdi_credit_debitinc!$A$1:$C$201,3,0)/1000000</f>
        <v>22800</v>
      </c>
      <c r="G39" s="762">
        <f>+'[3]Outward, All'!AM42-'[3]Outward, All'!AN42+VLOOKUP(D39,'[3]DIA Eurostat'!$A$4:$AN$307,40,0)</f>
        <v>18796.008563171872</v>
      </c>
      <c r="H39" s="762">
        <f t="shared" si="2"/>
        <v>2542.8710818641266</v>
      </c>
      <c r="I39" s="764"/>
      <c r="J39" s="762"/>
      <c r="K39" s="762"/>
      <c r="L39" s="762"/>
      <c r="M39" s="762"/>
      <c r="N39" s="763">
        <f>+HLOOKUP(D39,'[3]Outward, All'!$C$10:$AM$11,2,0)</f>
        <v>30208.541320021999</v>
      </c>
      <c r="O39" s="762">
        <f>+VLOOKUP(D39,[3]IMF_fdi_credit_debitinc!$A$1:$C$201,2,0)/1000000</f>
        <v>32000</v>
      </c>
      <c r="P39" s="762">
        <f>+'[3]Inward, All'!AM44-'[3]Inward, All'!AN44+VLOOKUP(D39,'[3]DIRE Eurostat'!$A$3:$AQ$306,40,0)</f>
        <v>13290.648167509076</v>
      </c>
      <c r="Q39" s="762">
        <f t="shared" si="1"/>
        <v>16917.893152512923</v>
      </c>
      <c r="R39" s="799">
        <f>+-IF(VLOOKUP(D39,TableB11!$H$8:$M$39,6,0)&lt;0,VLOOKUP(D39,TableB11!$H$8:$M$39,6,0),0)*1000</f>
        <v>0</v>
      </c>
    </row>
    <row r="40" spans="1:18" ht="14.25" customHeight="1" x14ac:dyDescent="0.35">
      <c r="D40" s="757" t="s">
        <v>80</v>
      </c>
      <c r="E40" s="763">
        <f>HLOOKUP(D40,'[3]Inward, All'!$C$10:$AL$1005,252,0)</f>
        <v>20768.035305423</v>
      </c>
      <c r="F40" s="762">
        <f>+VLOOKUP(D40,[3]IMF_fdi_credit_debitinc!$A$1:$C$201,3,0)/1000000</f>
        <v>21400</v>
      </c>
      <c r="G40" s="762">
        <f>+'[3]Outward, All'!AM43-'[3]Outward, All'!AN43+VLOOKUP(D40,'[3]DIA Eurostat'!$A$4:$AN$307,40,0)</f>
        <v>15334.735610577482</v>
      </c>
      <c r="H40" s="762">
        <f t="shared" si="2"/>
        <v>5433.2996948455184</v>
      </c>
      <c r="I40" s="764"/>
      <c r="J40" s="762"/>
      <c r="K40" s="762"/>
      <c r="L40" s="762"/>
      <c r="M40" s="762"/>
      <c r="N40" s="763">
        <f>+HLOOKUP(D40,'[3]Outward, All'!$C$10:$AM$11,2,0)</f>
        <v>28599.883738863002</v>
      </c>
      <c r="O40" s="762">
        <f>+VLOOKUP(D40,[3]IMF_fdi_credit_debitinc!$A$1:$C$201,2,0)/1000000</f>
        <v>29200</v>
      </c>
      <c r="P40" s="762">
        <f>+'[3]Inward, All'!AM45-'[3]Inward, All'!AN45+VLOOKUP(D40,'[3]DIRE Eurostat'!$A$3:$AQ$306,40,0)</f>
        <v>15878.592698805054</v>
      </c>
      <c r="Q40" s="762">
        <f t="shared" si="1"/>
        <v>12721.291040057948</v>
      </c>
      <c r="R40" s="799">
        <f>+-IF(VLOOKUP(D40,TableB11!$H$8:$M$39,6,0)&lt;0,VLOOKUP(D40,TableB11!$H$8:$M$39,6,0),0)*1000</f>
        <v>0</v>
      </c>
    </row>
    <row r="41" spans="1:18" ht="14.25" customHeight="1" x14ac:dyDescent="0.35">
      <c r="D41" s="757" t="s">
        <v>1</v>
      </c>
      <c r="E41" s="763">
        <f>HLOOKUP(D41,'[3]Inward, All'!$C$10:$AL$1005,252,0)</f>
        <v>60637.403417950001</v>
      </c>
      <c r="F41" s="762">
        <f>+VLOOKUP(D41,[3]IMF_fdi_credit_debitinc!$A$1:$C$201,3,0)/1000000</f>
        <v>70400</v>
      </c>
      <c r="G41" s="762">
        <f>+'[3]Outward, All'!AM44-'[3]Outward, All'!AN44+VLOOKUP(D41,'[3]DIA Eurostat'!$A$4:$AN$307,40,0)</f>
        <v>71349.18417581133</v>
      </c>
      <c r="H41" s="762">
        <f t="shared" si="2"/>
        <v>-10711.780757861328</v>
      </c>
      <c r="I41" s="764"/>
      <c r="J41" s="762"/>
      <c r="K41" s="762"/>
      <c r="L41" s="762"/>
      <c r="M41" s="762"/>
      <c r="N41" s="763">
        <f>+HLOOKUP(D41,'[3]Outward, All'!$C$10:$AM$11,2,0)</f>
        <v>91005.563908597003</v>
      </c>
      <c r="O41" s="762">
        <f>+VLOOKUP(D41,[3]IMF_fdi_credit_debitinc!$A$1:$C$201,2,0)/1000000</f>
        <v>102000</v>
      </c>
      <c r="P41" s="762">
        <f>+'[3]Inward, All'!AM46-'[3]Inward, All'!AN46+VLOOKUP(D41,'[3]DIRE Eurostat'!$A$3:$AQ$306,40,0)</f>
        <v>57625.709920048714</v>
      </c>
      <c r="Q41" s="762">
        <f t="shared" si="1"/>
        <v>33379.85398854829</v>
      </c>
      <c r="R41" s="799"/>
    </row>
    <row r="42" spans="1:18" ht="14.25" customHeight="1" x14ac:dyDescent="0.35">
      <c r="D42" s="757" t="s">
        <v>81</v>
      </c>
      <c r="E42" s="763">
        <f>HLOOKUP(D42,'[3]Inward, All'!$C$10:$AL$1005,252,0)</f>
        <v>3542.26</v>
      </c>
      <c r="F42" s="762">
        <f>+VLOOKUP(D42,[3]IMF_fdi_credit_debitinc!$A$1:$C$201,3,0)/1000000</f>
        <v>3540</v>
      </c>
      <c r="G42" s="762">
        <f>+'[3]Outward, All'!AM45-'[3]Outward, All'!AN45+VLOOKUP(D42,'[3]DIA Eurostat'!$A$4:$AN$307,40,0)</f>
        <v>5595.1229416998012</v>
      </c>
      <c r="H42" s="762">
        <f t="shared" si="2"/>
        <v>-2052.862941699801</v>
      </c>
      <c r="I42" s="764"/>
      <c r="J42" s="762"/>
      <c r="K42" s="762"/>
      <c r="L42" s="762"/>
      <c r="M42" s="762"/>
      <c r="N42" s="763">
        <f>+HLOOKUP(D42,'[3]Outward, All'!$C$10:$AM$11,2,0)</f>
        <v>223.1</v>
      </c>
      <c r="O42" s="762">
        <f>+VLOOKUP(D42,[3]IMF_fdi_credit_debitinc!$A$1:$C$201,2,0)/1000000</f>
        <v>225</v>
      </c>
      <c r="P42" s="762">
        <f>+'[3]Inward, All'!AM47-'[3]Inward, All'!AN47+VLOOKUP(D42,'[3]DIRE Eurostat'!$A$3:$AQ$306,40,0)</f>
        <v>617.95683371944358</v>
      </c>
      <c r="Q42" s="762">
        <f t="shared" si="1"/>
        <v>-394.85683371944356</v>
      </c>
      <c r="R42" s="799"/>
    </row>
    <row r="43" spans="1:18" ht="14.25" customHeight="1" x14ac:dyDescent="0.35">
      <c r="D43" s="757" t="s">
        <v>82</v>
      </c>
      <c r="E43" s="763">
        <f>HLOOKUP(D43,'[3]Inward, All'!$C$10:$AL$1005,252,0)</f>
        <v>97544.690603513998</v>
      </c>
      <c r="F43" s="762">
        <f>+VLOOKUP(D43,[3]IMF_fdi_credit_debitinc!$A$1:$C$201,3,0)/1000000</f>
        <v>80300</v>
      </c>
      <c r="G43" s="762">
        <f>+'[3]Outward, All'!AM46-'[3]Outward, All'!AN46+VLOOKUP(D43,'[3]DIA Eurostat'!$A$4:$AN$307,40,0)</f>
        <v>96956.694353908591</v>
      </c>
      <c r="H43" s="762">
        <f t="shared" si="2"/>
        <v>587.99624960540677</v>
      </c>
      <c r="I43" s="764"/>
      <c r="J43" s="762"/>
      <c r="K43" s="762"/>
      <c r="L43" s="762"/>
      <c r="M43" s="762"/>
      <c r="N43" s="763">
        <f>+HLOOKUP(D43,'[3]Outward, All'!$C$10:$AM$11,2,0)</f>
        <v>92967.150496561997</v>
      </c>
      <c r="O43" s="762">
        <f>+VLOOKUP(D43,[3]IMF_fdi_credit_debitinc!$A$1:$C$201,2,0)/1000000</f>
        <v>94400</v>
      </c>
      <c r="P43" s="762">
        <f>+'[3]Inward, All'!AM48-'[3]Inward, All'!AN48+VLOOKUP(D43,'[3]DIRE Eurostat'!$A$3:$AQ$306,40,0)</f>
        <v>54496.201671305695</v>
      </c>
      <c r="Q43" s="762">
        <f t="shared" si="1"/>
        <v>38470.948825256302</v>
      </c>
      <c r="R43" s="799">
        <f>+-IF(VLOOKUP(D43,TableB11!$H$8:$M$39,6,0)&lt;0,VLOOKUP(D43,TableB11!$H$8:$M$39,6,0),0)*1000</f>
        <v>4788.506519648784</v>
      </c>
    </row>
    <row r="44" spans="1:18" ht="14.25" customHeight="1" x14ac:dyDescent="0.35">
      <c r="D44" s="757" t="s">
        <v>0</v>
      </c>
      <c r="E44" s="763">
        <f>HLOOKUP(D44,'[3]Inward, All'!$C$10:$AL$1005,252,0)</f>
        <v>148335</v>
      </c>
      <c r="F44" s="762">
        <f>+VLOOKUP(D44,[3]IMF_fdi_credit_debitinc!$A$1:$C$201,3,0)/1000000</f>
        <v>170000</v>
      </c>
      <c r="G44" s="762">
        <f>+'[3]Outward, All'!AM47-'[3]Outward, All'!AN47+VLOOKUP(D44,'[3]DIA Eurostat'!$A$4:$AN$307,40,0)</f>
        <v>123126.86759048983</v>
      </c>
      <c r="H44" s="762">
        <f t="shared" si="2"/>
        <v>25208.132409510174</v>
      </c>
      <c r="I44" s="764"/>
      <c r="J44" s="762"/>
      <c r="K44" s="762"/>
      <c r="L44" s="762"/>
      <c r="M44" s="762"/>
      <c r="N44" s="763">
        <f>+HLOOKUP(D44,'[3]Outward, All'!$C$10:$AM$11,2,0)</f>
        <v>406691</v>
      </c>
      <c r="O44" s="762">
        <f>+VLOOKUP(D44,[3]IMF_fdi_credit_debitinc!$A$1:$C$201,2,0)/1000000</f>
        <v>437000</v>
      </c>
      <c r="P44" s="762">
        <f>+'[3]Inward, All'!AM49-'[3]Inward, All'!AN49+VLOOKUP(D44,'[3]DIRE Eurostat'!$A$3:$AQ$306,40,0)</f>
        <v>112279.71693973089</v>
      </c>
      <c r="Q44" s="762">
        <f t="shared" si="1"/>
        <v>294411.28306026908</v>
      </c>
      <c r="R44" s="799">
        <f>+-IF(VLOOKUP(D44,TableB11!$H$8:$M$39,6,0)&lt;0,VLOOKUP(D44,TableB11!$H$8:$M$39,6,0),0)*1000</f>
        <v>0</v>
      </c>
    </row>
    <row r="45" spans="1:18" ht="40" customHeight="1" x14ac:dyDescent="0.25">
      <c r="D45" s="767" t="s">
        <v>99</v>
      </c>
      <c r="E45" s="776">
        <f>SUM(E46:E52)</f>
        <v>226900.20003003805</v>
      </c>
      <c r="F45" s="777">
        <f t="shared" ref="F45:R45" si="3">SUM(F46:F52)</f>
        <v>226900.20003003805</v>
      </c>
      <c r="G45" s="777">
        <f t="shared" si="3"/>
        <v>85684.996882808991</v>
      </c>
      <c r="H45" s="777">
        <f t="shared" si="3"/>
        <v>141215.20314722904</v>
      </c>
      <c r="I45" s="778">
        <f t="shared" si="3"/>
        <v>0</v>
      </c>
      <c r="J45" s="777">
        <f t="shared" si="3"/>
        <v>0</v>
      </c>
      <c r="K45" s="777">
        <f t="shared" si="3"/>
        <v>0</v>
      </c>
      <c r="L45" s="777">
        <f t="shared" si="3"/>
        <v>0</v>
      </c>
      <c r="M45" s="777">
        <f t="shared" si="3"/>
        <v>0</v>
      </c>
      <c r="N45" s="776">
        <f t="shared" si="3"/>
        <v>131187.92156774367</v>
      </c>
      <c r="O45" s="777">
        <f t="shared" si="3"/>
        <v>131209.13504377365</v>
      </c>
      <c r="P45" s="777">
        <f t="shared" si="3"/>
        <v>-1439.6109690674334</v>
      </c>
      <c r="Q45" s="777">
        <f t="shared" si="3"/>
        <v>132627.53253681108</v>
      </c>
      <c r="R45" s="800">
        <f t="shared" si="3"/>
        <v>0</v>
      </c>
    </row>
    <row r="46" spans="1:18" ht="14.25" customHeight="1" x14ac:dyDescent="0.35">
      <c r="D46" s="757" t="s">
        <v>92</v>
      </c>
      <c r="E46" s="763">
        <f>+F46</f>
        <v>28600</v>
      </c>
      <c r="F46" s="762">
        <f>+VLOOKUP(D46,[3]IMF_fdi_credit_debitinc!$A$1:$C$201,3,0)/1000000</f>
        <v>28600</v>
      </c>
      <c r="G46" s="762">
        <f>+VLOOKUP(D46,'[3]Outward, All'!A:AN,39,0)-+VLOOKUP(D46,'[3]Outward, All'!A:AN,40,0)+VLOOKUP(D46,'[3]DIA Eurostat'!$A$4:$AN$307,40,0)</f>
        <v>17640.671263987952</v>
      </c>
      <c r="H46" s="762">
        <f t="shared" ref="H46:H52" si="4">+E46-G46</f>
        <v>10959.328736012048</v>
      </c>
      <c r="I46" s="764"/>
      <c r="J46" s="762"/>
      <c r="K46" s="762"/>
      <c r="L46" s="762"/>
      <c r="M46" s="762"/>
      <c r="N46" s="763">
        <f>+(VLOOKUP(D46, '[3]IMF balance of payment all'!$A:$P,8,0)+VLOOKUP(D46,'[3]IMF balance of payment all'!$A:$P,5,0))/1000000</f>
        <v>7289.0531494999996</v>
      </c>
      <c r="O46" s="762">
        <f>+VLOOKUP(D46,[3]IMF_fdi_credit_debitinc!$A$1:$C$201,2,0)/1000000</f>
        <v>7290</v>
      </c>
      <c r="P46" s="762">
        <f>+VLOOKUP(D46,'[3]Inward, All'!A:AN,39,0)-+VLOOKUP(D46,'[3]Inward, All'!A:AN,40,0)+VLOOKUP(D46,'[3]DIRE Eurostat'!$A$3:$AQ$306,40,0)</f>
        <v>-6977.8082559605737</v>
      </c>
      <c r="Q46" s="762">
        <f t="shared" ref="Q46:Q52" si="5">+N46-P46</f>
        <v>14266.861405460573</v>
      </c>
      <c r="R46" s="799"/>
    </row>
    <row r="47" spans="1:18" ht="14.25" customHeight="1" x14ac:dyDescent="0.35">
      <c r="A47" s="379" t="s">
        <v>488</v>
      </c>
      <c r="B47" s="379" t="str">
        <f>+'[3]DIA Eurostat'!A196</f>
        <v>China except Hong Kong</v>
      </c>
      <c r="D47" s="757" t="s">
        <v>101</v>
      </c>
      <c r="E47" s="763">
        <f>-[3]ChinaBoP!$AI$62*100*0.5</f>
        <v>129190.20003003805</v>
      </c>
      <c r="F47" s="762">
        <f>+E47</f>
        <v>129190.20003003805</v>
      </c>
      <c r="G47" s="762">
        <f>+VLOOKUP(D47,'[3]Outward, All'!A:AN,39,0)-+VLOOKUP(D47,'[3]Outward, All'!A:AN,40,0)+VLOOKUP(B47,'[3]DIA Eurostat'!$A$4:$AN$307,40,0)</f>
        <v>42190.774426270713</v>
      </c>
      <c r="H47" s="762">
        <f t="shared" si="4"/>
        <v>86999.425603767333</v>
      </c>
      <c r="I47" s="764"/>
      <c r="J47" s="762"/>
      <c r="K47" s="762"/>
      <c r="L47" s="762"/>
      <c r="M47" s="762"/>
      <c r="N47" s="763">
        <f>[3]ChinaBoP!$AI$61*100*0.5</f>
        <v>94634.249003443649</v>
      </c>
      <c r="O47" s="762">
        <f>+N47</f>
        <v>94634.249003443649</v>
      </c>
      <c r="P47" s="762">
        <f>+VLOOKUP(D47,'[3]Inward, All'!A:AN,39,0)-+VLOOKUP(D47,'[3]Inward, All'!A:AN,40,0)+VLOOKUP(B47,'[3]DIRE Eurostat'!$A$3:$AQ$306,40,0)</f>
        <v>2408.4440825108622</v>
      </c>
      <c r="Q47" s="762">
        <f t="shared" si="5"/>
        <v>92225.804920932787</v>
      </c>
      <c r="R47" s="1644"/>
    </row>
    <row r="48" spans="1:18" ht="14.25" customHeight="1" x14ac:dyDescent="0.35">
      <c r="D48" s="757" t="s">
        <v>93</v>
      </c>
      <c r="E48" s="763">
        <f>+F48</f>
        <v>5310</v>
      </c>
      <c r="F48" s="762">
        <f>+VLOOKUP(D48,[3]IMF_fdi_credit_debitinc!$A$1:$C$201,3,0)/1000000</f>
        <v>5310</v>
      </c>
      <c r="G48" s="762">
        <f>+VLOOKUP(D48,'[3]Outward, All'!A:AN,39,0)-+VLOOKUP(D48,'[3]Outward, All'!A:AN,40,0)+VLOOKUP(D48,'[3]DIA Eurostat'!$A$4:$AN$307,40,0)</f>
        <v>1690.6779477846599</v>
      </c>
      <c r="H48" s="762">
        <f t="shared" si="4"/>
        <v>3619.3220522153401</v>
      </c>
      <c r="I48" s="764"/>
      <c r="J48" s="762"/>
      <c r="K48" s="762"/>
      <c r="L48" s="762"/>
      <c r="M48" s="762"/>
      <c r="N48" s="763">
        <f>+(VLOOKUP(D48, '[3]IMF balance of payment all'!$A:$P,8,0)+VLOOKUP(D48,'[3]IMF balance of payment all'!$A:$P,5,0))/1000000</f>
        <v>3561.5806026999999</v>
      </c>
      <c r="O48" s="762">
        <f>+VLOOKUP(D48,[3]IMF_fdi_credit_debitinc!$A$1:$C$201,2,0)/1000000</f>
        <v>3560</v>
      </c>
      <c r="P48" s="762">
        <f>+VLOOKUP(D48,'[3]Inward, All'!A:AN,39,0)-+VLOOKUP(D48,'[3]Inward, All'!A:AN,40,0)+VLOOKUP(D48,'[3]DIRE Eurostat'!$A$3:$AQ$306,40,0)</f>
        <v>184.45558795359</v>
      </c>
      <c r="Q48" s="762">
        <f t="shared" si="5"/>
        <v>3377.1250147464098</v>
      </c>
      <c r="R48" s="799"/>
    </row>
    <row r="49" spans="1:18" ht="14.25" customHeight="1" x14ac:dyDescent="0.35">
      <c r="D49" s="757" t="s">
        <v>94</v>
      </c>
      <c r="E49" s="763">
        <f>+F49</f>
        <v>2040</v>
      </c>
      <c r="F49" s="762">
        <f>+VLOOKUP(D49,[3]IMF_fdi_credit_debitinc!$A$1:$C$201,3,0)/1000000</f>
        <v>2040</v>
      </c>
      <c r="G49" s="762">
        <f>+VLOOKUP(D49,'[3]Outward, All'!A:AN,39,0)-+VLOOKUP(D49,'[3]Outward, All'!A:AN,40,0)+VLOOKUP(D49,'[3]DIA Eurostat'!$A$4:$AN$307,40,0)</f>
        <v>403.8</v>
      </c>
      <c r="H49" s="762">
        <f t="shared" si="4"/>
        <v>1636.2</v>
      </c>
      <c r="I49" s="764"/>
      <c r="J49" s="762"/>
      <c r="K49" s="762"/>
      <c r="L49" s="762"/>
      <c r="M49" s="762"/>
      <c r="N49" s="763">
        <f>+(VLOOKUP(D49, '[3]IMF balance of payment all'!$A:$P,8,0)+VLOOKUP(D49,'[3]IMF balance of payment all'!$A:$P,5,0))/1000000</f>
        <v>74.886040299999991</v>
      </c>
      <c r="O49" s="762">
        <f>+VLOOKUP(D49,[3]IMF_fdi_credit_debitinc!$A$1:$C$201,2,0)/1000000</f>
        <v>74.88604033</v>
      </c>
      <c r="P49" s="762">
        <f>+VLOOKUP(D49,'[3]Inward, All'!A:AN,39,0)-+VLOOKUP(D49,'[3]Inward, All'!A:AN,40,0)+VLOOKUP(D49,'[3]DIRE Eurostat'!$A$3:$AQ$306,40,0)</f>
        <v>11.4</v>
      </c>
      <c r="Q49" s="762">
        <f t="shared" si="5"/>
        <v>63.486040299999992</v>
      </c>
      <c r="R49" s="799"/>
    </row>
    <row r="50" spans="1:18" ht="14.25" customHeight="1" x14ac:dyDescent="0.35">
      <c r="D50" s="757" t="s">
        <v>102</v>
      </c>
      <c r="E50" s="763">
        <f>+F50</f>
        <v>13700</v>
      </c>
      <c r="F50" s="762">
        <f>+VLOOKUP(D50,[3]IMF_fdi_credit_debitinc!$A$1:$C$201,3,0)/1000000</f>
        <v>13700</v>
      </c>
      <c r="G50" s="762">
        <f>+VLOOKUP(D50,'[3]Outward, All'!A:AN,39,0)-+VLOOKUP(D50,'[3]Outward, All'!A:AN,40,0)+VLOOKUP(D50,'[3]DIA Eurostat'!$A$4:$AN$307,40,0)</f>
        <v>8522.3382472770827</v>
      </c>
      <c r="H50" s="762">
        <f t="shared" si="4"/>
        <v>5177.6617527229173</v>
      </c>
      <c r="I50" s="764"/>
      <c r="J50" s="762"/>
      <c r="K50" s="762"/>
      <c r="L50" s="762"/>
      <c r="M50" s="762"/>
      <c r="N50" s="763">
        <f>+(VLOOKUP(D50, '[3]IMF balance of payment all'!$A:$P,8,0)+VLOOKUP(D50,'[3]IMF balance of payment all'!$A:$P,5,0))/1000000</f>
        <v>5018.5436815000003</v>
      </c>
      <c r="O50" s="762">
        <f>+VLOOKUP(D50,[3]IMF_fdi_credit_debitinc!$A$1:$C$201,2,0)/1000000</f>
        <v>5020</v>
      </c>
      <c r="P50" s="762">
        <f>+VLOOKUP(D50,'[3]Inward, All'!A:AN,39,0)-+VLOOKUP(D50,'[3]Inward, All'!A:AN,40,0)+VLOOKUP(D50,'[3]DIRE Eurostat'!$A$3:$AQ$306,40,0)</f>
        <v>2477.7552580678466</v>
      </c>
      <c r="Q50" s="762">
        <f t="shared" si="5"/>
        <v>2540.7884234321536</v>
      </c>
      <c r="R50" s="799"/>
    </row>
    <row r="51" spans="1:18" ht="14.25" customHeight="1" x14ac:dyDescent="0.35">
      <c r="B51" s="379" t="s">
        <v>103</v>
      </c>
      <c r="D51" s="758" t="s">
        <v>318</v>
      </c>
      <c r="E51" s="763">
        <f>+F51</f>
        <v>41000</v>
      </c>
      <c r="F51" s="762">
        <f>+VLOOKUP(D51,[3]IMF_fdi_credit_debitinc!$A$1:$C$201,3,0)/1000000</f>
        <v>41000</v>
      </c>
      <c r="G51" s="762">
        <f>+VLOOKUP(D51,'[3]Outward, All'!A:AN,39,0)-+VLOOKUP(D51,'[3]Outward, All'!A:AN,40,0)+VLOOKUP(B51,'[3]DIA Eurostat'!$A$4:$AN$307,40,0)</f>
        <v>10880.058343201796</v>
      </c>
      <c r="H51" s="762">
        <f t="shared" si="4"/>
        <v>30119.941656798204</v>
      </c>
      <c r="I51" s="764"/>
      <c r="J51" s="762"/>
      <c r="K51" s="762"/>
      <c r="L51" s="762"/>
      <c r="M51" s="762"/>
      <c r="N51" s="763">
        <f>+(VLOOKUP(D51, '[3]IMF balance of payment all'!$A:$P,8,0)+VLOOKUP(D51,'[3]IMF balance of payment all'!$A:$P,5,0))/1000000</f>
        <v>17282.830000000002</v>
      </c>
      <c r="O51" s="762">
        <f>+VLOOKUP(D51,[3]IMF_fdi_credit_debitinc!$A$1:$C$201,2,0)/1000000</f>
        <v>17300</v>
      </c>
      <c r="P51" s="762">
        <f>+VLOOKUP(D51,'[3]Inward, All'!A:AN,39,0)-+VLOOKUP(D51,'[3]Inward, All'!A:AN,40,0)+VLOOKUP(B51,'[3]DIRE Eurostat'!$A$3:$AQ$306,40,0)</f>
        <v>708.54235836084172</v>
      </c>
      <c r="Q51" s="762">
        <f t="shared" si="5"/>
        <v>16574.287641639159</v>
      </c>
      <c r="R51" s="799"/>
    </row>
    <row r="52" spans="1:18" ht="14.25" customHeight="1" x14ac:dyDescent="0.35">
      <c r="D52" s="757" t="s">
        <v>97</v>
      </c>
      <c r="E52" s="763">
        <f>+F52</f>
        <v>7060</v>
      </c>
      <c r="F52" s="762">
        <f>+VLOOKUP(D52,[3]IMF_fdi_credit_debitinc!$A$1:$C$201,3,0)/1000000</f>
        <v>7060</v>
      </c>
      <c r="G52" s="762">
        <f>+VLOOKUP(D52,'[3]Outward, All'!A:AN,39,0)-+VLOOKUP(D52,'[3]Outward, All'!A:AN,40,0)+VLOOKUP(D52,'[3]DIA Eurostat'!$A$4:$AN$307,40,0)</f>
        <v>4356.6766542867881</v>
      </c>
      <c r="H52" s="762">
        <f t="shared" si="4"/>
        <v>2703.3233457132119</v>
      </c>
      <c r="I52" s="764"/>
      <c r="J52" s="762"/>
      <c r="K52" s="762"/>
      <c r="L52" s="762"/>
      <c r="M52" s="762"/>
      <c r="N52" s="763">
        <f>+(VLOOKUP(D52, '[3]IMF balance of payment all'!$A:$P,8,0)+VLOOKUP(D52,'[3]IMF balance of payment all'!$A:$P,5,0))/1000000</f>
        <v>3326.7790902999996</v>
      </c>
      <c r="O52" s="762">
        <f>+VLOOKUP(D52,[3]IMF_fdi_credit_debitinc!$A$1:$C$201,2,0)/1000000</f>
        <v>3330</v>
      </c>
      <c r="P52" s="762">
        <f>+VLOOKUP(D52,'[3]Inward, All'!A:AN,39,0)-+VLOOKUP(D52,'[3]Inward, All'!A:AN,40,0)+VLOOKUP(D52,'[3]DIRE Eurostat'!$A$3:$AQ$306,40,0)</f>
        <v>-252.4</v>
      </c>
      <c r="Q52" s="762">
        <f t="shared" si="5"/>
        <v>3579.1790902999996</v>
      </c>
      <c r="R52" s="799"/>
    </row>
    <row r="53" spans="1:18" ht="40" customHeight="1" x14ac:dyDescent="0.25">
      <c r="D53" s="38" t="s">
        <v>100</v>
      </c>
      <c r="E53" s="776">
        <f>SUM(E54:E89)</f>
        <v>164664.62938446001</v>
      </c>
      <c r="F53" s="777">
        <f t="shared" ref="F53:R53" si="6">SUM(F54:F89)</f>
        <v>164664.62938446001</v>
      </c>
      <c r="G53" s="777">
        <f t="shared" si="6"/>
        <v>174576.08289828533</v>
      </c>
      <c r="H53" s="777">
        <f t="shared" si="6"/>
        <v>-9911.4535138253377</v>
      </c>
      <c r="I53" s="778">
        <f t="shared" si="6"/>
        <v>142739.04726038632</v>
      </c>
      <c r="J53" s="777">
        <f t="shared" si="6"/>
        <v>81139</v>
      </c>
      <c r="K53" s="777">
        <f t="shared" si="6"/>
        <v>61600.047260386316</v>
      </c>
      <c r="L53" s="777">
        <f t="shared" si="6"/>
        <v>44346.683670168517</v>
      </c>
      <c r="M53" s="777">
        <f t="shared" si="6"/>
        <v>45353.768002438665</v>
      </c>
      <c r="N53" s="776">
        <f t="shared" si="6"/>
        <v>128962.0263476</v>
      </c>
      <c r="O53" s="777">
        <f t="shared" si="6"/>
        <v>129407.80083910801</v>
      </c>
      <c r="P53" s="777">
        <f t="shared" si="6"/>
        <v>79262.996958486139</v>
      </c>
      <c r="Q53" s="777">
        <f t="shared" si="6"/>
        <v>49699.029389113886</v>
      </c>
      <c r="R53" s="800">
        <f t="shared" si="6"/>
        <v>71203.33650762387</v>
      </c>
    </row>
    <row r="54" spans="1:18" ht="14.25" customHeight="1" x14ac:dyDescent="0.35">
      <c r="D54" s="757" t="s">
        <v>272</v>
      </c>
      <c r="E54" s="763">
        <f t="shared" ref="E54:E78" si="7">+F54</f>
        <v>0</v>
      </c>
      <c r="F54" s="762">
        <v>0</v>
      </c>
      <c r="G54" s="762">
        <f>+VLOOKUP(D54,'[3]Outward, All'!A:AN,39,0)-+VLOOKUP(D54,'[3]Outward, All'!A:AN,40,0)+VLOOKUP(D54,'[3]DIA Eurostat'!$A$4:$AN$307,40,0)</f>
        <v>36.200000000000003</v>
      </c>
      <c r="H54" s="762">
        <f t="shared" ref="H54:H78" si="8">+E54-G54</f>
        <v>-36.200000000000003</v>
      </c>
      <c r="I54" s="764">
        <f t="shared" ref="I54:I88" si="9">IF(E54&lt;G54,-H54,0)</f>
        <v>36.200000000000003</v>
      </c>
      <c r="J54" s="762">
        <f>VLOOKUP(D54,'[3]Outward, All'!A11:AN266,36,)</f>
        <v>0</v>
      </c>
      <c r="K54" s="762">
        <f>I54-J54</f>
        <v>36.200000000000003</v>
      </c>
      <c r="L54" s="762"/>
      <c r="M54" s="762">
        <f t="shared" ref="M54:M63" si="10">$L$226*(I54+F54)/(SUM($I$54:$I$88,$F$54:$F$88)-$F$64-$I$64-$F$66-$I$66-$F$84-$I$84-$F$87-$I$87)</f>
        <v>5.3587171965343172</v>
      </c>
      <c r="N54" s="763">
        <v>0</v>
      </c>
      <c r="O54" s="762">
        <v>0</v>
      </c>
      <c r="P54" s="762">
        <f>+VLOOKUP(D54,'[3]Inward, All'!A:AN,39,0)-+VLOOKUP(D54,'[3]Inward, All'!A:AN,40,0)+VLOOKUP(D54,'[3]DIRE Eurostat'!$A$3:$AQ$306,40,0)</f>
        <v>68.900000000000006</v>
      </c>
      <c r="Q54" s="762">
        <f t="shared" ref="Q54:Q78" si="11">+N54-P54</f>
        <v>-68.900000000000006</v>
      </c>
      <c r="R54" s="799">
        <f t="shared" ref="R54:R78" si="12">IF(N54&lt;P54,-Q54,0)</f>
        <v>68.900000000000006</v>
      </c>
    </row>
    <row r="55" spans="1:18" ht="14.25" customHeight="1" x14ac:dyDescent="0.35">
      <c r="B55" s="379" t="str">
        <f>+'[3]DIA Eurostat'!A143</f>
        <v>Anguilla (UK)</v>
      </c>
      <c r="D55" s="757" t="s">
        <v>273</v>
      </c>
      <c r="E55" s="763">
        <f t="shared" si="7"/>
        <v>0</v>
      </c>
      <c r="F55" s="762">
        <f>+VLOOKUP(D55,[3]IMF_fdi_credit_debitinc!$A$1:$C$201,3,0)/1000000</f>
        <v>0</v>
      </c>
      <c r="G55" s="762">
        <f>+VLOOKUP(D55,'[3]Outward, All'!A:AN,39,0)-+VLOOKUP(D55,'[3]Outward, All'!A:AN,40,0)+VLOOKUP(B55,'[3]DIA Eurostat'!$A$4:$AN$307,40,0)</f>
        <v>108.5</v>
      </c>
      <c r="H55" s="762">
        <f t="shared" si="8"/>
        <v>-108.5</v>
      </c>
      <c r="I55" s="764">
        <f t="shared" si="9"/>
        <v>108.5</v>
      </c>
      <c r="J55" s="762">
        <f>VLOOKUP(D55,'[3]Outward, All'!A12:AN267,36,)</f>
        <v>0</v>
      </c>
      <c r="K55" s="762">
        <f>I55-J55</f>
        <v>108.5</v>
      </c>
      <c r="L55" s="762"/>
      <c r="M55" s="762">
        <f t="shared" si="10"/>
        <v>16.061348503424679</v>
      </c>
      <c r="N55" s="763">
        <f>+(VLOOKUP(D55, '[3]IMF balance of payment all'!$A:$P,8,0)+VLOOKUP(D55,'[3]IMF balance of payment all'!$A:$P,5,0))/1000000</f>
        <v>0</v>
      </c>
      <c r="O55" s="762">
        <f>+VLOOKUP(D55,[3]IMF_fdi_credit_debitinc!$A$1:$C$201,2,0)/1000000</f>
        <v>0</v>
      </c>
      <c r="P55" s="762">
        <f>+VLOOKUP(D55,'[3]Inward, All'!A:AN,39,0)-+VLOOKUP(D55,'[3]Inward, All'!A:AN,40,0)+VLOOKUP(B55,'[3]DIRE Eurostat'!$A$3:$AQ$306,40,0)</f>
        <v>5.8</v>
      </c>
      <c r="Q55" s="762">
        <f t="shared" si="11"/>
        <v>-5.8</v>
      </c>
      <c r="R55" s="799">
        <f t="shared" si="12"/>
        <v>5.8</v>
      </c>
    </row>
    <row r="56" spans="1:18" ht="14.25" customHeight="1" x14ac:dyDescent="0.35">
      <c r="D56" s="757" t="s">
        <v>319</v>
      </c>
      <c r="E56" s="763">
        <f t="shared" si="7"/>
        <v>0</v>
      </c>
      <c r="F56" s="762">
        <v>0</v>
      </c>
      <c r="G56" s="762">
        <f>+VLOOKUP(D56,'[3]Outward, All'!A:AN,39,0)-+VLOOKUP(D56,'[3]Outward, All'!A:AN,40,0)+VLOOKUP(D56,'[3]DIA Eurostat'!$A$4:$AN$307,40,0)</f>
        <v>76.900000000000006</v>
      </c>
      <c r="H56" s="762">
        <f t="shared" si="8"/>
        <v>-76.900000000000006</v>
      </c>
      <c r="I56" s="764">
        <f t="shared" si="9"/>
        <v>76.900000000000006</v>
      </c>
      <c r="J56" s="762">
        <f>VLOOKUP(D56,'[3]Outward, All'!A12:AN267,36,)</f>
        <v>0</v>
      </c>
      <c r="K56" s="762">
        <f>I56-J56</f>
        <v>76.900000000000006</v>
      </c>
      <c r="L56" s="762"/>
      <c r="M56" s="762">
        <f t="shared" si="10"/>
        <v>11.383573271090855</v>
      </c>
      <c r="N56" s="763">
        <f>+(VLOOKUP(D56, '[3]IMF balance of payment all'!$A:$P,8,0)+VLOOKUP(D56,'[3]IMF balance of payment all'!$A:$P,5,0))/1000000</f>
        <v>0</v>
      </c>
      <c r="O56" s="762">
        <f>+VLOOKUP(D56,[3]IMF_fdi_credit_debitinc!$A$1:$C$201,2,0)/1000000</f>
        <v>0</v>
      </c>
      <c r="P56" s="762">
        <f>+VLOOKUP(D56,'[3]Inward, All'!A:AN,39,0)-+VLOOKUP(D56,'[3]Inward, All'!A:AN,40,0)+VLOOKUP(D56,'[3]DIRE Eurostat'!$A$3:$AQ$306,40,0)</f>
        <v>0</v>
      </c>
      <c r="Q56" s="762">
        <f t="shared" si="11"/>
        <v>0</v>
      </c>
      <c r="R56" s="799">
        <f t="shared" si="12"/>
        <v>0</v>
      </c>
    </row>
    <row r="57" spans="1:18" ht="14.25" customHeight="1" x14ac:dyDescent="0.35">
      <c r="B57" s="379" t="str">
        <f>+'[3]DIA Eurostat'!A145</f>
        <v>Aruba (NL)</v>
      </c>
      <c r="D57" s="757" t="s">
        <v>274</v>
      </c>
      <c r="E57" s="763">
        <f t="shared" si="7"/>
        <v>98.715083800000002</v>
      </c>
      <c r="F57" s="762">
        <f>+VLOOKUP(D57,[3]IMF_fdi_credit_debitinc!$A$1:$C$201,3,0)/1000000</f>
        <v>98.715083800000002</v>
      </c>
      <c r="G57" s="762">
        <f>+VLOOKUP(D57,'[3]Outward, All'!A:AN,39,0)-+VLOOKUP(D57,'[3]Outward, All'!A:AN,40,0)+VLOOKUP(B57,'[3]DIA Eurostat'!$A$4:$AN$307,40,0)</f>
        <v>22.9</v>
      </c>
      <c r="H57" s="762">
        <f t="shared" si="8"/>
        <v>75.815083799999996</v>
      </c>
      <c r="I57" s="764">
        <f t="shared" si="9"/>
        <v>0</v>
      </c>
      <c r="J57" s="762"/>
      <c r="K57" s="762"/>
      <c r="L57" s="762"/>
      <c r="M57" s="762">
        <f t="shared" si="10"/>
        <v>14.612878925867019</v>
      </c>
      <c r="N57" s="763">
        <f>+(VLOOKUP(D57, '[3]IMF balance of payment all'!$A:$P,8,0)+VLOOKUP(D57,'[3]IMF balance of payment all'!$A:$P,5,0))/1000000</f>
        <v>0</v>
      </c>
      <c r="O57" s="762">
        <f>+VLOOKUP(D57,[3]IMF_fdi_credit_debitinc!$A$1:$C$201,2,0)/1000000</f>
        <v>13.46368715</v>
      </c>
      <c r="P57" s="762">
        <f>+VLOOKUP(D57,'[3]Inward, All'!A:AN,39,0)-+VLOOKUP(D57,'[3]Inward, All'!A:AN,40,0)+VLOOKUP(B57,'[3]DIRE Eurostat'!$A$3:$AQ$306,40,0)</f>
        <v>57</v>
      </c>
      <c r="Q57" s="762">
        <f t="shared" si="11"/>
        <v>-57</v>
      </c>
      <c r="R57" s="799">
        <f t="shared" si="12"/>
        <v>57</v>
      </c>
    </row>
    <row r="58" spans="1:18" ht="14.25" customHeight="1" x14ac:dyDescent="0.35">
      <c r="B58" s="379" t="s">
        <v>320</v>
      </c>
      <c r="D58" s="757" t="s">
        <v>275</v>
      </c>
      <c r="E58" s="763">
        <f t="shared" si="7"/>
        <v>0</v>
      </c>
      <c r="F58" s="762">
        <f>+VLOOKUP("Bahamas, The",[3]IMF_fdi_credit_debitinc!$A$1:$C$201,3,0)/1000000</f>
        <v>0</v>
      </c>
      <c r="G58" s="762">
        <f>+VLOOKUP(D58,'[3]Outward, All'!A:AN,39,0)-+VLOOKUP(D58,'[3]Outward, All'!A:AN,40,0)+VLOOKUP(D58,'[3]DIA Eurostat'!$A$4:$AN$307,40,0)</f>
        <v>2441.0858728483822</v>
      </c>
      <c r="H58" s="762">
        <f t="shared" si="8"/>
        <v>-2441.0858728483822</v>
      </c>
      <c r="I58" s="764">
        <f t="shared" si="9"/>
        <v>2441.0858728483822</v>
      </c>
      <c r="J58" s="762">
        <f>VLOOKUP(D58,'[3]Outward, All'!A14:AN269,36,)</f>
        <v>2288</v>
      </c>
      <c r="K58" s="762">
        <f t="shared" ref="K58:K75" si="13">I58-J58</f>
        <v>153.08587284838222</v>
      </c>
      <c r="L58" s="762"/>
      <c r="M58" s="762">
        <f t="shared" si="10"/>
        <v>361.35604544335933</v>
      </c>
      <c r="N58" s="763">
        <v>0</v>
      </c>
      <c r="O58" s="762">
        <f>+VLOOKUP("Bahamas, The",[3]IMF_fdi_credit_debitinc!$A$1:$C$201,2,0)/1000000</f>
        <v>0</v>
      </c>
      <c r="P58" s="762">
        <f>+VLOOKUP(D58,'[3]Inward, All'!A:AN,39,0)-+VLOOKUP(D58,'[3]Inward, All'!A:AN,40,0)+VLOOKUP(D58,'[3]DIRE Eurostat'!$A$3:$AQ$306,40,0)</f>
        <v>1702.2606313516633</v>
      </c>
      <c r="Q58" s="762">
        <f t="shared" si="11"/>
        <v>-1702.2606313516633</v>
      </c>
      <c r="R58" s="799">
        <f t="shared" si="12"/>
        <v>1702.2606313516633</v>
      </c>
    </row>
    <row r="59" spans="1:18" ht="14.25" customHeight="1" x14ac:dyDescent="0.35">
      <c r="B59" s="379" t="s">
        <v>486</v>
      </c>
      <c r="D59" s="757" t="s">
        <v>276</v>
      </c>
      <c r="E59" s="763">
        <f t="shared" si="7"/>
        <v>0</v>
      </c>
      <c r="F59" s="762">
        <f>+VLOOKUP("Bahrain, Kingdom of",[3]IMF_fdi_credit_debitinc!$A$1:$C$201,3,0)/1000000</f>
        <v>0</v>
      </c>
      <c r="G59" s="762">
        <f>+VLOOKUP(D59,'[3]Outward, All'!A:AN,39,0)-+VLOOKUP(D59,'[3]Outward, All'!A:AN,40,0)+VLOOKUP(D59,'[3]DIA Eurostat'!$A$4:$AN$307,40,0)</f>
        <v>720.00805649591416</v>
      </c>
      <c r="H59" s="762">
        <f t="shared" si="8"/>
        <v>-720.00805649591416</v>
      </c>
      <c r="I59" s="764">
        <f t="shared" si="9"/>
        <v>720.00805649591416</v>
      </c>
      <c r="J59" s="762">
        <f>VLOOKUP(D59,'[3]Outward, All'!A15:AN270,36,)</f>
        <v>87</v>
      </c>
      <c r="K59" s="762">
        <f t="shared" si="13"/>
        <v>633.00805649591416</v>
      </c>
      <c r="L59" s="762"/>
      <c r="M59" s="762">
        <f t="shared" si="10"/>
        <v>106.58341309358859</v>
      </c>
      <c r="N59" s="763">
        <v>0</v>
      </c>
      <c r="O59" s="762">
        <f>+VLOOKUP("Bahrain, Kingdom of",[3]IMF_fdi_credit_debitinc!$A$1:$C$201,2,0)/1000000</f>
        <v>0</v>
      </c>
      <c r="P59" s="762">
        <f>+VLOOKUP(D59,'[3]Inward, All'!A:AN,39,0)-+VLOOKUP(D59,'[3]Inward, All'!A:AN,40,0)+VLOOKUP(D59,'[3]DIRE Eurostat'!$A$3:$AQ$306,40,0)</f>
        <v>77.400000000000006</v>
      </c>
      <c r="Q59" s="762">
        <f t="shared" si="11"/>
        <v>-77.400000000000006</v>
      </c>
      <c r="R59" s="799">
        <f t="shared" si="12"/>
        <v>77.400000000000006</v>
      </c>
    </row>
    <row r="60" spans="1:18" ht="14.25" customHeight="1" x14ac:dyDescent="0.35">
      <c r="D60" s="757" t="s">
        <v>212</v>
      </c>
      <c r="E60" s="763">
        <f t="shared" si="7"/>
        <v>0</v>
      </c>
      <c r="F60" s="762">
        <f>+VLOOKUP(D60,[3]IMF_fdi_credit_debitinc!$A$1:$C$201,3,0)/1000000</f>
        <v>0</v>
      </c>
      <c r="G60" s="762">
        <f>+VLOOKUP(D60,'[3]Outward, All'!A:AN,39,0)-+VLOOKUP(D60,'[3]Outward, All'!A:AN,40,0)+VLOOKUP(D60,'[3]DIA Eurostat'!$A$4:$AN$307,40,0)</f>
        <v>2130.7224236508159</v>
      </c>
      <c r="H60" s="762">
        <f t="shared" si="8"/>
        <v>-2130.7224236508159</v>
      </c>
      <c r="I60" s="764">
        <f t="shared" si="9"/>
        <v>2130.7224236508159</v>
      </c>
      <c r="J60" s="762">
        <f>VLOOKUP(D60,'[3]Outward, All'!A16:AN271,36,)</f>
        <v>1455</v>
      </c>
      <c r="K60" s="762">
        <f t="shared" si="13"/>
        <v>675.72242365081593</v>
      </c>
      <c r="L60" s="762"/>
      <c r="M60" s="762">
        <f t="shared" si="10"/>
        <v>315.41267659278742</v>
      </c>
      <c r="N60" s="763">
        <f>+(VLOOKUP(D60, '[3]IMF balance of payment all'!$A:$P,8,0)+VLOOKUP(D60,'[3]IMF balance of payment all'!$A:$P,5,0))/1000000</f>
        <v>0</v>
      </c>
      <c r="O60" s="762">
        <f>+N60</f>
        <v>0</v>
      </c>
      <c r="P60" s="762">
        <f>+VLOOKUP(D60,'[3]Inward, All'!A:AN,39,0)-+VLOOKUP(D60,'[3]Inward, All'!A:AN,40,0)+VLOOKUP(D60,'[3]DIRE Eurostat'!$A$3:$AQ$306,40,0)</f>
        <v>234.93255831256295</v>
      </c>
      <c r="Q60" s="762">
        <f t="shared" si="11"/>
        <v>-234.93255831256295</v>
      </c>
      <c r="R60" s="799">
        <f t="shared" si="12"/>
        <v>234.93255831256295</v>
      </c>
    </row>
    <row r="61" spans="1:18" ht="14.25" customHeight="1" x14ac:dyDescent="0.35">
      <c r="D61" s="757" t="s">
        <v>277</v>
      </c>
      <c r="E61" s="763">
        <f t="shared" si="7"/>
        <v>51.461402590000006</v>
      </c>
      <c r="F61" s="762">
        <f>+VLOOKUP(D61,[3]IMF_fdi_credit_debitinc!$A$1:$C$201,3,0)/1000000</f>
        <v>51.461402590000006</v>
      </c>
      <c r="G61" s="762">
        <f>+VLOOKUP(D61,'[3]Outward, All'!A:AN,39,0)-+VLOOKUP(D61,'[3]Outward, All'!A:AN,40,0)+VLOOKUP(D61,'[3]DIA Eurostat'!$A$4:$AN$307,40,0)</f>
        <v>66.2</v>
      </c>
      <c r="H61" s="762">
        <f t="shared" si="8"/>
        <v>-14.738597409999997</v>
      </c>
      <c r="I61" s="764">
        <f t="shared" si="9"/>
        <v>14.738597409999997</v>
      </c>
      <c r="J61" s="762">
        <f>VLOOKUP(D61,'[3]Outward, All'!A16:AN271,36,)</f>
        <v>2</v>
      </c>
      <c r="K61" s="762">
        <f t="shared" si="13"/>
        <v>12.738597409999997</v>
      </c>
      <c r="L61" s="762"/>
      <c r="M61" s="762">
        <f t="shared" si="10"/>
        <v>9.7996430500157938</v>
      </c>
      <c r="N61" s="763">
        <f>+(VLOOKUP(D61, '[3]IMF balance of payment all'!$A:$P,8,0)+VLOOKUP(D61,'[3]IMF balance of payment all'!$A:$P,5,0))/1000000</f>
        <v>1.2105223000000001</v>
      </c>
      <c r="O61" s="762">
        <f>+VLOOKUP(D61,[3]IMF_fdi_credit_debitinc!$A$1:$C$201,2,0)/1000000</f>
        <v>1.210522334</v>
      </c>
      <c r="P61" s="762">
        <f>+VLOOKUP(D61,'[3]Inward, All'!A:AN,39,0)-+VLOOKUP(D61,'[3]Inward, All'!A:AN,40,0)+VLOOKUP(D61,'[3]DIRE Eurostat'!$A$3:$AQ$306,40,0)</f>
        <v>-46.832508833922262</v>
      </c>
      <c r="Q61" s="762">
        <f t="shared" si="11"/>
        <v>48.043031133922263</v>
      </c>
      <c r="R61" s="799">
        <f t="shared" si="12"/>
        <v>0</v>
      </c>
    </row>
    <row r="62" spans="1:18" ht="14.25" customHeight="1" x14ac:dyDescent="0.35">
      <c r="B62" s="379" t="str">
        <f>+'[3]DIA Eurostat'!A139</f>
        <v>Bermuda (UK)</v>
      </c>
      <c r="D62" s="757" t="s">
        <v>213</v>
      </c>
      <c r="E62" s="763">
        <f t="shared" si="7"/>
        <v>80.34483324</v>
      </c>
      <c r="F62" s="762">
        <f>+VLOOKUP(D62,[3]IMF_fdi_credit_debitinc!$A$1:$C$201,3,0)/1000000</f>
        <v>80.34483324</v>
      </c>
      <c r="G62" s="762">
        <f>+VLOOKUP(D62,'[3]Outward, All'!A:AN,39,0)-VLOOKUP(D62,'[3]Outward, All'!A:AN,40,0)+VLOOKUP(B62,'[3]DIA Eurostat'!$A$4:$AN$307,40,0)</f>
        <v>47722.737121784165</v>
      </c>
      <c r="H62" s="762">
        <f t="shared" si="8"/>
        <v>-47642.392288544164</v>
      </c>
      <c r="I62" s="764">
        <f t="shared" si="9"/>
        <v>47642.392288544164</v>
      </c>
      <c r="J62" s="762">
        <f>VLOOKUP(D62,'[3]Outward, All'!A17:AN272,36,)</f>
        <v>30408</v>
      </c>
      <c r="K62" s="762">
        <f t="shared" si="13"/>
        <v>17234.392288544164</v>
      </c>
      <c r="L62" s="762"/>
      <c r="M62" s="762">
        <f t="shared" si="10"/>
        <v>7064.4379027677178</v>
      </c>
      <c r="N62" s="763">
        <f>+(VLOOKUP(D62, '[3]IMF balance of payment all'!$A:$P,8,0)+VLOOKUP(D62,'[3]IMF balance of payment all'!$A:$P,5,0))/1000000</f>
        <v>108.3720849</v>
      </c>
      <c r="O62" s="762">
        <f>+VLOOKUP(D62,[3]IMF_fdi_credit_debitinc!$A$1:$C$201,2,0)/1000000</f>
        <v>108</v>
      </c>
      <c r="P62" s="762">
        <f>+VLOOKUP(D62,'[3]Inward, All'!A:AN,39,0)-+VLOOKUP(D62,'[3]Inward, All'!A:AN,40,0)+VLOOKUP(B62,'[3]DIRE Eurostat'!$A$3:$AQ$306,40,0)</f>
        <v>32275.338594347504</v>
      </c>
      <c r="Q62" s="762">
        <f t="shared" si="11"/>
        <v>-32166.966509447506</v>
      </c>
      <c r="R62" s="799">
        <f t="shared" si="12"/>
        <v>32166.966509447506</v>
      </c>
    </row>
    <row r="63" spans="1:18" ht="14.25" customHeight="1" x14ac:dyDescent="0.35">
      <c r="A63" s="379" t="str">
        <f>+'[3]DIA Eurostat'!A148</f>
        <v>Bonaire, Saint Eustatius and Saba</v>
      </c>
      <c r="B63" s="379" t="s">
        <v>485</v>
      </c>
      <c r="D63" s="757" t="s">
        <v>278</v>
      </c>
      <c r="E63" s="763">
        <f t="shared" si="7"/>
        <v>0</v>
      </c>
      <c r="F63" s="762">
        <v>0</v>
      </c>
      <c r="G63" s="762">
        <f>+VLOOKUP(B63,'[3]Outward, All'!A:AN,39,0)-+VLOOKUP(B63,'[3]Outward, All'!A:AN,40,0)+VLOOKUP(A63,'[3]DIA Eurostat'!$A$4:$AN$307,40,0)</f>
        <v>0.1</v>
      </c>
      <c r="H63" s="762">
        <f t="shared" si="8"/>
        <v>-0.1</v>
      </c>
      <c r="I63" s="764">
        <f t="shared" si="9"/>
        <v>0.1</v>
      </c>
      <c r="J63" s="762">
        <f>VLOOKUP(B63,'[3]Outward, All'!A18:AN273,36,)</f>
        <v>0</v>
      </c>
      <c r="K63" s="762">
        <f t="shared" si="13"/>
        <v>0.1</v>
      </c>
      <c r="L63" s="762"/>
      <c r="M63" s="762">
        <f t="shared" si="10"/>
        <v>1.4803086178271594E-2</v>
      </c>
      <c r="N63" s="763">
        <v>0</v>
      </c>
      <c r="O63" s="762">
        <v>0</v>
      </c>
      <c r="P63" s="762">
        <f>+VLOOKUP(B63,'[3]Inward, All'!A:AN,39,0)-+VLOOKUP(B63,'[3]Inward, All'!A:AN,40,0)+VLOOKUP(A63,'[3]DIRE Eurostat'!$A$3:$AQ$306,40,0)</f>
        <v>9.5</v>
      </c>
      <c r="Q63" s="762">
        <f t="shared" si="11"/>
        <v>-9.5</v>
      </c>
      <c r="R63" s="799">
        <f t="shared" si="12"/>
        <v>9.5</v>
      </c>
    </row>
    <row r="64" spans="1:18" ht="14.25" customHeight="1" x14ac:dyDescent="0.35">
      <c r="A64" s="379" t="str">
        <f>+'[3]DIA Eurostat'!A149</f>
        <v>British Virgin Islands (UK)</v>
      </c>
      <c r="B64" s="379" t="s">
        <v>484</v>
      </c>
      <c r="D64" s="757" t="s">
        <v>321</v>
      </c>
      <c r="E64" s="763">
        <f t="shared" si="7"/>
        <v>0</v>
      </c>
      <c r="F64" s="762">
        <v>0</v>
      </c>
      <c r="G64" s="762">
        <f>+VLOOKUP(B64,'[3]Outward, All'!A:AN,39,0)-+VLOOKUP(B64,'[3]Outward, All'!A:AN,40,0)+VLOOKUP(A64,'[3]DIA Eurostat'!$A$4:$AN$307,40,0)</f>
        <v>535.5961744890501</v>
      </c>
      <c r="H64" s="762">
        <f t="shared" si="8"/>
        <v>-535.5961744890501</v>
      </c>
      <c r="I64" s="764">
        <f t="shared" si="9"/>
        <v>535.5961744890501</v>
      </c>
      <c r="J64" s="762">
        <f>VLOOKUP(B64,'[3]Outward, All'!A19:AN274,36,)</f>
        <v>0</v>
      </c>
      <c r="K64" s="762">
        <f t="shared" si="13"/>
        <v>535.5961744890501</v>
      </c>
      <c r="L64" s="762">
        <v>31375.949560756722</v>
      </c>
      <c r="M64" s="762"/>
      <c r="N64" s="763">
        <v>0</v>
      </c>
      <c r="O64" s="762">
        <v>0</v>
      </c>
      <c r="P64" s="762">
        <f>+VLOOKUP(B64,'[3]Inward, All'!A:AN,39,0)-+VLOOKUP(B64,'[3]Inward, All'!A:AN,40,0)+VLOOKUP(A64,'[3]DIRE Eurostat'!$A$3:$AQ$306,40,0)</f>
        <v>4544.6985035662929</v>
      </c>
      <c r="Q64" s="762">
        <f t="shared" si="11"/>
        <v>-4544.6985035662929</v>
      </c>
      <c r="R64" s="799">
        <f t="shared" si="12"/>
        <v>4544.6985035662929</v>
      </c>
    </row>
    <row r="65" spans="1:18" ht="14.25" customHeight="1" x14ac:dyDescent="0.35">
      <c r="A65" s="379" t="str">
        <f>'[3]DIA Eurostat'!A150</f>
        <v>Cayman Islands (UK)</v>
      </c>
      <c r="B65" s="379" t="str">
        <f>'[3]Outward, All'!A140</f>
        <v>Cayman Isl</v>
      </c>
      <c r="D65" s="757" t="s">
        <v>291</v>
      </c>
      <c r="E65" s="763">
        <f t="shared" si="7"/>
        <v>1</v>
      </c>
      <c r="F65" s="762">
        <v>1</v>
      </c>
      <c r="G65" s="762">
        <f>+VLOOKUP(B65,'[3]Outward, All'!A:AN,39,0)-+VLOOKUP(B65,'[3]Outward, All'!A:AN,40,0)+VLOOKUP(A65,'[3]DIA Eurostat'!$A$4:$AN$307,40,0)</f>
        <v>32253.212825518716</v>
      </c>
      <c r="H65" s="762">
        <f t="shared" si="8"/>
        <v>-32252.212825518716</v>
      </c>
      <c r="I65" s="764">
        <f t="shared" si="9"/>
        <v>32252.212825518716</v>
      </c>
      <c r="J65" s="762">
        <f>VLOOKUP(B65,'[3]Outward, All'!A20:AN275,36,)</f>
        <v>23312</v>
      </c>
      <c r="K65" s="762">
        <f t="shared" si="13"/>
        <v>8940.2128255187163</v>
      </c>
      <c r="L65" s="762"/>
      <c r="M65" s="762">
        <f>$L$226*(I65+F65)/(SUM($I$54:$I$88,$F$54:$F$88)-$F$64-$I$64-$F$66-$I$66-$F$84-$I$84-$F$87-$I$87)</f>
        <v>4774.4708898228819</v>
      </c>
      <c r="N65" s="763">
        <v>0</v>
      </c>
      <c r="O65" s="762">
        <v>0</v>
      </c>
      <c r="P65" s="762">
        <f>+VLOOKUP(B65,'[3]Inward, All'!A:AN,39,0)-+VLOOKUP(B65,'[3]Inward, All'!A:AN,40,0)+VLOOKUP(A65,'[3]DIRE Eurostat'!$A$3:$AQ$306,40,0)</f>
        <v>16211.194650380299</v>
      </c>
      <c r="Q65" s="762">
        <f t="shared" si="11"/>
        <v>-16211.194650380299</v>
      </c>
      <c r="R65" s="799">
        <f t="shared" si="12"/>
        <v>16211.194650380299</v>
      </c>
    </row>
    <row r="66" spans="1:18" ht="14.25" customHeight="1" x14ac:dyDescent="0.35">
      <c r="B66" s="379" t="s">
        <v>483</v>
      </c>
      <c r="D66" s="757" t="s">
        <v>280</v>
      </c>
      <c r="E66" s="763">
        <f t="shared" si="7"/>
        <v>56.82681564</v>
      </c>
      <c r="F66" s="762">
        <f>+VLOOKUP(D66,[3]IMF_fdi_credit_debitinc!$A$1:$C$201,3,0)/1000000</f>
        <v>56.82681564</v>
      </c>
      <c r="G66" s="762">
        <f>+VLOOKUP(B66,'[3]Outward, All'!A:AN,39,0)-+VLOOKUP(B66,'[3]Outward, All'!A:AN,40,0)+VLOOKUP(B66,'[3]DIA Eurostat'!$A$4:$AN$307,40,0)</f>
        <v>487.29023846046579</v>
      </c>
      <c r="H66" s="762">
        <f t="shared" si="8"/>
        <v>-430.46342282046578</v>
      </c>
      <c r="I66" s="764">
        <f t="shared" si="9"/>
        <v>430.46342282046578</v>
      </c>
      <c r="J66" s="762">
        <f>VLOOKUP(B66,'[3]Outward, All'!A21:AN276,36,)</f>
        <v>57</v>
      </c>
      <c r="K66" s="762">
        <f t="shared" si="13"/>
        <v>373.46342282046578</v>
      </c>
      <c r="L66" s="762">
        <v>12939.514734540455</v>
      </c>
      <c r="M66" s="762"/>
      <c r="N66" s="763">
        <f>+(VLOOKUP(D66, '[3]IMF balance of payment all'!$A:$P,8,0)+VLOOKUP(D66,'[3]IMF balance of payment all'!$A:$P,5,0))/1000000</f>
        <v>12.782122900000001</v>
      </c>
      <c r="O66" s="762">
        <f>+VLOOKUP(D66,[3]IMF_fdi_credit_debitinc!$A$1:$C$201,2,0)/1000000</f>
        <v>12.78212291</v>
      </c>
      <c r="P66" s="762">
        <f>+VLOOKUP(B66,'[3]Inward, All'!A:AN,39,0)-+VLOOKUP(B66,'[3]Inward, All'!A:AN,40,0)+VLOOKUP(B66,'[3]DIRE Eurostat'!$A$3:$AQ$306,40,0)</f>
        <v>2686.2999999999997</v>
      </c>
      <c r="Q66" s="762">
        <f t="shared" si="11"/>
        <v>-2673.5178770999996</v>
      </c>
      <c r="R66" s="799">
        <f t="shared" si="12"/>
        <v>2673.5178770999996</v>
      </c>
    </row>
    <row r="67" spans="1:18" ht="14.25" customHeight="1" x14ac:dyDescent="0.35">
      <c r="D67" s="757" t="s">
        <v>116</v>
      </c>
      <c r="E67" s="763">
        <f t="shared" si="7"/>
        <v>2100</v>
      </c>
      <c r="F67" s="762">
        <f>+VLOOKUP(D67,[3]IMF_fdi_credit_debitinc!$A$1:$C$201,3,0)/1000000</f>
        <v>2100</v>
      </c>
      <c r="G67" s="762">
        <f>+VLOOKUP(D67,'[3]Outward, All'!A:AN,39,0)-+VLOOKUP(D67,'[3]Outward, All'!A:AN,40,0)+VLOOKUP(D67,'[3]DIA Eurostat'!$A$4:$AN$307,40,0)</f>
        <v>5263.7361260589269</v>
      </c>
      <c r="H67" s="762">
        <f t="shared" si="8"/>
        <v>-3163.7361260589269</v>
      </c>
      <c r="I67" s="764">
        <f t="shared" si="9"/>
        <v>3163.7361260589269</v>
      </c>
      <c r="J67" s="762">
        <f>VLOOKUP(D67,'[3]Outward, All'!A24:AN279,36,)</f>
        <v>134</v>
      </c>
      <c r="K67" s="762">
        <f t="shared" si="13"/>
        <v>3029.7361260589269</v>
      </c>
      <c r="L67" s="762"/>
      <c r="M67" s="762">
        <f t="shared" ref="M67:M83" si="14">$L$226*(I67+F67)/(SUM($I$54:$I$88,$F$54:$F$88)-$F$64-$I$64-$F$66-$I$66-$F$84-$I$84-$F$87-$I$87)</f>
        <v>779.19539493731759</v>
      </c>
      <c r="N67" s="763">
        <f>+(VLOOKUP(D67, '[3]IMF balance of payment all'!$A:$P,8,0)+VLOOKUP(D67,'[3]IMF balance of payment all'!$A:$P,5,0))/1000000</f>
        <v>2611.3350037999999</v>
      </c>
      <c r="O67" s="762">
        <f>+N67</f>
        <v>2611.3350037999999</v>
      </c>
      <c r="P67" s="762">
        <f>+VLOOKUP(D67,'[3]Inward, All'!A:AN,39,0)-+VLOOKUP(D67,'[3]Inward, All'!A:AN,40,0)+VLOOKUP(D67,'[3]DIRE Eurostat'!$A$3:$AQ$306,40,0)</f>
        <v>2975.4490700636984</v>
      </c>
      <c r="Q67" s="762">
        <f t="shared" si="11"/>
        <v>-364.11406626369853</v>
      </c>
      <c r="R67" s="799">
        <f t="shared" si="12"/>
        <v>364.11406626369853</v>
      </c>
    </row>
    <row r="68" spans="1:18" ht="14.25" customHeight="1" x14ac:dyDescent="0.35">
      <c r="D68" s="757" t="s">
        <v>281</v>
      </c>
      <c r="E68" s="763">
        <f t="shared" si="7"/>
        <v>0</v>
      </c>
      <c r="F68" s="762">
        <v>0</v>
      </c>
      <c r="G68" s="762">
        <f>+VLOOKUP(D68,'[3]Outward, All'!A:AN,39,0)-+VLOOKUP(D68,'[3]Outward, All'!A:AN,40,0)+VLOOKUP(D68,'[3]DIA Eurostat'!$A$4:$AN$307,40,0)</f>
        <v>2328.1</v>
      </c>
      <c r="H68" s="762">
        <f t="shared" si="8"/>
        <v>-2328.1</v>
      </c>
      <c r="I68" s="764">
        <f t="shared" si="9"/>
        <v>2328.1</v>
      </c>
      <c r="J68" s="762">
        <f>VLOOKUP(D68,'[3]Outward, All'!A22:AN277,36,)</f>
        <v>0</v>
      </c>
      <c r="K68" s="762">
        <f t="shared" si="13"/>
        <v>2328.1</v>
      </c>
      <c r="L68" s="762"/>
      <c r="M68" s="762">
        <f t="shared" si="14"/>
        <v>344.63064931634091</v>
      </c>
      <c r="N68" s="763">
        <v>0</v>
      </c>
      <c r="O68" s="762">
        <v>0</v>
      </c>
      <c r="P68" s="762">
        <f>+VLOOKUP(D68,'[3]Inward, All'!A:AN,39,0)-+VLOOKUP(D68,'[3]Inward, All'!A:AN,40,0)+VLOOKUP(D68,'[3]DIRE Eurostat'!$A$3:$AQ$306,40,0)</f>
        <v>293.06236093911127</v>
      </c>
      <c r="Q68" s="762">
        <f t="shared" si="11"/>
        <v>-293.06236093911127</v>
      </c>
      <c r="R68" s="799">
        <f t="shared" si="12"/>
        <v>293.06236093911127</v>
      </c>
    </row>
    <row r="69" spans="1:18" ht="14.25" customHeight="1" x14ac:dyDescent="0.35">
      <c r="D69" s="757" t="s">
        <v>294</v>
      </c>
      <c r="E69" s="763">
        <f t="shared" si="7"/>
        <v>0</v>
      </c>
      <c r="F69" s="762">
        <v>0</v>
      </c>
      <c r="G69" s="762">
        <f>+VLOOKUP(D69,'[3]Outward, All'!A:AN,39,0)-+VLOOKUP(D69,'[3]Outward, All'!A:AN,40,0)+VLOOKUP(D69,'[3]DIA Eurostat'!$A$4:$AN$307,40,0)</f>
        <v>15.2</v>
      </c>
      <c r="H69" s="762">
        <f t="shared" si="8"/>
        <v>-15.2</v>
      </c>
      <c r="I69" s="764">
        <f t="shared" si="9"/>
        <v>15.2</v>
      </c>
      <c r="J69" s="762">
        <f>VLOOKUP(D69,'[3]Outward, All'!A26:AN281,36,)</f>
        <v>0</v>
      </c>
      <c r="K69" s="762">
        <f t="shared" si="13"/>
        <v>15.2</v>
      </c>
      <c r="L69" s="762"/>
      <c r="M69" s="762">
        <f t="shared" si="14"/>
        <v>2.2500690990972818</v>
      </c>
      <c r="N69" s="763">
        <v>0</v>
      </c>
      <c r="O69" s="762">
        <v>0</v>
      </c>
      <c r="P69" s="762">
        <f>+VLOOKUP(D69,'[3]Inward, All'!A:AN,39,0)-+VLOOKUP(D69,'[3]Inward, All'!A:AN,40,0)+VLOOKUP(D69,'[3]DIRE Eurostat'!$A$3:$AQ$306,40,0)</f>
        <v>0</v>
      </c>
      <c r="Q69" s="762">
        <f t="shared" si="11"/>
        <v>0</v>
      </c>
      <c r="R69" s="799">
        <f t="shared" si="12"/>
        <v>0</v>
      </c>
    </row>
    <row r="70" spans="1:18" ht="14.25" customHeight="1" x14ac:dyDescent="0.35">
      <c r="D70" s="757" t="s">
        <v>282</v>
      </c>
      <c r="E70" s="763">
        <f t="shared" si="7"/>
        <v>0</v>
      </c>
      <c r="F70" s="762">
        <v>0</v>
      </c>
      <c r="G70" s="762">
        <f>+VLOOKUP(D70,'[3]Outward, All'!A:AN,39,0)-+VLOOKUP(D70,'[3]Outward, All'!A:AN,40,0)+VLOOKUP(D70,'[3]DIA Eurostat'!$A$4:$AN$307,40,0)</f>
        <v>766.90416711093746</v>
      </c>
      <c r="H70" s="762">
        <f t="shared" si="8"/>
        <v>-766.90416711093746</v>
      </c>
      <c r="I70" s="764">
        <f t="shared" si="9"/>
        <v>766.90416711093746</v>
      </c>
      <c r="J70" s="762">
        <f>VLOOKUP(D70,'[3]Outward, All'!A23:AN278,36,)</f>
        <v>0</v>
      </c>
      <c r="K70" s="762">
        <f t="shared" si="13"/>
        <v>766.90416711093746</v>
      </c>
      <c r="L70" s="762"/>
      <c r="M70" s="762">
        <f t="shared" si="14"/>
        <v>113.52548476218806</v>
      </c>
      <c r="N70" s="763">
        <v>0</v>
      </c>
      <c r="O70" s="762">
        <v>0</v>
      </c>
      <c r="P70" s="762">
        <f>+VLOOKUP(D70,'[3]Inward, All'!A:AN,39,0)-+VLOOKUP(D70,'[3]Inward, All'!A:AN,40,0)+VLOOKUP(D70,'[3]DIRE Eurostat'!$A$3:$AQ$306,40,0)</f>
        <v>2729.5756643478048</v>
      </c>
      <c r="Q70" s="762">
        <f t="shared" si="11"/>
        <v>-2729.5756643478048</v>
      </c>
      <c r="R70" s="799">
        <f t="shared" si="12"/>
        <v>2729.5756643478048</v>
      </c>
    </row>
    <row r="71" spans="1:18" ht="14.25" customHeight="1" x14ac:dyDescent="0.35">
      <c r="B71" s="379" t="str">
        <f>+'[3]DIA Eurostat'!A60</f>
        <v>Gibraltar (UK)</v>
      </c>
      <c r="D71" s="757" t="s">
        <v>295</v>
      </c>
      <c r="E71" s="763">
        <f t="shared" si="7"/>
        <v>0</v>
      </c>
      <c r="F71" s="762">
        <v>0</v>
      </c>
      <c r="G71" s="762">
        <f>+VLOOKUP(D71,'[3]Outward, All'!A:AN,39,0)-+VLOOKUP(D71,'[3]Outward, All'!A:AN,40,0)+VLOOKUP(B71,'[3]DIA Eurostat'!$A$4:$AN$307,40,0)</f>
        <v>301.64808972880496</v>
      </c>
      <c r="H71" s="762">
        <f t="shared" si="8"/>
        <v>-301.64808972880496</v>
      </c>
      <c r="I71" s="764">
        <f t="shared" si="9"/>
        <v>301.64808972880496</v>
      </c>
      <c r="J71" s="762">
        <f>VLOOKUP(D71,'[3]Outward, All'!A24:AN279,36,)</f>
        <v>-1905</v>
      </c>
      <c r="K71" s="762">
        <f t="shared" si="13"/>
        <v>2206.6480897288047</v>
      </c>
      <c r="L71" s="762"/>
      <c r="M71" s="762">
        <f t="shared" si="14"/>
        <v>44.653226677665018</v>
      </c>
      <c r="N71" s="763">
        <v>0</v>
      </c>
      <c r="O71" s="762">
        <v>0</v>
      </c>
      <c r="P71" s="762">
        <f>+VLOOKUP(D71,'[3]Inward, All'!A:AN,39,0)-+VLOOKUP(D71,'[3]Inward, All'!A:AN,40,0)+VLOOKUP(B71,'[3]DIRE Eurostat'!$A$3:$AQ$306,40,0)</f>
        <v>3083.9</v>
      </c>
      <c r="Q71" s="762">
        <f t="shared" si="11"/>
        <v>-3083.9</v>
      </c>
      <c r="R71" s="799">
        <f t="shared" si="12"/>
        <v>3083.9</v>
      </c>
    </row>
    <row r="72" spans="1:18" ht="14.25" customHeight="1" x14ac:dyDescent="0.35">
      <c r="A72" s="379" t="str">
        <f>+'[3]DIA Eurostat'!A197</f>
        <v>Hong Kong</v>
      </c>
      <c r="B72" s="379" t="s">
        <v>482</v>
      </c>
      <c r="D72" s="759" t="s">
        <v>481</v>
      </c>
      <c r="E72" s="763">
        <f t="shared" si="7"/>
        <v>137000</v>
      </c>
      <c r="F72" s="762">
        <f>+VLOOKUP(D72,[3]IMF_fdi_credit_debitinc!$A$1:$C$201,3,0)/1000000</f>
        <v>137000</v>
      </c>
      <c r="G72" s="762">
        <f>+VLOOKUP(B72,'[3]Outward, All'!A:AN,39,0)-+VLOOKUP(B72,'[3]Outward, All'!A:AN,40,0)+VLOOKUP(A72,'[3]DIA Eurostat'!$A$4:$AN$307,40,0)</f>
        <v>22137.65539721922</v>
      </c>
      <c r="H72" s="762">
        <f t="shared" si="8"/>
        <v>114862.34460278078</v>
      </c>
      <c r="I72" s="764">
        <f t="shared" si="9"/>
        <v>0</v>
      </c>
      <c r="J72" s="762"/>
      <c r="K72" s="762">
        <f t="shared" si="13"/>
        <v>0</v>
      </c>
      <c r="L72" s="762"/>
      <c r="M72" s="762">
        <f t="shared" si="14"/>
        <v>20280.22806423208</v>
      </c>
      <c r="N72" s="763">
        <f>+(VLOOKUP(D72, '[3]IMF balance of payment all'!$A:$P,8,0)+VLOOKUP(D72,'[3]IMF balance of payment all'!$A:$P,5,0))/1000000</f>
        <v>121684.5393873</v>
      </c>
      <c r="O72" s="762">
        <f>+VLOOKUP(D72,[3]IMF_fdi_credit_debitinc!$A$1:$C$201,2,0)/1000000</f>
        <v>122000</v>
      </c>
      <c r="P72" s="762">
        <f>+VLOOKUP(B72,'[3]Inward, All'!A:AN,39,0)-+VLOOKUP(B72,'[3]Inward, All'!A:AN,40,0)+VLOOKUP(A72,'[3]DIRE Eurostat'!$A$3:$AQ$306,40,0)</f>
        <v>4594.8862213961775</v>
      </c>
      <c r="Q72" s="762">
        <f t="shared" si="11"/>
        <v>117089.65316590382</v>
      </c>
      <c r="R72" s="799">
        <f t="shared" si="12"/>
        <v>0</v>
      </c>
    </row>
    <row r="73" spans="1:18" ht="14.25" customHeight="1" x14ac:dyDescent="0.35">
      <c r="D73" s="757" t="s">
        <v>284</v>
      </c>
      <c r="E73" s="763">
        <f t="shared" si="7"/>
        <v>0</v>
      </c>
      <c r="F73" s="762">
        <v>0</v>
      </c>
      <c r="G73" s="762">
        <f>+VLOOKUP(D73,'[3]Outward, All'!A:AN,39,0)-+VLOOKUP(D73,'[3]Outward, All'!A:AN,40,0)+VLOOKUP(D73,'[3]DIA Eurostat'!$A$4:$AN$307,40,0)</f>
        <v>602.53205981920314</v>
      </c>
      <c r="H73" s="762">
        <f t="shared" si="8"/>
        <v>-602.53205981920314</v>
      </c>
      <c r="I73" s="764">
        <f t="shared" si="9"/>
        <v>602.53205981920314</v>
      </c>
      <c r="J73" s="762">
        <f>VLOOKUP(D73,'[3]Outward, All'!A26:AN281,36,)</f>
        <v>0</v>
      </c>
      <c r="K73" s="762">
        <f t="shared" si="13"/>
        <v>602.53205981920314</v>
      </c>
      <c r="L73" s="762"/>
      <c r="M73" s="762">
        <f t="shared" si="14"/>
        <v>89.193340066751588</v>
      </c>
      <c r="N73" s="763">
        <v>0</v>
      </c>
      <c r="O73" s="762">
        <v>0</v>
      </c>
      <c r="P73" s="762">
        <f>+VLOOKUP(D73,'[3]Inward, All'!A:AN,39,0)-+VLOOKUP(D73,'[3]Inward, All'!A:AN,40,0)+VLOOKUP(D73,'[3]DIRE Eurostat'!$A$3:$AQ$306,40,0)</f>
        <v>22.741982969107276</v>
      </c>
      <c r="Q73" s="762">
        <f t="shared" si="11"/>
        <v>-22.741982969107276</v>
      </c>
      <c r="R73" s="799">
        <f t="shared" si="12"/>
        <v>22.741982969107276</v>
      </c>
    </row>
    <row r="74" spans="1:18" ht="14.25" customHeight="1" x14ac:dyDescent="0.35">
      <c r="D74" s="757" t="s">
        <v>285</v>
      </c>
      <c r="E74" s="763">
        <f t="shared" si="7"/>
        <v>436</v>
      </c>
      <c r="F74" s="762">
        <f>+VLOOKUP(D74,[3]IMF_fdi_credit_debitinc!$A$1:$C$201,3,0)/1000000</f>
        <v>436</v>
      </c>
      <c r="G74" s="762">
        <f>+VLOOKUP(D74,'[3]Outward, All'!A:AN,39,0)-+VLOOKUP(D74,'[3]Outward, All'!A:AN,40,0)+VLOOKUP(D74,'[3]DIA Eurostat'!$A$4:$AN$307,40,0)</f>
        <v>246.2</v>
      </c>
      <c r="H74" s="762">
        <f t="shared" si="8"/>
        <v>189.8</v>
      </c>
      <c r="I74" s="764">
        <f t="shared" si="9"/>
        <v>0</v>
      </c>
      <c r="J74" s="762"/>
      <c r="K74" s="762">
        <f t="shared" si="13"/>
        <v>0</v>
      </c>
      <c r="L74" s="762"/>
      <c r="M74" s="762">
        <f t="shared" si="14"/>
        <v>64.541455737264144</v>
      </c>
      <c r="N74" s="763">
        <f>+(VLOOKUP(D74, '[3]IMF balance of payment all'!$A:$P,8,0)+VLOOKUP(D74,'[3]IMF balance of payment all'!$A:$P,5,0))/1000000</f>
        <v>487.54139129999999</v>
      </c>
      <c r="O74" s="762">
        <f>+VLOOKUP(D74,[3]IMF_fdi_credit_debitinc!$A$1:$C$201,2,0)/1000000</f>
        <v>488</v>
      </c>
      <c r="P74" s="762">
        <f>+VLOOKUP(D74,'[3]Inward, All'!A:AN,39,0)-+VLOOKUP(D74,'[3]Inward, All'!A:AN,40,0)+VLOOKUP(D74,'[3]DIRE Eurostat'!$A$3:$AQ$306,40,0)</f>
        <v>228</v>
      </c>
      <c r="Q74" s="762">
        <f t="shared" si="11"/>
        <v>259.54139129999999</v>
      </c>
      <c r="R74" s="799">
        <f t="shared" si="12"/>
        <v>0</v>
      </c>
    </row>
    <row r="75" spans="1:18" ht="14.25" customHeight="1" x14ac:dyDescent="0.35">
      <c r="D75" s="757" t="s">
        <v>286</v>
      </c>
      <c r="E75" s="763">
        <f t="shared" si="7"/>
        <v>0</v>
      </c>
      <c r="F75" s="762">
        <v>0</v>
      </c>
      <c r="G75" s="762">
        <f>+VLOOKUP(D75,'[3]Outward, All'!A:AN,39,0)-+VLOOKUP(D75,'[3]Outward, All'!A:AN,40,0)+VLOOKUP(D75,'[3]DIA Eurostat'!$A$4:$AN$307,40,0)</f>
        <v>7.5</v>
      </c>
      <c r="H75" s="762">
        <f t="shared" si="8"/>
        <v>-7.5</v>
      </c>
      <c r="I75" s="764">
        <f t="shared" si="9"/>
        <v>7.5</v>
      </c>
      <c r="J75" s="762">
        <f>VLOOKUP(D75,'[3]Outward, All'!A28:AN283,36,)</f>
        <v>-18</v>
      </c>
      <c r="K75" s="762">
        <f t="shared" si="13"/>
        <v>25.5</v>
      </c>
      <c r="L75" s="762"/>
      <c r="M75" s="762">
        <f t="shared" si="14"/>
        <v>1.1102314633703694</v>
      </c>
      <c r="N75" s="763">
        <v>0</v>
      </c>
      <c r="O75" s="762">
        <v>0</v>
      </c>
      <c r="P75" s="762">
        <f>+VLOOKUP(D75,'[3]Inward, All'!A:AN,39,0)-+VLOOKUP(D75,'[3]Inward, All'!A:AN,40,0)+VLOOKUP(D75,'[3]DIRE Eurostat'!$A$3:$AQ$306,40,0)</f>
        <v>1795.1512367491164</v>
      </c>
      <c r="Q75" s="762">
        <f t="shared" si="11"/>
        <v>-1795.1512367491164</v>
      </c>
      <c r="R75" s="799">
        <f t="shared" si="12"/>
        <v>1795.1512367491164</v>
      </c>
    </row>
    <row r="76" spans="1:18" ht="14.25" customHeight="1" x14ac:dyDescent="0.35">
      <c r="A76" s="379" t="s">
        <v>480</v>
      </c>
      <c r="B76" s="379" t="s">
        <v>479</v>
      </c>
      <c r="D76" s="757" t="s">
        <v>287</v>
      </c>
      <c r="E76" s="763">
        <f t="shared" si="7"/>
        <v>6430</v>
      </c>
      <c r="F76" s="762">
        <f>+VLOOKUP("China, P.R.: Macao",[3]IMF_fdi_credit_debitinc!$A$1:$C$201,3,0)/1000000</f>
        <v>6430</v>
      </c>
      <c r="G76" s="762">
        <f>+VLOOKUP(B76,'[3]Outward, All'!A:AN,39,0)-+VLOOKUP(B76,'[3]Outward, All'!A:AN,40,0)+VLOOKUP(B76,'[3]DIA Eurostat'!$A$4:$AN$307,40,0)</f>
        <v>501.7</v>
      </c>
      <c r="H76" s="762">
        <f t="shared" si="8"/>
        <v>5928.3</v>
      </c>
      <c r="I76" s="764">
        <f t="shared" si="9"/>
        <v>0</v>
      </c>
      <c r="J76" s="762"/>
      <c r="K76" s="762"/>
      <c r="L76" s="762"/>
      <c r="M76" s="762">
        <f t="shared" si="14"/>
        <v>951.83844126286351</v>
      </c>
      <c r="N76" s="763">
        <v>0</v>
      </c>
      <c r="O76" s="762">
        <f>+VLOOKUP("China, P.R.: Macao",[3]IMF_fdi_credit_debitinc!$A$1:$C$201,2,0)/1000000</f>
        <v>118</v>
      </c>
      <c r="P76" s="762">
        <f>+VLOOKUP(B76,'[3]Inward, All'!A:AN,39,0)-+VLOOKUP(B76,'[3]Inward, All'!A:AN,40,0)+VLOOKUP(B76,'[3]DIRE Eurostat'!$A$3:$AQ$306,40,0)</f>
        <v>77.599999999999994</v>
      </c>
      <c r="Q76" s="762">
        <f t="shared" si="11"/>
        <v>-77.599999999999994</v>
      </c>
      <c r="R76" s="799">
        <f t="shared" si="12"/>
        <v>77.599999999999994</v>
      </c>
    </row>
    <row r="77" spans="1:18" ht="14.25" customHeight="1" x14ac:dyDescent="0.35">
      <c r="D77" s="760" t="s">
        <v>301</v>
      </c>
      <c r="E77" s="763">
        <f t="shared" si="7"/>
        <v>10100</v>
      </c>
      <c r="F77" s="762">
        <f>+VLOOKUP(D77,[3]IMF_fdi_credit_debitinc!$A$1:$C$201,3,0)/1000000</f>
        <v>10100</v>
      </c>
      <c r="G77" s="762">
        <f>+VLOOKUP(D77,'[3]Outward, All'!A:AN,39,0)-+VLOOKUP(D77,'[3]Outward, All'!A:AN,40,0)+VLOOKUP(D77,'[3]DIA Eurostat'!$A$4:$AN$307,40,0)</f>
        <v>2552.7219275076573</v>
      </c>
      <c r="H77" s="762">
        <f t="shared" si="8"/>
        <v>7547.2780724923432</v>
      </c>
      <c r="I77" s="764">
        <f t="shared" si="9"/>
        <v>0</v>
      </c>
      <c r="J77" s="762">
        <f>VLOOKUP(D77,'[3]Outward, All'!A30:AN285,36,)</f>
        <v>35</v>
      </c>
      <c r="K77" s="762">
        <f>I77-J77</f>
        <v>-35</v>
      </c>
      <c r="L77" s="762"/>
      <c r="M77" s="762">
        <f t="shared" si="14"/>
        <v>1495.1117040054307</v>
      </c>
      <c r="N77" s="763">
        <f>+(VLOOKUP(D77, '[3]IMF balance of payment all'!$A:$P,8,0)+VLOOKUP(D77,'[3]IMF balance of payment all'!$A:$P,5,0))/1000000</f>
        <v>30.117526699999999</v>
      </c>
      <c r="O77" s="762">
        <f>+N77</f>
        <v>30.117526699999999</v>
      </c>
      <c r="P77" s="762">
        <f>+VLOOKUP(D77,'[3]Inward, All'!A:AN,39,0)-+VLOOKUP(D77,'[3]Inward, All'!A:AN,40,0)+VLOOKUP(D77,'[3]DIRE Eurostat'!$A$3:$AQ$306,40,0)</f>
        <v>850.39084927035708</v>
      </c>
      <c r="Q77" s="762">
        <f t="shared" si="11"/>
        <v>-820.2733225703571</v>
      </c>
      <c r="R77" s="799">
        <f t="shared" si="12"/>
        <v>820.2733225703571</v>
      </c>
    </row>
    <row r="78" spans="1:18" ht="14.25" customHeight="1" x14ac:dyDescent="0.35">
      <c r="A78" s="379" t="s">
        <v>302</v>
      </c>
      <c r="B78" s="410" t="s">
        <v>478</v>
      </c>
      <c r="D78" s="760" t="s">
        <v>302</v>
      </c>
      <c r="E78" s="763">
        <f t="shared" si="7"/>
        <v>0</v>
      </c>
      <c r="F78" s="762">
        <f>+VLOOKUP("Marshall Islands, Republic of",[3]IMF_fdi_credit_debitinc!$A$1:$C$201,3,0)/1000000</f>
        <v>0</v>
      </c>
      <c r="G78" s="762">
        <f>+VLOOKUP(A78,'[3]Outward, All'!A:AN,39,0)-+VLOOKUP(A78,'[3]Outward, All'!A:AN,40,0)+VLOOKUP(D78,'[3]DIA Eurostat'!$A$4:$AN$307,40,0)</f>
        <v>124.25690030132812</v>
      </c>
      <c r="H78" s="762">
        <f t="shared" si="8"/>
        <v>-124.25690030132812</v>
      </c>
      <c r="I78" s="764">
        <f t="shared" si="9"/>
        <v>124.25690030132812</v>
      </c>
      <c r="J78" s="762">
        <f>VLOOKUP(D78,'[3]Outward, All'!A31:AN286,36,)</f>
        <v>236</v>
      </c>
      <c r="K78" s="762">
        <f>I78-J78</f>
        <v>-111.74309969867188</v>
      </c>
      <c r="L78" s="762"/>
      <c r="M78" s="762">
        <f t="shared" si="14"/>
        <v>18.393856034054615</v>
      </c>
      <c r="N78" s="763">
        <f>+(VLOOKUP(B78, '[3]IMF balance of payment all'!$A:$P,8,0)+VLOOKUP(B78,'[3]IMF balance of payment all'!$A:$P,5,0))/1000000</f>
        <v>0</v>
      </c>
      <c r="O78" s="762">
        <f>+N78</f>
        <v>0</v>
      </c>
      <c r="P78" s="762">
        <f>+VLOOKUP(D78,'[3]Inward, All'!A:AN,39,0)-+VLOOKUP(D78,'[3]Inward, All'!A:AN,40,0)+VLOOKUP(D78,'[3]DIRE Eurostat'!$A$3:$AQ$306,40,0)</f>
        <v>405.33887008171797</v>
      </c>
      <c r="Q78" s="762">
        <f t="shared" si="11"/>
        <v>-405.33887008171797</v>
      </c>
      <c r="R78" s="799">
        <f t="shared" si="12"/>
        <v>405.33887008171797</v>
      </c>
    </row>
    <row r="79" spans="1:18" ht="14.25" customHeight="1" x14ac:dyDescent="0.35">
      <c r="D79" s="757" t="s">
        <v>296</v>
      </c>
      <c r="E79" s="763"/>
      <c r="F79" s="762"/>
      <c r="G79" s="762"/>
      <c r="H79" s="762"/>
      <c r="I79" s="764">
        <f t="shared" si="9"/>
        <v>0</v>
      </c>
      <c r="J79" s="762"/>
      <c r="K79" s="762"/>
      <c r="L79" s="762"/>
      <c r="M79" s="762">
        <f t="shared" si="14"/>
        <v>0</v>
      </c>
      <c r="N79" s="763"/>
      <c r="O79" s="762"/>
      <c r="P79" s="762"/>
      <c r="Q79" s="762"/>
      <c r="R79" s="799"/>
    </row>
    <row r="80" spans="1:18" ht="14.25" customHeight="1" x14ac:dyDescent="0.35">
      <c r="D80" s="757" t="s">
        <v>288</v>
      </c>
      <c r="E80" s="763">
        <f t="shared" ref="E80:E88" si="15">+F80</f>
        <v>0.35195531000000002</v>
      </c>
      <c r="F80" s="762">
        <f>+VLOOKUP(D80,[3]IMF_fdi_credit_debitinc!$A$1:$C$201,3,0)/1000000</f>
        <v>0.35195531000000002</v>
      </c>
      <c r="G80" s="762">
        <f>+VLOOKUP(D80,'[3]Outward, All'!A:AN,39,0)-+VLOOKUP(D80,'[3]Outward, All'!A:AN,40,0)+VLOOKUP(D80,'[3]DIA Eurostat'!$A$4:$AN$307,40,0)</f>
        <v>3.6</v>
      </c>
      <c r="H80" s="762">
        <f t="shared" ref="H80:H88" si="16">+E80-G80</f>
        <v>-3.24804469</v>
      </c>
      <c r="I80" s="764">
        <f t="shared" si="9"/>
        <v>3.24804469</v>
      </c>
      <c r="J80" s="762">
        <f>VLOOKUP(D80,'[3]Outward, All'!A30:AN285,36,)</f>
        <v>0</v>
      </c>
      <c r="K80" s="762">
        <f>I80-J80</f>
        <v>3.24804469</v>
      </c>
      <c r="L80" s="762"/>
      <c r="M80" s="762">
        <f t="shared" si="14"/>
        <v>0.53291110241777739</v>
      </c>
      <c r="N80" s="763">
        <f>+(VLOOKUP(D80, '[3]IMF balance of payment all'!$A:$P,8,0)+VLOOKUP(D80,'[3]IMF balance of payment all'!$A:$P,5,0))/1000000</f>
        <v>7.8212299999999998E-2</v>
      </c>
      <c r="O80" s="762">
        <f>+VLOOKUP(D80,[3]IMF_fdi_credit_debitinc!$A$1:$C$201,2,0)/1000000</f>
        <v>7.821228999999999E-2</v>
      </c>
      <c r="P80" s="762">
        <f>+VLOOKUP(D80,'[3]Inward, All'!A:AN,39,0)-+VLOOKUP(D80,'[3]Inward, All'!A:AN,40,0)+VLOOKUP(D80,'[3]DIRE Eurostat'!$A$3:$AQ$306,40,0)</f>
        <v>0</v>
      </c>
      <c r="Q80" s="762">
        <f t="shared" ref="Q80:Q88" si="17">+N80-P80</f>
        <v>7.8212299999999998E-2</v>
      </c>
      <c r="R80" s="799">
        <f t="shared" ref="R80:R88" si="18">IF(N80&lt;P80,-Q80,0)</f>
        <v>0</v>
      </c>
    </row>
    <row r="81" spans="1:18" ht="14.25" customHeight="1" x14ac:dyDescent="0.35">
      <c r="D81" s="757" t="s">
        <v>289</v>
      </c>
      <c r="E81" s="763">
        <f t="shared" si="15"/>
        <v>4020</v>
      </c>
      <c r="F81" s="762">
        <f>+VLOOKUP(D81,[3]IMF_fdi_credit_debitinc!$A$1:$C$201,3,0)/1000000</f>
        <v>4020</v>
      </c>
      <c r="G81" s="762">
        <f>+VLOOKUP(D81,'[3]Outward, All'!A:AN,39,0)-+VLOOKUP(D81,'[3]Outward, All'!A:AN,40,0)+VLOOKUP(D81,'[3]DIA Eurostat'!$A$4:$AN$307,40,0)</f>
        <v>2376.3000000000002</v>
      </c>
      <c r="H81" s="762">
        <f t="shared" si="16"/>
        <v>1643.6999999999998</v>
      </c>
      <c r="I81" s="764">
        <f t="shared" si="9"/>
        <v>0</v>
      </c>
      <c r="J81" s="762"/>
      <c r="K81" s="762"/>
      <c r="L81" s="762"/>
      <c r="M81" s="762">
        <f t="shared" si="14"/>
        <v>595.08406436651796</v>
      </c>
      <c r="N81" s="763">
        <f>+(VLOOKUP(D81, '[3]IMF balance of payment all'!$A:$P,8,0)+VLOOKUP(D81,'[3]IMF balance of payment all'!$A:$P,5,0))/1000000</f>
        <v>3701.4363321999999</v>
      </c>
      <c r="O81" s="762">
        <f>+VLOOKUP(D81,[3]IMF_fdi_credit_debitinc!$A$1:$C$201,2,0)/1000000</f>
        <v>3700</v>
      </c>
      <c r="P81" s="762">
        <f>+VLOOKUP(D81,'[3]Inward, All'!A:AN,39,0)-+VLOOKUP(D81,'[3]Inward, All'!A:AN,40,0)+VLOOKUP(D81,'[3]DIRE Eurostat'!$A$3:$AQ$306,40,0)</f>
        <v>236.1</v>
      </c>
      <c r="Q81" s="762">
        <f t="shared" si="17"/>
        <v>3465.3363322</v>
      </c>
      <c r="R81" s="799">
        <f t="shared" si="18"/>
        <v>0</v>
      </c>
    </row>
    <row r="82" spans="1:18" ht="14.25" customHeight="1" x14ac:dyDescent="0.35">
      <c r="D82" s="757" t="s">
        <v>297</v>
      </c>
      <c r="E82" s="763">
        <f t="shared" si="15"/>
        <v>69.929293879999989</v>
      </c>
      <c r="F82" s="762">
        <f>+VLOOKUP(D82,[3]IMF_fdi_credit_debitinc!$A$1:$C$201,3,0)/1000000</f>
        <v>69.929293879999989</v>
      </c>
      <c r="G82" s="762">
        <f>+VLOOKUP(D82,'[3]Outward, All'!A:AN,39,0)-+VLOOKUP(D82,'[3]Outward, All'!A:AN,40,0)+VLOOKUP(D82,'[3]DIA Eurostat'!$A$4:$AN$307,40,0)</f>
        <v>23.1</v>
      </c>
      <c r="H82" s="762">
        <f t="shared" si="16"/>
        <v>46.829293879999987</v>
      </c>
      <c r="I82" s="764">
        <f t="shared" si="9"/>
        <v>0</v>
      </c>
      <c r="J82" s="762"/>
      <c r="K82" s="762"/>
      <c r="L82" s="762"/>
      <c r="M82" s="762">
        <f t="shared" si="14"/>
        <v>10.3516936369132</v>
      </c>
      <c r="N82" s="763">
        <f>+(VLOOKUP(D82, '[3]IMF balance of payment all'!$A:$P,8,0)+VLOOKUP(D82,'[3]IMF balance of payment all'!$A:$P,5,0))/1000000</f>
        <v>1.8137638999999999</v>
      </c>
      <c r="O82" s="762">
        <f>+VLOOKUP(D82,[3]IMF_fdi_credit_debitinc!$A$1:$C$201,2,0)/1000000</f>
        <v>1.8137639240000001</v>
      </c>
      <c r="P82" s="762">
        <f>+VLOOKUP(D82,'[3]Inward, All'!A:AN,39,0)-+VLOOKUP(D82,'[3]Inward, All'!A:AN,40,0)+VLOOKUP(D82,'[3]DIRE Eurostat'!$A$3:$AQ$306,40,0)</f>
        <v>-31.3</v>
      </c>
      <c r="Q82" s="762">
        <f t="shared" si="17"/>
        <v>33.113763900000002</v>
      </c>
      <c r="R82" s="799">
        <f t="shared" si="18"/>
        <v>0</v>
      </c>
    </row>
    <row r="83" spans="1:18" ht="14.25" customHeight="1" x14ac:dyDescent="0.35">
      <c r="D83" s="757" t="s">
        <v>225</v>
      </c>
      <c r="E83" s="763">
        <f t="shared" si="15"/>
        <v>0</v>
      </c>
      <c r="F83" s="762">
        <f>+VLOOKUP(D83,[3]IMF_fdi_credit_debitinc!$A$1:$C$201,3,0)/1000000</f>
        <v>0</v>
      </c>
      <c r="G83" s="762">
        <f>+VLOOKUP(D83,'[3]Outward, All'!A:AN,39,0)-+VLOOKUP(D83,'[3]Outward, All'!A:AN,40,0)+VLOOKUP(D83,'[3]DIA Eurostat'!$A$4:$AN$307,40,0)</f>
        <v>48948.502210899605</v>
      </c>
      <c r="H83" s="762">
        <f t="shared" si="16"/>
        <v>-48948.502210899605</v>
      </c>
      <c r="I83" s="764">
        <f t="shared" si="9"/>
        <v>48948.502210899605</v>
      </c>
      <c r="J83" s="762">
        <f>VLOOKUP(D83,'[3]Outward, All'!A32:AN287,36,)</f>
        <v>25049</v>
      </c>
      <c r="K83" s="762">
        <f>I83-J83</f>
        <v>23899.502210899605</v>
      </c>
      <c r="L83" s="762"/>
      <c r="M83" s="762">
        <f t="shared" si="14"/>
        <v>7245.888965252645</v>
      </c>
      <c r="N83" s="763">
        <f>+(VLOOKUP(D83, '[3]IMF balance of payment all'!$A:$P,8,0)+VLOOKUP(D83,'[3]IMF balance of payment all'!$A:$P,5,0))/1000000</f>
        <v>0</v>
      </c>
      <c r="O83" s="762">
        <f>+VLOOKUP(D83,[3]IMF_fdi_credit_debitinc!$A$1:$C$201,2,0)/1000000</f>
        <v>0</v>
      </c>
      <c r="P83" s="762">
        <f>+VLOOKUP(D83,'[3]Inward, All'!A:AN,39,0)-+VLOOKUP(D83,'[3]Inward, All'!A:AN,40,0)+VLOOKUP(D83,'[3]DIRE Eurostat'!$A$3:$AQ$306,40,0)</f>
        <v>3311.9901675257311</v>
      </c>
      <c r="Q83" s="762">
        <f t="shared" si="17"/>
        <v>-3311.9901675257311</v>
      </c>
      <c r="R83" s="799">
        <f t="shared" si="18"/>
        <v>3311.9901675257311</v>
      </c>
    </row>
    <row r="84" spans="1:18" ht="14.25" customHeight="1" x14ac:dyDescent="0.35">
      <c r="D84" s="757" t="s">
        <v>477</v>
      </c>
      <c r="E84" s="763">
        <f t="shared" si="15"/>
        <v>0</v>
      </c>
      <c r="F84" s="762">
        <v>0</v>
      </c>
      <c r="G84" s="762">
        <f>+VLOOKUP(D84,'[3]Outward, All'!A:AN,39,0)-+VLOOKUP(D84,'[3]Outward, All'!A:AN,40,0)+VLOOKUP(D84,'[3]DIA Eurostat'!$A$4:$AN$307,40,0)</f>
        <v>0.30000000000000004</v>
      </c>
      <c r="H84" s="762">
        <f t="shared" si="16"/>
        <v>-0.30000000000000004</v>
      </c>
      <c r="I84" s="764">
        <f t="shared" si="9"/>
        <v>0.30000000000000004</v>
      </c>
      <c r="J84" s="762">
        <f>VLOOKUP(D84,'[3]Outward, All'!A40:AN295,36,)</f>
        <v>-1</v>
      </c>
      <c r="K84" s="762">
        <f>I84-J84</f>
        <v>1.3</v>
      </c>
      <c r="L84" s="762">
        <v>6.3020096796338532</v>
      </c>
      <c r="M84" s="762"/>
      <c r="N84" s="763">
        <v>0</v>
      </c>
      <c r="O84" s="762">
        <v>0</v>
      </c>
      <c r="P84" s="762">
        <f>+VLOOKUP(D84,'[3]Inward, All'!A:AN,39,0)-+VLOOKUP(D84,'[3]Inward, All'!A:AN,40,0)+VLOOKUP(D84,'[3]DIRE Eurostat'!$A$3:$AQ$306,40,0)</f>
        <v>-4.5</v>
      </c>
      <c r="Q84" s="762">
        <f t="shared" si="17"/>
        <v>4.5</v>
      </c>
      <c r="R84" s="799">
        <f t="shared" si="18"/>
        <v>0</v>
      </c>
    </row>
    <row r="85" spans="1:18" ht="14.25" customHeight="1" x14ac:dyDescent="0.35">
      <c r="D85" s="757" t="s">
        <v>476</v>
      </c>
      <c r="E85" s="763">
        <f t="shared" si="15"/>
        <v>0</v>
      </c>
      <c r="F85" s="762">
        <v>0</v>
      </c>
      <c r="G85" s="762">
        <f>+VLOOKUP(D85,'[3]Outward, All'!A:AN,39,0)-+VLOOKUP(D85,'[3]Outward, All'!A:AN,40,0)+VLOOKUP(D85,'[3]DIA Eurostat'!$A$4:$AN$307,40,0)</f>
        <v>71.900000000000006</v>
      </c>
      <c r="H85" s="762">
        <f t="shared" si="16"/>
        <v>-71.900000000000006</v>
      </c>
      <c r="I85" s="764">
        <f t="shared" si="9"/>
        <v>71.900000000000006</v>
      </c>
      <c r="J85" s="762">
        <f>VLOOKUP(D85,'[3]Outward, All'!A41:AN296,36,)</f>
        <v>0</v>
      </c>
      <c r="K85" s="762">
        <f>I85-J85</f>
        <v>71.900000000000006</v>
      </c>
      <c r="L85" s="762"/>
      <c r="M85" s="762">
        <f>$L$226*(I85+F85)/(SUM($I$54:$I$88,$F$54:$F$88)-$F$64-$I$64-$F$66-$I$66-$F$84-$I$84-$F$87-$I$87)</f>
        <v>10.643418962177277</v>
      </c>
      <c r="N85" s="763">
        <v>0</v>
      </c>
      <c r="O85" s="762">
        <v>0</v>
      </c>
      <c r="P85" s="762">
        <f>+VLOOKUP(D85,'[3]Inward, All'!A:AN,39,0)-+VLOOKUP(D85,'[3]Inward, All'!A:AN,40,0)+VLOOKUP(D85,'[3]DIRE Eurostat'!$A$3:$AQ$306,40,0)</f>
        <v>2.5</v>
      </c>
      <c r="Q85" s="762">
        <f t="shared" si="17"/>
        <v>-2.5</v>
      </c>
      <c r="R85" s="799">
        <f t="shared" si="18"/>
        <v>2.5</v>
      </c>
    </row>
    <row r="86" spans="1:18" ht="14.25" customHeight="1" x14ac:dyDescent="0.35">
      <c r="D86" s="757" t="s">
        <v>475</v>
      </c>
      <c r="E86" s="763">
        <f t="shared" si="15"/>
        <v>0</v>
      </c>
      <c r="F86" s="762">
        <v>0</v>
      </c>
      <c r="G86" s="762">
        <f>+VLOOKUP(D86,'[3]Outward, All'!A:AN,39,0)-+VLOOKUP(D86,'[3]Outward, All'!A:AN,40,0)+VLOOKUP(D86,'[3]DIA Eurostat'!$A$4:$AN$307,40,0)</f>
        <v>16.3</v>
      </c>
      <c r="H86" s="762">
        <f t="shared" si="16"/>
        <v>-16.3</v>
      </c>
      <c r="I86" s="764">
        <f t="shared" si="9"/>
        <v>16.3</v>
      </c>
      <c r="J86" s="762">
        <f>VLOOKUP(D86,'[3]Outward, All'!A42:AN297,36,)</f>
        <v>0</v>
      </c>
      <c r="K86" s="762">
        <f>I86-J86</f>
        <v>16.3</v>
      </c>
      <c r="L86" s="762"/>
      <c r="M86" s="762">
        <f>$L$226*(I86+F86)/(SUM($I$54:$I$88,$F$54:$F$88)-$F$64-$I$64-$F$66-$I$66-$F$84-$I$84-$F$87-$I$87)</f>
        <v>2.4129030470582693</v>
      </c>
      <c r="N86" s="763">
        <v>0</v>
      </c>
      <c r="O86" s="762">
        <v>0</v>
      </c>
      <c r="P86" s="762">
        <f>+VLOOKUP(D86,'[3]Inward, All'!A:AN,39,0)-+VLOOKUP(D86,'[3]Inward, All'!A:AN,40,0)+VLOOKUP(D86,'[3]DIRE Eurostat'!$A$3:$AQ$306,40,0)</f>
        <v>-2.1000000000000005</v>
      </c>
      <c r="Q86" s="762">
        <f t="shared" si="17"/>
        <v>2.1000000000000005</v>
      </c>
      <c r="R86" s="799">
        <f t="shared" si="18"/>
        <v>0</v>
      </c>
    </row>
    <row r="87" spans="1:18" ht="14.25" customHeight="1" x14ac:dyDescent="0.35">
      <c r="D87" s="757" t="s">
        <v>300</v>
      </c>
      <c r="E87" s="763">
        <f t="shared" si="15"/>
        <v>0</v>
      </c>
      <c r="F87" s="762">
        <v>0</v>
      </c>
      <c r="G87" s="762">
        <v>0</v>
      </c>
      <c r="H87" s="762">
        <f t="shared" si="16"/>
        <v>0</v>
      </c>
      <c r="I87" s="764">
        <f t="shared" si="9"/>
        <v>0</v>
      </c>
      <c r="J87" s="762">
        <f>IF(F87&lt;H87,-I87,0)</f>
        <v>0</v>
      </c>
      <c r="K87" s="762">
        <f>I87-J87</f>
        <v>0</v>
      </c>
      <c r="L87" s="762">
        <v>24.917365191704601</v>
      </c>
      <c r="M87" s="762"/>
      <c r="N87" s="763">
        <v>0</v>
      </c>
      <c r="O87" s="762">
        <v>0</v>
      </c>
      <c r="P87" s="762">
        <v>0</v>
      </c>
      <c r="Q87" s="762">
        <f t="shared" si="17"/>
        <v>0</v>
      </c>
      <c r="R87" s="799">
        <f t="shared" si="18"/>
        <v>0</v>
      </c>
    </row>
    <row r="88" spans="1:18" ht="14.25" customHeight="1" x14ac:dyDescent="0.35">
      <c r="D88" s="757" t="s">
        <v>210</v>
      </c>
      <c r="E88" s="763">
        <f t="shared" si="15"/>
        <v>4220</v>
      </c>
      <c r="F88" s="762">
        <f>+VLOOKUP(D88,[3]IMF_fdi_credit_debitinc!$A$1:$C$201,3,0)/1000000</f>
        <v>4220</v>
      </c>
      <c r="G88" s="762">
        <f>+VLOOKUP(D88,'[3]Outward, All'!A:AN,39,0)-+VLOOKUP(D88,'[3]Outward, All'!A:AN,40,0)+VLOOKUP(D88,'[3]DIA Eurostat'!$A$4:$AN$307,40,0)</f>
        <v>1686.4733063921349</v>
      </c>
      <c r="H88" s="762">
        <f t="shared" si="16"/>
        <v>2533.5266936078651</v>
      </c>
      <c r="I88" s="764">
        <f t="shared" si="9"/>
        <v>0</v>
      </c>
      <c r="J88" s="762">
        <f>IF(F88&lt;H88,-I88,0)</f>
        <v>0</v>
      </c>
      <c r="K88" s="762"/>
      <c r="L88" s="762"/>
      <c r="M88" s="762">
        <f>$L$226*(I88+F88)/(SUM($I$54:$I$88,$F$54:$F$88)-$F$64-$I$64-$F$66-$I$66-$F$84-$I$84-$F$87-$I$87)</f>
        <v>624.69023672306116</v>
      </c>
      <c r="N88" s="763">
        <f>+(VLOOKUP(D88, '[3]IMF balance of payment all'!$A:$P,8,0)+VLOOKUP(D88,'[3]IMF balance of payment all'!$A:$P,5,0))/1000000</f>
        <v>322.8</v>
      </c>
      <c r="O88" s="762">
        <f>+VLOOKUP(D88,[3]IMF_fdi_credit_debitinc!$A$1:$C$201,2,0)/1000000</f>
        <v>323</v>
      </c>
      <c r="P88" s="762">
        <f>+VLOOKUP(D88,'[3]Inward, All'!A:AN,39,0)-+VLOOKUP(D88,'[3]Inward, All'!A:AN,40,0)+VLOOKUP(D88,'[3]DIRE Eurostat'!$A$3:$AQ$306,40,0)</f>
        <v>867.71810601889706</v>
      </c>
      <c r="Q88" s="762">
        <f t="shared" si="17"/>
        <v>-544.91810601889711</v>
      </c>
      <c r="R88" s="799">
        <f t="shared" si="18"/>
        <v>544.91810601889711</v>
      </c>
    </row>
    <row r="89" spans="1:18" ht="14.25" customHeight="1" x14ac:dyDescent="0.35">
      <c r="D89" s="757" t="s">
        <v>290</v>
      </c>
      <c r="E89" s="763">
        <v>0</v>
      </c>
      <c r="F89" s="762">
        <v>0</v>
      </c>
      <c r="G89" s="762">
        <v>0</v>
      </c>
      <c r="H89" s="762">
        <v>0</v>
      </c>
      <c r="I89" s="764">
        <v>0</v>
      </c>
      <c r="J89" s="762">
        <v>0</v>
      </c>
      <c r="K89" s="762">
        <v>0</v>
      </c>
      <c r="L89" s="762">
        <v>0</v>
      </c>
      <c r="M89" s="762">
        <v>0</v>
      </c>
      <c r="N89" s="763">
        <v>0</v>
      </c>
      <c r="O89" s="762">
        <v>0</v>
      </c>
      <c r="P89" s="762">
        <v>0</v>
      </c>
      <c r="Q89" s="762">
        <v>0</v>
      </c>
      <c r="R89" s="799">
        <v>0</v>
      </c>
    </row>
    <row r="90" spans="1:18" ht="40" customHeight="1" x14ac:dyDescent="0.25">
      <c r="D90" s="809" t="s">
        <v>474</v>
      </c>
      <c r="E90" s="776">
        <f>SUM(E91:E219)</f>
        <v>160926.41586347498</v>
      </c>
      <c r="F90" s="777">
        <f t="shared" ref="F90:R90" si="19">SUM(F91:F219)</f>
        <v>160937.64714467298</v>
      </c>
      <c r="G90" s="777">
        <f t="shared" si="19"/>
        <v>167663.07073865991</v>
      </c>
      <c r="H90" s="777">
        <f t="shared" si="19"/>
        <v>-6737.630925004938</v>
      </c>
      <c r="I90" s="778">
        <f t="shared" si="19"/>
        <v>0</v>
      </c>
      <c r="J90" s="777">
        <f t="shared" si="19"/>
        <v>0</v>
      </c>
      <c r="K90" s="777">
        <f t="shared" si="19"/>
        <v>0</v>
      </c>
      <c r="L90" s="777">
        <f t="shared" si="19"/>
        <v>0</v>
      </c>
      <c r="M90" s="777">
        <f t="shared" si="19"/>
        <v>0</v>
      </c>
      <c r="N90" s="776">
        <f t="shared" si="19"/>
        <v>20147.489777298008</v>
      </c>
      <c r="O90" s="777">
        <f t="shared" si="19"/>
        <v>20147.489777298008</v>
      </c>
      <c r="P90" s="777">
        <f t="shared" si="19"/>
        <v>80929.430424521051</v>
      </c>
      <c r="Q90" s="777">
        <f t="shared" si="19"/>
        <v>-60781.940647223048</v>
      </c>
      <c r="R90" s="800">
        <f t="shared" si="19"/>
        <v>0</v>
      </c>
    </row>
    <row r="91" spans="1:18" ht="14.25" customHeight="1" x14ac:dyDescent="0.35">
      <c r="A91" s="379" t="s">
        <v>473</v>
      </c>
      <c r="B91" s="379" t="s">
        <v>472</v>
      </c>
      <c r="D91" s="757" t="s">
        <v>471</v>
      </c>
      <c r="E91" s="763">
        <f t="shared" ref="E91:E122" si="20">+F91</f>
        <v>6.747533E-2</v>
      </c>
      <c r="F91" s="762">
        <f>+VLOOKUP(D91,[3]IMF_fdi_credit_debitinc!$A$1:$C$201,3,0)/1000000</f>
        <v>6.747533E-2</v>
      </c>
      <c r="G91" s="762">
        <f>+VLOOKUP(B91,'[3]Outward, All'!B:AN,38,0)-VLOOKUP(B91,'[3]Outward, All'!B:AN,39,0)+VLOOKUP(A91,'[3]DIA Eurostat'!$A$4:$AN$307,40,0)</f>
        <v>4</v>
      </c>
      <c r="H91" s="762">
        <f t="shared" ref="H91:H122" si="21">+E91-G91</f>
        <v>-3.9325246699999998</v>
      </c>
      <c r="I91" s="764"/>
      <c r="J91" s="762"/>
      <c r="K91" s="762"/>
      <c r="L91" s="762"/>
      <c r="M91" s="762"/>
      <c r="N91" s="763">
        <f>+O91</f>
        <v>0</v>
      </c>
      <c r="O91" s="762">
        <f>+VLOOKUP(D91,[3]IMF_fdi_credit_debitinc!$A$1:$C$201,2,0)/1000000</f>
        <v>0</v>
      </c>
      <c r="P91" s="762">
        <f>+VLOOKUP(B91,'[3]Inward, All'!B:AN,38,0)-+VLOOKUP(B91,'[3]Inward, All'!B:AN,39,0)+VLOOKUP(A91,'[3]DIRE Eurostat'!$A$3:$AQ$306,40,0)</f>
        <v>0.20309275541445002</v>
      </c>
      <c r="Q91" s="762">
        <f t="shared" ref="Q91:Q122" si="22">+N91-P91</f>
        <v>-0.20309275541445002</v>
      </c>
      <c r="R91" s="799"/>
    </row>
    <row r="92" spans="1:18" ht="14.25" customHeight="1" x14ac:dyDescent="0.35">
      <c r="D92" s="757" t="s">
        <v>470</v>
      </c>
      <c r="E92" s="763">
        <f t="shared" si="20"/>
        <v>170</v>
      </c>
      <c r="F92" s="762">
        <f>+VLOOKUP(D92,[3]IMF_fdi_credit_debitinc!$A$1:$C$201,3,0)/1000000</f>
        <v>170</v>
      </c>
      <c r="G92" s="762">
        <f>+VLOOKUP(D92,'[3]Outward, All'!A:AN,39,0)-+VLOOKUP(D92,'[3]Outward, All'!A:AN,40,0)+VLOOKUP(D92,'[3]DIA Eurostat'!$A$4:$AN$307,40,0)</f>
        <v>165.9</v>
      </c>
      <c r="H92" s="762">
        <f t="shared" si="21"/>
        <v>4.0999999999999943</v>
      </c>
      <c r="I92" s="764"/>
      <c r="J92" s="762"/>
      <c r="K92" s="762"/>
      <c r="L92" s="762"/>
      <c r="M92" s="762"/>
      <c r="N92" s="763">
        <f t="shared" ref="N92:N155" si="23">+O92</f>
        <v>17.79</v>
      </c>
      <c r="O92" s="762">
        <f>+VLOOKUP(D92,[3]IMF_fdi_credit_debitinc!$A$1:$C$201,2,0)/1000000</f>
        <v>17.79</v>
      </c>
      <c r="P92" s="762">
        <f>+VLOOKUP(D92,'[3]Inward, All'!A:AN,39,0)-+VLOOKUP(D92,'[3]Inward, All'!A:AN,40,0)+VLOOKUP(D92,'[3]DIRE Eurostat'!$A$3:$AQ$306,40,0)</f>
        <v>-0.1</v>
      </c>
      <c r="Q92" s="762">
        <f t="shared" si="22"/>
        <v>17.89</v>
      </c>
      <c r="R92" s="799"/>
    </row>
    <row r="93" spans="1:18" ht="14.25" customHeight="1" x14ac:dyDescent="0.35">
      <c r="D93" s="757" t="s">
        <v>469</v>
      </c>
      <c r="E93" s="763">
        <f t="shared" si="20"/>
        <v>6360</v>
      </c>
      <c r="F93" s="762">
        <f>+VLOOKUP(D93,[3]IMF_fdi_credit_debitinc!$A$1:$C$201,3,0)/1000000</f>
        <v>6360</v>
      </c>
      <c r="G93" s="762">
        <f>+VLOOKUP(D93,'[3]Outward, All'!A:AN,39,0)-+VLOOKUP(D93,'[3]Outward, All'!A:AN,40,0)+VLOOKUP(D93,'[3]DIA Eurostat'!$A$4:$AN$307,40,0)</f>
        <v>1128.5611299182819</v>
      </c>
      <c r="H93" s="762">
        <f t="shared" si="21"/>
        <v>5231.4388700817181</v>
      </c>
      <c r="I93" s="764"/>
      <c r="J93" s="762"/>
      <c r="K93" s="762"/>
      <c r="L93" s="762"/>
      <c r="M93" s="762"/>
      <c r="N93" s="763">
        <f t="shared" si="23"/>
        <v>72.356424560000008</v>
      </c>
      <c r="O93" s="762">
        <f>+VLOOKUP(D93,[3]IMF_fdi_credit_debitinc!$A$1:$C$201,2,0)/1000000</f>
        <v>72.356424560000008</v>
      </c>
      <c r="P93" s="762">
        <f>+VLOOKUP(D93,'[3]Inward, All'!A:AN,39,0)-+VLOOKUP(D93,'[3]Inward, All'!A:AN,40,0)+VLOOKUP(D93,'[3]DIRE Eurostat'!$A$3:$AQ$306,40,0)</f>
        <v>247.29999999999998</v>
      </c>
      <c r="Q93" s="762">
        <f t="shared" si="22"/>
        <v>-174.94357543999996</v>
      </c>
      <c r="R93" s="799"/>
    </row>
    <row r="94" spans="1:18" ht="14.25" customHeight="1" x14ac:dyDescent="0.35">
      <c r="D94" s="757" t="s">
        <v>468</v>
      </c>
      <c r="E94" s="763">
        <f t="shared" si="20"/>
        <v>4290</v>
      </c>
      <c r="F94" s="762">
        <f>+VLOOKUP(D94,[3]IMF_fdi_credit_debitinc!$A$1:$C$201,3,0)/1000000</f>
        <v>4290</v>
      </c>
      <c r="G94" s="762">
        <f>+VLOOKUP(D94,'[3]Outward, All'!A:AN,39,0)-+VLOOKUP(D94,'[3]Outward, All'!A:AN,40,0)+VLOOKUP(D94,'[3]DIA Eurostat'!$A$4:$AN$307,40,0)</f>
        <v>-1199.9675284897598</v>
      </c>
      <c r="H94" s="762">
        <f t="shared" si="21"/>
        <v>5489.9675284897603</v>
      </c>
      <c r="I94" s="764"/>
      <c r="J94" s="762"/>
      <c r="K94" s="762"/>
      <c r="L94" s="762"/>
      <c r="M94" s="762"/>
      <c r="N94" s="763">
        <f t="shared" si="23"/>
        <v>0</v>
      </c>
      <c r="O94" s="762">
        <f>+VLOOKUP(D94,[3]IMF_fdi_credit_debitinc!$A$1:$C$201,2,0)/1000000</f>
        <v>0</v>
      </c>
      <c r="P94" s="762">
        <f>+VLOOKUP(D94,'[3]Inward, All'!A:AN,39,0)-+VLOOKUP(D94,'[3]Inward, All'!A:AN,40,0)+VLOOKUP(D94,'[3]DIRE Eurostat'!$A$3:$AQ$306,40,0)</f>
        <v>-28.9</v>
      </c>
      <c r="Q94" s="762">
        <f t="shared" si="22"/>
        <v>28.9</v>
      </c>
      <c r="R94" s="799"/>
    </row>
    <row r="95" spans="1:18" ht="14.25" customHeight="1" x14ac:dyDescent="0.35">
      <c r="D95" s="757" t="s">
        <v>204</v>
      </c>
      <c r="E95" s="763">
        <f t="shared" si="20"/>
        <v>8790</v>
      </c>
      <c r="F95" s="762">
        <f>+VLOOKUP(D95,[3]IMF_fdi_credit_debitinc!$A$1:$C$201,3,0)/1000000</f>
        <v>8790</v>
      </c>
      <c r="G95" s="762">
        <f>+VLOOKUP(D95,'[3]Outward, All'!A:AN,39,0)-+VLOOKUP(D95,'[3]Outward, All'!A:AN,40,0)+VLOOKUP(D95,'[3]DIA Eurostat'!$A$4:$AN$307,40,0)</f>
        <v>5181.045954950986</v>
      </c>
      <c r="H95" s="762">
        <f t="shared" si="21"/>
        <v>3608.954045049014</v>
      </c>
      <c r="I95" s="764"/>
      <c r="J95" s="762"/>
      <c r="K95" s="762"/>
      <c r="L95" s="762"/>
      <c r="M95" s="762"/>
      <c r="N95" s="763">
        <f t="shared" si="23"/>
        <v>647</v>
      </c>
      <c r="O95" s="762">
        <f>+VLOOKUP(D95,[3]IMF_fdi_credit_debitinc!$A$1:$C$201,2,0)/1000000</f>
        <v>647</v>
      </c>
      <c r="P95" s="762">
        <f>+VLOOKUP(D95,'[3]Inward, All'!A:AN,39,0)-+VLOOKUP(D95,'[3]Inward, All'!A:AN,40,0)+VLOOKUP(D95,'[3]DIRE Eurostat'!$A$3:$AQ$306,40,0)</f>
        <v>-347.43896827740497</v>
      </c>
      <c r="Q95" s="762">
        <f t="shared" si="22"/>
        <v>994.43896827740491</v>
      </c>
      <c r="R95" s="799"/>
    </row>
    <row r="96" spans="1:18" ht="14.25" customHeight="1" x14ac:dyDescent="0.35">
      <c r="A96" s="379" t="s">
        <v>467</v>
      </c>
      <c r="B96" s="379" t="s">
        <v>466</v>
      </c>
      <c r="D96" s="757" t="s">
        <v>465</v>
      </c>
      <c r="E96" s="763">
        <f t="shared" si="20"/>
        <v>-33.1</v>
      </c>
      <c r="F96" s="762">
        <f>+VLOOKUP(D96,[3]IMF_fdi_credit_debitinc!$A$1:$C$201,3,0)/1000000</f>
        <v>-33.1</v>
      </c>
      <c r="G96" s="762">
        <f>+VLOOKUP(B96,'[3]Outward, All'!B:AN,38,0)-VLOOKUP(B96,'[3]Outward, All'!B:AN,39,0)+VLOOKUP(A96,'[3]DIA Eurostat'!$A$4:$AN$307,40,0)</f>
        <v>14.1</v>
      </c>
      <c r="H96" s="762">
        <f t="shared" si="21"/>
        <v>-47.2</v>
      </c>
      <c r="I96" s="764"/>
      <c r="J96" s="762"/>
      <c r="K96" s="762"/>
      <c r="L96" s="762"/>
      <c r="M96" s="762"/>
      <c r="N96" s="763">
        <f t="shared" si="23"/>
        <v>0.68399456999999997</v>
      </c>
      <c r="O96" s="762">
        <f>+VLOOKUP(D96,[3]IMF_fdi_credit_debitinc!$A$1:$C$201,2,0)/1000000</f>
        <v>0.68399456999999997</v>
      </c>
      <c r="P96" s="762">
        <f>+VLOOKUP(B96,'[3]Inward, All'!B:AN,38,0)-+VLOOKUP(B96,'[3]Inward, All'!B:AN,39,0)+VLOOKUP(A96,'[3]DIRE Eurostat'!$A$3:$AQ$306,40,0)</f>
        <v>3.6</v>
      </c>
      <c r="Q96" s="762">
        <f t="shared" si="22"/>
        <v>-2.9160054300000002</v>
      </c>
      <c r="R96" s="799"/>
    </row>
    <row r="97" spans="1:18" ht="14.25" customHeight="1" x14ac:dyDescent="0.35">
      <c r="A97" s="379" t="s">
        <v>464</v>
      </c>
      <c r="B97" s="379" t="s">
        <v>463</v>
      </c>
      <c r="D97" s="757" t="s">
        <v>462</v>
      </c>
      <c r="E97" s="763">
        <f t="shared" si="20"/>
        <v>2270</v>
      </c>
      <c r="F97" s="762">
        <f>+VLOOKUP(D97,[3]IMF_fdi_credit_debitinc!$A$1:$C$201,3,0)/1000000</f>
        <v>2270</v>
      </c>
      <c r="G97" s="762">
        <f>+VLOOKUP(B97,'[3]Outward, All'!B:AN,38,0)-VLOOKUP(B97,'[3]Outward, All'!B:AN,39,0)+VLOOKUP(A97,'[3]DIA Eurostat'!$A$4:$AN$307,40,0)</f>
        <v>191</v>
      </c>
      <c r="H97" s="762">
        <f t="shared" si="21"/>
        <v>2079</v>
      </c>
      <c r="I97" s="764"/>
      <c r="J97" s="762"/>
      <c r="K97" s="762"/>
      <c r="L97" s="762"/>
      <c r="M97" s="762"/>
      <c r="N97" s="763">
        <f t="shared" si="23"/>
        <v>443</v>
      </c>
      <c r="O97" s="762">
        <f>+VLOOKUP(D97,[3]IMF_fdi_credit_debitinc!$A$1:$C$201,2,0)/1000000</f>
        <v>443</v>
      </c>
      <c r="P97" s="762">
        <f>+VLOOKUP(B97,'[3]Inward, All'!B:AN,38,0)-+VLOOKUP(B97,'[3]Inward, All'!B:AN,39,0)+VLOOKUP(A97,'[3]DIRE Eurostat'!$A$3:$AQ$306,40,0)</f>
        <v>-4</v>
      </c>
      <c r="Q97" s="762">
        <f t="shared" si="22"/>
        <v>447</v>
      </c>
      <c r="R97" s="799"/>
    </row>
    <row r="98" spans="1:18" ht="14.25" customHeight="1" x14ac:dyDescent="0.35">
      <c r="D98" s="757" t="s">
        <v>461</v>
      </c>
      <c r="E98" s="763">
        <f t="shared" si="20"/>
        <v>2210</v>
      </c>
      <c r="F98" s="762">
        <f>+VLOOKUP(D98,[3]IMF_fdi_credit_debitinc!$A$1:$C$201,3,0)/1000000</f>
        <v>2210</v>
      </c>
      <c r="G98" s="762">
        <f>+VLOOKUP(D98,'[3]Outward, All'!A:AN,39,0)-+VLOOKUP(D98,'[3]Outward, All'!A:AN,40,0)+VLOOKUP(D98,'[3]DIA Eurostat'!$A$4:$AN$307,40,0)</f>
        <v>401.4440790000001</v>
      </c>
      <c r="H98" s="762">
        <f t="shared" si="21"/>
        <v>1808.5559209999999</v>
      </c>
      <c r="I98" s="764"/>
      <c r="J98" s="762"/>
      <c r="K98" s="762"/>
      <c r="L98" s="762"/>
      <c r="M98" s="762"/>
      <c r="N98" s="763">
        <f t="shared" si="23"/>
        <v>14.752823640000001</v>
      </c>
      <c r="O98" s="762">
        <f>+VLOOKUP(D98,[3]IMF_fdi_credit_debitinc!$A$1:$C$201,2,0)/1000000</f>
        <v>14.752823640000001</v>
      </c>
      <c r="P98" s="762">
        <f>+VLOOKUP(D98,'[3]Inward, All'!A:AN,39,0)-+VLOOKUP(D98,'[3]Inward, All'!A:AN,40,0)+VLOOKUP(D98,'[3]DIRE Eurostat'!$A$3:$AQ$306,40,0)</f>
        <v>7</v>
      </c>
      <c r="Q98" s="762">
        <f t="shared" si="22"/>
        <v>7.7528236400000008</v>
      </c>
      <c r="R98" s="799"/>
    </row>
    <row r="99" spans="1:18" ht="14.25" customHeight="1" x14ac:dyDescent="0.35">
      <c r="D99" s="757" t="s">
        <v>460</v>
      </c>
      <c r="E99" s="763">
        <f t="shared" si="20"/>
        <v>1790</v>
      </c>
      <c r="F99" s="762">
        <f>+VLOOKUP(D99,[3]IMF_fdi_credit_debitinc!$A$1:$C$201,3,0)/1000000</f>
        <v>1790</v>
      </c>
      <c r="G99" s="762">
        <f>+VLOOKUP(D99,'[3]Outward, All'!A:AN,39,0)-+VLOOKUP(D99,'[3]Outward, All'!A:AN,40,0)+VLOOKUP(D99,'[3]DIA Eurostat'!$A$4:$AN$307,40,0)</f>
        <v>233.90000000000003</v>
      </c>
      <c r="H99" s="762">
        <f t="shared" si="21"/>
        <v>1556.1</v>
      </c>
      <c r="I99" s="764"/>
      <c r="J99" s="762"/>
      <c r="K99" s="762"/>
      <c r="L99" s="762"/>
      <c r="M99" s="762"/>
      <c r="N99" s="763">
        <f t="shared" si="23"/>
        <v>49.1</v>
      </c>
      <c r="O99" s="762">
        <f>+VLOOKUP(D99,[3]IMF_fdi_credit_debitinc!$A$1:$C$201,2,0)/1000000</f>
        <v>49.1</v>
      </c>
      <c r="P99" s="762">
        <f>+VLOOKUP(D99,'[3]Inward, All'!A:AN,39,0)-+VLOOKUP(D99,'[3]Inward, All'!A:AN,40,0)+VLOOKUP(D99,'[3]DIRE Eurostat'!$A$3:$AQ$306,40,0)</f>
        <v>31.900000000000006</v>
      </c>
      <c r="Q99" s="762">
        <f t="shared" si="22"/>
        <v>17.199999999999996</v>
      </c>
      <c r="R99" s="799"/>
    </row>
    <row r="100" spans="1:18" ht="14.25" customHeight="1" x14ac:dyDescent="0.35">
      <c r="D100" s="757" t="s">
        <v>277</v>
      </c>
      <c r="E100" s="763">
        <f t="shared" si="20"/>
        <v>51.461402590000006</v>
      </c>
      <c r="F100" s="762">
        <f>+VLOOKUP(D100,[3]IMF_fdi_credit_debitinc!$A$1:$C$201,3,0)/1000000</f>
        <v>51.461402590000006</v>
      </c>
      <c r="G100" s="762">
        <f>+VLOOKUP(D100,'[3]Outward, All'!A:AN,39,0)-+VLOOKUP(D100,'[3]Outward, All'!A:AN,40,0)+VLOOKUP(D100,'[3]DIA Eurostat'!$A$4:$AN$307,40,0)</f>
        <v>66.2</v>
      </c>
      <c r="H100" s="762">
        <f t="shared" si="21"/>
        <v>-14.738597409999997</v>
      </c>
      <c r="I100" s="764"/>
      <c r="J100" s="762"/>
      <c r="K100" s="762"/>
      <c r="L100" s="762"/>
      <c r="M100" s="762"/>
      <c r="N100" s="763">
        <f t="shared" si="23"/>
        <v>1.210522334</v>
      </c>
      <c r="O100" s="762">
        <f>+VLOOKUP(D100,[3]IMF_fdi_credit_debitinc!$A$1:$C$201,2,0)/1000000</f>
        <v>1.210522334</v>
      </c>
      <c r="P100" s="762">
        <f>+VLOOKUP(D100,'[3]Inward, All'!A:AN,39,0)-+VLOOKUP(D100,'[3]Inward, All'!A:AN,40,0)+VLOOKUP(D100,'[3]DIRE Eurostat'!$A$3:$AQ$306,40,0)</f>
        <v>-46.832508833922262</v>
      </c>
      <c r="Q100" s="762">
        <f t="shared" si="22"/>
        <v>48.043031167922258</v>
      </c>
      <c r="R100" s="799"/>
    </row>
    <row r="101" spans="1:18" ht="14.25" customHeight="1" x14ac:dyDescent="0.35">
      <c r="D101" s="757" t="s">
        <v>459</v>
      </c>
      <c r="E101" s="763">
        <f t="shared" si="20"/>
        <v>64.393730180000006</v>
      </c>
      <c r="F101" s="762">
        <f>+VLOOKUP(D101,[3]IMF_fdi_credit_debitinc!$A$1:$C$201,3,0)/1000000</f>
        <v>64.393730180000006</v>
      </c>
      <c r="G101" s="762">
        <f>+VLOOKUP(D101,'[3]Outward, All'!A:AN,39,0)-+VLOOKUP(D101,'[3]Outward, All'!A:AN,40,0)+VLOOKUP(D101,'[3]DIA Eurostat'!$A$4:$AN$307,40,0)</f>
        <v>-32.29999999999999</v>
      </c>
      <c r="H101" s="762">
        <f t="shared" si="21"/>
        <v>96.693730179999989</v>
      </c>
      <c r="I101" s="764"/>
      <c r="J101" s="762"/>
      <c r="K101" s="762"/>
      <c r="L101" s="762"/>
      <c r="M101" s="762"/>
      <c r="N101" s="763">
        <f t="shared" si="23"/>
        <v>0.33078056</v>
      </c>
      <c r="O101" s="762">
        <f>+VLOOKUP(D101,[3]IMF_fdi_credit_debitinc!$A$1:$C$201,2,0)/1000000</f>
        <v>0.33078056</v>
      </c>
      <c r="P101" s="762">
        <f>+VLOOKUP(D101,'[3]Inward, All'!A:AN,39,0)-+VLOOKUP(D101,'[3]Inward, All'!A:AN,40,0)+VLOOKUP(D101,'[3]DIRE Eurostat'!$A$3:$AQ$306,40,0)</f>
        <v>0</v>
      </c>
      <c r="Q101" s="762">
        <f t="shared" si="22"/>
        <v>0.33078056</v>
      </c>
      <c r="R101" s="799"/>
    </row>
    <row r="102" spans="1:18" ht="14.25" customHeight="1" x14ac:dyDescent="0.35">
      <c r="D102" s="757" t="s">
        <v>458</v>
      </c>
      <c r="E102" s="763">
        <f t="shared" si="20"/>
        <v>5.3329602449999998</v>
      </c>
      <c r="F102" s="762">
        <f>+VLOOKUP(D102,[3]IMF_fdi_credit_debitinc!$A$1:$C$201,3,0)/1000000</f>
        <v>5.3329602449999998</v>
      </c>
      <c r="G102" s="762">
        <f>+VLOOKUP(D102,'[3]Outward, All'!A:AN,39,0)-+VLOOKUP(D102,'[3]Outward, All'!A:AN,40,0)+VLOOKUP(D102,'[3]DIA Eurostat'!$A$4:$AN$307,40,0)</f>
        <v>-3.7</v>
      </c>
      <c r="H102" s="762">
        <f t="shared" si="21"/>
        <v>9.0329602449999999</v>
      </c>
      <c r="I102" s="764"/>
      <c r="J102" s="762"/>
      <c r="K102" s="762"/>
      <c r="L102" s="762"/>
      <c r="M102" s="762"/>
      <c r="N102" s="763">
        <f t="shared" si="23"/>
        <v>0</v>
      </c>
      <c r="O102" s="762">
        <f>+VLOOKUP(D102,[3]IMF_fdi_credit_debitinc!$A$1:$C$201,2,0)/1000000</f>
        <v>0</v>
      </c>
      <c r="P102" s="762">
        <f>+VLOOKUP(D102,'[3]Inward, All'!A:AN,39,0)-+VLOOKUP(D102,'[3]Inward, All'!A:AN,40,0)+VLOOKUP(D102,'[3]DIRE Eurostat'!$A$3:$AQ$306,40,0)</f>
        <v>0</v>
      </c>
      <c r="Q102" s="762">
        <f t="shared" si="22"/>
        <v>0</v>
      </c>
      <c r="R102" s="799"/>
    </row>
    <row r="103" spans="1:18" ht="14.25" customHeight="1" x14ac:dyDescent="0.35">
      <c r="A103" s="379" t="s">
        <v>456</v>
      </c>
      <c r="B103" s="379" t="s">
        <v>457</v>
      </c>
      <c r="D103" s="757" t="s">
        <v>456</v>
      </c>
      <c r="E103" s="763">
        <f t="shared" si="20"/>
        <v>1080</v>
      </c>
      <c r="F103" s="762">
        <f>+VLOOKUP(D103,[3]IMF_fdi_credit_debitinc!$A$1:$C$201,3,0)/1000000</f>
        <v>1080</v>
      </c>
      <c r="G103" s="762">
        <f>+VLOOKUP(B103,'[3]Outward, All'!B:AN,38,0)-VLOOKUP(B103,'[3]Outward, All'!B:AN,39,0)+VLOOKUP(A103,'[3]DIA Eurostat'!$A$4:$AN$307,40,0)</f>
        <v>337.39999999999992</v>
      </c>
      <c r="H103" s="762">
        <f t="shared" si="21"/>
        <v>742.60000000000014</v>
      </c>
      <c r="I103" s="764"/>
      <c r="J103" s="762"/>
      <c r="K103" s="762"/>
      <c r="L103" s="762"/>
      <c r="M103" s="762"/>
      <c r="N103" s="763">
        <f t="shared" si="23"/>
        <v>7.0032867589999999</v>
      </c>
      <c r="O103" s="762">
        <f>+VLOOKUP(D103,[3]IMF_fdi_credit_debitinc!$A$1:$C$201,2,0)/1000000</f>
        <v>7.0032867589999999</v>
      </c>
      <c r="P103" s="762">
        <f>+VLOOKUP(D103,'[3]Inward, All'!A:AN,39,0)-+VLOOKUP(D103,'[3]Inward, All'!A:AN,40,0)+VLOOKUP(D103,'[3]DIRE Eurostat'!$A$3:$AQ$306,40,0)</f>
        <v>2.1</v>
      </c>
      <c r="Q103" s="762">
        <f t="shared" si="22"/>
        <v>4.9032867590000002</v>
      </c>
      <c r="R103" s="799"/>
    </row>
    <row r="104" spans="1:18" ht="14.25" customHeight="1" x14ac:dyDescent="0.35">
      <c r="A104" s="379" t="s">
        <v>454</v>
      </c>
      <c r="B104" s="379" t="s">
        <v>455</v>
      </c>
      <c r="D104" s="757" t="s">
        <v>454</v>
      </c>
      <c r="E104" s="763">
        <f t="shared" si="20"/>
        <v>312</v>
      </c>
      <c r="F104" s="762">
        <f>+VLOOKUP(D104,[3]IMF_fdi_credit_debitinc!$A$1:$C$201,3,0)/1000000</f>
        <v>312</v>
      </c>
      <c r="G104" s="762">
        <f>+VLOOKUP(B104,'[3]Outward, All'!B:AN,38,0)-VLOOKUP(B104,'[3]Outward, All'!B:AN,39,0)+VLOOKUP(A104,'[3]DIA Eurostat'!$A$4:$AN$307,40,0)</f>
        <v>179.5</v>
      </c>
      <c r="H104" s="762">
        <f t="shared" si="21"/>
        <v>132.5</v>
      </c>
      <c r="I104" s="764"/>
      <c r="J104" s="762"/>
      <c r="K104" s="762"/>
      <c r="L104" s="762"/>
      <c r="M104" s="762"/>
      <c r="N104" s="763">
        <f t="shared" si="23"/>
        <v>1.360475361</v>
      </c>
      <c r="O104" s="762">
        <f>+VLOOKUP(D104,[3]IMF_fdi_credit_debitinc!$A$1:$C$201,2,0)/1000000</f>
        <v>1.360475361</v>
      </c>
      <c r="P104" s="762">
        <f>+VLOOKUP(B104,'[3]Inward, All'!B:AN,38,0)-+VLOOKUP(B104,'[3]Inward, All'!B:AN,39,0)+VLOOKUP(A104,'[3]DIRE Eurostat'!$A$3:$AQ$306,40,0)</f>
        <v>-112.8</v>
      </c>
      <c r="Q104" s="762">
        <f t="shared" si="22"/>
        <v>114.160475361</v>
      </c>
      <c r="R104" s="799"/>
    </row>
    <row r="105" spans="1:18" ht="14.25" customHeight="1" x14ac:dyDescent="0.35">
      <c r="D105" s="757" t="s">
        <v>453</v>
      </c>
      <c r="E105" s="763">
        <f t="shared" si="20"/>
        <v>449</v>
      </c>
      <c r="F105" s="762">
        <f>+VLOOKUP(D105,[3]IMF_fdi_credit_debitinc!$A$1:$C$201,3,0)/1000000</f>
        <v>449</v>
      </c>
      <c r="G105" s="762">
        <f>+VLOOKUP(D105,'[3]Outward, All'!A:AN,39,0)-+VLOOKUP(D105,'[3]Outward, All'!A:AN,40,0)+VLOOKUP(D105,'[3]DIA Eurostat'!$A$4:$AN$307,40,0)</f>
        <v>40.4</v>
      </c>
      <c r="H105" s="762">
        <f t="shared" si="21"/>
        <v>408.6</v>
      </c>
      <c r="I105" s="764"/>
      <c r="J105" s="762"/>
      <c r="K105" s="762"/>
      <c r="L105" s="762"/>
      <c r="M105" s="762"/>
      <c r="N105" s="763">
        <f t="shared" si="23"/>
        <v>4.7202724099999998</v>
      </c>
      <c r="O105" s="762">
        <f>+VLOOKUP(D105,[3]IMF_fdi_credit_debitinc!$A$1:$C$201,2,0)/1000000</f>
        <v>4.7202724099999998</v>
      </c>
      <c r="P105" s="762">
        <f>+VLOOKUP(D105,'[3]Inward, All'!A:AN,39,0)-+VLOOKUP(D105,'[3]Inward, All'!A:AN,40,0)+VLOOKUP(D105,'[3]DIRE Eurostat'!$A$3:$AQ$306,40,0)</f>
        <v>0.2</v>
      </c>
      <c r="Q105" s="762">
        <f t="shared" si="22"/>
        <v>4.5202724099999996</v>
      </c>
      <c r="R105" s="799"/>
    </row>
    <row r="106" spans="1:18" ht="14.25" customHeight="1" x14ac:dyDescent="0.35">
      <c r="B106" s="379" t="s">
        <v>452</v>
      </c>
      <c r="D106" s="757" t="s">
        <v>451</v>
      </c>
      <c r="E106" s="763">
        <f t="shared" si="20"/>
        <v>0</v>
      </c>
      <c r="F106" s="762">
        <f>+VLOOKUP(D106,[3]IMF_fdi_credit_debitinc!$A$1:$C$201,3,0)/1000000</f>
        <v>0</v>
      </c>
      <c r="G106" s="762">
        <f>+VLOOKUP(B106,'[3]Outward, All'!B:AN,38,0)-VLOOKUP(B106,'[3]Outward, All'!B:AN,39,0)+VLOOKUP(D106,'[3]DIA Eurostat'!$A$4:$AN$307,40,0)</f>
        <v>128.1</v>
      </c>
      <c r="H106" s="762">
        <f t="shared" si="21"/>
        <v>-128.1</v>
      </c>
      <c r="I106" s="764"/>
      <c r="J106" s="762"/>
      <c r="K106" s="762"/>
      <c r="L106" s="762"/>
      <c r="M106" s="762"/>
      <c r="N106" s="763">
        <f t="shared" si="23"/>
        <v>0</v>
      </c>
      <c r="O106" s="762">
        <f>+VLOOKUP(D106,[3]IMF_fdi_credit_debitinc!$A$1:$C$201,2,0)/1000000</f>
        <v>0</v>
      </c>
      <c r="P106" s="762">
        <f>+VLOOKUP(B106,'[3]Inward, All'!B:AN,38,0)-+VLOOKUP(B106,'[3]Inward, All'!B:AN,39,0)+VLOOKUP(D106,'[3]DIRE Eurostat'!$A$3:$AQ$306,40,0)</f>
        <v>-23.1</v>
      </c>
      <c r="Q106" s="762">
        <f t="shared" si="22"/>
        <v>23.1</v>
      </c>
      <c r="R106" s="799"/>
    </row>
    <row r="107" spans="1:18" ht="14.25" customHeight="1" x14ac:dyDescent="0.35">
      <c r="D107" s="757" t="s">
        <v>450</v>
      </c>
      <c r="E107" s="763">
        <f t="shared" si="20"/>
        <v>2570</v>
      </c>
      <c r="F107" s="762">
        <f>+VLOOKUP(D107,[3]IMF_fdi_credit_debitinc!$A$1:$C$201,3,0)/1000000</f>
        <v>2570</v>
      </c>
      <c r="G107" s="762">
        <f>+VLOOKUP(D107,'[3]Outward, All'!A:AN,39,0)-+VLOOKUP(D107,'[3]Outward, All'!A:AN,40,0)+VLOOKUP(D107,'[3]DIA Eurostat'!$A$4:$AN$307,40,0)</f>
        <v>2111.4911230000002</v>
      </c>
      <c r="H107" s="762">
        <f t="shared" si="21"/>
        <v>458.50887699999976</v>
      </c>
      <c r="I107" s="764"/>
      <c r="J107" s="762"/>
      <c r="K107" s="762"/>
      <c r="L107" s="762"/>
      <c r="M107" s="762"/>
      <c r="N107" s="763">
        <f t="shared" si="23"/>
        <v>37.64</v>
      </c>
      <c r="O107" s="762">
        <f>+VLOOKUP(D107,[3]IMF_fdi_credit_debitinc!$A$1:$C$201,2,0)/1000000</f>
        <v>37.64</v>
      </c>
      <c r="P107" s="762">
        <f>+VLOOKUP(D107,'[3]Inward, All'!A:AN,39,0)-+VLOOKUP(D107,'[3]Inward, All'!A:AN,40,0)+VLOOKUP(D107,'[3]DIRE Eurostat'!$A$3:$AQ$306,40,0)</f>
        <v>-27.600000000000009</v>
      </c>
      <c r="Q107" s="762">
        <f t="shared" si="22"/>
        <v>65.240000000000009</v>
      </c>
      <c r="R107" s="799"/>
    </row>
    <row r="108" spans="1:18" ht="14.25" customHeight="1" x14ac:dyDescent="0.35">
      <c r="A108" s="379" t="s">
        <v>448</v>
      </c>
      <c r="B108" s="379" t="s">
        <v>449</v>
      </c>
      <c r="D108" s="757" t="s">
        <v>448</v>
      </c>
      <c r="E108" s="763">
        <f t="shared" si="20"/>
        <v>0</v>
      </c>
      <c r="F108" s="762">
        <f>+VLOOKUP(D108,[3]IMF_fdi_credit_debitinc!$A$1:$C$201,3,0)/1000000</f>
        <v>0</v>
      </c>
      <c r="G108" s="762">
        <f>+VLOOKUP(B108,'[3]Outward, All'!B:AN,38,0)-VLOOKUP(B108,'[3]Outward, All'!B:AN,39,0)+VLOOKUP(A108,'[3]DIA Eurostat'!$A$4:$AN$307,40,0)</f>
        <v>100.6</v>
      </c>
      <c r="H108" s="762">
        <f t="shared" si="21"/>
        <v>-100.6</v>
      </c>
      <c r="I108" s="764"/>
      <c r="J108" s="762"/>
      <c r="K108" s="762"/>
      <c r="L108" s="762"/>
      <c r="M108" s="762"/>
      <c r="N108" s="763">
        <f t="shared" si="23"/>
        <v>0</v>
      </c>
      <c r="O108" s="762">
        <f>+VLOOKUP(D108,[3]IMF_fdi_credit_debitinc!$A$1:$C$201,2,0)/1000000</f>
        <v>0</v>
      </c>
      <c r="P108" s="762">
        <f>+VLOOKUP(B108,'[3]Inward, All'!B:AN,38,0)-+VLOOKUP(B108,'[3]Inward, All'!B:AN,39,0)+VLOOKUP(A108,'[3]DIRE Eurostat'!$A$3:$AQ$306,40,0)</f>
        <v>0</v>
      </c>
      <c r="Q108" s="762">
        <f t="shared" si="22"/>
        <v>0</v>
      </c>
      <c r="R108" s="799"/>
    </row>
    <row r="109" spans="1:18" ht="14.25" customHeight="1" x14ac:dyDescent="0.35">
      <c r="D109" s="757" t="s">
        <v>447</v>
      </c>
      <c r="E109" s="763">
        <f t="shared" si="20"/>
        <v>5.770284126</v>
      </c>
      <c r="F109" s="762">
        <f>+VLOOKUP(D109,[3]IMF_fdi_credit_debitinc!$A$1:$C$201,3,0)/1000000</f>
        <v>5.770284126</v>
      </c>
      <c r="G109" s="762">
        <f>+VLOOKUP(D109,'[3]Outward, All'!A:AN,39,0)-+VLOOKUP(D109,'[3]Outward, All'!A:AN,40,0)+VLOOKUP(D109,'[3]DIA Eurostat'!$A$4:$AN$307,40,0)</f>
        <v>20</v>
      </c>
      <c r="H109" s="762">
        <f t="shared" si="21"/>
        <v>-14.229715874</v>
      </c>
      <c r="I109" s="764"/>
      <c r="J109" s="762"/>
      <c r="K109" s="762"/>
      <c r="L109" s="762"/>
      <c r="M109" s="762"/>
      <c r="N109" s="763">
        <f t="shared" si="23"/>
        <v>3.1808699999999997E-3</v>
      </c>
      <c r="O109" s="762">
        <f>+VLOOKUP(D109,[3]IMF_fdi_credit_debitinc!$A$1:$C$201,2,0)/1000000</f>
        <v>3.1808699999999997E-3</v>
      </c>
      <c r="P109" s="762">
        <f>+VLOOKUP(D109,'[3]Inward, All'!A:AN,39,0)-+VLOOKUP(D109,'[3]Inward, All'!A:AN,40,0)+VLOOKUP(D109,'[3]DIRE Eurostat'!$A$3:$AQ$306,40,0)</f>
        <v>0</v>
      </c>
      <c r="Q109" s="762">
        <f t="shared" si="22"/>
        <v>3.1808699999999997E-3</v>
      </c>
      <c r="R109" s="799"/>
    </row>
    <row r="110" spans="1:18" ht="14.25" customHeight="1" x14ac:dyDescent="0.35">
      <c r="A110" s="379" t="s">
        <v>445</v>
      </c>
      <c r="B110" s="379" t="s">
        <v>446</v>
      </c>
      <c r="D110" s="757" t="s">
        <v>445</v>
      </c>
      <c r="E110" s="763">
        <f t="shared" si="20"/>
        <v>1070</v>
      </c>
      <c r="F110" s="762">
        <f>+VLOOKUP(D110,[3]IMF_fdi_credit_debitinc!$A$1:$C$201,3,0)/1000000</f>
        <v>1070</v>
      </c>
      <c r="G110" s="762">
        <f>+VLOOKUP(B110,'[3]Outward, All'!B:AN,38,0)-VLOOKUP(B110,'[3]Outward, All'!B:AN,39,0)+VLOOKUP(A110,'[3]DIA Eurostat'!$A$4:$AN$307,40,0)</f>
        <v>117.81952799999999</v>
      </c>
      <c r="H110" s="762">
        <f t="shared" si="21"/>
        <v>952.18047200000001</v>
      </c>
      <c r="I110" s="764"/>
      <c r="J110" s="762"/>
      <c r="K110" s="762"/>
      <c r="L110" s="762"/>
      <c r="M110" s="762"/>
      <c r="N110" s="763">
        <f t="shared" si="23"/>
        <v>2.1449218960000001</v>
      </c>
      <c r="O110" s="762">
        <f>+VLOOKUP(D110,[3]IMF_fdi_credit_debitinc!$A$1:$C$201,2,0)/1000000</f>
        <v>2.1449218960000001</v>
      </c>
      <c r="P110" s="762">
        <f>+VLOOKUP(B110,'[3]Inward, All'!B:AN,38,0)-+VLOOKUP(B110,'[3]Inward, All'!B:AN,39,0)+VLOOKUP(A110,'[3]DIRE Eurostat'!$A$3:$AQ$306,40,0)</f>
        <v>-3.8</v>
      </c>
      <c r="Q110" s="762">
        <f t="shared" si="22"/>
        <v>5.9449218960000003</v>
      </c>
      <c r="R110" s="799"/>
    </row>
    <row r="111" spans="1:18" ht="14.25" customHeight="1" x14ac:dyDescent="0.35">
      <c r="D111" s="757" t="s">
        <v>444</v>
      </c>
      <c r="E111" s="763">
        <f t="shared" si="20"/>
        <v>411</v>
      </c>
      <c r="F111" s="762">
        <f>+VLOOKUP(D111,[3]IMF_fdi_credit_debitinc!$A$1:$C$201,3,0)/1000000</f>
        <v>411</v>
      </c>
      <c r="G111" s="762">
        <f>+VLOOKUP(D111,'[3]Outward, All'!A:AN,39,0)-+VLOOKUP(D111,'[3]Outward, All'!A:AN,40,0)+VLOOKUP(D111,'[3]DIA Eurostat'!$A$4:$AN$307,40,0)</f>
        <v>63.900000000000006</v>
      </c>
      <c r="H111" s="762">
        <f t="shared" si="21"/>
        <v>347.1</v>
      </c>
      <c r="I111" s="764"/>
      <c r="J111" s="762"/>
      <c r="K111" s="762"/>
      <c r="L111" s="762"/>
      <c r="M111" s="762"/>
      <c r="N111" s="763">
        <f t="shared" si="23"/>
        <v>83.050200189999998</v>
      </c>
      <c r="O111" s="762">
        <f>+VLOOKUP(D111,[3]IMF_fdi_credit_debitinc!$A$1:$C$201,2,0)/1000000</f>
        <v>83.050200189999998</v>
      </c>
      <c r="P111" s="762">
        <f>+VLOOKUP(D111,'[3]Inward, All'!A:AN,39,0)-+VLOOKUP(D111,'[3]Inward, All'!A:AN,40,0)+VLOOKUP(D111,'[3]DIRE Eurostat'!$A$3:$AQ$306,40,0)</f>
        <v>-1.1000000000000001</v>
      </c>
      <c r="Q111" s="762">
        <f t="shared" si="22"/>
        <v>84.150200189999993</v>
      </c>
      <c r="R111" s="799"/>
    </row>
    <row r="112" spans="1:18" ht="14.25" customHeight="1" x14ac:dyDescent="0.35">
      <c r="D112" s="757" t="s">
        <v>443</v>
      </c>
      <c r="E112" s="763">
        <f t="shared" si="20"/>
        <v>15.538265109999999</v>
      </c>
      <c r="F112" s="762">
        <f>+VLOOKUP(D112,[3]IMF_fdi_credit_debitinc!$A$1:$C$201,3,0)/1000000</f>
        <v>15.538265109999999</v>
      </c>
      <c r="G112" s="762">
        <f>+VLOOKUP(D112,'[3]Outward, All'!A:AN,39,0)-+VLOOKUP(D112,'[3]Outward, All'!A:AN,40,0)+VLOOKUP(D112,'[3]DIA Eurostat'!$A$4:$AN$307,40,0)</f>
        <v>8.1999999999999993</v>
      </c>
      <c r="H112" s="762">
        <f t="shared" si="21"/>
        <v>7.33826511</v>
      </c>
      <c r="I112" s="764"/>
      <c r="J112" s="762"/>
      <c r="K112" s="762"/>
      <c r="L112" s="762"/>
      <c r="M112" s="762"/>
      <c r="N112" s="763">
        <f t="shared" si="23"/>
        <v>0</v>
      </c>
      <c r="O112" s="762">
        <f>+VLOOKUP(D112,[3]IMF_fdi_credit_debitinc!$A$1:$C$201,2,0)/1000000</f>
        <v>0</v>
      </c>
      <c r="P112" s="762">
        <f>+VLOOKUP(D112,'[3]Inward, All'!A:AN,39,0)-+VLOOKUP(D112,'[3]Inward, All'!A:AN,40,0)+VLOOKUP(D112,'[3]DIRE Eurostat'!$A$3:$AQ$306,40,0)</f>
        <v>0.3</v>
      </c>
      <c r="Q112" s="762">
        <f t="shared" si="22"/>
        <v>-0.3</v>
      </c>
      <c r="R112" s="799"/>
    </row>
    <row r="113" spans="1:18" ht="14.25" customHeight="1" x14ac:dyDescent="0.35">
      <c r="A113" s="379" t="s">
        <v>441</v>
      </c>
      <c r="B113" s="379" t="s">
        <v>442</v>
      </c>
      <c r="D113" s="757" t="s">
        <v>441</v>
      </c>
      <c r="E113" s="763">
        <f t="shared" si="20"/>
        <v>0</v>
      </c>
      <c r="F113" s="762">
        <f>+VLOOKUP(D113,[3]IMF_fdi_credit_debitinc!$A$1:$C$201,3,0)/1000000</f>
        <v>0</v>
      </c>
      <c r="G113" s="762">
        <f>+VLOOKUP(B113,'[3]Outward, All'!B:AN,38,0)-VLOOKUP(B113,'[3]Outward, All'!B:AN,39,0)+VLOOKUP(A113,'[3]DIA Eurostat'!$A$4:$AN$307,40,0)</f>
        <v>-3</v>
      </c>
      <c r="H113" s="762">
        <f t="shared" si="21"/>
        <v>3</v>
      </c>
      <c r="I113" s="764"/>
      <c r="J113" s="762"/>
      <c r="K113" s="762"/>
      <c r="L113" s="762"/>
      <c r="M113" s="762"/>
      <c r="N113" s="763">
        <f t="shared" si="23"/>
        <v>0</v>
      </c>
      <c r="O113" s="762">
        <f>+VLOOKUP(D113,[3]IMF_fdi_credit_debitinc!$A$1:$C$201,2,0)/1000000</f>
        <v>0</v>
      </c>
      <c r="P113" s="762">
        <f>+VLOOKUP(B113,'[3]Inward, All'!B:AN,38,0)-+VLOOKUP(B113,'[3]Inward, All'!B:AN,39,0)+VLOOKUP(A113,'[3]DIRE Eurostat'!$A$3:$AQ$306,40,0)</f>
        <v>0</v>
      </c>
      <c r="Q113" s="762">
        <f t="shared" si="22"/>
        <v>0</v>
      </c>
      <c r="R113" s="799"/>
    </row>
    <row r="114" spans="1:18" ht="14.25" customHeight="1" x14ac:dyDescent="0.35">
      <c r="D114" s="757" t="s">
        <v>440</v>
      </c>
      <c r="E114" s="763">
        <f t="shared" si="20"/>
        <v>0</v>
      </c>
      <c r="F114" s="762">
        <f>+VLOOKUP(D114,[3]IMF_fdi_credit_debitinc!$A$1:$C$201,3,0)/1000000</f>
        <v>0</v>
      </c>
      <c r="G114" s="762">
        <f>+VLOOKUP(D114,'[3]Outward, All'!A:AN,39,0)-+VLOOKUP(D114,'[3]Outward, All'!A:AN,40,0)+VLOOKUP(D114,'[3]DIA Eurostat'!$A$4:$AN$307,40,0)</f>
        <v>-218</v>
      </c>
      <c r="H114" s="762">
        <f t="shared" si="21"/>
        <v>218</v>
      </c>
      <c r="I114" s="764"/>
      <c r="J114" s="762"/>
      <c r="K114" s="762"/>
      <c r="L114" s="762"/>
      <c r="M114" s="762"/>
      <c r="N114" s="763">
        <f t="shared" si="23"/>
        <v>0</v>
      </c>
      <c r="O114" s="762">
        <f>+VLOOKUP(D114,[3]IMF_fdi_credit_debitinc!$A$1:$C$201,2,0)/1000000</f>
        <v>0</v>
      </c>
      <c r="P114" s="762">
        <f>+VLOOKUP(D114,'[3]Inward, All'!A:AN,39,0)-+VLOOKUP(D114,'[3]Inward, All'!A:AN,40,0)+VLOOKUP(D114,'[3]DIRE Eurostat'!$A$3:$AQ$306,40,0)</f>
        <v>0</v>
      </c>
      <c r="Q114" s="762">
        <f t="shared" si="22"/>
        <v>0</v>
      </c>
      <c r="R114" s="799"/>
    </row>
    <row r="115" spans="1:18" ht="14.25" customHeight="1" x14ac:dyDescent="0.35">
      <c r="D115" s="757" t="s">
        <v>439</v>
      </c>
      <c r="E115" s="763">
        <f t="shared" si="20"/>
        <v>0</v>
      </c>
      <c r="F115" s="762">
        <f>+VLOOKUP(D115,[3]IMF_fdi_credit_debitinc!$A$1:$C$201,3,0)/1000000</f>
        <v>0</v>
      </c>
      <c r="G115" s="762">
        <f>+VLOOKUP(D115,'[3]Outward, All'!A:AN,39,0)-+VLOOKUP(D115,'[3]Outward, All'!A:AN,40,0)+VLOOKUP(D115,'[3]DIA Eurostat'!$A$4:$AN$307,40,0)</f>
        <v>0</v>
      </c>
      <c r="H115" s="762">
        <f t="shared" si="21"/>
        <v>0</v>
      </c>
      <c r="I115" s="764"/>
      <c r="J115" s="762"/>
      <c r="K115" s="762"/>
      <c r="L115" s="762"/>
      <c r="M115" s="762"/>
      <c r="N115" s="763">
        <f t="shared" si="23"/>
        <v>0</v>
      </c>
      <c r="O115" s="762">
        <f>+VLOOKUP(D115,[3]IMF_fdi_credit_debitinc!$A$1:$C$201,2,0)/1000000</f>
        <v>0</v>
      </c>
      <c r="P115" s="762">
        <f>+VLOOKUP(D115,'[3]Inward, All'!A:AN,39,0)-+VLOOKUP(D115,'[3]Inward, All'!A:AN,40,0)+VLOOKUP(D115,'[3]DIRE Eurostat'!$A$3:$AQ$306,40,0)</f>
        <v>0</v>
      </c>
      <c r="Q115" s="762">
        <f t="shared" si="22"/>
        <v>0</v>
      </c>
      <c r="R115" s="799"/>
    </row>
    <row r="116" spans="1:18" ht="14.25" customHeight="1" x14ac:dyDescent="0.35">
      <c r="A116" s="379" t="s">
        <v>438</v>
      </c>
      <c r="B116" s="379" t="s">
        <v>437</v>
      </c>
      <c r="D116" s="757" t="s">
        <v>436</v>
      </c>
      <c r="E116" s="763">
        <f t="shared" si="20"/>
        <v>0</v>
      </c>
      <c r="F116" s="762">
        <f>+VLOOKUP(D116,[3]IMF_fdi_credit_debitinc!$A$1:$C$201,3,0)/1000000</f>
        <v>0</v>
      </c>
      <c r="G116" s="762">
        <f>+VLOOKUP(B116,'[3]Outward, All'!B:AN,38,0)-VLOOKUP(B116,'[3]Outward, All'!B:AN,39,0)+VLOOKUP(A116,'[3]DIA Eurostat'!$A$4:$AN$307,40,0)</f>
        <v>-126.89999999999998</v>
      </c>
      <c r="H116" s="762">
        <f t="shared" si="21"/>
        <v>126.89999999999998</v>
      </c>
      <c r="I116" s="764"/>
      <c r="J116" s="762"/>
      <c r="K116" s="762"/>
      <c r="L116" s="762"/>
      <c r="M116" s="762"/>
      <c r="N116" s="763">
        <f t="shared" si="23"/>
        <v>0</v>
      </c>
      <c r="O116" s="762">
        <f>+VLOOKUP(D116,[3]IMF_fdi_credit_debitinc!$A$1:$C$201,2,0)/1000000</f>
        <v>0</v>
      </c>
      <c r="P116" s="762">
        <f>+VLOOKUP(B116,'[3]Inward, All'!B:AN,38,0)-+VLOOKUP(B116,'[3]Inward, All'!B:AN,39,0)+VLOOKUP(A116,'[3]DIRE Eurostat'!$A$3:$AQ$306,40,0)</f>
        <v>-10</v>
      </c>
      <c r="Q116" s="762">
        <f t="shared" si="22"/>
        <v>10</v>
      </c>
      <c r="R116" s="799"/>
    </row>
    <row r="117" spans="1:18" ht="14.25" customHeight="1" x14ac:dyDescent="0.35">
      <c r="A117" s="379" t="s">
        <v>435</v>
      </c>
      <c r="B117" s="379" t="s">
        <v>434</v>
      </c>
      <c r="D117" s="757" t="s">
        <v>433</v>
      </c>
      <c r="E117" s="763">
        <f t="shared" si="20"/>
        <v>0</v>
      </c>
      <c r="F117" s="762">
        <f>+VLOOKUP(D117,[3]IMF_fdi_credit_debitinc!$A$1:$C$201,3,0)/1000000</f>
        <v>0</v>
      </c>
      <c r="G117" s="762">
        <f>+VLOOKUP(B117,'[3]Outward, All'!B:AN,38,0)-VLOOKUP(B117,'[3]Outward, All'!B:AN,39,0)+VLOOKUP(A117,'[3]DIA Eurostat'!$A$4:$AN$307,40,0)</f>
        <v>-292.5</v>
      </c>
      <c r="H117" s="762">
        <f t="shared" si="21"/>
        <v>292.5</v>
      </c>
      <c r="I117" s="764"/>
      <c r="J117" s="762"/>
      <c r="K117" s="762"/>
      <c r="L117" s="762"/>
      <c r="M117" s="762"/>
      <c r="N117" s="763">
        <f t="shared" si="23"/>
        <v>0</v>
      </c>
      <c r="O117" s="762">
        <f>+VLOOKUP(D117,[3]IMF_fdi_credit_debitinc!$A$1:$C$201,2,0)/1000000</f>
        <v>0</v>
      </c>
      <c r="P117" s="762">
        <f>+VLOOKUP(B117,'[3]Inward, All'!B:AN,38,0)-+VLOOKUP(B117,'[3]Inward, All'!B:AN,39,0)+VLOOKUP(A117,'[3]DIRE Eurostat'!$A$3:$AQ$306,40,0)</f>
        <v>-82.3</v>
      </c>
      <c r="Q117" s="762">
        <f t="shared" si="22"/>
        <v>82.3</v>
      </c>
      <c r="R117" s="799"/>
    </row>
    <row r="118" spans="1:18" ht="14.25" customHeight="1" x14ac:dyDescent="0.35">
      <c r="A118" s="379" t="s">
        <v>432</v>
      </c>
      <c r="B118" s="379" t="s">
        <v>431</v>
      </c>
      <c r="D118" s="757" t="s">
        <v>430</v>
      </c>
      <c r="E118" s="763">
        <f t="shared" si="20"/>
        <v>686</v>
      </c>
      <c r="F118" s="762">
        <f>+VLOOKUP(D118,[3]IMF_fdi_credit_debitinc!$A$1:$C$201,3,0)/1000000</f>
        <v>686</v>
      </c>
      <c r="G118" s="762">
        <f>+VLOOKUP(B118,'[3]Outward, All'!B:AN,38,0)-VLOOKUP(B118,'[3]Outward, All'!B:AN,39,0)+VLOOKUP(A118,'[3]DIA Eurostat'!$A$4:$AN$307,40,0)</f>
        <v>198.8</v>
      </c>
      <c r="H118" s="762">
        <f t="shared" si="21"/>
        <v>487.2</v>
      </c>
      <c r="I118" s="764"/>
      <c r="J118" s="762"/>
      <c r="K118" s="762"/>
      <c r="L118" s="762"/>
      <c r="M118" s="762"/>
      <c r="N118" s="763">
        <f t="shared" si="23"/>
        <v>15.736626509999999</v>
      </c>
      <c r="O118" s="762">
        <f>+VLOOKUP(D118,[3]IMF_fdi_credit_debitinc!$A$1:$C$201,2,0)/1000000</f>
        <v>15.736626509999999</v>
      </c>
      <c r="P118" s="762">
        <f>+VLOOKUP(B118,'[3]Inward, All'!B:AN,38,0)-+VLOOKUP(B118,'[3]Inward, All'!B:AN,39,0)+VLOOKUP(A118,'[3]DIRE Eurostat'!$A$3:$AQ$306,40,0)</f>
        <v>-11</v>
      </c>
      <c r="Q118" s="762">
        <f t="shared" si="22"/>
        <v>26.736626510000001</v>
      </c>
      <c r="R118" s="799"/>
    </row>
    <row r="119" spans="1:18" ht="14.25" customHeight="1" x14ac:dyDescent="0.35">
      <c r="D119" s="757" t="s">
        <v>429</v>
      </c>
      <c r="E119" s="763">
        <f t="shared" si="20"/>
        <v>-164</v>
      </c>
      <c r="F119" s="762">
        <f>+VLOOKUP(D119,[3]IMF_fdi_credit_debitinc!$A$1:$C$201,3,0)/1000000</f>
        <v>-164</v>
      </c>
      <c r="G119" s="762">
        <f>+VLOOKUP(D119,'[3]Outward, All'!A:AN,39,0)-+VLOOKUP(D119,'[3]Outward, All'!A:AN,40,0)+VLOOKUP(D119,'[3]DIA Eurostat'!$A$4:$AN$307,40,0)</f>
        <v>85.403986706843654</v>
      </c>
      <c r="H119" s="762">
        <f t="shared" si="21"/>
        <v>-249.40398670684365</v>
      </c>
      <c r="I119" s="764"/>
      <c r="J119" s="762"/>
      <c r="K119" s="762"/>
      <c r="L119" s="762"/>
      <c r="M119" s="762"/>
      <c r="N119" s="763">
        <f t="shared" si="23"/>
        <v>-213</v>
      </c>
      <c r="O119" s="762">
        <f>+VLOOKUP(D119,[3]IMF_fdi_credit_debitinc!$A$1:$C$201,2,0)/1000000</f>
        <v>-213</v>
      </c>
      <c r="P119" s="762">
        <f>+VLOOKUP(D119,'[3]Inward, All'!A:AN,39,0)-+VLOOKUP(D119,'[3]Inward, All'!A:AN,40,0)+VLOOKUP(D119,'[3]DIRE Eurostat'!$A$3:$AQ$306,40,0)</f>
        <v>107.8</v>
      </c>
      <c r="Q119" s="762">
        <f t="shared" si="22"/>
        <v>-320.8</v>
      </c>
      <c r="R119" s="799"/>
    </row>
    <row r="120" spans="1:18" ht="14.25" customHeight="1" x14ac:dyDescent="0.35">
      <c r="D120" s="757" t="s">
        <v>428</v>
      </c>
      <c r="E120" s="763">
        <f t="shared" si="20"/>
        <v>7.4274139100000003</v>
      </c>
      <c r="F120" s="762">
        <f>+VLOOKUP(D120,[3]IMF_fdi_credit_debitinc!$A$1:$C$201,3,0)/1000000</f>
        <v>7.4274139100000003</v>
      </c>
      <c r="G120" s="762">
        <f>+VLOOKUP(D120,'[3]Outward, All'!A:AN,39,0)-+VLOOKUP(D120,'[3]Outward, All'!A:AN,40,0)+VLOOKUP(D120,'[3]DIA Eurostat'!$A$4:$AN$307,40,0)</f>
        <v>13.6</v>
      </c>
      <c r="H120" s="762">
        <f t="shared" si="21"/>
        <v>-6.1725860899999994</v>
      </c>
      <c r="I120" s="764"/>
      <c r="J120" s="762"/>
      <c r="K120" s="762"/>
      <c r="L120" s="762"/>
      <c r="M120" s="762"/>
      <c r="N120" s="763">
        <f t="shared" si="23"/>
        <v>0</v>
      </c>
      <c r="O120" s="762">
        <f>+VLOOKUP(D120,[3]IMF_fdi_credit_debitinc!$A$1:$C$201,2,0)/1000000</f>
        <v>0</v>
      </c>
      <c r="P120" s="762">
        <f>+VLOOKUP(D120,'[3]Inward, All'!A:AN,39,0)-+VLOOKUP(D120,'[3]Inward, All'!A:AN,40,0)+VLOOKUP(D120,'[3]DIRE Eurostat'!$A$3:$AQ$306,40,0)</f>
        <v>1</v>
      </c>
      <c r="Q120" s="762">
        <f t="shared" si="22"/>
        <v>-1</v>
      </c>
      <c r="R120" s="799"/>
    </row>
    <row r="121" spans="1:18" ht="14.25" customHeight="1" x14ac:dyDescent="0.35">
      <c r="D121" s="757" t="s">
        <v>427</v>
      </c>
      <c r="E121" s="763">
        <f t="shared" si="20"/>
        <v>0</v>
      </c>
      <c r="F121" s="762">
        <f>+VLOOKUP(D121,[3]IMF_fdi_credit_debitinc!$A$1:$C$201,3,0)/1000000</f>
        <v>0</v>
      </c>
      <c r="G121" s="762">
        <f>+VLOOKUP(D121,'[3]Outward, All'!A:AN,39,0)-+VLOOKUP(D121,'[3]Outward, All'!A:AN,40,0)+VLOOKUP(D121,'[3]DIA Eurostat'!$A$4:$AN$307,40,0)</f>
        <v>3.7</v>
      </c>
      <c r="H121" s="762">
        <f t="shared" si="21"/>
        <v>-3.7</v>
      </c>
      <c r="I121" s="764"/>
      <c r="J121" s="762"/>
      <c r="K121" s="762"/>
      <c r="L121" s="762"/>
      <c r="M121" s="762"/>
      <c r="N121" s="763">
        <f t="shared" si="23"/>
        <v>0</v>
      </c>
      <c r="O121" s="762">
        <f>+VLOOKUP(D121,[3]IMF_fdi_credit_debitinc!$A$1:$C$201,2,0)/1000000</f>
        <v>0</v>
      </c>
      <c r="P121" s="762">
        <f>+VLOOKUP(D121,'[3]Inward, All'!A:AN,39,0)-+VLOOKUP(D121,'[3]Inward, All'!A:AN,40,0)+VLOOKUP(D121,'[3]DIRE Eurostat'!$A$3:$AQ$306,40,0)</f>
        <v>-0.4</v>
      </c>
      <c r="Q121" s="762">
        <f t="shared" si="22"/>
        <v>0.4</v>
      </c>
      <c r="R121" s="799"/>
    </row>
    <row r="122" spans="1:18" ht="14.25" customHeight="1" x14ac:dyDescent="0.35">
      <c r="A122" s="380" t="s">
        <v>214</v>
      </c>
      <c r="B122" s="411" t="s">
        <v>426</v>
      </c>
      <c r="D122" s="757" t="s">
        <v>214</v>
      </c>
      <c r="E122" s="763">
        <f t="shared" si="20"/>
        <v>2340</v>
      </c>
      <c r="F122" s="762">
        <f>+VLOOKUP(D122,[3]IMF_fdi_credit_debitinc!$A$1:$C$201,3,0)/1000000</f>
        <v>2340</v>
      </c>
      <c r="G122" s="762">
        <f>+VLOOKUP(B122,'[3]Outward, All'!B:AN,38,0)-VLOOKUP(B122,'[3]Outward, All'!B:AN,39,0)+VLOOKUP(A122,'[3]DIA Eurostat'!$A$4:$AN$307,40,0)</f>
        <v>428.1</v>
      </c>
      <c r="H122" s="762">
        <f t="shared" si="21"/>
        <v>1911.9</v>
      </c>
      <c r="I122" s="764"/>
      <c r="J122" s="762"/>
      <c r="K122" s="762"/>
      <c r="L122" s="762"/>
      <c r="M122" s="762"/>
      <c r="N122" s="763">
        <f t="shared" si="23"/>
        <v>0</v>
      </c>
      <c r="O122" s="762">
        <f>+VLOOKUP(D122,[3]IMF_fdi_credit_debitinc!$A$1:$C$201,2,0)/1000000</f>
        <v>0</v>
      </c>
      <c r="P122" s="762">
        <f>+VLOOKUP(B122,'[3]Inward, All'!B:AN,38,0)-+VLOOKUP(B122,'[3]Inward, All'!B:AN,39,0)+VLOOKUP(A122,'[3]DIRE Eurostat'!$A$3:$AQ$306,40,0)</f>
        <v>0.7</v>
      </c>
      <c r="Q122" s="762">
        <f t="shared" si="22"/>
        <v>-0.7</v>
      </c>
      <c r="R122" s="799"/>
    </row>
    <row r="123" spans="1:18" ht="14.25" customHeight="1" x14ac:dyDescent="0.35">
      <c r="D123" s="757" t="s">
        <v>205</v>
      </c>
      <c r="E123" s="763">
        <f t="shared" ref="E123:E154" si="24">+F123</f>
        <v>601</v>
      </c>
      <c r="F123" s="762">
        <f>+VLOOKUP(D123,[3]IMF_fdi_credit_debitinc!$A$1:$C$201,3,0)/1000000</f>
        <v>601</v>
      </c>
      <c r="G123" s="762">
        <f>+VLOOKUP(D123,'[3]Outward, All'!A:AN,39,0)-+VLOOKUP(D123,'[3]Outward, All'!A:AN,40,0)+VLOOKUP(D123,'[3]DIA Eurostat'!$A$4:$AN$307,40,0)</f>
        <v>423.10000000000008</v>
      </c>
      <c r="H123" s="762">
        <f t="shared" ref="H123:H154" si="25">+E123-G123</f>
        <v>177.89999999999992</v>
      </c>
      <c r="I123" s="764"/>
      <c r="J123" s="762"/>
      <c r="K123" s="762"/>
      <c r="L123" s="762"/>
      <c r="M123" s="762"/>
      <c r="N123" s="763">
        <f t="shared" si="23"/>
        <v>0</v>
      </c>
      <c r="O123" s="762">
        <f>+VLOOKUP(D123,[3]IMF_fdi_credit_debitinc!$A$1:$C$201,2,0)/1000000</f>
        <v>0</v>
      </c>
      <c r="P123" s="762">
        <f>+VLOOKUP(D123,'[3]Inward, All'!A:AN,39,0)-+VLOOKUP(D123,'[3]Inward, All'!A:AN,40,0)+VLOOKUP(D123,'[3]DIRE Eurostat'!$A$3:$AQ$306,40,0)</f>
        <v>-26.9</v>
      </c>
      <c r="Q123" s="762">
        <f t="shared" ref="Q123:Q154" si="26">+N123-P123</f>
        <v>26.9</v>
      </c>
      <c r="R123" s="799"/>
    </row>
    <row r="124" spans="1:18" ht="14.25" customHeight="1" x14ac:dyDescent="0.35">
      <c r="D124" s="757" t="s">
        <v>216</v>
      </c>
      <c r="E124" s="763">
        <f t="shared" si="24"/>
        <v>4370</v>
      </c>
      <c r="F124" s="762">
        <f>+VLOOKUP(D124,[3]IMF_fdi_credit_debitinc!$A$1:$C$201,3,0)/1000000</f>
        <v>4370</v>
      </c>
      <c r="G124" s="762">
        <f>+VLOOKUP(D124,'[3]Outward, All'!A:AN,39,0)-+VLOOKUP(D124,'[3]Outward, All'!A:AN,40,0)+VLOOKUP(D124,'[3]DIA Eurostat'!$A$4:$AN$307,40,0)</f>
        <v>932.97225921654695</v>
      </c>
      <c r="H124" s="762">
        <f t="shared" si="25"/>
        <v>3437.0277407834528</v>
      </c>
      <c r="I124" s="764"/>
      <c r="J124" s="762"/>
      <c r="K124" s="762"/>
      <c r="L124" s="762"/>
      <c r="M124" s="762"/>
      <c r="N124" s="763">
        <f t="shared" si="23"/>
        <v>153</v>
      </c>
      <c r="O124" s="762">
        <f>+VLOOKUP(D124,[3]IMF_fdi_credit_debitinc!$A$1:$C$201,2,0)/1000000</f>
        <v>153</v>
      </c>
      <c r="P124" s="762">
        <f>+VLOOKUP(D124,'[3]Inward, All'!A:AN,39,0)-+VLOOKUP(D124,'[3]Inward, All'!A:AN,40,0)+VLOOKUP(D124,'[3]DIRE Eurostat'!$A$3:$AQ$306,40,0)</f>
        <v>5.2</v>
      </c>
      <c r="Q124" s="762">
        <f t="shared" si="26"/>
        <v>147.80000000000001</v>
      </c>
      <c r="R124" s="799"/>
    </row>
    <row r="125" spans="1:18" ht="14.25" customHeight="1" x14ac:dyDescent="0.35">
      <c r="A125" s="380" t="s">
        <v>424</v>
      </c>
      <c r="B125" s="411" t="s">
        <v>425</v>
      </c>
      <c r="D125" s="757" t="s">
        <v>424</v>
      </c>
      <c r="E125" s="763">
        <f t="shared" si="24"/>
        <v>727</v>
      </c>
      <c r="F125" s="762">
        <f>+VLOOKUP(D125,[3]IMF_fdi_credit_debitinc!$A$1:$C$201,3,0)/1000000</f>
        <v>727</v>
      </c>
      <c r="G125" s="762">
        <f>+VLOOKUP(B125,'[3]Outward, All'!B:AN,38,0)-VLOOKUP(B125,'[3]Outward, All'!B:AN,39,0)+VLOOKUP(A125,'[3]DIA Eurostat'!$A$4:$AN$307,40,0)</f>
        <v>113.9</v>
      </c>
      <c r="H125" s="762">
        <f t="shared" si="25"/>
        <v>613.1</v>
      </c>
      <c r="I125" s="764"/>
      <c r="J125" s="762"/>
      <c r="K125" s="762"/>
      <c r="L125" s="762"/>
      <c r="M125" s="762"/>
      <c r="N125" s="763">
        <f t="shared" si="23"/>
        <v>2.0593841930000001</v>
      </c>
      <c r="O125" s="762">
        <f>+VLOOKUP(D125,[3]IMF_fdi_credit_debitinc!$A$1:$C$201,2,0)/1000000</f>
        <v>2.0593841930000001</v>
      </c>
      <c r="P125" s="762">
        <f>+VLOOKUP(B125,'[3]Inward, All'!B:AN,38,0)-+VLOOKUP(B125,'[3]Inward, All'!B:AN,39,0)+VLOOKUP(A125,'[3]DIRE Eurostat'!$A$3:$AQ$306,40,0)</f>
        <v>0</v>
      </c>
      <c r="Q125" s="762">
        <f t="shared" si="26"/>
        <v>2.0593841930000001</v>
      </c>
      <c r="R125" s="799"/>
    </row>
    <row r="126" spans="1:18" ht="14.25" customHeight="1" x14ac:dyDescent="0.35">
      <c r="A126" s="380" t="s">
        <v>422</v>
      </c>
      <c r="B126" s="411" t="s">
        <v>423</v>
      </c>
      <c r="D126" s="757" t="s">
        <v>422</v>
      </c>
      <c r="E126" s="763">
        <f t="shared" si="24"/>
        <v>0</v>
      </c>
      <c r="F126" s="762">
        <f>+VLOOKUP(D126,[3]IMF_fdi_credit_debitinc!$A$1:$C$201,3,0)/1000000</f>
        <v>0</v>
      </c>
      <c r="G126" s="762">
        <f>+VLOOKUP(B126,'[3]Outward, All'!B:AN,38,0)-VLOOKUP(B126,'[3]Outward, All'!B:AN,39,0)+VLOOKUP(A126,'[3]DIA Eurostat'!$A$4:$AN$307,40,0)</f>
        <v>30.9</v>
      </c>
      <c r="H126" s="762">
        <f t="shared" si="25"/>
        <v>-30.9</v>
      </c>
      <c r="I126" s="764"/>
      <c r="J126" s="762"/>
      <c r="K126" s="762"/>
      <c r="L126" s="762"/>
      <c r="M126" s="762"/>
      <c r="N126" s="763">
        <f t="shared" si="23"/>
        <v>0</v>
      </c>
      <c r="O126" s="762">
        <f>+VLOOKUP(D126,[3]IMF_fdi_credit_debitinc!$A$1:$C$201,2,0)/1000000</f>
        <v>0</v>
      </c>
      <c r="P126" s="762">
        <f>+VLOOKUP(B126,'[3]Inward, All'!B:AN,38,0)-+VLOOKUP(B126,'[3]Inward, All'!B:AN,39,0)+VLOOKUP(A126,'[3]DIRE Eurostat'!$A$3:$AQ$306,40,0)</f>
        <v>0</v>
      </c>
      <c r="Q126" s="762">
        <f t="shared" si="26"/>
        <v>0</v>
      </c>
      <c r="R126" s="799"/>
    </row>
    <row r="127" spans="1:18" ht="14.25" customHeight="1" x14ac:dyDescent="0.35">
      <c r="D127" s="757" t="s">
        <v>421</v>
      </c>
      <c r="E127" s="763">
        <f t="shared" si="24"/>
        <v>0</v>
      </c>
      <c r="F127" s="762">
        <f>+VLOOKUP(D127,[3]IMF_fdi_credit_debitinc!$A$1:$C$201,3,0)/1000000</f>
        <v>0</v>
      </c>
      <c r="G127" s="762">
        <f>+VLOOKUP(D127,'[3]Outward, All'!A:AN,39,0)-+VLOOKUP(D127,'[3]Outward, All'!A:AN,40,0)+VLOOKUP(D127,'[3]DIA Eurostat'!$A$4:$AN$307,40,0)</f>
        <v>3.2</v>
      </c>
      <c r="H127" s="762">
        <f t="shared" si="25"/>
        <v>-3.2</v>
      </c>
      <c r="I127" s="764"/>
      <c r="J127" s="762"/>
      <c r="K127" s="762"/>
      <c r="L127" s="762"/>
      <c r="M127" s="762"/>
      <c r="N127" s="763">
        <f t="shared" si="23"/>
        <v>0</v>
      </c>
      <c r="O127" s="762">
        <f>+VLOOKUP(D127,[3]IMF_fdi_credit_debitinc!$A$1:$C$201,2,0)/1000000</f>
        <v>0</v>
      </c>
      <c r="P127" s="762">
        <f>+VLOOKUP(D127,'[3]Inward, All'!A:AN,39,0)-+VLOOKUP(D127,'[3]Inward, All'!A:AN,40,0)+VLOOKUP(D127,'[3]DIRE Eurostat'!$A$3:$AQ$306,40,0)</f>
        <v>-0.1</v>
      </c>
      <c r="Q127" s="762">
        <f t="shared" si="26"/>
        <v>0.1</v>
      </c>
      <c r="R127" s="799"/>
    </row>
    <row r="128" spans="1:18" ht="14.25" customHeight="1" x14ac:dyDescent="0.35">
      <c r="D128" s="757" t="s">
        <v>420</v>
      </c>
      <c r="E128" s="763">
        <f t="shared" si="24"/>
        <v>11.99284141</v>
      </c>
      <c r="F128" s="762">
        <f>+VLOOKUP(D128,[3]IMF_fdi_credit_debitinc!$A$1:$C$201,3,0)/1000000</f>
        <v>11.99284141</v>
      </c>
      <c r="G128" s="762">
        <f>+VLOOKUP(D128,'[3]Outward, All'!A:AN,39,0)-+VLOOKUP(D128,'[3]Outward, All'!A:AN,40,0)+VLOOKUP(D128,'[3]DIA Eurostat'!$A$4:$AN$307,40,0)</f>
        <v>222.90557802259099</v>
      </c>
      <c r="H128" s="762">
        <f t="shared" si="25"/>
        <v>-210.91273661259098</v>
      </c>
      <c r="I128" s="764"/>
      <c r="J128" s="762"/>
      <c r="K128" s="762"/>
      <c r="L128" s="762"/>
      <c r="M128" s="762"/>
      <c r="N128" s="763">
        <f t="shared" si="23"/>
        <v>0</v>
      </c>
      <c r="O128" s="762">
        <f>+VLOOKUP(D128,[3]IMF_fdi_credit_debitinc!$A$1:$C$201,2,0)/1000000</f>
        <v>0</v>
      </c>
      <c r="P128" s="762">
        <f>+VLOOKUP(D128,'[3]Inward, All'!A:AN,39,0)-+VLOOKUP(D128,'[3]Inward, All'!A:AN,40,0)+VLOOKUP(D128,'[3]DIRE Eurostat'!$A$3:$AQ$306,40,0)</f>
        <v>-0.2</v>
      </c>
      <c r="Q128" s="762">
        <f t="shared" si="26"/>
        <v>0.2</v>
      </c>
      <c r="R128" s="799"/>
    </row>
    <row r="129" spans="1:18" ht="14.25" customHeight="1" x14ac:dyDescent="0.35">
      <c r="A129" s="380" t="s">
        <v>419</v>
      </c>
      <c r="B129" s="411" t="s">
        <v>418</v>
      </c>
      <c r="D129" s="757" t="s">
        <v>417</v>
      </c>
      <c r="E129" s="763">
        <f t="shared" si="24"/>
        <v>0</v>
      </c>
      <c r="F129" s="762">
        <f>+VLOOKUP(D129,[3]IMF_fdi_credit_debitinc!$A$1:$C$201,3,0)/1000000</f>
        <v>0</v>
      </c>
      <c r="G129" s="762">
        <f>+VLOOKUP(B129,'[3]Outward, All'!B:AN,38,0)-VLOOKUP(B129,'[3]Outward, All'!B:AN,39,0)+VLOOKUP(A129,'[3]DIA Eurostat'!$A$4:$AN$307,40,0)</f>
        <v>21.064018702654398</v>
      </c>
      <c r="H129" s="762">
        <f t="shared" si="25"/>
        <v>-21.064018702654398</v>
      </c>
      <c r="I129" s="764"/>
      <c r="J129" s="762"/>
      <c r="K129" s="762"/>
      <c r="L129" s="762"/>
      <c r="M129" s="762"/>
      <c r="N129" s="763">
        <f t="shared" si="23"/>
        <v>0</v>
      </c>
      <c r="O129" s="762">
        <f>+VLOOKUP(D129,[3]IMF_fdi_credit_debitinc!$A$1:$C$201,2,0)/1000000</f>
        <v>0</v>
      </c>
      <c r="P129" s="762">
        <f>+VLOOKUP(B129,'[3]Inward, All'!B:AN,38,0)-+VLOOKUP(B129,'[3]Inward, All'!B:AN,39,0)+VLOOKUP(A129,'[3]DIRE Eurostat'!$A$3:$AQ$306,40,0)</f>
        <v>-7.6898361664977006</v>
      </c>
      <c r="Q129" s="762">
        <f t="shared" si="26"/>
        <v>7.6898361664977006</v>
      </c>
      <c r="R129" s="799"/>
    </row>
    <row r="130" spans="1:18" ht="14.25" customHeight="1" x14ac:dyDescent="0.35">
      <c r="D130" s="757" t="s">
        <v>416</v>
      </c>
      <c r="E130" s="763">
        <f t="shared" si="24"/>
        <v>209</v>
      </c>
      <c r="F130" s="762">
        <f>+VLOOKUP(D130,[3]IMF_fdi_credit_debitinc!$A$1:$C$201,3,0)/1000000</f>
        <v>209</v>
      </c>
      <c r="G130" s="762">
        <f>+VLOOKUP(D130,'[3]Outward, All'!A:AN,39,0)-+VLOOKUP(D130,'[3]Outward, All'!A:AN,40,0)+VLOOKUP(D130,'[3]DIA Eurostat'!$A$4:$AN$307,40,0)</f>
        <v>154.67826282966402</v>
      </c>
      <c r="H130" s="762">
        <f t="shared" si="25"/>
        <v>54.321737170335979</v>
      </c>
      <c r="I130" s="764"/>
      <c r="J130" s="762"/>
      <c r="K130" s="762"/>
      <c r="L130" s="762"/>
      <c r="M130" s="762"/>
      <c r="N130" s="763">
        <f t="shared" si="23"/>
        <v>0</v>
      </c>
      <c r="O130" s="762">
        <f>+VLOOKUP(D130,[3]IMF_fdi_credit_debitinc!$A$1:$C$201,2,0)/1000000</f>
        <v>0</v>
      </c>
      <c r="P130" s="762">
        <f>+VLOOKUP(D130,'[3]Inward, All'!A:AN,39,0)-+VLOOKUP(D130,'[3]Inward, All'!A:AN,40,0)+VLOOKUP(D130,'[3]DIRE Eurostat'!$A$3:$AQ$306,40,0)</f>
        <v>0</v>
      </c>
      <c r="Q130" s="762">
        <f t="shared" si="26"/>
        <v>0</v>
      </c>
      <c r="R130" s="799"/>
    </row>
    <row r="131" spans="1:18" ht="14.25" customHeight="1" x14ac:dyDescent="0.35">
      <c r="D131" s="757" t="s">
        <v>415</v>
      </c>
      <c r="E131" s="763">
        <f t="shared" si="24"/>
        <v>0</v>
      </c>
      <c r="F131" s="762">
        <f>+VLOOKUP(D131,[3]IMF_fdi_credit_debitinc!$A$1:$C$201,3,0)/1000000</f>
        <v>0</v>
      </c>
      <c r="G131" s="762">
        <f>+VLOOKUP(D131,'[3]Outward, All'!A:AN,39,0)-+VLOOKUP(D131,'[3]Outward, All'!A:AN,40,0)+VLOOKUP(D131,'[3]DIA Eurostat'!$A$4:$AN$307,40,0)</f>
        <v>-63.7</v>
      </c>
      <c r="H131" s="762">
        <f t="shared" si="25"/>
        <v>63.7</v>
      </c>
      <c r="I131" s="764"/>
      <c r="J131" s="762"/>
      <c r="K131" s="762"/>
      <c r="L131" s="762"/>
      <c r="M131" s="762"/>
      <c r="N131" s="763">
        <f t="shared" si="23"/>
        <v>0</v>
      </c>
      <c r="O131" s="762">
        <f>+VLOOKUP(D131,[3]IMF_fdi_credit_debitinc!$A$1:$C$201,2,0)/1000000</f>
        <v>0</v>
      </c>
      <c r="P131" s="762">
        <f>+VLOOKUP(D131,'[3]Inward, All'!A:AN,39,0)-+VLOOKUP(D131,'[3]Inward, All'!A:AN,40,0)+VLOOKUP(D131,'[3]DIRE Eurostat'!$A$3:$AQ$306,40,0)</f>
        <v>-1.1000000000000001</v>
      </c>
      <c r="Q131" s="762">
        <f t="shared" si="26"/>
        <v>1.1000000000000001</v>
      </c>
      <c r="R131" s="799"/>
    </row>
    <row r="132" spans="1:18" ht="14.25" customHeight="1" x14ac:dyDescent="0.35">
      <c r="A132" s="380" t="s">
        <v>413</v>
      </c>
      <c r="B132" s="411" t="s">
        <v>414</v>
      </c>
      <c r="D132" s="757" t="s">
        <v>413</v>
      </c>
      <c r="E132" s="763">
        <f t="shared" si="24"/>
        <v>5.7992729499999998</v>
      </c>
      <c r="F132" s="762">
        <f>+VLOOKUP(D132,[3]IMF_fdi_credit_debitinc!$A$1:$C$201,3,0)/1000000</f>
        <v>5.7992729499999998</v>
      </c>
      <c r="G132" s="762">
        <f>+VLOOKUP(B132,'[3]Outward, All'!B:AN,38,0)-VLOOKUP(B132,'[3]Outward, All'!B:AN,39,0)+VLOOKUP(A132,'[3]DIA Eurostat'!$A$4:$AN$307,40,0)</f>
        <v>-4.2</v>
      </c>
      <c r="H132" s="762">
        <f t="shared" si="25"/>
        <v>9.9992729499999999</v>
      </c>
      <c r="I132" s="764"/>
      <c r="J132" s="762"/>
      <c r="K132" s="762"/>
      <c r="L132" s="762"/>
      <c r="M132" s="762"/>
      <c r="N132" s="763">
        <f t="shared" si="23"/>
        <v>-4.5506935510000002</v>
      </c>
      <c r="O132" s="762">
        <f>+VLOOKUP(D132,[3]IMF_fdi_credit_debitinc!$A$1:$C$201,2,0)/1000000</f>
        <v>-4.5506935510000002</v>
      </c>
      <c r="P132" s="762">
        <f>+VLOOKUP(B132,'[3]Inward, All'!B:AN,38,0)-+VLOOKUP(B132,'[3]Inward, All'!B:AN,39,0)+VLOOKUP(A132,'[3]DIRE Eurostat'!$A$3:$AQ$306,40,0)</f>
        <v>0</v>
      </c>
      <c r="Q132" s="762">
        <f t="shared" si="26"/>
        <v>-4.5506935510000002</v>
      </c>
      <c r="R132" s="799"/>
    </row>
    <row r="133" spans="1:18" ht="14.25" customHeight="1" x14ac:dyDescent="0.35">
      <c r="D133" s="757" t="s">
        <v>412</v>
      </c>
      <c r="E133" s="763">
        <f t="shared" si="24"/>
        <v>592</v>
      </c>
      <c r="F133" s="762">
        <f>+VLOOKUP(D133,[3]IMF_fdi_credit_debitinc!$A$1:$C$201,3,0)/1000000</f>
        <v>592</v>
      </c>
      <c r="G133" s="762">
        <f>+VLOOKUP(D133,'[3]Outward, All'!A:AN,39,0)-+VLOOKUP(D133,'[3]Outward, All'!A:AN,40,0)+VLOOKUP(D133,'[3]DIA Eurostat'!$A$4:$AN$307,40,0)</f>
        <v>100.3</v>
      </c>
      <c r="H133" s="762">
        <f t="shared" si="25"/>
        <v>491.7</v>
      </c>
      <c r="I133" s="764"/>
      <c r="J133" s="762"/>
      <c r="K133" s="762"/>
      <c r="L133" s="762"/>
      <c r="M133" s="762"/>
      <c r="N133" s="763">
        <f t="shared" si="23"/>
        <v>213</v>
      </c>
      <c r="O133" s="762">
        <f>+VLOOKUP(D133,[3]IMF_fdi_credit_debitinc!$A$1:$C$201,2,0)/1000000</f>
        <v>213</v>
      </c>
      <c r="P133" s="762">
        <f>+VLOOKUP(D133,'[3]Inward, All'!A:AN,39,0)-+VLOOKUP(D133,'[3]Inward, All'!A:AN,40,0)+VLOOKUP(D133,'[3]DIRE Eurostat'!$A$3:$AQ$306,40,0)</f>
        <v>4.2</v>
      </c>
      <c r="Q133" s="762">
        <f t="shared" si="26"/>
        <v>208.8</v>
      </c>
      <c r="R133" s="799"/>
    </row>
    <row r="134" spans="1:18" ht="14.25" customHeight="1" x14ac:dyDescent="0.35">
      <c r="D134" s="757" t="s">
        <v>411</v>
      </c>
      <c r="E134" s="763">
        <f t="shared" si="24"/>
        <v>813</v>
      </c>
      <c r="F134" s="762">
        <f>+VLOOKUP(D134,[3]IMF_fdi_credit_debitinc!$A$1:$C$201,3,0)/1000000</f>
        <v>813</v>
      </c>
      <c r="G134" s="762">
        <f>+VLOOKUP(D134,'[3]Outward, All'!A:AN,39,0)-+VLOOKUP(D134,'[3]Outward, All'!A:AN,40,0)+VLOOKUP(D134,'[3]DIA Eurostat'!$A$4:$AN$307,40,0)</f>
        <v>220.7</v>
      </c>
      <c r="H134" s="762">
        <f t="shared" si="25"/>
        <v>592.29999999999995</v>
      </c>
      <c r="I134" s="764"/>
      <c r="J134" s="762"/>
      <c r="K134" s="762"/>
      <c r="L134" s="762"/>
      <c r="M134" s="762"/>
      <c r="N134" s="763">
        <f t="shared" si="23"/>
        <v>0</v>
      </c>
      <c r="O134" s="762">
        <f>+VLOOKUP(D134,[3]IMF_fdi_credit_debitinc!$A$1:$C$201,2,0)/1000000</f>
        <v>0</v>
      </c>
      <c r="P134" s="762">
        <f>+VLOOKUP(D134,'[3]Inward, All'!A:AN,39,0)-+VLOOKUP(D134,'[3]Inward, All'!A:AN,40,0)+VLOOKUP(D134,'[3]DIRE Eurostat'!$A$3:$AQ$306,40,0)</f>
        <v>-21.5</v>
      </c>
      <c r="Q134" s="762">
        <f t="shared" si="26"/>
        <v>21.5</v>
      </c>
      <c r="R134" s="799"/>
    </row>
    <row r="135" spans="1:18" ht="14.25" customHeight="1" x14ac:dyDescent="0.35">
      <c r="D135" s="757" t="s">
        <v>294</v>
      </c>
      <c r="E135" s="763">
        <f t="shared" si="24"/>
        <v>0</v>
      </c>
      <c r="F135" s="762">
        <f>+VLOOKUP(D135,[3]IMF_fdi_credit_debitinc!$A$1:$C$201,3,0)/1000000</f>
        <v>0</v>
      </c>
      <c r="G135" s="762">
        <f>+VLOOKUP(D135,'[3]Outward, All'!A:AN,39,0)-+VLOOKUP(D135,'[3]Outward, All'!A:AN,40,0)+VLOOKUP(D135,'[3]DIA Eurostat'!$A$4:$AN$307,40,0)</f>
        <v>15.2</v>
      </c>
      <c r="H135" s="762">
        <f t="shared" si="25"/>
        <v>-15.2</v>
      </c>
      <c r="I135" s="764"/>
      <c r="J135" s="762"/>
      <c r="K135" s="762"/>
      <c r="L135" s="762"/>
      <c r="M135" s="762"/>
      <c r="N135" s="763">
        <f t="shared" si="23"/>
        <v>0</v>
      </c>
      <c r="O135" s="762">
        <f>+VLOOKUP(D135,[3]IMF_fdi_credit_debitinc!$A$1:$C$201,2,0)/1000000</f>
        <v>0</v>
      </c>
      <c r="P135" s="762">
        <f>+VLOOKUP(D135,'[3]Inward, All'!A:AN,39,0)-+VLOOKUP(D135,'[3]Inward, All'!A:AN,40,0)+VLOOKUP(D135,'[3]DIRE Eurostat'!$A$3:$AQ$306,40,0)</f>
        <v>0</v>
      </c>
      <c r="Q135" s="762">
        <f t="shared" si="26"/>
        <v>0</v>
      </c>
      <c r="R135" s="799"/>
    </row>
    <row r="136" spans="1:18" ht="14.25" customHeight="1" x14ac:dyDescent="0.35">
      <c r="D136" s="757" t="s">
        <v>410</v>
      </c>
      <c r="E136" s="763">
        <f t="shared" si="24"/>
        <v>1310</v>
      </c>
      <c r="F136" s="762">
        <f>+VLOOKUP(D136,[3]IMF_fdi_credit_debitinc!$A$1:$C$201,3,0)/1000000</f>
        <v>1310</v>
      </c>
      <c r="G136" s="762">
        <f>+VLOOKUP(D136,'[3]Outward, All'!A:AN,39,0)-+VLOOKUP(D136,'[3]Outward, All'!A:AN,40,0)+VLOOKUP(D136,'[3]DIA Eurostat'!$A$4:$AN$307,40,0)</f>
        <v>253.10000000000002</v>
      </c>
      <c r="H136" s="762">
        <f t="shared" si="25"/>
        <v>1056.9000000000001</v>
      </c>
      <c r="I136" s="764"/>
      <c r="J136" s="762"/>
      <c r="K136" s="762"/>
      <c r="L136" s="762"/>
      <c r="M136" s="762"/>
      <c r="N136" s="763">
        <f t="shared" si="23"/>
        <v>144</v>
      </c>
      <c r="O136" s="762">
        <f>+VLOOKUP(D136,[3]IMF_fdi_credit_debitinc!$A$1:$C$201,2,0)/1000000</f>
        <v>144</v>
      </c>
      <c r="P136" s="762">
        <f>+VLOOKUP(D136,'[3]Inward, All'!A:AN,39,0)-+VLOOKUP(D136,'[3]Inward, All'!A:AN,40,0)+VLOOKUP(D136,'[3]DIRE Eurostat'!$A$3:$AQ$306,40,0)</f>
        <v>165.00000000000011</v>
      </c>
      <c r="Q136" s="762">
        <f t="shared" si="26"/>
        <v>-21.000000000000114</v>
      </c>
      <c r="R136" s="799"/>
    </row>
    <row r="137" spans="1:18" ht="14.25" customHeight="1" x14ac:dyDescent="0.35">
      <c r="B137" s="412"/>
      <c r="D137" s="757" t="s">
        <v>409</v>
      </c>
      <c r="E137" s="763">
        <f t="shared" si="24"/>
        <v>109</v>
      </c>
      <c r="F137" s="762">
        <f>+VLOOKUP(D137,[3]IMF_fdi_credit_debitinc!$A$1:$C$201,3,0)/1000000</f>
        <v>109</v>
      </c>
      <c r="G137" s="762">
        <f>+VLOOKUP(D137,'[3]Outward, All'!A:AN,39,0)-+VLOOKUP(D137,'[3]Outward, All'!A:AN,40,0)+VLOOKUP(D137,'[3]DIA Eurostat'!$A$4:$AN$307,40,0)</f>
        <v>-1750.6</v>
      </c>
      <c r="H137" s="762">
        <f t="shared" si="25"/>
        <v>1859.6</v>
      </c>
      <c r="I137" s="764"/>
      <c r="J137" s="762"/>
      <c r="K137" s="762"/>
      <c r="L137" s="762"/>
      <c r="M137" s="762"/>
      <c r="N137" s="763">
        <f t="shared" si="23"/>
        <v>0</v>
      </c>
      <c r="O137" s="762">
        <f>+VLOOKUP(D137,[3]IMF_fdi_credit_debitinc!$A$1:$C$201,2,0)/1000000</f>
        <v>0</v>
      </c>
      <c r="P137" s="762">
        <f>+VLOOKUP(D137,'[3]Inward, All'!A:AN,39,0)-+VLOOKUP(D137,'[3]Inward, All'!A:AN,40,0)+VLOOKUP(D137,'[3]DIRE Eurostat'!$A$3:$AQ$306,40,0)</f>
        <v>0</v>
      </c>
      <c r="Q137" s="762">
        <f t="shared" si="26"/>
        <v>0</v>
      </c>
      <c r="R137" s="799"/>
    </row>
    <row r="138" spans="1:18" ht="14.25" customHeight="1" x14ac:dyDescent="0.35">
      <c r="A138" s="380" t="s">
        <v>407</v>
      </c>
      <c r="B138" s="411" t="s">
        <v>408</v>
      </c>
      <c r="D138" s="757" t="s">
        <v>407</v>
      </c>
      <c r="E138" s="763">
        <f t="shared" si="24"/>
        <v>1.2252778819999999</v>
      </c>
      <c r="F138" s="762">
        <f>+VLOOKUP(D138,[3]IMF_fdi_credit_debitinc!$A$1:$C$201,3,0)/1000000</f>
        <v>1.2252778819999999</v>
      </c>
      <c r="G138" s="762">
        <f>+VLOOKUP(B138,'[3]Outward, All'!B:AN,38,0)-VLOOKUP(B138,'[3]Outward, All'!B:AN,39,0)+VLOOKUP(A138,'[3]DIA Eurostat'!$A$4:$AN$307,40,0)</f>
        <v>4.9000000000000004</v>
      </c>
      <c r="H138" s="762">
        <f t="shared" si="25"/>
        <v>-3.6747221180000005</v>
      </c>
      <c r="I138" s="764"/>
      <c r="J138" s="762"/>
      <c r="K138" s="762"/>
      <c r="L138" s="762"/>
      <c r="M138" s="762"/>
      <c r="N138" s="763">
        <f t="shared" si="23"/>
        <v>0.43452567999999997</v>
      </c>
      <c r="O138" s="762">
        <f>+VLOOKUP(D138,[3]IMF_fdi_credit_debitinc!$A$1:$C$201,2,0)/1000000</f>
        <v>0.43452567999999997</v>
      </c>
      <c r="P138" s="762">
        <f>+VLOOKUP(B138,'[3]Inward, All'!B:AN,38,0)-+VLOOKUP(B138,'[3]Inward, All'!B:AN,39,0)+VLOOKUP(A138,'[3]DIRE Eurostat'!$A$3:$AQ$306,40,0)</f>
        <v>-2.2000000000000002</v>
      </c>
      <c r="Q138" s="762">
        <f t="shared" si="26"/>
        <v>2.6345256800000003</v>
      </c>
      <c r="R138" s="799"/>
    </row>
    <row r="139" spans="1:18" ht="14.25" customHeight="1" x14ac:dyDescent="0.35">
      <c r="D139" s="757" t="s">
        <v>406</v>
      </c>
      <c r="E139" s="763">
        <f t="shared" si="24"/>
        <v>5.8369999999999997</v>
      </c>
      <c r="F139" s="762">
        <f>+VLOOKUP(D139,[3]IMF_fdi_credit_debitinc!$A$1:$C$201,3,0)/1000000</f>
        <v>5.8369999999999997</v>
      </c>
      <c r="G139" s="762">
        <f>+VLOOKUP(D139,'[3]Outward, All'!A:AN,39,0)-+VLOOKUP(D139,'[3]Outward, All'!A:AN,40,0)+VLOOKUP(D139,'[3]DIA Eurostat'!$A$4:$AN$307,40,0)</f>
        <v>25.5</v>
      </c>
      <c r="H139" s="762">
        <f t="shared" si="25"/>
        <v>-19.663</v>
      </c>
      <c r="I139" s="764"/>
      <c r="J139" s="762"/>
      <c r="K139" s="762"/>
      <c r="L139" s="762"/>
      <c r="M139" s="762"/>
      <c r="N139" s="763">
        <f t="shared" si="23"/>
        <v>0</v>
      </c>
      <c r="O139" s="762">
        <f>+VLOOKUP(D139,[3]IMF_fdi_credit_debitinc!$A$1:$C$201,2,0)/1000000</f>
        <v>0</v>
      </c>
      <c r="P139" s="762">
        <f>+VLOOKUP(D139,'[3]Inward, All'!A:AN,39,0)-+VLOOKUP(D139,'[3]Inward, All'!A:AN,40,0)+VLOOKUP(D139,'[3]DIRE Eurostat'!$A$3:$AQ$306,40,0)</f>
        <v>0.1</v>
      </c>
      <c r="Q139" s="762">
        <f t="shared" si="26"/>
        <v>-0.1</v>
      </c>
      <c r="R139" s="799"/>
    </row>
    <row r="140" spans="1:18" ht="14.25" customHeight="1" x14ac:dyDescent="0.35">
      <c r="D140" s="757" t="s">
        <v>405</v>
      </c>
      <c r="E140" s="763">
        <f t="shared" si="24"/>
        <v>0</v>
      </c>
      <c r="F140" s="762">
        <f>+VLOOKUP(D140,[3]IMF_fdi_credit_debitinc!$A$1:$C$201,3,0)/1000000</f>
        <v>0</v>
      </c>
      <c r="G140" s="762">
        <f>+VLOOKUP(D140,'[3]Outward, All'!A:AN,39,0)-+VLOOKUP(D140,'[3]Outward, All'!A:AN,40,0)+VLOOKUP(D140,'[3]DIA Eurostat'!$A$4:$AN$307,40,0)</f>
        <v>25</v>
      </c>
      <c r="H140" s="762">
        <f t="shared" si="25"/>
        <v>-25</v>
      </c>
      <c r="I140" s="764"/>
      <c r="J140" s="762"/>
      <c r="K140" s="762"/>
      <c r="L140" s="762"/>
      <c r="M140" s="762"/>
      <c r="N140" s="763">
        <f t="shared" si="23"/>
        <v>0</v>
      </c>
      <c r="O140" s="762">
        <f>+VLOOKUP(D140,[3]IMF_fdi_credit_debitinc!$A$1:$C$201,2,0)/1000000</f>
        <v>0</v>
      </c>
      <c r="P140" s="762">
        <f>+VLOOKUP(D140,'[3]Inward, All'!A:AN,39,0)-+VLOOKUP(D140,'[3]Inward, All'!A:AN,40,0)+VLOOKUP(D140,'[3]DIRE Eurostat'!$A$3:$AQ$306,40,0)</f>
        <v>-1</v>
      </c>
      <c r="Q140" s="762">
        <f t="shared" si="26"/>
        <v>1</v>
      </c>
      <c r="R140" s="799"/>
    </row>
    <row r="141" spans="1:18" ht="14.25" customHeight="1" x14ac:dyDescent="0.35">
      <c r="D141" s="757" t="s">
        <v>209</v>
      </c>
      <c r="E141" s="763">
        <f t="shared" si="24"/>
        <v>1180</v>
      </c>
      <c r="F141" s="762">
        <f>+VLOOKUP(D141,[3]IMF_fdi_credit_debitinc!$A$1:$C$201,3,0)/1000000</f>
        <v>1180</v>
      </c>
      <c r="G141" s="762">
        <f>+VLOOKUP(D141,'[3]Outward, All'!A:AN,39,0)-+VLOOKUP(D141,'[3]Outward, All'!A:AN,40,0)+VLOOKUP(D141,'[3]DIA Eurostat'!$A$4:$AN$307,40,0)</f>
        <v>96.4</v>
      </c>
      <c r="H141" s="762">
        <f t="shared" si="25"/>
        <v>1083.5999999999999</v>
      </c>
      <c r="I141" s="764"/>
      <c r="J141" s="762"/>
      <c r="K141" s="762"/>
      <c r="L141" s="762"/>
      <c r="M141" s="762"/>
      <c r="N141" s="763">
        <f t="shared" si="23"/>
        <v>0</v>
      </c>
      <c r="O141" s="762">
        <f>+VLOOKUP(D141,[3]IMF_fdi_credit_debitinc!$A$1:$C$201,2,0)/1000000</f>
        <v>0</v>
      </c>
      <c r="P141" s="762">
        <f>+VLOOKUP(D141,'[3]Inward, All'!A:AN,39,0)-+VLOOKUP(D141,'[3]Inward, All'!A:AN,40,0)+VLOOKUP(D141,'[3]DIRE Eurostat'!$A$3:$AQ$306,40,0)</f>
        <v>0</v>
      </c>
      <c r="Q141" s="762">
        <f t="shared" si="26"/>
        <v>0</v>
      </c>
      <c r="R141" s="799"/>
    </row>
    <row r="142" spans="1:18" ht="14.25" customHeight="1" x14ac:dyDescent="0.35">
      <c r="D142" s="757" t="s">
        <v>221</v>
      </c>
      <c r="E142" s="763">
        <f t="shared" si="24"/>
        <v>18600</v>
      </c>
      <c r="F142" s="762">
        <f>+VLOOKUP(D142,[3]IMF_fdi_credit_debitinc!$A$1:$C$201,3,0)/1000000</f>
        <v>18600</v>
      </c>
      <c r="G142" s="762">
        <f>+VLOOKUP(D142,'[3]Outward, All'!A:AN,39,0)-+VLOOKUP(D142,'[3]Outward, All'!A:AN,40,0)+VLOOKUP(D142,'[3]DIA Eurostat'!$A$4:$AN$307,40,0)</f>
        <v>7111.8207493907667</v>
      </c>
      <c r="H142" s="762">
        <f t="shared" si="25"/>
        <v>11488.179250609233</v>
      </c>
      <c r="I142" s="764"/>
      <c r="J142" s="762"/>
      <c r="K142" s="762"/>
      <c r="L142" s="762"/>
      <c r="M142" s="762"/>
      <c r="N142" s="763">
        <f t="shared" si="23"/>
        <v>88.28855978</v>
      </c>
      <c r="O142" s="762">
        <f>+VLOOKUP(D142,[3]IMF_fdi_credit_debitinc!$A$1:$C$201,2,0)/1000000</f>
        <v>88.28855978</v>
      </c>
      <c r="P142" s="762">
        <f>+VLOOKUP(D142,'[3]Inward, All'!A:AN,39,0)-+VLOOKUP(D142,'[3]Inward, All'!A:AN,40,0)+VLOOKUP(D142,'[3]DIRE Eurostat'!$A$3:$AQ$306,40,0)</f>
        <v>-138.1976066683722</v>
      </c>
      <c r="Q142" s="762">
        <f t="shared" si="26"/>
        <v>226.48616644837222</v>
      </c>
      <c r="R142" s="799"/>
    </row>
    <row r="143" spans="1:18" ht="14.25" customHeight="1" x14ac:dyDescent="0.35">
      <c r="B143" s="410" t="s">
        <v>404</v>
      </c>
      <c r="D143" s="757" t="s">
        <v>403</v>
      </c>
      <c r="E143" s="763">
        <f t="shared" si="24"/>
        <v>0</v>
      </c>
      <c r="F143" s="762">
        <f>+VLOOKUP("Iran, Islamic Republic of",[3]IMF_fdi_credit_debitinc!$A$1:$C$201,3,0)/1000000</f>
        <v>0</v>
      </c>
      <c r="G143" s="762">
        <f>+VLOOKUP(B143,'[3]Outward, All'!A:AN,39,0)-+VLOOKUP(B143,'[3]Outward, All'!A:AN,40,0)+VLOOKUP(D143,'[3]DIA Eurostat'!$A$4:$AN$307,40,0)</f>
        <v>653.79999999999984</v>
      </c>
      <c r="H143" s="762">
        <f t="shared" si="25"/>
        <v>-653.79999999999984</v>
      </c>
      <c r="I143" s="764"/>
      <c r="J143" s="762"/>
      <c r="K143" s="762"/>
      <c r="L143" s="762"/>
      <c r="M143" s="762"/>
      <c r="N143" s="763">
        <f t="shared" si="23"/>
        <v>0</v>
      </c>
      <c r="O143" s="762">
        <f>+VLOOKUP("Iran, Islamic Republic of",[3]IMF_fdi_credit_debitinc!$A$1:$C$201,2,0)/1000000</f>
        <v>0</v>
      </c>
      <c r="P143" s="762">
        <f>+VLOOKUP(B143,'[3]Inward, All'!A:AN,39,0)-+VLOOKUP(B143,'[3]Inward, All'!A:AN,40,0)+VLOOKUP(D143,'[3]DIRE Eurostat'!$A$3:$AQ$306,40,0)</f>
        <v>-32.1</v>
      </c>
      <c r="Q143" s="762">
        <f t="shared" si="26"/>
        <v>32.1</v>
      </c>
      <c r="R143" s="799"/>
    </row>
    <row r="144" spans="1:18" ht="14.25" customHeight="1" x14ac:dyDescent="0.35">
      <c r="D144" s="757" t="s">
        <v>402</v>
      </c>
      <c r="E144" s="763">
        <f t="shared" si="24"/>
        <v>104</v>
      </c>
      <c r="F144" s="762">
        <f>+VLOOKUP(D144,[3]IMF_fdi_credit_debitinc!$A$1:$C$201,3,0)/1000000</f>
        <v>104</v>
      </c>
      <c r="G144" s="762">
        <v>0</v>
      </c>
      <c r="H144" s="762">
        <f t="shared" si="25"/>
        <v>104</v>
      </c>
      <c r="I144" s="764"/>
      <c r="J144" s="762"/>
      <c r="K144" s="762"/>
      <c r="L144" s="762"/>
      <c r="M144" s="762"/>
      <c r="N144" s="763">
        <f t="shared" si="23"/>
        <v>23.6</v>
      </c>
      <c r="O144" s="762">
        <f>+VLOOKUP(D144,[3]IMF_fdi_credit_debitinc!$A$1:$C$201,2,0)/1000000</f>
        <v>23.6</v>
      </c>
      <c r="P144" s="762">
        <f>+VLOOKUP(D144,'[3]Inward, All'!A:AN,39,0)-+VLOOKUP(D144,'[3]Inward, All'!A:AN,40,0)+VLOOKUP(D144,'[3]DIRE Eurostat'!$A$3:$AQ$306,40,0)</f>
        <v>0.1</v>
      </c>
      <c r="Q144" s="762">
        <f t="shared" si="26"/>
        <v>23.5</v>
      </c>
      <c r="R144" s="799"/>
    </row>
    <row r="145" spans="1:18" ht="14.25" customHeight="1" x14ac:dyDescent="0.35">
      <c r="D145" s="757" t="s">
        <v>401</v>
      </c>
      <c r="E145" s="763">
        <f t="shared" si="24"/>
        <v>244</v>
      </c>
      <c r="F145" s="762">
        <f>+VLOOKUP(D145,[3]IMF_fdi_credit_debitinc!$A$1:$C$201,3,0)/1000000</f>
        <v>244</v>
      </c>
      <c r="G145" s="762">
        <f>+VLOOKUP(D145,'[3]Outward, All'!A:AN,39,0)-+VLOOKUP(D145,'[3]Outward, All'!A:AN,40,0)+VLOOKUP(D145,'[3]DIA Eurostat'!$A$4:$AN$307,40,0)</f>
        <v>123.3</v>
      </c>
      <c r="H145" s="762">
        <f t="shared" si="25"/>
        <v>120.7</v>
      </c>
      <c r="I145" s="764"/>
      <c r="J145" s="762"/>
      <c r="K145" s="762"/>
      <c r="L145" s="762"/>
      <c r="M145" s="762"/>
      <c r="N145" s="763">
        <f t="shared" si="23"/>
        <v>22.79321882</v>
      </c>
      <c r="O145" s="762">
        <f>+VLOOKUP(D145,[3]IMF_fdi_credit_debitinc!$A$1:$C$201,2,0)/1000000</f>
        <v>22.79321882</v>
      </c>
      <c r="P145" s="762">
        <f>+VLOOKUP(D145,'[3]Inward, All'!A:AN,39,0)-+VLOOKUP(D145,'[3]Inward, All'!A:AN,40,0)+VLOOKUP(D145,'[3]DIRE Eurostat'!$A$3:$AQ$306,40,0)</f>
        <v>-0.7</v>
      </c>
      <c r="Q145" s="762">
        <f t="shared" si="26"/>
        <v>23.493218819999999</v>
      </c>
      <c r="R145" s="799"/>
    </row>
    <row r="146" spans="1:18" ht="14.25" customHeight="1" x14ac:dyDescent="0.35">
      <c r="D146" s="757" t="s">
        <v>400</v>
      </c>
      <c r="E146" s="763">
        <f t="shared" si="24"/>
        <v>794</v>
      </c>
      <c r="F146" s="762">
        <f>+VLOOKUP(D146,[3]IMF_fdi_credit_debitinc!$A$1:$C$201,3,0)/1000000</f>
        <v>794</v>
      </c>
      <c r="G146" s="762">
        <f>+VLOOKUP(D146,'[3]Outward, All'!A:AN,39,0)-+VLOOKUP(D146,'[3]Outward, All'!A:AN,40,0)+VLOOKUP(D146,'[3]DIA Eurostat'!$A$4:$AN$307,40,0)</f>
        <v>101.6</v>
      </c>
      <c r="H146" s="762">
        <f t="shared" si="25"/>
        <v>692.4</v>
      </c>
      <c r="I146" s="764"/>
      <c r="J146" s="762"/>
      <c r="K146" s="762"/>
      <c r="L146" s="762"/>
      <c r="M146" s="762"/>
      <c r="N146" s="763">
        <f t="shared" si="23"/>
        <v>0</v>
      </c>
      <c r="O146" s="762">
        <f>+VLOOKUP(D146,[3]IMF_fdi_credit_debitinc!$A$1:$C$201,2,0)/1000000</f>
        <v>0</v>
      </c>
      <c r="P146" s="762">
        <f>+VLOOKUP(D146,'[3]Inward, All'!A:AN,39,0)-+VLOOKUP(D146,'[3]Inward, All'!A:AN,40,0)+VLOOKUP(D146,'[3]DIRE Eurostat'!$A$3:$AQ$306,40,0)</f>
        <v>7.5</v>
      </c>
      <c r="Q146" s="762">
        <f t="shared" si="26"/>
        <v>-7.5</v>
      </c>
      <c r="R146" s="799"/>
    </row>
    <row r="147" spans="1:18" ht="14.25" customHeight="1" x14ac:dyDescent="0.35">
      <c r="D147" s="757" t="s">
        <v>399</v>
      </c>
      <c r="E147" s="763">
        <f t="shared" si="24"/>
        <v>8770</v>
      </c>
      <c r="F147" s="762">
        <f>+VLOOKUP(D147,[3]IMF_fdi_credit_debitinc!$A$1:$C$201,3,0)/1000000</f>
        <v>8770</v>
      </c>
      <c r="G147" s="762">
        <f>+VLOOKUP(D147,'[3]Outward, All'!A:AN,39,0)-+VLOOKUP(D147,'[3]Outward, All'!A:AN,40,0)+VLOOKUP(D147,'[3]DIA Eurostat'!$A$4:$AN$307,40,0)</f>
        <v>1254.7370723232889</v>
      </c>
      <c r="H147" s="762">
        <f t="shared" si="25"/>
        <v>7515.2629276767111</v>
      </c>
      <c r="I147" s="764"/>
      <c r="J147" s="762"/>
      <c r="K147" s="762"/>
      <c r="L147" s="762"/>
      <c r="M147" s="762"/>
      <c r="N147" s="763">
        <f t="shared" si="23"/>
        <v>584</v>
      </c>
      <c r="O147" s="762">
        <f>+VLOOKUP(D147,[3]IMF_fdi_credit_debitinc!$A$1:$C$201,2,0)/1000000</f>
        <v>584</v>
      </c>
      <c r="P147" s="762">
        <f>+VLOOKUP(D147,'[3]Inward, All'!A:AN,39,0)-+VLOOKUP(D147,'[3]Inward, All'!A:AN,40,0)+VLOOKUP(D147,'[3]DIRE Eurostat'!$A$3:$AQ$306,40,0)</f>
        <v>-122.2</v>
      </c>
      <c r="Q147" s="762">
        <f t="shared" si="26"/>
        <v>706.2</v>
      </c>
      <c r="R147" s="799"/>
    </row>
    <row r="148" spans="1:18" ht="14.25" customHeight="1" x14ac:dyDescent="0.35">
      <c r="D148" s="757" t="s">
        <v>398</v>
      </c>
      <c r="E148" s="763">
        <f t="shared" si="24"/>
        <v>0</v>
      </c>
      <c r="F148" s="762">
        <f>+VLOOKUP(D148,[3]IMF_fdi_credit_debitinc!$A$1:$C$201,3,0)/1000000</f>
        <v>0</v>
      </c>
      <c r="G148" s="762">
        <f>+VLOOKUP(D148,'[3]Outward, All'!A:AN,39,0)-+VLOOKUP(D148,'[3]Outward, All'!A:AN,40,0)+VLOOKUP(D148,'[3]DIA Eurostat'!$A$4:$AN$307,40,0)</f>
        <v>420.47599667671091</v>
      </c>
      <c r="H148" s="762">
        <f t="shared" si="25"/>
        <v>-420.47599667671091</v>
      </c>
      <c r="I148" s="764"/>
      <c r="J148" s="762"/>
      <c r="K148" s="762"/>
      <c r="L148" s="762"/>
      <c r="M148" s="762"/>
      <c r="N148" s="763">
        <f t="shared" si="23"/>
        <v>0</v>
      </c>
      <c r="O148" s="762">
        <f>+VLOOKUP(D148,[3]IMF_fdi_credit_debitinc!$A$1:$C$201,2,0)/1000000</f>
        <v>0</v>
      </c>
      <c r="P148" s="762">
        <f>+VLOOKUP(D148,'[3]Inward, All'!A:AN,39,0)-+VLOOKUP(D148,'[3]Inward, All'!A:AN,40,0)+VLOOKUP(D148,'[3]DIRE Eurostat'!$A$3:$AQ$306,40,0)</f>
        <v>0.6</v>
      </c>
      <c r="Q148" s="762">
        <f t="shared" si="26"/>
        <v>-0.6</v>
      </c>
      <c r="R148" s="799"/>
    </row>
    <row r="149" spans="1:18" ht="14.25" customHeight="1" x14ac:dyDescent="0.35">
      <c r="B149" s="412"/>
      <c r="D149" s="757" t="s">
        <v>397</v>
      </c>
      <c r="E149" s="763">
        <f t="shared" si="24"/>
        <v>2.4747287299999998</v>
      </c>
      <c r="F149" s="762">
        <f>+VLOOKUP(D149,[3]IMF_fdi_credit_debitinc!$A$1:$C$201,3,0)/1000000</f>
        <v>2.4747287299999998</v>
      </c>
      <c r="G149" s="762">
        <f>+VLOOKUP(D149,'[3]Outward, All'!A:AN,39,0)-+VLOOKUP(D149,'[3]Outward, All'!A:AN,40,0)+VLOOKUP(D149,'[3]DIA Eurostat'!$A$4:$AN$307,40,0)</f>
        <v>0</v>
      </c>
      <c r="H149" s="762">
        <f t="shared" si="25"/>
        <v>2.4747287299999998</v>
      </c>
      <c r="I149" s="764"/>
      <c r="J149" s="762"/>
      <c r="K149" s="762"/>
      <c r="L149" s="762"/>
      <c r="M149" s="762"/>
      <c r="N149" s="763">
        <f t="shared" si="23"/>
        <v>4.677746E-2</v>
      </c>
      <c r="O149" s="762">
        <f>+VLOOKUP(D149,[3]IMF_fdi_credit_debitinc!$A$1:$C$201,2,0)/1000000</f>
        <v>4.677746E-2</v>
      </c>
      <c r="P149" s="762">
        <f>+VLOOKUP(D149,'[3]Inward, All'!A:AN,39,0)-+VLOOKUP(D149,'[3]Inward, All'!A:AN,40,0)+VLOOKUP(D149,'[3]DIRE Eurostat'!$A$3:$AQ$306,40,0)</f>
        <v>0</v>
      </c>
      <c r="Q149" s="762">
        <f t="shared" si="26"/>
        <v>4.677746E-2</v>
      </c>
      <c r="R149" s="799"/>
    </row>
    <row r="150" spans="1:18" ht="14.25" customHeight="1" x14ac:dyDescent="0.35">
      <c r="D150" s="757" t="s">
        <v>396</v>
      </c>
      <c r="E150" s="763">
        <f t="shared" si="24"/>
        <v>116</v>
      </c>
      <c r="F150" s="762">
        <f>+VLOOKUP(D150,[3]IMF_fdi_credit_debitinc!$A$1:$C$201,3,0)/1000000</f>
        <v>116</v>
      </c>
      <c r="G150" s="762">
        <v>0</v>
      </c>
      <c r="H150" s="762">
        <f t="shared" si="25"/>
        <v>116</v>
      </c>
      <c r="I150" s="764"/>
      <c r="J150" s="762"/>
      <c r="K150" s="762"/>
      <c r="L150" s="762"/>
      <c r="M150" s="762"/>
      <c r="N150" s="763">
        <f t="shared" si="23"/>
        <v>3.4978055339999998</v>
      </c>
      <c r="O150" s="762">
        <f>+VLOOKUP(D150,[3]IMF_fdi_credit_debitinc!$A$1:$C$201,2,0)/1000000</f>
        <v>3.4978055339999998</v>
      </c>
      <c r="P150" s="762">
        <v>0</v>
      </c>
      <c r="Q150" s="762">
        <f t="shared" si="26"/>
        <v>3.4978055339999998</v>
      </c>
      <c r="R150" s="799"/>
    </row>
    <row r="151" spans="1:18" ht="14.25" customHeight="1" x14ac:dyDescent="0.35">
      <c r="D151" s="757" t="s">
        <v>395</v>
      </c>
      <c r="E151" s="763">
        <f t="shared" si="24"/>
        <v>1720</v>
      </c>
      <c r="F151" s="762">
        <f>+VLOOKUP(D151,[3]IMF_fdi_credit_debitinc!$A$1:$C$201,3,0)/1000000</f>
        <v>1720</v>
      </c>
      <c r="G151" s="762">
        <f>+VLOOKUP(D151,'[3]Outward, All'!A:AN,39,0)-+VLOOKUP(D151,'[3]Outward, All'!A:AN,40,0)+VLOOKUP(D151,'[3]DIA Eurostat'!$A$4:$AN$307,40,0)</f>
        <v>1125.8999999999999</v>
      </c>
      <c r="H151" s="762">
        <f t="shared" si="25"/>
        <v>594.10000000000014</v>
      </c>
      <c r="I151" s="764"/>
      <c r="J151" s="762"/>
      <c r="K151" s="762"/>
      <c r="L151" s="762"/>
      <c r="M151" s="762"/>
      <c r="N151" s="763">
        <f t="shared" si="23"/>
        <v>3940</v>
      </c>
      <c r="O151" s="762">
        <f>+VLOOKUP(D151,[3]IMF_fdi_credit_debitinc!$A$1:$C$201,2,0)/1000000</f>
        <v>3940</v>
      </c>
      <c r="P151" s="762">
        <f>+VLOOKUP(D151,'[3]Inward, All'!A:AN,39,0)-+VLOOKUP(D151,'[3]Inward, All'!A:AN,40,0)+VLOOKUP(D151,'[3]DIRE Eurostat'!$A$3:$AQ$306,40,0)</f>
        <v>48.3</v>
      </c>
      <c r="Q151" s="762">
        <f t="shared" si="26"/>
        <v>3891.7</v>
      </c>
      <c r="R151" s="799"/>
    </row>
    <row r="152" spans="1:18" ht="14.25" customHeight="1" x14ac:dyDescent="0.35">
      <c r="B152" s="410" t="s">
        <v>394</v>
      </c>
      <c r="D152" s="757" t="s">
        <v>393</v>
      </c>
      <c r="E152" s="763">
        <f t="shared" si="24"/>
        <v>191</v>
      </c>
      <c r="F152" s="762">
        <f>+VLOOKUP("Kyrgyz Republic",[3]IMF_fdi_credit_debitinc!$A$1:$C$201,3,0)/1000000</f>
        <v>191</v>
      </c>
      <c r="G152" s="762">
        <f>+VLOOKUP(D152,'[3]Outward, All'!A:AN,39,0)-+VLOOKUP(D152,'[3]Outward, All'!A:AN,40,0)+VLOOKUP(D152,'[3]DIA Eurostat'!$A$4:$AN$307,40,0)</f>
        <v>0.5</v>
      </c>
      <c r="H152" s="762">
        <f t="shared" si="25"/>
        <v>190.5</v>
      </c>
      <c r="I152" s="764"/>
      <c r="J152" s="762"/>
      <c r="K152" s="762"/>
      <c r="L152" s="762"/>
      <c r="M152" s="762"/>
      <c r="N152" s="763">
        <f t="shared" si="23"/>
        <v>0</v>
      </c>
      <c r="O152" s="762">
        <f>+VLOOKUP("Kyrgyz Republic",[3]IMF_fdi_credit_debitinc!$A$1:$C$201,2,0)/1000000</f>
        <v>0</v>
      </c>
      <c r="P152" s="762">
        <f>+VLOOKUP(D152,'[3]Inward, All'!A:AN,39,0)-+VLOOKUP(D152,'[3]Inward, All'!A:AN,40,0)+VLOOKUP(D152,'[3]DIRE Eurostat'!$A$3:$AQ$306,40,0)</f>
        <v>0</v>
      </c>
      <c r="Q152" s="762">
        <f t="shared" si="26"/>
        <v>0</v>
      </c>
      <c r="R152" s="799"/>
    </row>
    <row r="153" spans="1:18" ht="14.25" customHeight="1" x14ac:dyDescent="0.35">
      <c r="B153" s="410" t="s">
        <v>392</v>
      </c>
      <c r="D153" s="757" t="s">
        <v>391</v>
      </c>
      <c r="E153" s="763">
        <f t="shared" si="24"/>
        <v>86.209429260000007</v>
      </c>
      <c r="F153" s="762">
        <f>+VLOOKUP("Lao People's Democratic Republic",[3]IMF_fdi_credit_debitinc!$A$1:$C$201,3,0)/1000000</f>
        <v>86.209429260000007</v>
      </c>
      <c r="G153" s="762">
        <f>+VLOOKUP(B153,'[3]Outward, All'!A:AN,39,0)-+VLOOKUP(B153,'[3]Outward, All'!A:AN,40,0)+VLOOKUP(D153,'[3]DIA Eurostat'!$A$4:$AN$307,40,0)</f>
        <v>56.314139999999995</v>
      </c>
      <c r="H153" s="762">
        <f t="shared" si="25"/>
        <v>29.895289260000013</v>
      </c>
      <c r="I153" s="764"/>
      <c r="J153" s="762"/>
      <c r="K153" s="762"/>
      <c r="L153" s="762"/>
      <c r="M153" s="762"/>
      <c r="N153" s="763">
        <f t="shared" si="23"/>
        <v>0</v>
      </c>
      <c r="O153" s="762">
        <f>+VLOOKUP("Lao People's Democratic Republic",[3]IMF_fdi_credit_debitinc!$A$1:$C$201,2,0)/1000000</f>
        <v>0</v>
      </c>
      <c r="P153" s="762">
        <f>+VLOOKUP(B153,'[3]Inward, All'!A:AN,39,0)-+VLOOKUP(B153,'[3]Inward, All'!A:AN,40,0)+VLOOKUP(D153,'[3]DIRE Eurostat'!$A$3:$AQ$306,40,0)</f>
        <v>34</v>
      </c>
      <c r="Q153" s="762">
        <f t="shared" si="26"/>
        <v>-34</v>
      </c>
      <c r="R153" s="799"/>
    </row>
    <row r="154" spans="1:18" ht="14.25" customHeight="1" x14ac:dyDescent="0.35">
      <c r="D154" s="757" t="s">
        <v>390</v>
      </c>
      <c r="E154" s="763">
        <f t="shared" si="24"/>
        <v>126</v>
      </c>
      <c r="F154" s="762">
        <f>+VLOOKUP(D154,[3]IMF_fdi_credit_debitinc!$A$1:$C$201,3,0)/1000000</f>
        <v>126</v>
      </c>
      <c r="G154" s="762">
        <f>+VLOOKUP(D154,'[3]Outward, All'!A:AN,39,0)-+VLOOKUP(D154,'[3]Outward, All'!A:AN,40,0)+VLOOKUP(D154,'[3]DIA Eurostat'!$A$4:$AN$307,40,0)</f>
        <v>8.1999999999999993</v>
      </c>
      <c r="H154" s="762">
        <f t="shared" si="25"/>
        <v>117.8</v>
      </c>
      <c r="I154" s="764"/>
      <c r="J154" s="762"/>
      <c r="K154" s="762"/>
      <c r="L154" s="762"/>
      <c r="M154" s="762"/>
      <c r="N154" s="763">
        <f t="shared" si="23"/>
        <v>0</v>
      </c>
      <c r="O154" s="762">
        <f>+VLOOKUP(D154,[3]IMF_fdi_credit_debitinc!$A$1:$C$201,2,0)/1000000</f>
        <v>0</v>
      </c>
      <c r="P154" s="762">
        <f>+VLOOKUP(D154,'[3]Inward, All'!A:AN,39,0)-+VLOOKUP(D154,'[3]Inward, All'!A:AN,40,0)+VLOOKUP(D154,'[3]DIRE Eurostat'!$A$3:$AQ$306,40,0)</f>
        <v>0.1</v>
      </c>
      <c r="Q154" s="762">
        <f t="shared" si="26"/>
        <v>-0.1</v>
      </c>
      <c r="R154" s="799"/>
    </row>
    <row r="155" spans="1:18" ht="14.25" customHeight="1" x14ac:dyDescent="0.35">
      <c r="D155" s="757" t="s">
        <v>389</v>
      </c>
      <c r="E155" s="763">
        <f t="shared" ref="E155:E187" si="27">+F155</f>
        <v>372</v>
      </c>
      <c r="F155" s="762">
        <f>+VLOOKUP(D155,[3]IMF_fdi_credit_debitinc!$A$1:$C$201,3,0)/1000000</f>
        <v>372</v>
      </c>
      <c r="G155" s="762">
        <f>+VLOOKUP(D155,'[3]Outward, All'!A:AN,39,0)-+VLOOKUP(D155,'[3]Outward, All'!A:AN,40,0)+VLOOKUP(D155,'[3]DIA Eurostat'!$A$4:$AN$307,40,0)</f>
        <v>-139.95157794228899</v>
      </c>
      <c r="H155" s="762">
        <f t="shared" ref="H155:H184" si="28">+E155-G155</f>
        <v>511.95157794228896</v>
      </c>
      <c r="I155" s="764"/>
      <c r="J155" s="762"/>
      <c r="K155" s="762"/>
      <c r="L155" s="762"/>
      <c r="M155" s="762"/>
      <c r="N155" s="763">
        <f t="shared" si="23"/>
        <v>0</v>
      </c>
      <c r="O155" s="762">
        <f>+VLOOKUP(D155,[3]IMF_fdi_credit_debitinc!$A$1:$C$201,2,0)/1000000</f>
        <v>0</v>
      </c>
      <c r="P155" s="762">
        <f>+VLOOKUP(D155,'[3]Inward, All'!A:AN,39,0)-+VLOOKUP(D155,'[3]Inward, All'!A:AN,40,0)+VLOOKUP(D155,'[3]DIRE Eurostat'!$A$3:$AQ$306,40,0)</f>
        <v>-3.0239202410625001</v>
      </c>
      <c r="Q155" s="762">
        <f t="shared" ref="Q155:Q184" si="29">+N155-P155</f>
        <v>3.0239202410625001</v>
      </c>
      <c r="R155" s="799"/>
    </row>
    <row r="156" spans="1:18" ht="14.25" customHeight="1" x14ac:dyDescent="0.35">
      <c r="D156" s="757" t="s">
        <v>388</v>
      </c>
      <c r="E156" s="763">
        <f t="shared" si="27"/>
        <v>0</v>
      </c>
      <c r="F156" s="762">
        <f>+VLOOKUP(D156,[3]IMF_fdi_credit_debitinc!$A$1:$C$201,3,0)/1000000</f>
        <v>0</v>
      </c>
      <c r="G156" s="762">
        <f>+VLOOKUP(D156,'[3]Outward, All'!A:AN,39,0)-+VLOOKUP(D156,'[3]Outward, All'!A:AN,40,0)+VLOOKUP(D156,'[3]DIA Eurostat'!$A$4:$AN$307,40,0)</f>
        <v>-689.97632900561712</v>
      </c>
      <c r="H156" s="762">
        <f t="shared" si="28"/>
        <v>689.97632900561712</v>
      </c>
      <c r="I156" s="764"/>
      <c r="J156" s="762"/>
      <c r="K156" s="762"/>
      <c r="L156" s="762"/>
      <c r="M156" s="762"/>
      <c r="N156" s="763">
        <f t="shared" ref="N156:N217" si="30">+O156</f>
        <v>0</v>
      </c>
      <c r="O156" s="762">
        <f>+VLOOKUP(D156,[3]IMF_fdi_credit_debitinc!$A$1:$C$201,2,0)/1000000</f>
        <v>0</v>
      </c>
      <c r="P156" s="762">
        <f>+VLOOKUP(D156,'[3]Inward, All'!A:AN,39,0)-+VLOOKUP(D156,'[3]Inward, All'!A:AN,40,0)+VLOOKUP(D156,'[3]DIRE Eurostat'!$A$3:$AQ$306,40,0)</f>
        <v>-0.4</v>
      </c>
      <c r="Q156" s="762">
        <f t="shared" si="29"/>
        <v>0.4</v>
      </c>
      <c r="R156" s="799"/>
    </row>
    <row r="157" spans="1:18" ht="14.25" customHeight="1" x14ac:dyDescent="0.35">
      <c r="D157" s="757" t="s">
        <v>489</v>
      </c>
      <c r="E157" s="763">
        <f>HLOOKUP(D157,'[3]Inward, All'!$C$10:$AL$1005,252,0)</f>
        <v>1678.768718802</v>
      </c>
      <c r="F157" s="762">
        <f>+VLOOKUP(D157,[3]IMF_fdi_credit_debitinc!$A$1:$C$201,3,0)/1000000</f>
        <v>1690</v>
      </c>
      <c r="G157" s="762">
        <f>+'[3]Outward, All'!AM48-'[3]Outward, All'!AN48+VLOOKUP(D157,'[3]DIA Eurostat'!$A$4:$AN$307,40,0)</f>
        <v>856</v>
      </c>
      <c r="H157" s="762">
        <f>+E157-G157</f>
        <v>822.76871880199997</v>
      </c>
      <c r="I157" s="764"/>
      <c r="J157" s="762"/>
      <c r="K157" s="762"/>
      <c r="L157" s="762"/>
      <c r="M157" s="762"/>
      <c r="N157" s="763">
        <f t="shared" si="30"/>
        <v>107</v>
      </c>
      <c r="O157" s="762">
        <f>+VLOOKUP(D157,[3]IMF_fdi_credit_debitinc!$A$1:$C$201,2,0)/1000000</f>
        <v>107</v>
      </c>
      <c r="P157" s="762">
        <f>+'[3]Inward, All'!AM50-'[3]Inward, All'!AN50+VLOOKUP(D157,'[3]DIRE Eurostat'!$A$3:$AQ$306,40,0)</f>
        <v>73.5</v>
      </c>
      <c r="Q157" s="762">
        <f>+N157-P157</f>
        <v>33.5</v>
      </c>
      <c r="R157" s="799"/>
    </row>
    <row r="158" spans="1:18" ht="14.25" customHeight="1" x14ac:dyDescent="0.35">
      <c r="A158" s="379" t="s">
        <v>387</v>
      </c>
      <c r="B158" s="379" t="s">
        <v>386</v>
      </c>
      <c r="D158" s="757" t="s">
        <v>385</v>
      </c>
      <c r="E158" s="763">
        <f t="shared" si="27"/>
        <v>371</v>
      </c>
      <c r="F158" s="762">
        <f>+VLOOKUP(D158,[3]IMF_fdi_credit_debitinc!$A$1:$C$201,3,0)/1000000</f>
        <v>371</v>
      </c>
      <c r="G158" s="762">
        <f>+VLOOKUP(A158,'[3]Outward, All'!A:AN,39,0)-+VLOOKUP(A158,'[3]Outward, All'!A:AN,40,0)+VLOOKUP(B158,'[3]DIA Eurostat'!$A$4:$AN$307,40,0)</f>
        <v>298.3</v>
      </c>
      <c r="H158" s="762">
        <f t="shared" si="28"/>
        <v>72.699999999999989</v>
      </c>
      <c r="I158" s="764"/>
      <c r="J158" s="762"/>
      <c r="K158" s="762"/>
      <c r="L158" s="762"/>
      <c r="M158" s="762"/>
      <c r="N158" s="763">
        <f t="shared" si="30"/>
        <v>39.4570224</v>
      </c>
      <c r="O158" s="762">
        <f>+VLOOKUP(D158,[3]IMF_fdi_credit_debitinc!$A$1:$C$201,2,0)/1000000</f>
        <v>39.4570224</v>
      </c>
      <c r="P158" s="762">
        <f>+VLOOKUP(A158,'[3]Inward, All'!A:AN,39,0)-+VLOOKUP(A158,'[3]Inward, All'!A:AN,40,0)+VLOOKUP(B158,'[3]DIRE Eurostat'!$A$3:$AQ$306,40,0)</f>
        <v>6.3</v>
      </c>
      <c r="Q158" s="762">
        <f t="shared" si="29"/>
        <v>33.157022400000002</v>
      </c>
      <c r="R158" s="799"/>
    </row>
    <row r="159" spans="1:18" ht="14.25" customHeight="1" x14ac:dyDescent="0.35">
      <c r="D159" s="757" t="s">
        <v>384</v>
      </c>
      <c r="E159" s="763">
        <f t="shared" si="27"/>
        <v>347</v>
      </c>
      <c r="F159" s="762">
        <f>+VLOOKUP(D159,[3]IMF_fdi_credit_debitinc!$A$1:$C$201,3,0)/1000000</f>
        <v>347</v>
      </c>
      <c r="G159" s="762">
        <f>+VLOOKUP(D159,'[3]Outward, All'!A:AN,39,0)-+VLOOKUP(D159,'[3]Outward, All'!A:AN,40,0)+VLOOKUP(D159,'[3]DIA Eurostat'!$A$4:$AN$307,40,0)</f>
        <v>41.6</v>
      </c>
      <c r="H159" s="762">
        <f t="shared" si="28"/>
        <v>305.39999999999998</v>
      </c>
      <c r="I159" s="764"/>
      <c r="J159" s="762"/>
      <c r="K159" s="762"/>
      <c r="L159" s="762"/>
      <c r="M159" s="762"/>
      <c r="N159" s="763">
        <f t="shared" si="30"/>
        <v>0.10951525999999999</v>
      </c>
      <c r="O159" s="762">
        <f>+VLOOKUP(D159,[3]IMF_fdi_credit_debitinc!$A$1:$C$201,2,0)/1000000</f>
        <v>0.10951525999999999</v>
      </c>
      <c r="P159" s="762">
        <f>+VLOOKUP(D159,'[3]Inward, All'!A:AN,39,0)-+VLOOKUP(D159,'[3]Inward, All'!A:AN,40,0)+VLOOKUP(D159,'[3]DIRE Eurostat'!$A$3:$AQ$306,40,0)</f>
        <v>0</v>
      </c>
      <c r="Q159" s="762">
        <f t="shared" si="29"/>
        <v>0.10951525999999999</v>
      </c>
      <c r="R159" s="799"/>
    </row>
    <row r="160" spans="1:18" ht="14.25" customHeight="1" x14ac:dyDescent="0.35">
      <c r="B160" s="412"/>
      <c r="D160" s="757" t="s">
        <v>383</v>
      </c>
      <c r="E160" s="763">
        <f t="shared" si="27"/>
        <v>299</v>
      </c>
      <c r="F160" s="762">
        <f>+VLOOKUP(D160,[3]IMF_fdi_credit_debitinc!$A$1:$C$201,3,0)/1000000</f>
        <v>299</v>
      </c>
      <c r="G160" s="762">
        <f>+VLOOKUP(D160,'[3]Outward, All'!A:AN,39,0)-+VLOOKUP(D160,'[3]Outward, All'!A:AN,40,0)+VLOOKUP(D160,'[3]DIA Eurostat'!$A$4:$AN$307,40,0)</f>
        <v>70.2</v>
      </c>
      <c r="H160" s="762">
        <f t="shared" si="28"/>
        <v>228.8</v>
      </c>
      <c r="I160" s="764"/>
      <c r="J160" s="762"/>
      <c r="K160" s="762"/>
      <c r="L160" s="762"/>
      <c r="M160" s="762"/>
      <c r="N160" s="763">
        <f t="shared" si="30"/>
        <v>-9.0221839999999998E-2</v>
      </c>
      <c r="O160" s="762">
        <f>+VLOOKUP(D160,[3]IMF_fdi_credit_debitinc!$A$1:$C$201,2,0)/1000000</f>
        <v>-9.0221839999999998E-2</v>
      </c>
      <c r="P160" s="762">
        <f>+VLOOKUP(D160,'[3]Inward, All'!A:AN,39,0)-+VLOOKUP(D160,'[3]Inward, All'!A:AN,40,0)+VLOOKUP(D160,'[3]DIRE Eurostat'!$A$3:$AQ$306,40,0)</f>
        <v>-0.2</v>
      </c>
      <c r="Q160" s="762">
        <f t="shared" si="29"/>
        <v>0.10977816000000001</v>
      </c>
      <c r="R160" s="799"/>
    </row>
    <row r="161" spans="1:18" ht="14.25" customHeight="1" x14ac:dyDescent="0.35">
      <c r="D161" s="757" t="s">
        <v>223</v>
      </c>
      <c r="E161" s="763">
        <f t="shared" si="27"/>
        <v>13200</v>
      </c>
      <c r="F161" s="762">
        <f>+VLOOKUP(D161,[3]IMF_fdi_credit_debitinc!$A$1:$C$201,3,0)/1000000</f>
        <v>13200</v>
      </c>
      <c r="G161" s="762">
        <f>+VLOOKUP(D161,'[3]Outward, All'!A:AN,39,0)-+VLOOKUP(D161,'[3]Outward, All'!A:AN,40,0)+VLOOKUP(D161,'[3]DIA Eurostat'!$A$4:$AN$307,40,0)</f>
        <v>5669.7286676192707</v>
      </c>
      <c r="H161" s="762">
        <f t="shared" si="28"/>
        <v>7530.2713323807293</v>
      </c>
      <c r="I161" s="764"/>
      <c r="J161" s="762"/>
      <c r="K161" s="762"/>
      <c r="L161" s="762"/>
      <c r="M161" s="762"/>
      <c r="N161" s="763">
        <f t="shared" si="30"/>
        <v>4790</v>
      </c>
      <c r="O161" s="762">
        <f>+VLOOKUP(D161,[3]IMF_fdi_credit_debitinc!$A$1:$C$201,2,0)/1000000</f>
        <v>4790</v>
      </c>
      <c r="P161" s="762">
        <f>+VLOOKUP(D161,'[3]Inward, All'!A:AN,39,0)-+VLOOKUP(D161,'[3]Inward, All'!A:AN,40,0)+VLOOKUP(D161,'[3]DIRE Eurostat'!$A$3:$AQ$306,40,0)</f>
        <v>740.07738434292605</v>
      </c>
      <c r="Q161" s="762">
        <f t="shared" si="29"/>
        <v>4049.9226156570739</v>
      </c>
      <c r="R161" s="799"/>
    </row>
    <row r="162" spans="1:18" ht="14.25" customHeight="1" x14ac:dyDescent="0.35">
      <c r="D162" s="757" t="s">
        <v>382</v>
      </c>
      <c r="E162" s="763">
        <f t="shared" si="27"/>
        <v>285</v>
      </c>
      <c r="F162" s="762">
        <f>+VLOOKUP(D162,[3]IMF_fdi_credit_debitinc!$A$1:$C$201,3,0)/1000000</f>
        <v>285</v>
      </c>
      <c r="G162" s="762">
        <f>+VLOOKUP(D162,'[3]Outward, All'!A:AN,39,0)-+VLOOKUP(D162,'[3]Outward, All'!A:AN,40,0)+VLOOKUP(D162,'[3]DIA Eurostat'!$A$4:$AN$307,40,0)</f>
        <v>11.100000000000001</v>
      </c>
      <c r="H162" s="762">
        <f t="shared" si="28"/>
        <v>273.89999999999998</v>
      </c>
      <c r="I162" s="764"/>
      <c r="J162" s="762"/>
      <c r="K162" s="762"/>
      <c r="L162" s="762"/>
      <c r="M162" s="762"/>
      <c r="N162" s="763">
        <f t="shared" si="30"/>
        <v>0</v>
      </c>
      <c r="O162" s="762">
        <f>+VLOOKUP(D162,[3]IMF_fdi_credit_debitinc!$A$1:$C$201,2,0)/1000000</f>
        <v>0</v>
      </c>
      <c r="P162" s="762">
        <f>+VLOOKUP(D162,'[3]Inward, All'!A:AN,39,0)-+VLOOKUP(D162,'[3]Inward, All'!A:AN,40,0)+VLOOKUP(D162,'[3]DIRE Eurostat'!$A$3:$AQ$306,40,0)</f>
        <v>0.1</v>
      </c>
      <c r="Q162" s="762">
        <f t="shared" si="29"/>
        <v>-0.1</v>
      </c>
      <c r="R162" s="799"/>
    </row>
    <row r="163" spans="1:18" ht="14.25" customHeight="1" x14ac:dyDescent="0.35">
      <c r="B163" s="412"/>
      <c r="D163" s="757" t="s">
        <v>381</v>
      </c>
      <c r="E163" s="763">
        <f t="shared" si="27"/>
        <v>0</v>
      </c>
      <c r="F163" s="762">
        <f>+VLOOKUP(D163,[3]IMF_fdi_credit_debitinc!$A$1:$C$201,3,0)/1000000</f>
        <v>0</v>
      </c>
      <c r="G163" s="762">
        <f>+VLOOKUP(D163,'[3]Outward, All'!A:AN,39,0)-+VLOOKUP(D163,'[3]Outward, All'!A:AN,40,0)+VLOOKUP(D163,'[3]DIA Eurostat'!$A$4:$AN$307,40,0)</f>
        <v>28.3</v>
      </c>
      <c r="H163" s="762">
        <f t="shared" si="28"/>
        <v>-28.3</v>
      </c>
      <c r="I163" s="764"/>
      <c r="J163" s="762"/>
      <c r="K163" s="762"/>
      <c r="L163" s="762"/>
      <c r="M163" s="762"/>
      <c r="N163" s="763">
        <f t="shared" si="30"/>
        <v>0</v>
      </c>
      <c r="O163" s="762">
        <f>+VLOOKUP(D163,[3]IMF_fdi_credit_debitinc!$A$1:$C$201,2,0)/1000000</f>
        <v>0</v>
      </c>
      <c r="P163" s="762">
        <f>+VLOOKUP(D163,'[3]Inward, All'!A:AN,39,0)-+VLOOKUP(D163,'[3]Inward, All'!A:AN,40,0)+VLOOKUP(D163,'[3]DIRE Eurostat'!$A$3:$AQ$306,40,0)</f>
        <v>0</v>
      </c>
      <c r="Q163" s="762">
        <f t="shared" si="29"/>
        <v>0</v>
      </c>
      <c r="R163" s="799"/>
    </row>
    <row r="164" spans="1:18" ht="14.25" customHeight="1" x14ac:dyDescent="0.35">
      <c r="D164" s="757" t="s">
        <v>380</v>
      </c>
      <c r="E164" s="763">
        <f t="shared" si="27"/>
        <v>0</v>
      </c>
      <c r="F164" s="762">
        <f>+VLOOKUP(D164,[3]IMF_fdi_credit_debitinc!$A$1:$C$201,3,0)/1000000</f>
        <v>0</v>
      </c>
      <c r="G164" s="762">
        <f>+VLOOKUP(D164,'[3]Outward, All'!A:AN,39,0)-+VLOOKUP(D164,'[3]Outward, All'!A:AN,40,0)+VLOOKUP(D164,'[3]DIA Eurostat'!$A$4:$AN$307,40,0)</f>
        <v>2.2999999999999998</v>
      </c>
      <c r="H164" s="762">
        <f t="shared" si="28"/>
        <v>-2.2999999999999998</v>
      </c>
      <c r="I164" s="764"/>
      <c r="J164" s="762"/>
      <c r="K164" s="762"/>
      <c r="L164" s="762"/>
      <c r="M164" s="762"/>
      <c r="N164" s="763">
        <f t="shared" si="30"/>
        <v>0</v>
      </c>
      <c r="O164" s="762">
        <f>+VLOOKUP(D164,[3]IMF_fdi_credit_debitinc!$A$1:$C$201,2,0)/1000000</f>
        <v>0</v>
      </c>
      <c r="P164" s="762">
        <f>+VLOOKUP(D164,'[3]Inward, All'!A:AN,39,0)-+VLOOKUP(D164,'[3]Inward, All'!A:AN,40,0)+VLOOKUP(D164,'[3]DIRE Eurostat'!$A$3:$AQ$306,40,0)</f>
        <v>0</v>
      </c>
      <c r="Q164" s="762">
        <f t="shared" si="29"/>
        <v>0</v>
      </c>
      <c r="R164" s="799"/>
    </row>
    <row r="165" spans="1:18" ht="14.25" customHeight="1" x14ac:dyDescent="0.35">
      <c r="A165" s="410" t="s">
        <v>379</v>
      </c>
      <c r="B165" s="379" t="s">
        <v>378</v>
      </c>
      <c r="D165" s="757" t="s">
        <v>377</v>
      </c>
      <c r="E165" s="763">
        <f t="shared" si="27"/>
        <v>0</v>
      </c>
      <c r="F165" s="762">
        <f>+VLOOKUP("Micronesia, Federated States of",[3]IMF_fdi_credit_debitinc!$A$1:$C$201,3,0)/1000000</f>
        <v>0</v>
      </c>
      <c r="G165" s="762">
        <f>+VLOOKUP(D165,'[3]Outward, All'!A:AN,39,0)-+VLOOKUP(D165,'[3]Outward, All'!A:AN,40,0)+VLOOKUP(B165,'[3]DIA Eurostat'!$A$4:$AN$307,40,0)</f>
        <v>1</v>
      </c>
      <c r="H165" s="762">
        <f t="shared" si="28"/>
        <v>-1</v>
      </c>
      <c r="I165" s="764"/>
      <c r="J165" s="762"/>
      <c r="K165" s="762"/>
      <c r="L165" s="762"/>
      <c r="M165" s="762"/>
      <c r="N165" s="763">
        <f t="shared" si="30"/>
        <v>0</v>
      </c>
      <c r="O165" s="762">
        <f>+VLOOKUP("Micronesia, Federated States of",[3]IMF_fdi_credit_debitinc!$A$1:$C$201,2,0)/1000000</f>
        <v>0</v>
      </c>
      <c r="P165" s="762">
        <f>+VLOOKUP(D165,'[3]Inward, All'!A:AN,39,0)-+VLOOKUP(D165,'[3]Inward, All'!A:AN,40,0)+VLOOKUP(B165,'[3]DIRE Eurostat'!$A$3:$AQ$306,40,0)</f>
        <v>0</v>
      </c>
      <c r="Q165" s="762">
        <f t="shared" si="29"/>
        <v>0</v>
      </c>
      <c r="R165" s="799"/>
    </row>
    <row r="166" spans="1:18" ht="14.25" customHeight="1" x14ac:dyDescent="0.35">
      <c r="D166" s="757" t="s">
        <v>376</v>
      </c>
      <c r="E166" s="763">
        <f t="shared" si="27"/>
        <v>217</v>
      </c>
      <c r="F166" s="762">
        <f>+VLOOKUP(D166,[3]IMF_fdi_credit_debitinc!$A$1:$C$201,3,0)/1000000</f>
        <v>217</v>
      </c>
      <c r="G166" s="762">
        <f>+VLOOKUP(D166,'[3]Outward, All'!A:AN,39,0)-+VLOOKUP(D166,'[3]Outward, All'!A:AN,40,0)+VLOOKUP(D166,'[3]DIA Eurostat'!$A$4:$AN$307,40,0)</f>
        <v>62.2</v>
      </c>
      <c r="H166" s="762">
        <f t="shared" si="28"/>
        <v>154.80000000000001</v>
      </c>
      <c r="I166" s="764"/>
      <c r="J166" s="762"/>
      <c r="K166" s="762"/>
      <c r="L166" s="762"/>
      <c r="M166" s="762"/>
      <c r="N166" s="763">
        <f t="shared" si="30"/>
        <v>8.25</v>
      </c>
      <c r="O166" s="762">
        <f>+VLOOKUP(D166,[3]IMF_fdi_credit_debitinc!$A$1:$C$201,2,0)/1000000</f>
        <v>8.25</v>
      </c>
      <c r="P166" s="762">
        <f>+VLOOKUP(D166,'[3]Inward, All'!A:AN,39,0)-+VLOOKUP(D166,'[3]Inward, All'!A:AN,40,0)+VLOOKUP(D166,'[3]DIRE Eurostat'!$A$3:$AQ$306,40,0)</f>
        <v>0.80000000000000016</v>
      </c>
      <c r="Q166" s="762">
        <f t="shared" si="29"/>
        <v>7.45</v>
      </c>
      <c r="R166" s="799"/>
    </row>
    <row r="167" spans="1:18" ht="14.25" customHeight="1" x14ac:dyDescent="0.35">
      <c r="D167" s="757" t="s">
        <v>375</v>
      </c>
      <c r="E167" s="763">
        <f t="shared" si="27"/>
        <v>460</v>
      </c>
      <c r="F167" s="762">
        <f>+VLOOKUP(D167,[3]IMF_fdi_credit_debitinc!$A$1:$C$201,3,0)/1000000</f>
        <v>460</v>
      </c>
      <c r="G167" s="762">
        <f>+VLOOKUP(D167,'[3]Outward, All'!A:AN,39,0)-+VLOOKUP(D167,'[3]Outward, All'!A:AN,40,0)+VLOOKUP(D167,'[3]DIA Eurostat'!$A$4:$AN$307,40,0)</f>
        <v>-8.5147560000000002</v>
      </c>
      <c r="H167" s="762">
        <f t="shared" si="28"/>
        <v>468.51475599999998</v>
      </c>
      <c r="I167" s="764"/>
      <c r="J167" s="762"/>
      <c r="K167" s="762"/>
      <c r="L167" s="762"/>
      <c r="M167" s="762"/>
      <c r="N167" s="763">
        <f t="shared" si="30"/>
        <v>0.82106268999999998</v>
      </c>
      <c r="O167" s="762">
        <f>+VLOOKUP(D167,[3]IMF_fdi_credit_debitinc!$A$1:$C$201,2,0)/1000000</f>
        <v>0.82106268999999998</v>
      </c>
      <c r="P167" s="762">
        <f>+VLOOKUP(D167,'[3]Inward, All'!A:AN,39,0)-+VLOOKUP(D167,'[3]Inward, All'!A:AN,40,0)+VLOOKUP(D167,'[3]DIRE Eurostat'!$A$3:$AQ$306,40,0)</f>
        <v>-2</v>
      </c>
      <c r="Q167" s="762">
        <f t="shared" si="29"/>
        <v>2.8210626899999998</v>
      </c>
      <c r="R167" s="799"/>
    </row>
    <row r="168" spans="1:18" ht="14.25" customHeight="1" x14ac:dyDescent="0.35">
      <c r="D168" s="757" t="s">
        <v>374</v>
      </c>
      <c r="E168" s="763">
        <f t="shared" si="27"/>
        <v>44.854206329999997</v>
      </c>
      <c r="F168" s="762">
        <f>+VLOOKUP(D168,[3]IMF_fdi_credit_debitinc!$A$1:$C$201,3,0)/1000000</f>
        <v>44.854206329999997</v>
      </c>
      <c r="G168" s="762">
        <f>+VLOOKUP(D168,'[3]Outward, All'!A:AN,39,0)-+VLOOKUP(D168,'[3]Outward, All'!A:AN,40,0)+VLOOKUP(D168,'[3]DIA Eurostat'!$A$4:$AN$307,40,0)</f>
        <v>73.999999999999986</v>
      </c>
      <c r="H168" s="762">
        <f t="shared" si="28"/>
        <v>-29.145793669999989</v>
      </c>
      <c r="I168" s="764"/>
      <c r="J168" s="762"/>
      <c r="K168" s="762"/>
      <c r="L168" s="762"/>
      <c r="M168" s="762"/>
      <c r="N168" s="763">
        <f t="shared" si="30"/>
        <v>1.5007364050000001</v>
      </c>
      <c r="O168" s="762">
        <f>+VLOOKUP(D168,[3]IMF_fdi_credit_debitinc!$A$1:$C$201,2,0)/1000000</f>
        <v>1.5007364050000001</v>
      </c>
      <c r="P168" s="762">
        <f>+VLOOKUP(D168,'[3]Inward, All'!A:AN,39,0)-+VLOOKUP(D168,'[3]Inward, All'!A:AN,40,0)+VLOOKUP(D168,'[3]DIRE Eurostat'!$A$3:$AQ$306,40,0)</f>
        <v>-1.6</v>
      </c>
      <c r="Q168" s="762">
        <f t="shared" si="29"/>
        <v>3.1007364050000001</v>
      </c>
      <c r="R168" s="799"/>
    </row>
    <row r="169" spans="1:18" ht="14.25" customHeight="1" x14ac:dyDescent="0.35">
      <c r="D169" s="757" t="s">
        <v>373</v>
      </c>
      <c r="E169" s="763">
        <f t="shared" si="27"/>
        <v>0</v>
      </c>
      <c r="F169" s="762">
        <f>+VLOOKUP(D169,[3]IMF_fdi_credit_debitinc!$A$1:$C$201,3,0)/1000000</f>
        <v>0</v>
      </c>
      <c r="G169" s="762">
        <f>+VLOOKUP(D169,'[3]Outward, All'!A:AN,39,0)-+VLOOKUP(D169,'[3]Outward, All'!A:AN,40,0)+VLOOKUP(D169,'[3]DIA Eurostat'!$A$4:$AN$307,40,0)</f>
        <v>0</v>
      </c>
      <c r="H169" s="762">
        <f t="shared" si="28"/>
        <v>0</v>
      </c>
      <c r="I169" s="764"/>
      <c r="J169" s="762"/>
      <c r="K169" s="762"/>
      <c r="L169" s="762"/>
      <c r="M169" s="762"/>
      <c r="N169" s="763">
        <f t="shared" si="30"/>
        <v>0</v>
      </c>
      <c r="O169" s="762">
        <f>+VLOOKUP(D169,[3]IMF_fdi_credit_debitinc!$A$1:$C$201,2,0)/1000000</f>
        <v>0</v>
      </c>
      <c r="P169" s="762">
        <f>+VLOOKUP(D169,'[3]Inward, All'!A:AN,39,0)-+VLOOKUP(D169,'[3]Inward, All'!A:AN,40,0)+VLOOKUP(D169,'[3]DIRE Eurostat'!$A$3:$AQ$306,40,0)</f>
        <v>0</v>
      </c>
      <c r="Q169" s="762">
        <f t="shared" si="29"/>
        <v>0</v>
      </c>
      <c r="R169" s="799"/>
    </row>
    <row r="170" spans="1:18" ht="14.25" customHeight="1" x14ac:dyDescent="0.35">
      <c r="D170" s="757" t="s">
        <v>372</v>
      </c>
      <c r="E170" s="763">
        <f t="shared" si="27"/>
        <v>1420</v>
      </c>
      <c r="F170" s="762">
        <f>+VLOOKUP(D170,[3]IMF_fdi_credit_debitinc!$A$1:$C$201,3,0)/1000000</f>
        <v>1420</v>
      </c>
      <c r="G170" s="762">
        <f>+VLOOKUP(D170,'[3]Outward, All'!A:AN,39,0)-+VLOOKUP(D170,'[3]Outward, All'!A:AN,40,0)+VLOOKUP(D170,'[3]DIA Eurostat'!$A$4:$AN$307,40,0)</f>
        <v>885.37200996986746</v>
      </c>
      <c r="H170" s="762">
        <f t="shared" si="28"/>
        <v>534.62799003013254</v>
      </c>
      <c r="I170" s="764"/>
      <c r="J170" s="762"/>
      <c r="K170" s="762"/>
      <c r="L170" s="762"/>
      <c r="M170" s="762"/>
      <c r="N170" s="763">
        <f t="shared" si="30"/>
        <v>277</v>
      </c>
      <c r="O170" s="762">
        <f>+VLOOKUP(D170,[3]IMF_fdi_credit_debitinc!$A$1:$C$201,2,0)/1000000</f>
        <v>277</v>
      </c>
      <c r="P170" s="762">
        <f>+VLOOKUP(D170,'[3]Inward, All'!A:AN,39,0)-+VLOOKUP(D170,'[3]Inward, All'!A:AN,40,0)+VLOOKUP(D170,'[3]DIRE Eurostat'!$A$3:$AQ$306,40,0)</f>
        <v>46</v>
      </c>
      <c r="Q170" s="762">
        <f t="shared" si="29"/>
        <v>231</v>
      </c>
      <c r="R170" s="799"/>
    </row>
    <row r="171" spans="1:18" ht="14.25" customHeight="1" x14ac:dyDescent="0.35">
      <c r="D171" s="757" t="s">
        <v>371</v>
      </c>
      <c r="E171" s="763">
        <f t="shared" si="27"/>
        <v>59.961276320000003</v>
      </c>
      <c r="F171" s="762">
        <f>+VLOOKUP(D171,[3]IMF_fdi_credit_debitinc!$A$1:$C$201,3,0)/1000000</f>
        <v>59.961276320000003</v>
      </c>
      <c r="G171" s="762">
        <f>+VLOOKUP(D171,'[3]Outward, All'!A:AN,39,0)-+VLOOKUP(D171,'[3]Outward, All'!A:AN,40,0)+VLOOKUP(D171,'[3]DIA Eurostat'!$A$4:$AN$307,40,0)</f>
        <v>139.2999169177734</v>
      </c>
      <c r="H171" s="762">
        <f t="shared" si="28"/>
        <v>-79.338640597773406</v>
      </c>
      <c r="I171" s="764"/>
      <c r="J171" s="762"/>
      <c r="K171" s="762"/>
      <c r="L171" s="762"/>
      <c r="M171" s="762"/>
      <c r="N171" s="763">
        <f t="shared" si="30"/>
        <v>0</v>
      </c>
      <c r="O171" s="762">
        <f>+VLOOKUP(D171,[3]IMF_fdi_credit_debitinc!$A$1:$C$201,2,0)/1000000</f>
        <v>0</v>
      </c>
      <c r="P171" s="762">
        <f>+VLOOKUP(D171,'[3]Inward, All'!A:AN,39,0)-+VLOOKUP(D171,'[3]Inward, All'!A:AN,40,0)+VLOOKUP(D171,'[3]DIRE Eurostat'!$A$3:$AQ$306,40,0)</f>
        <v>-4.8</v>
      </c>
      <c r="Q171" s="762">
        <f t="shared" si="29"/>
        <v>4.8</v>
      </c>
      <c r="R171" s="799"/>
    </row>
    <row r="172" spans="1:18" ht="14.25" customHeight="1" x14ac:dyDescent="0.35">
      <c r="D172" s="757" t="s">
        <v>370</v>
      </c>
      <c r="E172" s="763">
        <f t="shared" si="27"/>
        <v>2650</v>
      </c>
      <c r="F172" s="762">
        <f>+VLOOKUP(D172,[3]IMF_fdi_credit_debitinc!$A$1:$C$201,3,0)/1000000</f>
        <v>2650</v>
      </c>
      <c r="G172" s="762">
        <f>+VLOOKUP(D172,'[3]Outward, All'!A:AN,39,0)-+VLOOKUP(D172,'[3]Outward, All'!A:AN,40,0)+VLOOKUP(D172,'[3]DIA Eurostat'!$A$4:$AN$307,40,0)</f>
        <v>69.874327000000008</v>
      </c>
      <c r="H172" s="762">
        <f t="shared" si="28"/>
        <v>2580.125673</v>
      </c>
      <c r="I172" s="764"/>
      <c r="J172" s="762"/>
      <c r="K172" s="762"/>
      <c r="L172" s="762"/>
      <c r="M172" s="762"/>
      <c r="N172" s="763">
        <f t="shared" si="30"/>
        <v>4.4102910480000004</v>
      </c>
      <c r="O172" s="762">
        <f>+VLOOKUP(D172,[3]IMF_fdi_credit_debitinc!$A$1:$C$201,2,0)/1000000</f>
        <v>4.4102910480000004</v>
      </c>
      <c r="P172" s="762">
        <f>+VLOOKUP(D172,'[3]Inward, All'!A:AN,39,0)-+VLOOKUP(D172,'[3]Inward, All'!A:AN,40,0)+VLOOKUP(D172,'[3]DIRE Eurostat'!$A$3:$AQ$306,40,0)</f>
        <v>-2</v>
      </c>
      <c r="Q172" s="762">
        <f t="shared" si="29"/>
        <v>6.4102910480000004</v>
      </c>
      <c r="R172" s="799"/>
    </row>
    <row r="173" spans="1:18" ht="14.25" customHeight="1" x14ac:dyDescent="0.35">
      <c r="D173" s="757" t="s">
        <v>369</v>
      </c>
      <c r="E173" s="763">
        <f t="shared" si="27"/>
        <v>232</v>
      </c>
      <c r="F173" s="762">
        <f>+VLOOKUP(D173,[3]IMF_fdi_credit_debitinc!$A$1:$C$201,3,0)/1000000</f>
        <v>232</v>
      </c>
      <c r="G173" s="762">
        <f>+VLOOKUP(D173,'[3]Outward, All'!A:AN,39,0)-+VLOOKUP(D173,'[3]Outward, All'!A:AN,40,0)+VLOOKUP(D173,'[3]DIA Eurostat'!$A$4:$AN$307,40,0)</f>
        <v>16.199999999999996</v>
      </c>
      <c r="H173" s="762">
        <f t="shared" si="28"/>
        <v>215.8</v>
      </c>
      <c r="I173" s="764"/>
      <c r="J173" s="762"/>
      <c r="K173" s="762"/>
      <c r="L173" s="762"/>
      <c r="M173" s="762"/>
      <c r="N173" s="763">
        <f t="shared" si="30"/>
        <v>5.9392437220000005</v>
      </c>
      <c r="O173" s="762">
        <f>+VLOOKUP(D173,[3]IMF_fdi_credit_debitinc!$A$1:$C$201,2,0)/1000000</f>
        <v>5.9392437220000005</v>
      </c>
      <c r="P173" s="762">
        <f>+VLOOKUP(D173,'[3]Inward, All'!A:AN,39,0)-+VLOOKUP(D173,'[3]Inward, All'!A:AN,40,0)+VLOOKUP(D173,'[3]DIRE Eurostat'!$A$3:$AQ$306,40,0)</f>
        <v>-5.9</v>
      </c>
      <c r="Q173" s="762">
        <f t="shared" si="29"/>
        <v>11.839243722000001</v>
      </c>
      <c r="R173" s="799"/>
    </row>
    <row r="174" spans="1:18" ht="14.25" customHeight="1" x14ac:dyDescent="0.35">
      <c r="D174" s="757" t="s">
        <v>368</v>
      </c>
      <c r="E174" s="763">
        <f t="shared" si="27"/>
        <v>49.151066979999996</v>
      </c>
      <c r="F174" s="762">
        <f>+VLOOKUP(D174,[3]IMF_fdi_credit_debitinc!$A$1:$C$201,3,0)/1000000</f>
        <v>49.151066979999996</v>
      </c>
      <c r="G174" s="762">
        <f>+VLOOKUP(D174,'[3]Outward, All'!A:AN,39,0)-+VLOOKUP(D174,'[3]Outward, All'!A:AN,40,0)+VLOOKUP(D174,'[3]DIA Eurostat'!$A$4:$AN$307,40,0)</f>
        <v>19.8</v>
      </c>
      <c r="H174" s="762">
        <f t="shared" si="28"/>
        <v>29.351066979999995</v>
      </c>
      <c r="I174" s="764"/>
      <c r="J174" s="762"/>
      <c r="K174" s="762"/>
      <c r="L174" s="762"/>
      <c r="M174" s="762"/>
      <c r="N174" s="763">
        <f t="shared" si="30"/>
        <v>0</v>
      </c>
      <c r="O174" s="762">
        <f>+VLOOKUP(D174,[3]IMF_fdi_credit_debitinc!$A$1:$C$201,2,0)/1000000</f>
        <v>0</v>
      </c>
      <c r="P174" s="762">
        <f>+VLOOKUP(D174,'[3]Inward, All'!A:AN,39,0)-+VLOOKUP(D174,'[3]Inward, All'!A:AN,40,0)+VLOOKUP(D174,'[3]DIRE Eurostat'!$A$3:$AQ$306,40,0)</f>
        <v>-0.1</v>
      </c>
      <c r="Q174" s="762">
        <f t="shared" si="29"/>
        <v>0.1</v>
      </c>
      <c r="R174" s="799"/>
    </row>
    <row r="175" spans="1:18" ht="14.25" customHeight="1" x14ac:dyDescent="0.35">
      <c r="D175" s="757" t="s">
        <v>367</v>
      </c>
      <c r="E175" s="763">
        <f t="shared" si="27"/>
        <v>161</v>
      </c>
      <c r="F175" s="762">
        <f>+VLOOKUP(D175,[3]IMF_fdi_credit_debitinc!$A$1:$C$201,3,0)/1000000</f>
        <v>161</v>
      </c>
      <c r="G175" s="762">
        <f>+VLOOKUP(D175,'[3]Outward, All'!A:AN,39,0)-+VLOOKUP(D175,'[3]Outward, All'!A:AN,40,0)+VLOOKUP(D175,'[3]DIA Eurostat'!$A$4:$AN$307,40,0)</f>
        <v>-14.8</v>
      </c>
      <c r="H175" s="762">
        <f t="shared" si="28"/>
        <v>175.8</v>
      </c>
      <c r="I175" s="764"/>
      <c r="J175" s="762"/>
      <c r="K175" s="762"/>
      <c r="L175" s="762"/>
      <c r="M175" s="762"/>
      <c r="N175" s="763">
        <f t="shared" si="30"/>
        <v>0</v>
      </c>
      <c r="O175" s="762">
        <f>+VLOOKUP(D175,[3]IMF_fdi_credit_debitinc!$A$1:$C$201,2,0)/1000000</f>
        <v>0</v>
      </c>
      <c r="P175" s="762">
        <f>+VLOOKUP(D175,'[3]Inward, All'!A:AN,39,0)-+VLOOKUP(D175,'[3]Inward, All'!A:AN,40,0)+VLOOKUP(D175,'[3]DIRE Eurostat'!$A$3:$AQ$306,40,0)</f>
        <v>-4.9000000000000004</v>
      </c>
      <c r="Q175" s="762">
        <f t="shared" si="29"/>
        <v>4.9000000000000004</v>
      </c>
      <c r="R175" s="799"/>
    </row>
    <row r="176" spans="1:18" ht="14.25" customHeight="1" x14ac:dyDescent="0.35">
      <c r="D176" s="757" t="s">
        <v>366</v>
      </c>
      <c r="E176" s="763">
        <f t="shared" si="27"/>
        <v>122</v>
      </c>
      <c r="F176" s="762">
        <f>+VLOOKUP(D176,[3]IMF_fdi_credit_debitinc!$A$1:$C$201,3,0)/1000000</f>
        <v>122</v>
      </c>
      <c r="G176" s="762">
        <f>+VLOOKUP(D176,'[3]Outward, All'!A:AN,39,0)-+VLOOKUP(D176,'[3]Outward, All'!A:AN,40,0)+VLOOKUP(D176,'[3]DIA Eurostat'!$A$4:$AN$307,40,0)</f>
        <v>16.600000000000001</v>
      </c>
      <c r="H176" s="762">
        <f t="shared" si="28"/>
        <v>105.4</v>
      </c>
      <c r="I176" s="764"/>
      <c r="J176" s="762"/>
      <c r="K176" s="762"/>
      <c r="L176" s="762"/>
      <c r="M176" s="762"/>
      <c r="N176" s="763">
        <f t="shared" si="30"/>
        <v>1.7404697900000001</v>
      </c>
      <c r="O176" s="762">
        <f>+VLOOKUP(D176,[3]IMF_fdi_credit_debitinc!$A$1:$C$201,2,0)/1000000</f>
        <v>1.7404697900000001</v>
      </c>
      <c r="P176" s="762">
        <f>+VLOOKUP(D176,'[3]Inward, All'!A:AN,39,0)-+VLOOKUP(D176,'[3]Inward, All'!A:AN,40,0)+VLOOKUP(D176,'[3]DIRE Eurostat'!$A$3:$AQ$306,40,0)</f>
        <v>9</v>
      </c>
      <c r="Q176" s="762">
        <f t="shared" si="29"/>
        <v>-7.2595302099999994</v>
      </c>
      <c r="R176" s="799"/>
    </row>
    <row r="177" spans="2:18" ht="14.25" customHeight="1" x14ac:dyDescent="0.35">
      <c r="D177" s="757" t="s">
        <v>217</v>
      </c>
      <c r="E177" s="763">
        <f t="shared" si="27"/>
        <v>12700</v>
      </c>
      <c r="F177" s="762">
        <f>+VLOOKUP(D177,[3]IMF_fdi_credit_debitinc!$A$1:$C$201,3,0)/1000000</f>
        <v>12700</v>
      </c>
      <c r="G177" s="762">
        <f>+VLOOKUP(D177,'[3]Outward, All'!A:AN,39,0)-+VLOOKUP(D177,'[3]Outward, All'!A:AN,40,0)+VLOOKUP(D177,'[3]DIA Eurostat'!$A$4:$AN$307,40,0)</f>
        <v>4840</v>
      </c>
      <c r="H177" s="762">
        <f t="shared" si="28"/>
        <v>7860</v>
      </c>
      <c r="I177" s="764"/>
      <c r="J177" s="762"/>
      <c r="K177" s="762"/>
      <c r="L177" s="762"/>
      <c r="M177" s="762"/>
      <c r="N177" s="763">
        <f t="shared" si="30"/>
        <v>307</v>
      </c>
      <c r="O177" s="762">
        <f>+VLOOKUP(D177,[3]IMF_fdi_credit_debitinc!$A$1:$C$201,2,0)/1000000</f>
        <v>307</v>
      </c>
      <c r="P177" s="762">
        <f>+VLOOKUP(D177,'[3]Inward, All'!A:AN,39,0)-+VLOOKUP(D177,'[3]Inward, All'!A:AN,40,0)+VLOOKUP(D177,'[3]DIRE Eurostat'!$A$3:$AQ$306,40,0)</f>
        <v>73.3</v>
      </c>
      <c r="Q177" s="762">
        <f t="shared" si="29"/>
        <v>233.7</v>
      </c>
      <c r="R177" s="799"/>
    </row>
    <row r="178" spans="2:18" ht="14.25" customHeight="1" x14ac:dyDescent="0.35">
      <c r="D178" s="757" t="s">
        <v>365</v>
      </c>
      <c r="E178" s="763">
        <f t="shared" si="27"/>
        <v>2520</v>
      </c>
      <c r="F178" s="762">
        <f>+VLOOKUP(D178,[3]IMF_fdi_credit_debitinc!$A$1:$C$201,3,0)/1000000</f>
        <v>2520</v>
      </c>
      <c r="G178" s="762">
        <f>+VLOOKUP(D178,'[3]Outward, All'!A:AN,39,0)-+VLOOKUP(D178,'[3]Outward, All'!A:AN,40,0)+VLOOKUP(D178,'[3]DIA Eurostat'!$A$4:$AN$307,40,0)</f>
        <v>510.29701027987608</v>
      </c>
      <c r="H178" s="762">
        <f t="shared" si="28"/>
        <v>2009.7029897201239</v>
      </c>
      <c r="I178" s="764"/>
      <c r="J178" s="762"/>
      <c r="K178" s="762"/>
      <c r="L178" s="762"/>
      <c r="M178" s="762"/>
      <c r="N178" s="763">
        <f t="shared" si="30"/>
        <v>0</v>
      </c>
      <c r="O178" s="762">
        <f>+VLOOKUP(D178,[3]IMF_fdi_credit_debitinc!$A$1:$C$201,2,0)/1000000</f>
        <v>0</v>
      </c>
      <c r="P178" s="762">
        <f>+VLOOKUP(D178,'[3]Inward, All'!A:AN,39,0)-+VLOOKUP(D178,'[3]Inward, All'!A:AN,40,0)+VLOOKUP(D178,'[3]DIRE Eurostat'!$A$3:$AQ$306,40,0)</f>
        <v>37.280388692580004</v>
      </c>
      <c r="Q178" s="762">
        <f t="shared" si="29"/>
        <v>-37.280388692580004</v>
      </c>
      <c r="R178" s="799"/>
    </row>
    <row r="179" spans="2:18" ht="14.25" customHeight="1" x14ac:dyDescent="0.35">
      <c r="D179" s="757" t="s">
        <v>364</v>
      </c>
      <c r="E179" s="763">
        <f t="shared" si="27"/>
        <v>3640</v>
      </c>
      <c r="F179" s="762">
        <f>+VLOOKUP(D179,[3]IMF_fdi_credit_debitinc!$A$1:$C$201,3,0)/1000000</f>
        <v>3640</v>
      </c>
      <c r="G179" s="762">
        <f>+VLOOKUP(D179,'[3]Outward, All'!A:AN,39,0)-+VLOOKUP(D179,'[3]Outward, All'!A:AN,40,0)+VLOOKUP(D179,'[3]DIA Eurostat'!$A$4:$AN$307,40,0)</f>
        <v>560.11844021092975</v>
      </c>
      <c r="H179" s="762">
        <f t="shared" si="28"/>
        <v>3079.8815597890703</v>
      </c>
      <c r="I179" s="764"/>
      <c r="J179" s="762"/>
      <c r="K179" s="762"/>
      <c r="L179" s="762"/>
      <c r="M179" s="762"/>
      <c r="N179" s="763">
        <f t="shared" si="30"/>
        <v>29</v>
      </c>
      <c r="O179" s="762">
        <f>+VLOOKUP(D179,[3]IMF_fdi_credit_debitinc!$A$1:$C$201,2,0)/1000000</f>
        <v>29</v>
      </c>
      <c r="P179" s="762">
        <f>+VLOOKUP(D179,'[3]Inward, All'!A:AN,39,0)-+VLOOKUP(D179,'[3]Inward, All'!A:AN,40,0)+VLOOKUP(D179,'[3]DIRE Eurostat'!$A$3:$AQ$306,40,0)</f>
        <v>5.6</v>
      </c>
      <c r="Q179" s="762">
        <f t="shared" si="29"/>
        <v>23.4</v>
      </c>
      <c r="R179" s="799"/>
    </row>
    <row r="180" spans="2:18" ht="14.25" customHeight="1" x14ac:dyDescent="0.35">
      <c r="D180" s="757" t="s">
        <v>363</v>
      </c>
      <c r="E180" s="763">
        <f t="shared" si="27"/>
        <v>28.073087690000001</v>
      </c>
      <c r="F180" s="762">
        <f>+VLOOKUP(D180,[3]IMF_fdi_credit_debitinc!$A$1:$C$201,3,0)/1000000</f>
        <v>28.073087690000001</v>
      </c>
      <c r="G180" s="762">
        <f>+VLOOKUP(D180,'[3]Outward, All'!A:AN,39,0)-+VLOOKUP(D180,'[3]Outward, All'!A:AN,40,0)+VLOOKUP(D180,'[3]DIA Eurostat'!$A$4:$AN$307,40,0)</f>
        <v>3</v>
      </c>
      <c r="H180" s="762">
        <f t="shared" si="28"/>
        <v>25.073087690000001</v>
      </c>
      <c r="I180" s="764"/>
      <c r="J180" s="762"/>
      <c r="K180" s="762"/>
      <c r="L180" s="762"/>
      <c r="M180" s="762"/>
      <c r="N180" s="763">
        <f t="shared" si="30"/>
        <v>0</v>
      </c>
      <c r="O180" s="762">
        <f>+VLOOKUP(D180,[3]IMF_fdi_credit_debitinc!$A$1:$C$201,2,0)/1000000</f>
        <v>0</v>
      </c>
      <c r="P180" s="762">
        <f>+VLOOKUP(D180,'[3]Inward, All'!A:AN,39,0)-+VLOOKUP(D180,'[3]Inward, All'!A:AN,40,0)+VLOOKUP(D180,'[3]DIRE Eurostat'!$A$3:$AQ$306,40,0)</f>
        <v>0</v>
      </c>
      <c r="Q180" s="762">
        <f t="shared" si="29"/>
        <v>0</v>
      </c>
      <c r="R180" s="799"/>
    </row>
    <row r="181" spans="2:18" ht="14.25" customHeight="1" x14ac:dyDescent="0.35">
      <c r="D181" s="757" t="s">
        <v>362</v>
      </c>
      <c r="E181" s="763">
        <f t="shared" si="27"/>
        <v>257</v>
      </c>
      <c r="F181" s="762">
        <f>+VLOOKUP(D181,[3]IMF_fdi_credit_debitinc!$A$1:$C$201,3,0)/1000000</f>
        <v>257</v>
      </c>
      <c r="G181" s="762">
        <v>0</v>
      </c>
      <c r="H181" s="762">
        <f t="shared" si="28"/>
        <v>257</v>
      </c>
      <c r="I181" s="764"/>
      <c r="J181" s="762"/>
      <c r="K181" s="762"/>
      <c r="L181" s="762"/>
      <c r="M181" s="762"/>
      <c r="N181" s="763">
        <f t="shared" si="30"/>
        <v>4.9125641840000007</v>
      </c>
      <c r="O181" s="762">
        <f>+VLOOKUP(D181,[3]IMF_fdi_credit_debitinc!$A$1:$C$201,2,0)/1000000</f>
        <v>4.9125641840000007</v>
      </c>
      <c r="P181" s="762">
        <v>0</v>
      </c>
      <c r="Q181" s="762">
        <f t="shared" si="29"/>
        <v>4.9125641840000007</v>
      </c>
      <c r="R181" s="799"/>
    </row>
    <row r="182" spans="2:18" ht="14.25" customHeight="1" x14ac:dyDescent="0.35">
      <c r="D182" s="757" t="s">
        <v>361</v>
      </c>
      <c r="E182" s="763">
        <f t="shared" si="27"/>
        <v>899</v>
      </c>
      <c r="F182" s="762">
        <f>+VLOOKUP(D182,[3]IMF_fdi_credit_debitinc!$A$1:$C$201,3,0)/1000000</f>
        <v>899</v>
      </c>
      <c r="G182" s="762">
        <f>+VLOOKUP(D182,'[3]Outward, All'!A:AN,39,0)-+VLOOKUP(D182,'[3]Outward, All'!A:AN,40,0)+VLOOKUP(D182,'[3]DIA Eurostat'!$A$4:$AN$307,40,0)</f>
        <v>129.30000000000001</v>
      </c>
      <c r="H182" s="762">
        <f t="shared" si="28"/>
        <v>769.7</v>
      </c>
      <c r="I182" s="764"/>
      <c r="J182" s="762"/>
      <c r="K182" s="762"/>
      <c r="L182" s="762"/>
      <c r="M182" s="762"/>
      <c r="N182" s="763">
        <f t="shared" si="30"/>
        <v>0.2</v>
      </c>
      <c r="O182" s="762">
        <f>+VLOOKUP(D182,[3]IMF_fdi_credit_debitinc!$A$1:$C$201,2,0)/1000000</f>
        <v>0.2</v>
      </c>
      <c r="P182" s="762">
        <f>+VLOOKUP(D182,'[3]Inward, All'!A:AN,39,0)-+VLOOKUP(D182,'[3]Inward, All'!A:AN,40,0)+VLOOKUP(D182,'[3]DIRE Eurostat'!$A$3:$AQ$306,40,0)</f>
        <v>0</v>
      </c>
      <c r="Q182" s="762">
        <f t="shared" si="29"/>
        <v>0.2</v>
      </c>
      <c r="R182" s="799"/>
    </row>
    <row r="183" spans="2:18" ht="14.25" customHeight="1" x14ac:dyDescent="0.35">
      <c r="D183" s="757" t="s">
        <v>206</v>
      </c>
      <c r="E183" s="763">
        <f t="shared" si="27"/>
        <v>5810</v>
      </c>
      <c r="F183" s="762">
        <f>+VLOOKUP(D183,[3]IMF_fdi_credit_debitinc!$A$1:$C$201,3,0)/1000000</f>
        <v>5810</v>
      </c>
      <c r="G183" s="762">
        <f>+VLOOKUP(D183,'[3]Outward, All'!A:AN,39,0)-+VLOOKUP(D183,'[3]Outward, All'!A:AN,40,0)+VLOOKUP(D183,'[3]DIA Eurostat'!$A$4:$AN$307,40,0)</f>
        <v>961.49149317740103</v>
      </c>
      <c r="H183" s="762">
        <f t="shared" si="28"/>
        <v>4848.508506822599</v>
      </c>
      <c r="I183" s="764"/>
      <c r="J183" s="762"/>
      <c r="K183" s="762"/>
      <c r="L183" s="762"/>
      <c r="M183" s="762"/>
      <c r="N183" s="763">
        <f t="shared" si="30"/>
        <v>0</v>
      </c>
      <c r="O183" s="762">
        <f>+VLOOKUP(D183,[3]IMF_fdi_credit_debitinc!$A$1:$C$201,2,0)/1000000</f>
        <v>0</v>
      </c>
      <c r="P183" s="762">
        <f>+VLOOKUP(D183,'[3]Inward, All'!A:AN,39,0)-+VLOOKUP(D183,'[3]Inward, All'!A:AN,40,0)+VLOOKUP(D183,'[3]DIRE Eurostat'!$A$3:$AQ$306,40,0)</f>
        <v>57.139989792805004</v>
      </c>
      <c r="Q183" s="762">
        <f t="shared" si="29"/>
        <v>-57.139989792805004</v>
      </c>
      <c r="R183" s="799"/>
    </row>
    <row r="184" spans="2:18" ht="14.25" customHeight="1" x14ac:dyDescent="0.35">
      <c r="D184" s="757" t="s">
        <v>224</v>
      </c>
      <c r="E184" s="763">
        <f t="shared" si="27"/>
        <v>4120</v>
      </c>
      <c r="F184" s="762">
        <f>+VLOOKUP(D184,[3]IMF_fdi_credit_debitinc!$A$1:$C$201,3,0)/1000000</f>
        <v>4120</v>
      </c>
      <c r="G184" s="762">
        <f>+VLOOKUP(D184,'[3]Outward, All'!A:AN,39,0)-+VLOOKUP(D184,'[3]Outward, All'!A:AN,40,0)+VLOOKUP(D184,'[3]DIA Eurostat'!$A$4:$AN$307,40,0)</f>
        <v>2778.2380543710769</v>
      </c>
      <c r="H184" s="762">
        <f t="shared" si="28"/>
        <v>1341.7619456289231</v>
      </c>
      <c r="I184" s="764"/>
      <c r="J184" s="762"/>
      <c r="K184" s="762"/>
      <c r="L184" s="762"/>
      <c r="M184" s="762"/>
      <c r="N184" s="763">
        <f t="shared" si="30"/>
        <v>700</v>
      </c>
      <c r="O184" s="762">
        <f>+VLOOKUP(D184,[3]IMF_fdi_credit_debitinc!$A$1:$C$201,2,0)/1000000</f>
        <v>700</v>
      </c>
      <c r="P184" s="762">
        <f>+VLOOKUP(D184,'[3]Inward, All'!A:AN,39,0)-+VLOOKUP(D184,'[3]Inward, All'!A:AN,40,0)+VLOOKUP(D184,'[3]DIRE Eurostat'!$A$3:$AQ$306,40,0)</f>
        <v>18.552962750826701</v>
      </c>
      <c r="Q184" s="762">
        <f t="shared" si="29"/>
        <v>681.44703724917326</v>
      </c>
      <c r="R184" s="799"/>
    </row>
    <row r="185" spans="2:18" ht="14.25" customHeight="1" x14ac:dyDescent="0.35">
      <c r="D185" s="757" t="s">
        <v>360</v>
      </c>
      <c r="E185" s="763">
        <f t="shared" si="27"/>
        <v>0</v>
      </c>
      <c r="F185" s="762">
        <f>+VLOOKUP(D185,[3]IMF_fdi_credit_debitinc!$A$1:$C$201,3,0)/1000000</f>
        <v>0</v>
      </c>
      <c r="G185" s="762"/>
      <c r="H185" s="762"/>
      <c r="I185" s="764"/>
      <c r="J185" s="762"/>
      <c r="K185" s="762"/>
      <c r="L185" s="762"/>
      <c r="M185" s="762"/>
      <c r="N185" s="763">
        <f t="shared" si="30"/>
        <v>0</v>
      </c>
      <c r="O185" s="762">
        <f>+VLOOKUP(D185,[3]IMF_fdi_credit_debitinc!$A$1:$C$201,2,0)/1000000</f>
        <v>0</v>
      </c>
      <c r="P185" s="762"/>
      <c r="Q185" s="762"/>
      <c r="R185" s="799"/>
    </row>
    <row r="186" spans="2:18" ht="14.25" customHeight="1" x14ac:dyDescent="0.35">
      <c r="D186" s="757" t="s">
        <v>359</v>
      </c>
      <c r="E186" s="763">
        <f t="shared" si="27"/>
        <v>4200</v>
      </c>
      <c r="F186" s="762">
        <f>+VLOOKUP(D186,[3]IMF_fdi_credit_debitinc!$A$1:$C$201,3,0)/1000000</f>
        <v>4200</v>
      </c>
      <c r="G186" s="762">
        <f>+VLOOKUP(D186,'[3]Outward, All'!A:AN,39,0)-+VLOOKUP(D186,'[3]Outward, All'!A:AN,40,0)+VLOOKUP(D186,'[3]DIA Eurostat'!$A$4:$AN$307,40,0)</f>
        <v>2677.000778127674</v>
      </c>
      <c r="H186" s="762">
        <f>+E186-G186</f>
        <v>1522.999221872326</v>
      </c>
      <c r="I186" s="764"/>
      <c r="J186" s="762"/>
      <c r="K186" s="762"/>
      <c r="L186" s="762"/>
      <c r="M186" s="762"/>
      <c r="N186" s="763">
        <f t="shared" si="30"/>
        <v>-75.900000000000006</v>
      </c>
      <c r="O186" s="762">
        <f>+VLOOKUP(D186,[3]IMF_fdi_credit_debitinc!$A$1:$C$201,2,0)/1000000</f>
        <v>-75.900000000000006</v>
      </c>
      <c r="P186" s="762">
        <f>+VLOOKUP(D186,'[3]Inward, All'!A:AN,39,0)-+VLOOKUP(D186,'[3]Inward, All'!A:AN,40,0)+VLOOKUP(D186,'[3]DIRE Eurostat'!$A$3:$AQ$306,40,0)</f>
        <v>45.724003323289061</v>
      </c>
      <c r="Q186" s="762">
        <f>+N186-P186</f>
        <v>-121.62400332328906</v>
      </c>
      <c r="R186" s="799"/>
    </row>
    <row r="187" spans="2:18" ht="14.25" customHeight="1" x14ac:dyDescent="0.35">
      <c r="D187" s="757" t="s">
        <v>358</v>
      </c>
      <c r="E187" s="763">
        <f t="shared" si="27"/>
        <v>77.336620180000011</v>
      </c>
      <c r="F187" s="762">
        <f>+VLOOKUP(D187,[3]IMF_fdi_credit_debitinc!$A$1:$C$201,3,0)/1000000</f>
        <v>77.336620180000011</v>
      </c>
      <c r="G187" s="762">
        <f>+VLOOKUP(D187,'[3]Outward, All'!A:AN,39,0)-+VLOOKUP(D187,'[3]Outward, All'!A:AN,40,0)+VLOOKUP(D187,'[3]DIA Eurostat'!$A$4:$AN$307,40,0)</f>
        <v>-38.1</v>
      </c>
      <c r="H187" s="762">
        <f>+E187-G187</f>
        <v>115.43662018000001</v>
      </c>
      <c r="I187" s="764"/>
      <c r="J187" s="762"/>
      <c r="K187" s="762"/>
      <c r="L187" s="762"/>
      <c r="M187" s="762"/>
      <c r="N187" s="763">
        <f t="shared" si="30"/>
        <v>3.6350981020000002</v>
      </c>
      <c r="O187" s="762">
        <f>+VLOOKUP(D187,[3]IMF_fdi_credit_debitinc!$A$1:$C$201,2,0)/1000000</f>
        <v>3.6350981020000002</v>
      </c>
      <c r="P187" s="762">
        <f>+VLOOKUP(D187,'[3]Inward, All'!A:AN,39,0)-+VLOOKUP(D187,'[3]Inward, All'!A:AN,40,0)+VLOOKUP(D187,'[3]DIRE Eurostat'!$A$3:$AQ$306,40,0)</f>
        <v>0</v>
      </c>
      <c r="Q187" s="762">
        <f>+N187-P187</f>
        <v>3.6350981020000002</v>
      </c>
      <c r="R187" s="799"/>
    </row>
    <row r="188" spans="2:18" ht="14.25" customHeight="1" x14ac:dyDescent="0.35">
      <c r="D188" s="757" t="s">
        <v>357</v>
      </c>
      <c r="E188" s="763">
        <f t="shared" ref="E188:E218" si="31">+F188</f>
        <v>29.095430789999998</v>
      </c>
      <c r="F188" s="762">
        <f>+VLOOKUP(D188,[3]IMF_fdi_credit_debitinc!$A$1:$C$201,3,0)/1000000</f>
        <v>29.095430789999998</v>
      </c>
      <c r="G188" s="762">
        <f>+VLOOKUP(D188,'[3]Outward, All'!A:AN,39,0)-+VLOOKUP(D188,'[3]Outward, All'!A:AN,40,0)+VLOOKUP(D188,'[3]DIA Eurostat'!$A$4:$AN$307,40,0)</f>
        <v>5</v>
      </c>
      <c r="H188" s="762">
        <f>+E188-G188</f>
        <v>24.095430789999998</v>
      </c>
      <c r="I188" s="764"/>
      <c r="J188" s="762"/>
      <c r="K188" s="762"/>
      <c r="L188" s="762"/>
      <c r="M188" s="762"/>
      <c r="N188" s="763">
        <f t="shared" si="30"/>
        <v>0.46355962000000001</v>
      </c>
      <c r="O188" s="762">
        <f>+VLOOKUP(D188,[3]IMF_fdi_credit_debitinc!$A$1:$C$201,2,0)/1000000</f>
        <v>0.46355962000000001</v>
      </c>
      <c r="P188" s="762">
        <f>+VLOOKUP(D188,'[3]Inward, All'!A:AN,39,0)-+VLOOKUP(D188,'[3]Inward, All'!A:AN,40,0)+VLOOKUP(D188,'[3]DIRE Eurostat'!$A$3:$AQ$306,40,0)</f>
        <v>-1.3219964664310899</v>
      </c>
      <c r="Q188" s="762">
        <f>+N188-P188</f>
        <v>1.78555608643109</v>
      </c>
      <c r="R188" s="799"/>
    </row>
    <row r="189" spans="2:18" ht="14.25" customHeight="1" x14ac:dyDescent="0.35">
      <c r="D189" s="757" t="s">
        <v>356</v>
      </c>
      <c r="E189" s="763">
        <f t="shared" si="31"/>
        <v>0.97604981999999996</v>
      </c>
      <c r="F189" s="762">
        <f>+VLOOKUP(D189,[3]IMF_fdi_credit_debitinc!$A$1:$C$201,3,0)/1000000</f>
        <v>0.97604981999999996</v>
      </c>
      <c r="G189" s="762"/>
      <c r="H189" s="762"/>
      <c r="I189" s="764"/>
      <c r="J189" s="762"/>
      <c r="K189" s="762"/>
      <c r="L189" s="762"/>
      <c r="M189" s="762"/>
      <c r="N189" s="763">
        <f t="shared" si="30"/>
        <v>0</v>
      </c>
      <c r="O189" s="762">
        <f>+VLOOKUP(D189,[3]IMF_fdi_credit_debitinc!$A$1:$C$201,2,0)/1000000</f>
        <v>0</v>
      </c>
      <c r="P189" s="762"/>
      <c r="Q189" s="762"/>
      <c r="R189" s="799"/>
    </row>
    <row r="190" spans="2:18" ht="14.25" customHeight="1" x14ac:dyDescent="0.35">
      <c r="D190" s="757" t="s">
        <v>218</v>
      </c>
      <c r="E190" s="763">
        <f t="shared" si="31"/>
        <v>6860</v>
      </c>
      <c r="F190" s="762">
        <f>+VLOOKUP(D190,[3]IMF_fdi_credit_debitinc!$A$1:$C$201,3,0)/1000000</f>
        <v>6860</v>
      </c>
      <c r="G190" s="762">
        <f>+VLOOKUP(D190,'[3]Outward, All'!A:AN,39,0)-+VLOOKUP(D190,'[3]Outward, All'!A:AN,40,0)+VLOOKUP(D190,'[3]DIA Eurostat'!$A$4:$AN$307,40,0)</f>
        <v>3458.871811867306</v>
      </c>
      <c r="H190" s="762">
        <f t="shared" ref="H190:H219" si="32">+E190-G190</f>
        <v>3401.128188132694</v>
      </c>
      <c r="I190" s="764"/>
      <c r="J190" s="762"/>
      <c r="K190" s="762"/>
      <c r="L190" s="762"/>
      <c r="M190" s="762"/>
      <c r="N190" s="763">
        <f t="shared" si="30"/>
        <v>5850</v>
      </c>
      <c r="O190" s="762">
        <f>+VLOOKUP(D190,[3]IMF_fdi_credit_debitinc!$A$1:$C$201,2,0)/1000000</f>
        <v>5850</v>
      </c>
      <c r="P190" s="762">
        <f>+VLOOKUP(D190,'[3]Inward, All'!A:AN,39,0)-+VLOOKUP(D190,'[3]Inward, All'!A:AN,40,0)+VLOOKUP(D190,'[3]DIRE Eurostat'!$A$3:$AQ$306,40,0)</f>
        <v>672.20708480565406</v>
      </c>
      <c r="Q190" s="762">
        <f t="shared" ref="Q190:Q219" si="33">+N190-P190</f>
        <v>5177.7929151943463</v>
      </c>
      <c r="R190" s="799"/>
    </row>
    <row r="191" spans="2:18" ht="14.25" customHeight="1" x14ac:dyDescent="0.35">
      <c r="D191" s="757" t="s">
        <v>355</v>
      </c>
      <c r="E191" s="763">
        <f t="shared" si="31"/>
        <v>0</v>
      </c>
      <c r="F191" s="762">
        <f>+VLOOKUP(D191,[3]IMF_fdi_credit_debitinc!$A$1:$C$201,3,0)/1000000</f>
        <v>0</v>
      </c>
      <c r="G191" s="762">
        <f>+VLOOKUP(D191,'[3]Outward, All'!A:AN,39,0)-+VLOOKUP(D191,'[3]Outward, All'!A:AN,40,0)+VLOOKUP(D191,'[3]DIA Eurostat'!$A$4:$AN$307,40,0)</f>
        <v>158.9</v>
      </c>
      <c r="H191" s="762">
        <f t="shared" si="32"/>
        <v>-158.9</v>
      </c>
      <c r="I191" s="764"/>
      <c r="J191" s="762"/>
      <c r="K191" s="762"/>
      <c r="L191" s="762"/>
      <c r="M191" s="762"/>
      <c r="N191" s="763">
        <f t="shared" si="30"/>
        <v>0</v>
      </c>
      <c r="O191" s="762">
        <f>+VLOOKUP(D191,[3]IMF_fdi_credit_debitinc!$A$1:$C$201,2,0)/1000000</f>
        <v>0</v>
      </c>
      <c r="P191" s="762">
        <f>+VLOOKUP(D191,'[3]Inward, All'!A:AN,39,0)-+VLOOKUP(D191,'[3]Inward, All'!A:AN,40,0)+VLOOKUP(D191,'[3]DIRE Eurostat'!$A$3:$AQ$306,40,0)</f>
        <v>1.4</v>
      </c>
      <c r="Q191" s="762">
        <f t="shared" si="33"/>
        <v>-1.4</v>
      </c>
      <c r="R191" s="799"/>
    </row>
    <row r="192" spans="2:18" ht="14.25" customHeight="1" x14ac:dyDescent="0.35">
      <c r="B192" s="410" t="s">
        <v>354</v>
      </c>
      <c r="D192" s="757" t="s">
        <v>353</v>
      </c>
      <c r="E192" s="763">
        <f t="shared" si="31"/>
        <v>1530</v>
      </c>
      <c r="F192" s="762">
        <f>+VLOOKUP("Serbia, Republic of",[3]IMF_fdi_credit_debitinc!$A$1:$C$201,3,0)/1000000</f>
        <v>1530</v>
      </c>
      <c r="G192" s="762">
        <f>+VLOOKUP(D192,'[3]Outward, All'!A:AN,39,0)-+VLOOKUP(D192,'[3]Outward, All'!A:AN,40,0)+VLOOKUP(D192,'[3]DIA Eurostat'!$A$4:$AN$307,40,0)</f>
        <v>687.71594682737498</v>
      </c>
      <c r="H192" s="762">
        <f t="shared" si="32"/>
        <v>842.28405317262502</v>
      </c>
      <c r="I192" s="764"/>
      <c r="J192" s="762"/>
      <c r="K192" s="762"/>
      <c r="L192" s="762"/>
      <c r="M192" s="762"/>
      <c r="N192" s="763">
        <f t="shared" si="30"/>
        <v>384</v>
      </c>
      <c r="O192" s="762">
        <f>+VLOOKUP("Serbia, Republic of",[3]IMF_fdi_credit_debitinc!$A$1:$C$201,2,0)/1000000</f>
        <v>384</v>
      </c>
      <c r="P192" s="762">
        <f>+VLOOKUP(D192,'[3]Inward, All'!A:AN,39,0)-+VLOOKUP(D192,'[3]Inward, All'!A:AN,40,0)+VLOOKUP(D192,'[3]DIRE Eurostat'!$A$3:$AQ$306,40,0)</f>
        <v>5.1000000000000032</v>
      </c>
      <c r="Q192" s="762">
        <f t="shared" si="33"/>
        <v>378.9</v>
      </c>
      <c r="R192" s="799"/>
    </row>
    <row r="193" spans="2:18" ht="14.25" customHeight="1" x14ac:dyDescent="0.35">
      <c r="D193" s="757" t="s">
        <v>352</v>
      </c>
      <c r="E193" s="763">
        <f t="shared" si="31"/>
        <v>101</v>
      </c>
      <c r="F193" s="762">
        <f>+VLOOKUP(D193,[3]IMF_fdi_credit_debitinc!$A$1:$C$201,3,0)/1000000</f>
        <v>101</v>
      </c>
      <c r="G193" s="762">
        <f>+VLOOKUP(D193,'[3]Outward, All'!A:AN,39,0)-+VLOOKUP(D193,'[3]Outward, All'!A:AN,40,0)+VLOOKUP(D193,'[3]DIA Eurostat'!$A$4:$AN$307,40,0)</f>
        <v>-14.7</v>
      </c>
      <c r="H193" s="762">
        <f t="shared" si="32"/>
        <v>115.7</v>
      </c>
      <c r="I193" s="764"/>
      <c r="J193" s="762"/>
      <c r="K193" s="762"/>
      <c r="L193" s="762"/>
      <c r="M193" s="762"/>
      <c r="N193" s="763">
        <f t="shared" si="30"/>
        <v>0</v>
      </c>
      <c r="O193" s="762">
        <f>+VLOOKUP(D193,[3]IMF_fdi_credit_debitinc!$A$1:$C$201,2,0)/1000000</f>
        <v>0</v>
      </c>
      <c r="P193" s="762">
        <f>+VLOOKUP(D193,'[3]Inward, All'!A:AN,39,0)-+VLOOKUP(D193,'[3]Inward, All'!A:AN,40,0)+VLOOKUP(D193,'[3]DIRE Eurostat'!$A$3:$AQ$306,40,0)</f>
        <v>0</v>
      </c>
      <c r="Q193" s="762">
        <f t="shared" si="33"/>
        <v>0</v>
      </c>
      <c r="R193" s="799"/>
    </row>
    <row r="194" spans="2:18" ht="14.25" customHeight="1" x14ac:dyDescent="0.35">
      <c r="D194" s="757" t="s">
        <v>351</v>
      </c>
      <c r="E194" s="763">
        <f t="shared" si="31"/>
        <v>60.715341850000002</v>
      </c>
      <c r="F194" s="762">
        <f>+VLOOKUP(D194,[3]IMF_fdi_credit_debitinc!$A$1:$C$201,3,0)/1000000</f>
        <v>60.715341850000002</v>
      </c>
      <c r="G194" s="762">
        <f>+VLOOKUP(D194,'[3]Outward, All'!A:AN,39,0)-+VLOOKUP(D194,'[3]Outward, All'!A:AN,40,0)+VLOOKUP(D194,'[3]DIA Eurostat'!$A$4:$AN$307,40,0)</f>
        <v>20.100000000000001</v>
      </c>
      <c r="H194" s="762">
        <f t="shared" si="32"/>
        <v>40.61534185</v>
      </c>
      <c r="I194" s="764"/>
      <c r="J194" s="762"/>
      <c r="K194" s="762"/>
      <c r="L194" s="762"/>
      <c r="M194" s="762"/>
      <c r="N194" s="763">
        <f t="shared" si="30"/>
        <v>4.1729951080000003</v>
      </c>
      <c r="O194" s="762">
        <f>+VLOOKUP(D194,[3]IMF_fdi_credit_debitinc!$A$1:$C$201,2,0)/1000000</f>
        <v>4.1729951080000003</v>
      </c>
      <c r="P194" s="762">
        <f>+VLOOKUP(D194,'[3]Inward, All'!A:AN,39,0)-+VLOOKUP(D194,'[3]Inward, All'!A:AN,40,0)+VLOOKUP(D194,'[3]DIRE Eurostat'!$A$3:$AQ$306,40,0)</f>
        <v>0</v>
      </c>
      <c r="Q194" s="762">
        <f t="shared" si="33"/>
        <v>4.1729951080000003</v>
      </c>
      <c r="R194" s="799"/>
    </row>
    <row r="195" spans="2:18" ht="14.25" customHeight="1" x14ac:dyDescent="0.35">
      <c r="D195" s="757" t="s">
        <v>350</v>
      </c>
      <c r="E195" s="763">
        <f t="shared" si="31"/>
        <v>0</v>
      </c>
      <c r="F195" s="762">
        <f>+VLOOKUP(D195,[3]IMF_fdi_credit_debitinc!$A$1:$C$201,3,0)/1000000</f>
        <v>0</v>
      </c>
      <c r="G195" s="762">
        <f>+VLOOKUP(D195,'[3]Outward, All'!A:AN,39,0)-+VLOOKUP(D195,'[3]Outward, All'!A:AN,40,0)+VLOOKUP(D195,'[3]DIA Eurostat'!$A$4:$AN$307,40,0)</f>
        <v>0</v>
      </c>
      <c r="H195" s="762">
        <f t="shared" si="32"/>
        <v>0</v>
      </c>
      <c r="I195" s="764"/>
      <c r="J195" s="762"/>
      <c r="K195" s="762"/>
      <c r="L195" s="762"/>
      <c r="M195" s="762"/>
      <c r="N195" s="763">
        <f t="shared" si="30"/>
        <v>0</v>
      </c>
      <c r="O195" s="762">
        <f>+VLOOKUP(D195,[3]IMF_fdi_credit_debitinc!$A$1:$C$201,2,0)/1000000</f>
        <v>0</v>
      </c>
      <c r="P195" s="762">
        <f>+VLOOKUP(D195,'[3]Inward, All'!A:AN,39,0)-+VLOOKUP(D195,'[3]Inward, All'!A:AN,40,0)+VLOOKUP(D195,'[3]DIRE Eurostat'!$A$3:$AQ$306,40,0)</f>
        <v>0</v>
      </c>
      <c r="Q195" s="762">
        <f t="shared" si="33"/>
        <v>0</v>
      </c>
      <c r="R195" s="799"/>
    </row>
    <row r="196" spans="2:18" ht="14.25" customHeight="1" x14ac:dyDescent="0.35">
      <c r="D196" s="757" t="s">
        <v>349</v>
      </c>
      <c r="E196" s="763">
        <f t="shared" si="31"/>
        <v>394</v>
      </c>
      <c r="F196" s="762">
        <f>+VLOOKUP(D196,[3]IMF_fdi_credit_debitinc!$A$1:$C$201,3,0)/1000000</f>
        <v>394</v>
      </c>
      <c r="G196" s="762">
        <f>+VLOOKUP(D196,'[3]Outward, All'!A:AN,39,0)-+VLOOKUP(D196,'[3]Outward, All'!A:AN,40,0)+VLOOKUP(D196,'[3]DIA Eurostat'!$A$4:$AN$307,40,0)</f>
        <v>-20</v>
      </c>
      <c r="H196" s="762">
        <f t="shared" si="32"/>
        <v>414</v>
      </c>
      <c r="I196" s="764"/>
      <c r="J196" s="762"/>
      <c r="K196" s="762"/>
      <c r="L196" s="762"/>
      <c r="M196" s="762"/>
      <c r="N196" s="763">
        <f t="shared" si="30"/>
        <v>4.6687575949999998</v>
      </c>
      <c r="O196" s="762">
        <f>+VLOOKUP(D196,[3]IMF_fdi_credit_debitinc!$A$1:$C$201,2,0)/1000000</f>
        <v>4.6687575949999998</v>
      </c>
      <c r="P196" s="762">
        <f>+VLOOKUP(D196,'[3]Inward, All'!A:AN,39,0)-+VLOOKUP(D196,'[3]Inward, All'!A:AN,40,0)+VLOOKUP(D196,'[3]DIRE Eurostat'!$A$3:$AQ$306,40,0)</f>
        <v>0</v>
      </c>
      <c r="Q196" s="762">
        <f t="shared" si="33"/>
        <v>4.6687575949999998</v>
      </c>
      <c r="R196" s="799"/>
    </row>
    <row r="197" spans="2:18" ht="14.25" customHeight="1" x14ac:dyDescent="0.35">
      <c r="D197" s="757" t="s">
        <v>348</v>
      </c>
      <c r="E197" s="763">
        <f t="shared" si="31"/>
        <v>-41.6</v>
      </c>
      <c r="F197" s="762">
        <f>+VLOOKUP(D197,[3]IMF_fdi_credit_debitinc!$A$1:$C$201,3,0)/1000000</f>
        <v>-41.6</v>
      </c>
      <c r="G197" s="762">
        <f>+VLOOKUP(D197,'[3]Outward, All'!A:AN,39,0)-+VLOOKUP(D197,'[3]Outward, All'!A:AN,40,0)+VLOOKUP(D197,'[3]DIA Eurostat'!$A$4:$AN$307,40,0)</f>
        <v>10.9</v>
      </c>
      <c r="H197" s="762">
        <f t="shared" si="32"/>
        <v>-52.5</v>
      </c>
      <c r="I197" s="764"/>
      <c r="J197" s="762"/>
      <c r="K197" s="762"/>
      <c r="L197" s="762"/>
      <c r="M197" s="762"/>
      <c r="N197" s="763">
        <f t="shared" si="30"/>
        <v>0</v>
      </c>
      <c r="O197" s="762">
        <f>+VLOOKUP(D197,[3]IMF_fdi_credit_debitinc!$A$1:$C$201,2,0)/1000000</f>
        <v>0</v>
      </c>
      <c r="P197" s="762">
        <f>+VLOOKUP(D197,'[3]Inward, All'!A:AN,39,0)-+VLOOKUP(D197,'[3]Inward, All'!A:AN,40,0)+VLOOKUP(D197,'[3]DIRE Eurostat'!$A$3:$AQ$306,40,0)</f>
        <v>1</v>
      </c>
      <c r="Q197" s="762">
        <f t="shared" si="33"/>
        <v>-1</v>
      </c>
      <c r="R197" s="799"/>
    </row>
    <row r="198" spans="2:18" ht="14.25" customHeight="1" x14ac:dyDescent="0.35">
      <c r="D198" s="757" t="s">
        <v>347</v>
      </c>
      <c r="E198" s="763">
        <f t="shared" si="31"/>
        <v>416</v>
      </c>
      <c r="F198" s="762">
        <f>+VLOOKUP(D198,[3]IMF_fdi_credit_debitinc!$A$1:$C$201,3,0)/1000000</f>
        <v>416</v>
      </c>
      <c r="G198" s="762">
        <f>+VLOOKUP(D198,'[3]Outward, All'!A:AN,39,0)-+VLOOKUP(D198,'[3]Outward, All'!A:AN,40,0)+VLOOKUP(D198,'[3]DIA Eurostat'!$A$4:$AN$307,40,0)</f>
        <v>4</v>
      </c>
      <c r="H198" s="762">
        <f t="shared" si="32"/>
        <v>412</v>
      </c>
      <c r="I198" s="764"/>
      <c r="J198" s="762"/>
      <c r="K198" s="762"/>
      <c r="L198" s="762"/>
      <c r="M198" s="762"/>
      <c r="N198" s="763">
        <f t="shared" si="30"/>
        <v>113</v>
      </c>
      <c r="O198" s="762">
        <f>+VLOOKUP(D198,[3]IMF_fdi_credit_debitinc!$A$1:$C$201,2,0)/1000000</f>
        <v>113</v>
      </c>
      <c r="P198" s="762">
        <f>+VLOOKUP(D198,'[3]Inward, All'!A:AN,39,0)-+VLOOKUP(D198,'[3]Inward, All'!A:AN,40,0)+VLOOKUP(D198,'[3]DIRE Eurostat'!$A$3:$AQ$306,40,0)</f>
        <v>-9.8000000000000007</v>
      </c>
      <c r="Q198" s="762">
        <f t="shared" si="33"/>
        <v>122.8</v>
      </c>
      <c r="R198" s="799"/>
    </row>
    <row r="199" spans="2:18" ht="14.25" customHeight="1" x14ac:dyDescent="0.35">
      <c r="B199" s="379" t="s">
        <v>346</v>
      </c>
      <c r="D199" s="757" t="s">
        <v>345</v>
      </c>
      <c r="E199" s="763">
        <f t="shared" si="31"/>
        <v>0</v>
      </c>
      <c r="F199" s="762">
        <f>+VLOOKUP(D199,[3]IMF_fdi_credit_debitinc!$A$1:$C$201,3,0)/1000000</f>
        <v>0</v>
      </c>
      <c r="G199" s="762">
        <f>+VLOOKUP(D199,'[3]Outward, All'!A:AN,39,0)-+VLOOKUP(D199,'[3]Outward, All'!A:AN,40,0)+VLOOKUP(B199,'[3]DIA Eurostat'!$A$4:$AN$307,40,0)</f>
        <v>-61</v>
      </c>
      <c r="H199" s="762">
        <f t="shared" si="32"/>
        <v>61</v>
      </c>
      <c r="I199" s="764"/>
      <c r="J199" s="762"/>
      <c r="K199" s="762"/>
      <c r="L199" s="762"/>
      <c r="M199" s="762"/>
      <c r="N199" s="763">
        <f t="shared" si="30"/>
        <v>0</v>
      </c>
      <c r="O199" s="762">
        <f>+VLOOKUP(D199,[3]IMF_fdi_credit_debitinc!$A$1:$C$201,2,0)/1000000</f>
        <v>0</v>
      </c>
      <c r="P199" s="762">
        <f>+VLOOKUP(D199,'[3]Inward, All'!A:AN,39,0)-+VLOOKUP(D199,'[3]Inward, All'!A:AN,40,0)+VLOOKUP(B199,'[3]DIRE Eurostat'!$A$3:$AQ$306,40,0)</f>
        <v>6.9</v>
      </c>
      <c r="Q199" s="762">
        <f t="shared" si="33"/>
        <v>-6.9</v>
      </c>
      <c r="R199" s="799"/>
    </row>
    <row r="200" spans="2:18" ht="14.25" customHeight="1" x14ac:dyDescent="0.35">
      <c r="D200" s="757" t="s">
        <v>344</v>
      </c>
      <c r="E200" s="763">
        <f t="shared" si="31"/>
        <v>42.569490000000002</v>
      </c>
      <c r="F200" s="762">
        <f>+VLOOKUP(D200,[3]IMF_fdi_credit_debitinc!$A$1:$C$201,3,0)/1000000</f>
        <v>42.569490000000002</v>
      </c>
      <c r="G200" s="762">
        <f>+VLOOKUP(D200,'[3]Outward, All'!A:AN,39,0)-+VLOOKUP(D200,'[3]Outward, All'!A:AN,40,0)+VLOOKUP(D200,'[3]DIA Eurostat'!$A$4:$AN$307,40,0)</f>
        <v>0</v>
      </c>
      <c r="H200" s="762">
        <f t="shared" si="32"/>
        <v>42.569490000000002</v>
      </c>
      <c r="I200" s="764"/>
      <c r="J200" s="762"/>
      <c r="K200" s="762"/>
      <c r="L200" s="762"/>
      <c r="M200" s="762"/>
      <c r="N200" s="763">
        <f t="shared" si="30"/>
        <v>0</v>
      </c>
      <c r="O200" s="762">
        <f>+VLOOKUP(D200,[3]IMF_fdi_credit_debitinc!$A$1:$C$201,2,0)/1000000</f>
        <v>0</v>
      </c>
      <c r="P200" s="762">
        <f>+VLOOKUP(D200,'[3]Inward, All'!A:AN,39,0)-+VLOOKUP(D200,'[3]Inward, All'!A:AN,40,0)+VLOOKUP(D200,'[3]DIRE Eurostat'!$A$3:$AQ$306,40,0)</f>
        <v>0</v>
      </c>
      <c r="Q200" s="762">
        <f t="shared" si="33"/>
        <v>0</v>
      </c>
      <c r="R200" s="799"/>
    </row>
    <row r="201" spans="2:18" ht="14.25" customHeight="1" x14ac:dyDescent="0.35">
      <c r="D201" s="757" t="s">
        <v>343</v>
      </c>
      <c r="E201" s="763">
        <f t="shared" si="31"/>
        <v>776</v>
      </c>
      <c r="F201" s="762">
        <f>+VLOOKUP(D201,[3]IMF_fdi_credit_debitinc!$A$1:$C$201,3,0)/1000000</f>
        <v>776</v>
      </c>
      <c r="G201" s="762">
        <f>+VLOOKUP(D201,'[3]Outward, All'!A:AN,39,0)-+VLOOKUP(D201,'[3]Outward, All'!A:AN,40,0)+VLOOKUP(D201,'[3]DIA Eurostat'!$A$4:$AN$307,40,0)</f>
        <v>65.887873715015587</v>
      </c>
      <c r="H201" s="762">
        <f t="shared" si="32"/>
        <v>710.11212628498447</v>
      </c>
      <c r="I201" s="764"/>
      <c r="J201" s="762"/>
      <c r="K201" s="762"/>
      <c r="L201" s="762"/>
      <c r="M201" s="762"/>
      <c r="N201" s="763">
        <f t="shared" si="30"/>
        <v>0</v>
      </c>
      <c r="O201" s="762">
        <f>+VLOOKUP(D201,[3]IMF_fdi_credit_debitinc!$A$1:$C$201,2,0)/1000000</f>
        <v>0</v>
      </c>
      <c r="P201" s="762">
        <f>+VLOOKUP(D201,'[3]Inward, All'!A:AN,39,0)-+VLOOKUP(D201,'[3]Inward, All'!A:AN,40,0)+VLOOKUP(D201,'[3]DIRE Eurostat'!$A$3:$AQ$306,40,0)</f>
        <v>-7.9</v>
      </c>
      <c r="Q201" s="762">
        <f t="shared" si="33"/>
        <v>7.9</v>
      </c>
      <c r="R201" s="799"/>
    </row>
    <row r="202" spans="2:18" ht="14.25" customHeight="1" x14ac:dyDescent="0.35">
      <c r="D202" s="757" t="s">
        <v>227</v>
      </c>
      <c r="E202" s="763">
        <f t="shared" si="31"/>
        <v>14800</v>
      </c>
      <c r="F202" s="762">
        <f>+VLOOKUP(D202,[3]IMF_fdi_credit_debitinc!$A$1:$C$201,3,0)/1000000</f>
        <v>14800</v>
      </c>
      <c r="G202" s="762">
        <f>+VLOOKUP(D202,'[3]Outward, All'!A:AN,39,0)-+VLOOKUP(D202,'[3]Outward, All'!A:AN,40,0)+VLOOKUP(D202,'[3]DIA Eurostat'!$A$4:$AN$307,40,0)</f>
        <v>10417.186510207855</v>
      </c>
      <c r="H202" s="762">
        <f t="shared" si="32"/>
        <v>4382.8134897921445</v>
      </c>
      <c r="I202" s="764"/>
      <c r="J202" s="762"/>
      <c r="K202" s="762"/>
      <c r="L202" s="762"/>
      <c r="M202" s="762"/>
      <c r="N202" s="763">
        <f t="shared" si="30"/>
        <v>-5.7150128420000001</v>
      </c>
      <c r="O202" s="762">
        <f>+VLOOKUP(D202,[3]IMF_fdi_credit_debitinc!$A$1:$C$201,2,0)/1000000</f>
        <v>-5.7150128420000001</v>
      </c>
      <c r="P202" s="762">
        <f>+VLOOKUP(D202,'[3]Inward, All'!A:AN,39,0)-+VLOOKUP(D202,'[3]Inward, All'!A:AN,40,0)+VLOOKUP(D202,'[3]DIRE Eurostat'!$A$3:$AQ$306,40,0)</f>
        <v>96.522487514592797</v>
      </c>
      <c r="Q202" s="762">
        <f t="shared" si="33"/>
        <v>-102.23750035659279</v>
      </c>
      <c r="R202" s="799"/>
    </row>
    <row r="203" spans="2:18" ht="14.25" customHeight="1" x14ac:dyDescent="0.35">
      <c r="B203" s="410" t="s">
        <v>342</v>
      </c>
      <c r="D203" s="757" t="s">
        <v>341</v>
      </c>
      <c r="E203" s="763">
        <f t="shared" si="31"/>
        <v>13.3665</v>
      </c>
      <c r="F203" s="762">
        <f>+VLOOKUP("Timor-Leste, Dem. Rep. Of",[3]IMF_fdi_credit_debitinc!$A$1:$C$201,3,0)/1000000</f>
        <v>13.3665</v>
      </c>
      <c r="G203" s="762">
        <f>+VLOOKUP(D203,'[3]Outward, All'!A:AN,39,0)-+VLOOKUP(D203,'[3]Outward, All'!A:AN,40,0)+VLOOKUP(D203,'[3]DIA Eurostat'!$A$4:$AN$307,40,0)</f>
        <v>239.18468705386999</v>
      </c>
      <c r="H203" s="762">
        <f t="shared" si="32"/>
        <v>-225.81818705386999</v>
      </c>
      <c r="I203" s="764"/>
      <c r="J203" s="762"/>
      <c r="K203" s="762"/>
      <c r="L203" s="762"/>
      <c r="M203" s="762"/>
      <c r="N203" s="763">
        <f t="shared" si="30"/>
        <v>0</v>
      </c>
      <c r="O203" s="762">
        <f>+VLOOKUP("Timor-Leste, Dem. Rep. Of",[3]IMF_fdi_credit_debitinc!$A$1:$C$201,2,0)/1000000</f>
        <v>0</v>
      </c>
      <c r="P203" s="762">
        <f>+VLOOKUP(D203,'[3]Inward, All'!A:AN,39,0)-+VLOOKUP(D203,'[3]Inward, All'!A:AN,40,0)+VLOOKUP(D203,'[3]DIRE Eurostat'!$A$3:$AQ$306,40,0)</f>
        <v>-0.2</v>
      </c>
      <c r="Q203" s="762">
        <f t="shared" si="33"/>
        <v>0.2</v>
      </c>
      <c r="R203" s="799"/>
    </row>
    <row r="204" spans="2:18" ht="14.25" customHeight="1" x14ac:dyDescent="0.35">
      <c r="D204" s="757" t="s">
        <v>340</v>
      </c>
      <c r="E204" s="763">
        <f t="shared" si="31"/>
        <v>121</v>
      </c>
      <c r="F204" s="762">
        <f>+VLOOKUP(D204,[3]IMF_fdi_credit_debitinc!$A$1:$C$201,3,0)/1000000</f>
        <v>121</v>
      </c>
      <c r="G204" s="762">
        <f>+VLOOKUP(D204,'[3]Outward, All'!A:AN,39,0)-+VLOOKUP(D204,'[3]Outward, All'!A:AN,40,0)+VLOOKUP(D204,'[3]DIA Eurostat'!$A$4:$AN$307,40,0)</f>
        <v>-0.7</v>
      </c>
      <c r="H204" s="762">
        <f t="shared" si="32"/>
        <v>121.7</v>
      </c>
      <c r="I204" s="764"/>
      <c r="J204" s="762"/>
      <c r="K204" s="762"/>
      <c r="L204" s="762"/>
      <c r="M204" s="762"/>
      <c r="N204" s="763">
        <f t="shared" si="30"/>
        <v>197</v>
      </c>
      <c r="O204" s="762">
        <f>+VLOOKUP(D204,[3]IMF_fdi_credit_debitinc!$A$1:$C$201,2,0)/1000000</f>
        <v>197</v>
      </c>
      <c r="P204" s="762">
        <f>+VLOOKUP(D204,'[3]Inward, All'!A:AN,39,0)-+VLOOKUP(D204,'[3]Inward, All'!A:AN,40,0)+VLOOKUP(D204,'[3]DIRE Eurostat'!$A$3:$AQ$306,40,0)</f>
        <v>10</v>
      </c>
      <c r="Q204" s="762">
        <f t="shared" si="33"/>
        <v>187</v>
      </c>
      <c r="R204" s="799"/>
    </row>
    <row r="205" spans="2:18" ht="14.25" customHeight="1" x14ac:dyDescent="0.35">
      <c r="D205" s="757" t="s">
        <v>339</v>
      </c>
      <c r="E205" s="763">
        <f t="shared" si="31"/>
        <v>0</v>
      </c>
      <c r="F205" s="762">
        <f>+VLOOKUP(D205,[3]IMF_fdi_credit_debitinc!$A$1:$C$201,3,0)/1000000</f>
        <v>0</v>
      </c>
      <c r="G205" s="762">
        <f>+VLOOKUP(D205,'[3]Outward, All'!A:AN,39,0)-+VLOOKUP(D205,'[3]Outward, All'!A:AN,40,0)+VLOOKUP(D205,'[3]DIA Eurostat'!$A$4:$AN$307,40,0)</f>
        <v>0</v>
      </c>
      <c r="H205" s="762">
        <f t="shared" si="32"/>
        <v>0</v>
      </c>
      <c r="I205" s="764"/>
      <c r="J205" s="762"/>
      <c r="K205" s="762"/>
      <c r="L205" s="762"/>
      <c r="M205" s="762"/>
      <c r="N205" s="763">
        <f t="shared" si="30"/>
        <v>0</v>
      </c>
      <c r="O205" s="762">
        <f>+VLOOKUP(D205,[3]IMF_fdi_credit_debitinc!$A$1:$C$201,2,0)/1000000</f>
        <v>0</v>
      </c>
      <c r="P205" s="762">
        <f>+VLOOKUP(D205,'[3]Inward, All'!A:AN,39,0)-+VLOOKUP(D205,'[3]Inward, All'!A:AN,40,0)+VLOOKUP(D205,'[3]DIRE Eurostat'!$A$3:$AQ$306,40,0)</f>
        <v>0</v>
      </c>
      <c r="Q205" s="762">
        <f t="shared" si="33"/>
        <v>0</v>
      </c>
      <c r="R205" s="799"/>
    </row>
    <row r="206" spans="2:18" ht="14.25" customHeight="1" x14ac:dyDescent="0.35">
      <c r="D206" s="757" t="s">
        <v>338</v>
      </c>
      <c r="E206" s="763">
        <f t="shared" si="31"/>
        <v>530</v>
      </c>
      <c r="F206" s="762">
        <f>+VLOOKUP(D206,[3]IMF_fdi_credit_debitinc!$A$1:$C$201,3,0)/1000000</f>
        <v>530</v>
      </c>
      <c r="G206" s="762">
        <f>+VLOOKUP(D206,'[3]Outward, All'!A:AN,39,0)-+VLOOKUP(D206,'[3]Outward, All'!A:AN,40,0)+VLOOKUP(D206,'[3]DIA Eurostat'!$A$4:$AN$307,40,0)</f>
        <v>331.8</v>
      </c>
      <c r="H206" s="762">
        <f t="shared" si="32"/>
        <v>198.2</v>
      </c>
      <c r="I206" s="764"/>
      <c r="J206" s="762"/>
      <c r="K206" s="762"/>
      <c r="L206" s="762"/>
      <c r="M206" s="762"/>
      <c r="N206" s="763">
        <f t="shared" si="30"/>
        <v>126</v>
      </c>
      <c r="O206" s="762">
        <f>+VLOOKUP(D206,[3]IMF_fdi_credit_debitinc!$A$1:$C$201,2,0)/1000000</f>
        <v>126</v>
      </c>
      <c r="P206" s="762">
        <f>+VLOOKUP(D206,'[3]Inward, All'!A:AN,39,0)-+VLOOKUP(D206,'[3]Inward, All'!A:AN,40,0)+VLOOKUP(D206,'[3]DIRE Eurostat'!$A$3:$AQ$306,40,0)</f>
        <v>-2</v>
      </c>
      <c r="Q206" s="762">
        <f t="shared" si="33"/>
        <v>128</v>
      </c>
      <c r="R206" s="799"/>
    </row>
    <row r="207" spans="2:18" ht="14.25" customHeight="1" x14ac:dyDescent="0.35">
      <c r="D207" s="757" t="s">
        <v>337</v>
      </c>
      <c r="E207" s="763">
        <f t="shared" si="31"/>
        <v>984</v>
      </c>
      <c r="F207" s="762">
        <f>+VLOOKUP(D207,[3]IMF_fdi_credit_debitinc!$A$1:$C$201,3,0)/1000000</f>
        <v>984</v>
      </c>
      <c r="G207" s="762">
        <f>+VLOOKUP(D207,'[3]Outward, All'!A:AN,39,0)-+VLOOKUP(D207,'[3]Outward, All'!A:AN,40,0)+VLOOKUP(D207,'[3]DIA Eurostat'!$A$4:$AN$307,40,0)</f>
        <v>233.6</v>
      </c>
      <c r="H207" s="762">
        <f t="shared" si="32"/>
        <v>750.4</v>
      </c>
      <c r="I207" s="764"/>
      <c r="J207" s="762"/>
      <c r="K207" s="762"/>
      <c r="L207" s="762"/>
      <c r="M207" s="762"/>
      <c r="N207" s="763">
        <f t="shared" si="30"/>
        <v>39.86490792</v>
      </c>
      <c r="O207" s="762">
        <f>+VLOOKUP(D207,[3]IMF_fdi_credit_debitinc!$A$1:$C$201,2,0)/1000000</f>
        <v>39.86490792</v>
      </c>
      <c r="P207" s="762">
        <f>+VLOOKUP(D207,'[3]Inward, All'!A:AN,39,0)-+VLOOKUP(D207,'[3]Inward, All'!A:AN,40,0)+VLOOKUP(D207,'[3]DIRE Eurostat'!$A$3:$AQ$306,40,0)</f>
        <v>12.2</v>
      </c>
      <c r="Q207" s="762">
        <f t="shared" si="33"/>
        <v>27.664907920000001</v>
      </c>
      <c r="R207" s="799"/>
    </row>
    <row r="208" spans="2:18" ht="14.25" customHeight="1" x14ac:dyDescent="0.35">
      <c r="D208" s="757" t="s">
        <v>336</v>
      </c>
      <c r="E208" s="763">
        <f t="shared" si="31"/>
        <v>0</v>
      </c>
      <c r="F208" s="762">
        <f>+VLOOKUP(D208,[3]IMF_fdi_credit_debitinc!$A$1:$C$201,3,0)/1000000</f>
        <v>0</v>
      </c>
      <c r="G208" s="762">
        <f>+VLOOKUP(D208,'[3]Outward, All'!A:AN,39,0)-+VLOOKUP(D208,'[3]Outward, All'!A:AN,40,0)+VLOOKUP(D208,'[3]DIA Eurostat'!$A$4:$AN$307,40,0)</f>
        <v>0</v>
      </c>
      <c r="H208" s="762">
        <f t="shared" si="32"/>
        <v>0</v>
      </c>
      <c r="I208" s="764"/>
      <c r="J208" s="762"/>
      <c r="K208" s="762"/>
      <c r="L208" s="762"/>
      <c r="M208" s="762"/>
      <c r="N208" s="763">
        <f t="shared" si="30"/>
        <v>0</v>
      </c>
      <c r="O208" s="762">
        <f>+VLOOKUP(D208,[3]IMF_fdi_credit_debitinc!$A$1:$C$201,2,0)/1000000</f>
        <v>0</v>
      </c>
      <c r="P208" s="762">
        <f>+VLOOKUP(D208,'[3]Inward, All'!A:AN,39,0)-+VLOOKUP(D208,'[3]Inward, All'!A:AN,40,0)+VLOOKUP(D208,'[3]DIRE Eurostat'!$A$3:$AQ$306,40,0)</f>
        <v>0</v>
      </c>
      <c r="Q208" s="762">
        <f t="shared" si="33"/>
        <v>0</v>
      </c>
      <c r="R208" s="799"/>
    </row>
    <row r="209" spans="2:18" ht="14.25" customHeight="1" x14ac:dyDescent="0.35">
      <c r="D209" s="757" t="s">
        <v>335</v>
      </c>
      <c r="E209" s="763">
        <f t="shared" si="31"/>
        <v>229</v>
      </c>
      <c r="F209" s="762">
        <f>+VLOOKUP(D209,[3]IMF_fdi_credit_debitinc!$A$1:$C$201,3,0)/1000000</f>
        <v>229</v>
      </c>
      <c r="G209" s="762">
        <f>+VLOOKUP(D209,'[3]Outward, All'!A:AN,39,0)-+VLOOKUP(D209,'[3]Outward, All'!A:AN,40,0)+VLOOKUP(D209,'[3]DIA Eurostat'!$A$4:$AN$307,40,0)</f>
        <v>41.836212690500098</v>
      </c>
      <c r="H209" s="762">
        <f t="shared" si="32"/>
        <v>187.1637873094999</v>
      </c>
      <c r="I209" s="764"/>
      <c r="J209" s="762"/>
      <c r="K209" s="762"/>
      <c r="L209" s="762"/>
      <c r="M209" s="762"/>
      <c r="N209" s="763">
        <f t="shared" si="30"/>
        <v>0.28762388</v>
      </c>
      <c r="O209" s="762">
        <f>+VLOOKUP(D209,[3]IMF_fdi_credit_debitinc!$A$1:$C$201,2,0)/1000000</f>
        <v>0.28762388</v>
      </c>
      <c r="P209" s="762">
        <f>+VLOOKUP(D209,'[3]Inward, All'!A:AN,39,0)-+VLOOKUP(D209,'[3]Inward, All'!A:AN,40,0)+VLOOKUP(D209,'[3]DIRE Eurostat'!$A$3:$AQ$306,40,0)</f>
        <v>-0.4</v>
      </c>
      <c r="Q209" s="762">
        <f t="shared" si="33"/>
        <v>0.68762388000000008</v>
      </c>
      <c r="R209" s="799"/>
    </row>
    <row r="210" spans="2:18" ht="14.25" customHeight="1" x14ac:dyDescent="0.35">
      <c r="D210" s="757" t="s">
        <v>334</v>
      </c>
      <c r="E210" s="763">
        <f t="shared" si="31"/>
        <v>471</v>
      </c>
      <c r="F210" s="762">
        <f>+VLOOKUP(D210,[3]IMF_fdi_credit_debitinc!$A$1:$C$201,3,0)/1000000</f>
        <v>471</v>
      </c>
      <c r="G210" s="762">
        <f>+VLOOKUP(D210,'[3]Outward, All'!A:AN,39,0)-+VLOOKUP(D210,'[3]Outward, All'!A:AN,40,0)+VLOOKUP(D210,'[3]DIA Eurostat'!$A$4:$AN$307,40,0)</f>
        <v>-157.49593021092966</v>
      </c>
      <c r="H210" s="762">
        <f t="shared" si="32"/>
        <v>628.4959302109296</v>
      </c>
      <c r="I210" s="764"/>
      <c r="J210" s="762"/>
      <c r="K210" s="762"/>
      <c r="L210" s="762"/>
      <c r="M210" s="762"/>
      <c r="N210" s="763">
        <f t="shared" si="30"/>
        <v>42</v>
      </c>
      <c r="O210" s="762">
        <f>+VLOOKUP(D210,[3]IMF_fdi_credit_debitinc!$A$1:$C$201,2,0)/1000000</f>
        <v>42</v>
      </c>
      <c r="P210" s="762">
        <f>+VLOOKUP(D210,'[3]Inward, All'!A:AN,39,0)-+VLOOKUP(D210,'[3]Inward, All'!A:AN,40,0)+VLOOKUP(D210,'[3]DIRE Eurostat'!$A$3:$AQ$306,40,0)</f>
        <v>-3.2039029449206544</v>
      </c>
      <c r="Q210" s="762">
        <f t="shared" si="33"/>
        <v>45.203902944920657</v>
      </c>
      <c r="R210" s="799"/>
    </row>
    <row r="211" spans="2:18" ht="14.25" customHeight="1" x14ac:dyDescent="0.35">
      <c r="D211" s="757" t="s">
        <v>333</v>
      </c>
      <c r="E211" s="763">
        <f t="shared" si="31"/>
        <v>806</v>
      </c>
      <c r="F211" s="762">
        <f>+VLOOKUP(D211,[3]IMF_fdi_credit_debitinc!$A$1:$C$201,3,0)/1000000</f>
        <v>806</v>
      </c>
      <c r="G211" s="762">
        <f>+VLOOKUP(D211,'[3]Outward, All'!A:AN,39,0)-+VLOOKUP(D211,'[3]Outward, All'!A:AN,40,0)+VLOOKUP(D211,'[3]DIA Eurostat'!$A$4:$AN$307,40,0)</f>
        <v>188.74232605478502</v>
      </c>
      <c r="H211" s="762">
        <f t="shared" si="32"/>
        <v>617.25767394521495</v>
      </c>
      <c r="I211" s="764"/>
      <c r="J211" s="762"/>
      <c r="K211" s="762"/>
      <c r="L211" s="762"/>
      <c r="M211" s="762"/>
      <c r="N211" s="763">
        <f t="shared" si="30"/>
        <v>32.814710599999998</v>
      </c>
      <c r="O211" s="762">
        <f>+VLOOKUP(D211,[3]IMF_fdi_credit_debitinc!$A$1:$C$201,2,0)/1000000</f>
        <v>32.814710599999998</v>
      </c>
      <c r="P211" s="762">
        <f>+VLOOKUP(D211,'[3]Inward, All'!A:AN,39,0)-+VLOOKUP(D211,'[3]Inward, All'!A:AN,40,0)+VLOOKUP(D211,'[3]DIRE Eurostat'!$A$3:$AQ$306,40,0)</f>
        <v>452.70630963046403</v>
      </c>
      <c r="Q211" s="762">
        <f t="shared" si="33"/>
        <v>-419.89159903046402</v>
      </c>
      <c r="R211" s="799"/>
    </row>
    <row r="212" spans="2:18" ht="14.25" customHeight="1" x14ac:dyDescent="0.35">
      <c r="D212" s="757" t="s">
        <v>332</v>
      </c>
      <c r="E212" s="763">
        <f t="shared" si="31"/>
        <v>25.113928659999999</v>
      </c>
      <c r="F212" s="762">
        <f>+VLOOKUP(D212,[3]IMF_fdi_credit_debitinc!$A$1:$C$201,3,0)/1000000</f>
        <v>25.113928659999999</v>
      </c>
      <c r="G212" s="762">
        <f>+VLOOKUP(D212,'[3]Outward, All'!A:AN,39,0)-+VLOOKUP(D212,'[3]Outward, All'!A:AN,40,0)+VLOOKUP(D212,'[3]DIA Eurostat'!$A$4:$AN$307,40,0)</f>
        <v>13.713712525358797</v>
      </c>
      <c r="H212" s="762">
        <f t="shared" si="32"/>
        <v>11.400216134641202</v>
      </c>
      <c r="I212" s="764"/>
      <c r="J212" s="762"/>
      <c r="K212" s="762"/>
      <c r="L212" s="762"/>
      <c r="M212" s="762"/>
      <c r="N212" s="763">
        <f t="shared" si="30"/>
        <v>1.4479432269999999</v>
      </c>
      <c r="O212" s="762">
        <f>+VLOOKUP(D212,[3]IMF_fdi_credit_debitinc!$A$1:$C$201,2,0)/1000000</f>
        <v>1.4479432269999999</v>
      </c>
      <c r="P212" s="762">
        <f>+VLOOKUP(D212,'[3]Inward, All'!A:AN,39,0)-+VLOOKUP(D212,'[3]Inward, All'!A:AN,40,0)+VLOOKUP(D212,'[3]DIRE Eurostat'!$A$3:$AQ$306,40,0)</f>
        <v>0</v>
      </c>
      <c r="Q212" s="762">
        <f t="shared" si="33"/>
        <v>1.4479432269999999</v>
      </c>
      <c r="R212" s="799"/>
    </row>
    <row r="213" spans="2:18" ht="14.25" customHeight="1" x14ac:dyDescent="0.35">
      <c r="B213" s="410" t="s">
        <v>331</v>
      </c>
      <c r="D213" s="757" t="s">
        <v>207</v>
      </c>
      <c r="E213" s="763">
        <f t="shared" si="31"/>
        <v>2330</v>
      </c>
      <c r="F213" s="762">
        <f>+VLOOKUP("Venezuela, Republica Bolivariana de",[3]IMF_fdi_credit_debitinc!$A$1:$C$201,3,0)/1000000</f>
        <v>2330</v>
      </c>
      <c r="G213" s="762">
        <f>+VLOOKUP(D213,'[3]Outward, All'!A:AN,39,0)-+VLOOKUP(D213,'[3]Outward, All'!A:AN,40,0)+VLOOKUP(D213,'[3]DIA Eurostat'!$A$4:$AN$307,40,0)</f>
        <v>2742.1986054943527</v>
      </c>
      <c r="H213" s="762">
        <f t="shared" si="32"/>
        <v>-412.19860549435271</v>
      </c>
      <c r="I213" s="764"/>
      <c r="J213" s="762"/>
      <c r="K213" s="762"/>
      <c r="L213" s="762"/>
      <c r="M213" s="762"/>
      <c r="N213" s="763">
        <f t="shared" si="30"/>
        <v>600</v>
      </c>
      <c r="O213" s="762">
        <f>+VLOOKUP("Venezuela, Republica Bolivariana de",[3]IMF_fdi_credit_debitinc!$A$1:$C$201,2,0)/1000000</f>
        <v>600</v>
      </c>
      <c r="P213" s="762">
        <f>+VLOOKUP(D213,'[3]Inward, All'!A:AN,39,0)-+VLOOKUP(D213,'[3]Inward, All'!A:AN,40,0)+VLOOKUP(D213,'[3]DIRE Eurostat'!$A$3:$AQ$306,40,0)</f>
        <v>-76.5</v>
      </c>
      <c r="Q213" s="762">
        <f t="shared" si="33"/>
        <v>676.5</v>
      </c>
      <c r="R213" s="799"/>
    </row>
    <row r="214" spans="2:18" ht="14.25" customHeight="1" x14ac:dyDescent="0.35">
      <c r="D214" s="757" t="s">
        <v>330</v>
      </c>
      <c r="E214" s="763">
        <f t="shared" si="31"/>
        <v>0</v>
      </c>
      <c r="F214" s="762">
        <f>+VLOOKUP(D214,[3]IMF_fdi_credit_debitinc!$A$1:$C$201,3,0)/1000000</f>
        <v>0</v>
      </c>
      <c r="G214" s="762">
        <f>+VLOOKUP(D214,'[3]Outward, All'!A:AN,39,0)-+VLOOKUP(D214,'[3]Outward, All'!A:AN,40,0)+VLOOKUP(D214,'[3]DIA Eurostat'!$A$4:$AN$307,40,0)</f>
        <v>2080.9400631878912</v>
      </c>
      <c r="H214" s="762">
        <f t="shared" si="32"/>
        <v>-2080.9400631878912</v>
      </c>
      <c r="I214" s="764"/>
      <c r="J214" s="762"/>
      <c r="K214" s="762"/>
      <c r="L214" s="762"/>
      <c r="M214" s="762"/>
      <c r="N214" s="763">
        <f t="shared" si="30"/>
        <v>0</v>
      </c>
      <c r="O214" s="762">
        <f>+VLOOKUP(D214,[3]IMF_fdi_credit_debitinc!$A$1:$C$201,2,0)/1000000</f>
        <v>0</v>
      </c>
      <c r="P214" s="762">
        <f>+VLOOKUP(D214,'[3]Inward, All'!A:AN,39,0)-+VLOOKUP(D214,'[3]Inward, All'!A:AN,40,0)+VLOOKUP(D214,'[3]DIRE Eurostat'!$A$3:$AQ$306,40,0)</f>
        <v>-0.57518286842481992</v>
      </c>
      <c r="Q214" s="762">
        <f t="shared" si="33"/>
        <v>0.57518286842481992</v>
      </c>
      <c r="R214" s="799"/>
    </row>
    <row r="215" spans="2:18" ht="14.25" customHeight="1" x14ac:dyDescent="0.35">
      <c r="D215" s="757" t="s">
        <v>329</v>
      </c>
      <c r="E215" s="763">
        <f t="shared" si="31"/>
        <v>73.865486590000003</v>
      </c>
      <c r="F215" s="762">
        <f>+VLOOKUP(D215,[3]IMF_fdi_credit_debitinc!$A$1:$C$201,3,0)/1000000</f>
        <v>73.865486590000003</v>
      </c>
      <c r="G215" s="762">
        <v>0</v>
      </c>
      <c r="H215" s="762">
        <f t="shared" si="32"/>
        <v>73.865486590000003</v>
      </c>
      <c r="I215" s="764"/>
      <c r="J215" s="762"/>
      <c r="K215" s="762"/>
      <c r="L215" s="762"/>
      <c r="M215" s="762"/>
      <c r="N215" s="763">
        <f t="shared" si="30"/>
        <v>4.4454228530000002</v>
      </c>
      <c r="O215" s="762">
        <f>+VLOOKUP(D215,[3]IMF_fdi_credit_debitinc!$A$1:$C$201,2,0)/1000000</f>
        <v>4.4454228530000002</v>
      </c>
      <c r="P215" s="762">
        <v>0</v>
      </c>
      <c r="Q215" s="762">
        <f t="shared" si="33"/>
        <v>4.4454228530000002</v>
      </c>
      <c r="R215" s="799"/>
    </row>
    <row r="216" spans="2:18" ht="14.25" customHeight="1" x14ac:dyDescent="0.35">
      <c r="B216" s="410" t="s">
        <v>328</v>
      </c>
      <c r="D216" s="757" t="s">
        <v>327</v>
      </c>
      <c r="E216" s="763">
        <f t="shared" si="31"/>
        <v>204</v>
      </c>
      <c r="F216" s="762">
        <f>+VLOOKUP("Yemen, Republic of",[3]IMF_fdi_credit_debitinc!$A$1:$C$201,3,0)/1000000</f>
        <v>204</v>
      </c>
      <c r="G216" s="762">
        <f>+VLOOKUP(D216,'[3]Outward, All'!A:AN,39,0)-+VLOOKUP(D216,'[3]Outward, All'!A:AN,40,0)+VLOOKUP(D216,'[3]DIA Eurostat'!$A$4:$AN$307,40,0)</f>
        <v>-117.9</v>
      </c>
      <c r="H216" s="762">
        <f t="shared" si="32"/>
        <v>321.89999999999998</v>
      </c>
      <c r="I216" s="764"/>
      <c r="J216" s="762"/>
      <c r="K216" s="762"/>
      <c r="L216" s="762"/>
      <c r="M216" s="762"/>
      <c r="N216" s="763">
        <f t="shared" si="30"/>
        <v>0</v>
      </c>
      <c r="O216" s="762">
        <f>+VLOOKUP("Yemen, Republic of",[3]IMF_fdi_credit_debitinc!$A$1:$C$201,2,0)/1000000</f>
        <v>0</v>
      </c>
      <c r="P216" s="762">
        <f>+VLOOKUP(D216,'[3]Inward, All'!A:AN,39,0)-+VLOOKUP(D216,'[3]Inward, All'!A:AN,40,0)+VLOOKUP(D216,'[3]DIRE Eurostat'!$A$3:$AQ$306,40,0)</f>
        <v>-0.1</v>
      </c>
      <c r="Q216" s="762">
        <f t="shared" si="33"/>
        <v>0.1</v>
      </c>
      <c r="R216" s="799"/>
    </row>
    <row r="217" spans="2:18" ht="14.25" customHeight="1" x14ac:dyDescent="0.35">
      <c r="D217" s="757" t="s">
        <v>326</v>
      </c>
      <c r="E217" s="763">
        <f t="shared" si="31"/>
        <v>34.138577740000002</v>
      </c>
      <c r="F217" s="762">
        <f>+VLOOKUP(D217,[3]IMF_fdi_credit_debitinc!$A$1:$C$201,3,0)/1000000</f>
        <v>34.138577740000002</v>
      </c>
      <c r="G217" s="762">
        <f>+VLOOKUP(D217,'[3]Outward, All'!A:AN,39,0)-+VLOOKUP(D217,'[3]Outward, All'!A:AN,40,0)+VLOOKUP(D217,'[3]DIA Eurostat'!$A$4:$AN$307,40,0)</f>
        <v>161.00000000000003</v>
      </c>
      <c r="H217" s="762">
        <f t="shared" si="32"/>
        <v>-126.86142226000003</v>
      </c>
      <c r="I217" s="764"/>
      <c r="J217" s="762"/>
      <c r="K217" s="762"/>
      <c r="L217" s="762"/>
      <c r="M217" s="762"/>
      <c r="N217" s="763">
        <f t="shared" si="30"/>
        <v>0</v>
      </c>
      <c r="O217" s="762">
        <f>+VLOOKUP(D217,[3]IMF_fdi_credit_debitinc!$A$1:$C$201,2,0)/1000000</f>
        <v>0</v>
      </c>
      <c r="P217" s="762">
        <f>+VLOOKUP(D217,'[3]Inward, All'!A:AN,39,0)-+VLOOKUP(D217,'[3]Inward, All'!A:AN,40,0)+VLOOKUP(D217,'[3]DIRE Eurostat'!$A$3:$AQ$306,40,0)</f>
        <v>0.1</v>
      </c>
      <c r="Q217" s="762">
        <f t="shared" si="33"/>
        <v>-0.1</v>
      </c>
      <c r="R217" s="799"/>
    </row>
    <row r="218" spans="2:18" ht="14.25" customHeight="1" x14ac:dyDescent="0.35">
      <c r="D218" s="757" t="s">
        <v>325</v>
      </c>
      <c r="E218" s="763">
        <f t="shared" si="31"/>
        <v>148</v>
      </c>
      <c r="F218" s="762">
        <f>+VLOOKUP(D218,[3]IMF_fdi_credit_debitinc!$A$1:$C$201,3,0)/1000000</f>
        <v>148</v>
      </c>
      <c r="G218" s="762">
        <f>+VLOOKUP(D218,'[3]Outward, All'!A:AN,39,0)-+VLOOKUP(D218,'[3]Outward, All'!A:AN,40,0)+VLOOKUP(D218,'[3]DIA Eurostat'!$A$4:$AN$307,40,0)</f>
        <v>52.6</v>
      </c>
      <c r="H218" s="762">
        <f t="shared" si="32"/>
        <v>95.4</v>
      </c>
      <c r="I218" s="764"/>
      <c r="J218" s="762"/>
      <c r="K218" s="762"/>
      <c r="L218" s="762"/>
      <c r="M218" s="762"/>
      <c r="N218" s="763">
        <f>+O218</f>
        <v>193</v>
      </c>
      <c r="O218" s="762">
        <f>+VLOOKUP(D218,[3]IMF_fdi_credit_debitinc!$A$1:$C$201,2,0)/1000000</f>
        <v>193</v>
      </c>
      <c r="P218" s="762">
        <f>+VLOOKUP(D218,'[3]Inward, All'!A:AN,39,0)-+VLOOKUP(D218,'[3]Inward, All'!A:AN,40,0)+VLOOKUP(D218,'[3]DIRE Eurostat'!$A$3:$AQ$306,40,0)</f>
        <v>-0.2</v>
      </c>
      <c r="Q218" s="762">
        <f t="shared" si="33"/>
        <v>193.2</v>
      </c>
      <c r="R218" s="799"/>
    </row>
    <row r="219" spans="2:18" ht="14.25" customHeight="1" x14ac:dyDescent="0.35">
      <c r="D219" s="769" t="s">
        <v>324</v>
      </c>
      <c r="E219" s="770">
        <f>+F219</f>
        <v>-1672.4</v>
      </c>
      <c r="F219" s="771">
        <v>-1672.4</v>
      </c>
      <c r="G219" s="771">
        <f>+'[3]Outward, All'!AM12</f>
        <v>106261.94453427197</v>
      </c>
      <c r="H219" s="771">
        <f t="shared" si="32"/>
        <v>-107934.34453427196</v>
      </c>
      <c r="I219" s="772"/>
      <c r="J219" s="771"/>
      <c r="K219" s="771"/>
      <c r="L219" s="771"/>
      <c r="M219" s="771"/>
      <c r="N219" s="770"/>
      <c r="O219" s="771"/>
      <c r="P219" s="771">
        <f>+'[3]Inward, All'!AM14</f>
        <v>79071.100643379541</v>
      </c>
      <c r="Q219" s="771">
        <f t="shared" si="33"/>
        <v>-79071.100643379541</v>
      </c>
      <c r="R219" s="801"/>
    </row>
    <row r="220" spans="2:18" ht="40" customHeight="1" thickBot="1" x14ac:dyDescent="0.3">
      <c r="D220" s="768" t="s">
        <v>499</v>
      </c>
      <c r="E220" s="773">
        <f>E90+E53+E45+E9</f>
        <v>1516995.635771058</v>
      </c>
      <c r="F220" s="774">
        <f>F90+F53+F45+F9</f>
        <v>1597312.476559171</v>
      </c>
      <c r="G220" s="774">
        <f t="shared" ref="G220:R220" si="34">G90+G53+G45+G9</f>
        <v>1244689.8070919209</v>
      </c>
      <c r="H220" s="774">
        <f t="shared" si="34"/>
        <v>272631.60144590726</v>
      </c>
      <c r="I220" s="775">
        <f t="shared" si="34"/>
        <v>249862.67504173159</v>
      </c>
      <c r="J220" s="774">
        <f t="shared" si="34"/>
        <v>175720.7</v>
      </c>
      <c r="K220" s="774">
        <f t="shared" si="34"/>
        <v>74141.975041731595</v>
      </c>
      <c r="L220" s="774">
        <f t="shared" si="34"/>
        <v>44346.683670168517</v>
      </c>
      <c r="M220" s="774">
        <f t="shared" si="34"/>
        <v>45353.768002438665</v>
      </c>
      <c r="N220" s="773">
        <f t="shared" si="34"/>
        <v>1637523.6694827664</v>
      </c>
      <c r="O220" s="774">
        <f t="shared" si="34"/>
        <v>1754391.2836004097</v>
      </c>
      <c r="P220" s="774">
        <f t="shared" si="34"/>
        <v>841399.6892654784</v>
      </c>
      <c r="Q220" s="774">
        <f t="shared" si="34"/>
        <v>796123.9802172879</v>
      </c>
      <c r="R220" s="802">
        <f t="shared" si="34"/>
        <v>182484.31967309996</v>
      </c>
    </row>
    <row r="221" spans="2:18" ht="13" thickTop="1" x14ac:dyDescent="0.25">
      <c r="J221" s="765"/>
      <c r="K221" s="765"/>
      <c r="L221" s="765"/>
      <c r="M221" s="765"/>
    </row>
    <row r="222" spans="2:18" ht="13" thickBot="1" x14ac:dyDescent="0.3">
      <c r="I222" s="413"/>
      <c r="J222" s="413"/>
      <c r="K222" s="413"/>
      <c r="L222" s="413"/>
      <c r="M222" s="413"/>
    </row>
    <row r="223" spans="2:18" x14ac:dyDescent="0.25">
      <c r="D223" s="2360" t="s">
        <v>772</v>
      </c>
      <c r="E223" s="2361"/>
      <c r="F223" s="2361"/>
      <c r="G223" s="2361"/>
      <c r="H223" s="2361"/>
      <c r="I223" s="2361"/>
      <c r="J223" s="2361"/>
      <c r="K223" s="2361"/>
      <c r="L223" s="2361"/>
      <c r="M223" s="2361"/>
      <c r="N223" s="2361"/>
      <c r="O223" s="2361"/>
      <c r="P223" s="2361"/>
      <c r="Q223" s="2361"/>
      <c r="R223" s="2362"/>
    </row>
    <row r="224" spans="2:18" ht="13" thickBot="1" x14ac:dyDescent="0.3">
      <c r="D224" s="2363"/>
      <c r="E224" s="2364"/>
      <c r="F224" s="2364"/>
      <c r="G224" s="2364"/>
      <c r="H224" s="2364"/>
      <c r="I224" s="2364"/>
      <c r="J224" s="2364"/>
      <c r="K224" s="2364"/>
      <c r="L224" s="2364"/>
      <c r="M224" s="2364"/>
      <c r="N224" s="2364"/>
      <c r="O224" s="2364"/>
      <c r="P224" s="2364"/>
      <c r="Q224" s="2364"/>
      <c r="R224" s="2365"/>
    </row>
    <row r="225" spans="4:15" x14ac:dyDescent="0.25">
      <c r="I225" s="413"/>
      <c r="J225" s="413"/>
      <c r="K225" s="413"/>
      <c r="L225" s="413"/>
      <c r="M225" s="413"/>
    </row>
    <row r="226" spans="4:15" ht="17.5" x14ac:dyDescent="0.35">
      <c r="D226" s="1221" t="s">
        <v>552</v>
      </c>
      <c r="E226" s="1222">
        <f>N220-E220</f>
        <v>120528.03371170838</v>
      </c>
      <c r="F226" s="1222">
        <f>O220-F220</f>
        <v>157078.80704123876</v>
      </c>
      <c r="G226" s="1222"/>
      <c r="H226" s="1222"/>
      <c r="I226" s="1222">
        <f>O220+R220-F220-I220</f>
        <v>89700.451672607189</v>
      </c>
      <c r="J226" s="1223"/>
      <c r="K226" s="1223"/>
      <c r="L226" s="1224">
        <f>I226-L220</f>
        <v>45353.768002438672</v>
      </c>
      <c r="M226" s="1225">
        <f>L226-M220</f>
        <v>0</v>
      </c>
      <c r="O226" s="414"/>
    </row>
    <row r="227" spans="4:15" x14ac:dyDescent="0.25">
      <c r="D227" s="1221" t="s">
        <v>147</v>
      </c>
      <c r="E227" s="1221"/>
      <c r="F227" s="1225">
        <f>F226-TableB9!S54*1000</f>
        <v>-29945.192958761239</v>
      </c>
      <c r="G227" s="1221"/>
      <c r="H227" s="1221"/>
      <c r="I227" s="1226"/>
      <c r="J227" s="1226"/>
      <c r="K227" s="1226"/>
      <c r="L227" s="1226"/>
      <c r="M227" s="1226"/>
    </row>
    <row r="228" spans="4:15" x14ac:dyDescent="0.25">
      <c r="D228" s="1221"/>
      <c r="E228" s="1221"/>
      <c r="F228" s="1221"/>
      <c r="G228" s="1221"/>
      <c r="H228" s="1221"/>
      <c r="I228" s="1227"/>
      <c r="J228" s="1227"/>
      <c r="K228" s="1227"/>
      <c r="L228" s="1227"/>
      <c r="M228" s="1227"/>
      <c r="O228" s="414"/>
    </row>
    <row r="229" spans="4:15" x14ac:dyDescent="0.25">
      <c r="D229" s="1221" t="s">
        <v>495</v>
      </c>
      <c r="E229" s="1221">
        <f>+[1]FX!$D$33</f>
        <v>0.90165899999999999</v>
      </c>
      <c r="F229" s="1221"/>
      <c r="G229" s="1221"/>
      <c r="H229" s="1221"/>
      <c r="I229" s="1227"/>
      <c r="J229" s="1227"/>
      <c r="K229" s="1227"/>
      <c r="L229" s="1227"/>
      <c r="M229" s="1227"/>
    </row>
    <row r="230" spans="4:15" x14ac:dyDescent="0.25">
      <c r="D230" s="1221"/>
      <c r="E230" s="1221"/>
      <c r="F230" s="1221"/>
      <c r="G230" s="1221"/>
      <c r="H230" s="1221"/>
      <c r="I230" s="1227"/>
      <c r="J230" s="1227"/>
      <c r="K230" s="1227"/>
      <c r="L230" s="1227"/>
      <c r="M230" s="1227"/>
    </row>
    <row r="231" spans="4:15" x14ac:dyDescent="0.25">
      <c r="D231" s="1221"/>
      <c r="E231" s="1221"/>
      <c r="F231" s="1221"/>
      <c r="G231" s="1221"/>
      <c r="H231" s="1221"/>
      <c r="I231" s="1227"/>
      <c r="J231" s="1227"/>
      <c r="K231" s="1227"/>
      <c r="L231" s="1227"/>
      <c r="M231" s="1227"/>
    </row>
    <row r="232" spans="4:15" x14ac:dyDescent="0.25">
      <c r="D232" s="1221"/>
      <c r="E232" s="1221"/>
      <c r="F232" s="1221"/>
      <c r="G232" s="1221"/>
      <c r="H232" s="1221"/>
      <c r="I232" s="1227"/>
      <c r="J232" s="1227"/>
      <c r="K232" s="1227"/>
      <c r="L232" s="1227"/>
      <c r="M232" s="1227"/>
    </row>
    <row r="233" spans="4:15" x14ac:dyDescent="0.25">
      <c r="D233" s="1221"/>
      <c r="E233" s="1221"/>
      <c r="F233" s="1221"/>
      <c r="G233" s="1221"/>
      <c r="H233" s="1221"/>
      <c r="I233" s="1227"/>
      <c r="J233" s="1227"/>
      <c r="K233" s="1227"/>
      <c r="L233" s="1227"/>
      <c r="M233" s="1227"/>
    </row>
  </sheetData>
  <mergeCells count="18">
    <mergeCell ref="D2:R2"/>
    <mergeCell ref="E6:H6"/>
    <mergeCell ref="I7:I8"/>
    <mergeCell ref="E7:E8"/>
    <mergeCell ref="F7:F8"/>
    <mergeCell ref="G7:G8"/>
    <mergeCell ref="I6:M6"/>
    <mergeCell ref="L7:L8"/>
    <mergeCell ref="M7:M8"/>
    <mergeCell ref="R7:R8"/>
    <mergeCell ref="P7:P8"/>
    <mergeCell ref="Q7:Q8"/>
    <mergeCell ref="N6:Q6"/>
    <mergeCell ref="D223:R224"/>
    <mergeCell ref="H7:H8"/>
    <mergeCell ref="N7:N8"/>
    <mergeCell ref="O7:O8"/>
    <mergeCell ref="E5:R5"/>
  </mergeCells>
  <phoneticPr fontId="62" type="noConversion"/>
  <pageMargins left="0.7" right="0.7" top="0.75" bottom="0.75" header="0.3" footer="0.3"/>
  <pageSetup scale="47" fitToHeight="0"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Q43"/>
  <sheetViews>
    <sheetView workbookViewId="0">
      <selection activeCell="J9" sqref="J9"/>
    </sheetView>
  </sheetViews>
  <sheetFormatPr baseColWidth="10" defaultColWidth="8.81640625" defaultRowHeight="12.5" x14ac:dyDescent="0.25"/>
  <cols>
    <col min="1" max="1" width="19.36328125" style="378" customWidth="1"/>
    <col min="2" max="7" width="10.81640625" style="378" customWidth="1"/>
    <col min="8" max="8" width="19.36328125" style="378" customWidth="1"/>
    <col min="9" max="13" width="10.81640625" style="378" customWidth="1"/>
    <col min="14" max="16384" width="8.81640625" style="378"/>
  </cols>
  <sheetData>
    <row r="1" spans="1:14" ht="13" thickBot="1" x14ac:dyDescent="0.3"/>
    <row r="2" spans="1:14" ht="34" customHeight="1" thickTop="1" x14ac:dyDescent="0.25">
      <c r="A2" s="2373" t="s">
        <v>570</v>
      </c>
      <c r="B2" s="2374"/>
      <c r="C2" s="2374"/>
      <c r="D2" s="2374"/>
      <c r="E2" s="2374"/>
      <c r="F2" s="2374"/>
      <c r="G2" s="2374"/>
      <c r="H2" s="2374"/>
      <c r="I2" s="2374"/>
      <c r="J2" s="2374"/>
      <c r="K2" s="2374"/>
      <c r="L2" s="2374"/>
      <c r="M2" s="2375"/>
    </row>
    <row r="3" spans="1:14" ht="13" customHeight="1" x14ac:dyDescent="0.4">
      <c r="A3" s="813"/>
      <c r="B3" s="814"/>
      <c r="C3" s="814"/>
      <c r="D3" s="814"/>
      <c r="E3" s="814"/>
      <c r="F3" s="814"/>
      <c r="G3" s="814"/>
      <c r="H3" s="814"/>
      <c r="I3" s="814"/>
      <c r="J3" s="814"/>
      <c r="K3" s="814"/>
      <c r="L3" s="814"/>
      <c r="M3" s="815"/>
    </row>
    <row r="4" spans="1:14" ht="13" customHeight="1" thickBot="1" x14ac:dyDescent="0.4">
      <c r="A4" s="813"/>
      <c r="B4" s="409" t="s">
        <v>20</v>
      </c>
      <c r="C4" s="409" t="s">
        <v>21</v>
      </c>
      <c r="D4" s="409" t="s">
        <v>22</v>
      </c>
      <c r="E4" s="409" t="s">
        <v>23</v>
      </c>
      <c r="F4" s="409" t="s">
        <v>24</v>
      </c>
      <c r="G4" s="409" t="s">
        <v>25</v>
      </c>
      <c r="H4" s="825"/>
      <c r="I4" s="409" t="s">
        <v>26</v>
      </c>
      <c r="J4" s="409" t="s">
        <v>33</v>
      </c>
      <c r="K4" s="409" t="s">
        <v>34</v>
      </c>
      <c r="L4" s="409" t="s">
        <v>37</v>
      </c>
      <c r="M4" s="826" t="s">
        <v>105</v>
      </c>
    </row>
    <row r="5" spans="1:14" s="811" customFormat="1" ht="35.25" customHeight="1" x14ac:dyDescent="0.35">
      <c r="A5" s="2397" t="s">
        <v>571</v>
      </c>
      <c r="B5" s="2398"/>
      <c r="C5" s="2398"/>
      <c r="D5" s="2398"/>
      <c r="E5" s="2398"/>
      <c r="F5" s="2398"/>
      <c r="G5" s="2399"/>
      <c r="H5" s="2390" t="s">
        <v>572</v>
      </c>
      <c r="I5" s="2391"/>
      <c r="J5" s="2391"/>
      <c r="K5" s="2391"/>
      <c r="L5" s="2391"/>
      <c r="M5" s="2392"/>
      <c r="N5" s="816"/>
    </row>
    <row r="6" spans="1:14" ht="18" customHeight="1" x14ac:dyDescent="0.35">
      <c r="A6" s="820"/>
      <c r="B6" s="2393" t="s">
        <v>563</v>
      </c>
      <c r="C6" s="2394"/>
      <c r="D6" s="2394"/>
      <c r="E6" s="2394"/>
      <c r="F6" s="2394"/>
      <c r="G6" s="2395"/>
      <c r="H6" s="823"/>
      <c r="I6" s="2393" t="s">
        <v>563</v>
      </c>
      <c r="J6" s="2394"/>
      <c r="K6" s="2394"/>
      <c r="L6" s="2394"/>
      <c r="M6" s="2396"/>
      <c r="N6" s="817"/>
    </row>
    <row r="7" spans="1:14" ht="62" x14ac:dyDescent="0.25">
      <c r="A7" s="818" t="s">
        <v>564</v>
      </c>
      <c r="B7" s="824" t="s">
        <v>561</v>
      </c>
      <c r="C7" s="819" t="s">
        <v>0</v>
      </c>
      <c r="D7" s="819" t="s">
        <v>67</v>
      </c>
      <c r="E7" s="819" t="s">
        <v>56</v>
      </c>
      <c r="F7" s="819" t="s">
        <v>560</v>
      </c>
      <c r="G7" s="837" t="s">
        <v>562</v>
      </c>
      <c r="H7" s="821" t="s">
        <v>565</v>
      </c>
      <c r="I7" s="824" t="s">
        <v>559</v>
      </c>
      <c r="J7" s="819" t="s">
        <v>0</v>
      </c>
      <c r="K7" s="819" t="s">
        <v>67</v>
      </c>
      <c r="L7" s="819" t="s">
        <v>56</v>
      </c>
      <c r="M7" s="841" t="s">
        <v>136</v>
      </c>
    </row>
    <row r="8" spans="1:14" ht="12" customHeight="1" x14ac:dyDescent="0.35">
      <c r="A8" s="827" t="s">
        <v>59</v>
      </c>
      <c r="B8" s="833">
        <v>3.6888795431532673E-2</v>
      </c>
      <c r="C8" s="834">
        <v>-8.1000000000000221E-3</v>
      </c>
      <c r="D8" s="834"/>
      <c r="E8" s="834"/>
      <c r="F8" s="834">
        <v>5.9442737982594772E-2</v>
      </c>
      <c r="G8" s="838">
        <f t="shared" ref="G8:G37" si="0">+SUM(B8:E8)</f>
        <v>2.8788795431532649E-2</v>
      </c>
      <c r="H8" s="828" t="s">
        <v>489</v>
      </c>
      <c r="I8" s="833">
        <v>4.6580802720318911E-3</v>
      </c>
      <c r="J8" s="834">
        <v>4.4362669257446552E-4</v>
      </c>
      <c r="K8" s="834"/>
      <c r="L8" s="834"/>
      <c r="M8" s="842">
        <f t="shared" ref="M8:M37" si="1">+SUM(H8:K8)</f>
        <v>5.1017069646063567E-3</v>
      </c>
      <c r="N8" s="812"/>
    </row>
    <row r="9" spans="1:14" ht="15.5" x14ac:dyDescent="0.35">
      <c r="A9" s="829" t="s">
        <v>78</v>
      </c>
      <c r="B9" s="835">
        <v>-0.10413546906313796</v>
      </c>
      <c r="C9" s="836">
        <v>1.2399999999999998E-2</v>
      </c>
      <c r="D9" s="836"/>
      <c r="E9" s="836"/>
      <c r="F9" s="836">
        <v>-2.4123684040136741E-2</v>
      </c>
      <c r="G9" s="839">
        <f t="shared" si="0"/>
        <v>-9.1735469063137967E-2</v>
      </c>
      <c r="H9" s="832" t="s">
        <v>69</v>
      </c>
      <c r="I9" s="835">
        <v>-9.094347197776546E-3</v>
      </c>
      <c r="J9" s="836">
        <v>0</v>
      </c>
      <c r="K9" s="836"/>
      <c r="L9" s="836"/>
      <c r="M9" s="843">
        <f t="shared" si="1"/>
        <v>-9.094347197776546E-3</v>
      </c>
      <c r="N9" s="812"/>
    </row>
    <row r="10" spans="1:14" ht="15.5" x14ac:dyDescent="0.35">
      <c r="A10" s="829" t="s">
        <v>69</v>
      </c>
      <c r="B10" s="835">
        <v>-0.1477557084219201</v>
      </c>
      <c r="C10" s="836">
        <v>-1.1000000000000001E-3</v>
      </c>
      <c r="D10" s="836"/>
      <c r="E10" s="836"/>
      <c r="F10" s="836">
        <v>-4.0132787929942487E-2</v>
      </c>
      <c r="G10" s="839">
        <f t="shared" si="0"/>
        <v>-0.14885570842192009</v>
      </c>
      <c r="H10" s="832" t="s">
        <v>58</v>
      </c>
      <c r="I10" s="835">
        <v>0</v>
      </c>
      <c r="J10" s="836">
        <v>1.4861494201244595E-2</v>
      </c>
      <c r="K10" s="836"/>
      <c r="L10" s="836"/>
      <c r="M10" s="843">
        <f t="shared" si="1"/>
        <v>1.4861494201244595E-2</v>
      </c>
      <c r="N10" s="812"/>
    </row>
    <row r="11" spans="1:14" ht="15.5" x14ac:dyDescent="0.35">
      <c r="A11" s="829" t="s">
        <v>429</v>
      </c>
      <c r="B11" s="835">
        <v>0.17129281668568724</v>
      </c>
      <c r="C11" s="836">
        <v>-1.95E-2</v>
      </c>
      <c r="D11" s="836"/>
      <c r="E11" s="836"/>
      <c r="F11" s="836">
        <v>4.6376888587993839E-2</v>
      </c>
      <c r="G11" s="839">
        <f t="shared" si="0"/>
        <v>0.15179281668568725</v>
      </c>
      <c r="H11" s="832" t="s">
        <v>359</v>
      </c>
      <c r="I11" s="835">
        <v>-3.5822855425388087E-2</v>
      </c>
      <c r="J11" s="836"/>
      <c r="K11" s="836"/>
      <c r="L11" s="836"/>
      <c r="M11" s="843">
        <f t="shared" si="1"/>
        <v>-3.5822855425388087E-2</v>
      </c>
      <c r="N11" s="812"/>
    </row>
    <row r="12" spans="1:14" ht="15.5" x14ac:dyDescent="0.35">
      <c r="A12" s="829" t="s">
        <v>61</v>
      </c>
      <c r="B12" s="835">
        <v>-0.31315243257151559</v>
      </c>
      <c r="C12" s="836"/>
      <c r="D12" s="836"/>
      <c r="E12" s="836"/>
      <c r="F12" s="836">
        <v>-5.8700047595954256E-2</v>
      </c>
      <c r="G12" s="839">
        <f t="shared" si="0"/>
        <v>-0.31315243257151559</v>
      </c>
      <c r="H12" s="832" t="s">
        <v>450</v>
      </c>
      <c r="I12" s="835">
        <v>4.1035469063138055E-2</v>
      </c>
      <c r="J12" s="836">
        <v>1.1090667314361623E-4</v>
      </c>
      <c r="K12" s="836"/>
      <c r="L12" s="836"/>
      <c r="M12" s="843">
        <f t="shared" si="1"/>
        <v>4.1146375736281673E-2</v>
      </c>
      <c r="N12" s="812"/>
    </row>
    <row r="13" spans="1:14" ht="15.5" x14ac:dyDescent="0.35">
      <c r="A13" s="829" t="s">
        <v>79</v>
      </c>
      <c r="B13" s="835">
        <v>-0.32379999999999926</v>
      </c>
      <c r="C13" s="836"/>
      <c r="D13" s="836"/>
      <c r="E13" s="836"/>
      <c r="F13" s="836">
        <v>-8.9067832294142169E-2</v>
      </c>
      <c r="G13" s="839">
        <f t="shared" si="0"/>
        <v>-0.32379999999999926</v>
      </c>
      <c r="H13" s="832" t="s">
        <v>78</v>
      </c>
      <c r="I13" s="835">
        <v>-5.7782376707824136E-2</v>
      </c>
      <c r="J13" s="836">
        <v>1.3308800777233965E-3</v>
      </c>
      <c r="K13" s="836"/>
      <c r="L13" s="836"/>
      <c r="M13" s="843">
        <f t="shared" si="1"/>
        <v>-5.6451496630100739E-2</v>
      </c>
      <c r="N13" s="812"/>
    </row>
    <row r="14" spans="1:14" ht="15.5" x14ac:dyDescent="0.35">
      <c r="A14" s="829" t="s">
        <v>450</v>
      </c>
      <c r="B14" s="835">
        <v>-0.31406322545441223</v>
      </c>
      <c r="C14" s="836">
        <v>-3.4000000000000002E-2</v>
      </c>
      <c r="D14" s="836"/>
      <c r="E14" s="836"/>
      <c r="F14" s="836">
        <v>-8.3951520741730193E-2</v>
      </c>
      <c r="G14" s="839">
        <f t="shared" si="0"/>
        <v>-0.34806322545441226</v>
      </c>
      <c r="H14" s="832" t="s">
        <v>63</v>
      </c>
      <c r="I14" s="835">
        <v>8.6396298378877134E-2</v>
      </c>
      <c r="J14" s="836"/>
      <c r="K14" s="836"/>
      <c r="L14" s="836"/>
      <c r="M14" s="843">
        <f t="shared" si="1"/>
        <v>8.6396298378877134E-2</v>
      </c>
      <c r="N14" s="812"/>
    </row>
    <row r="15" spans="1:14" ht="15.5" x14ac:dyDescent="0.35">
      <c r="A15" s="829" t="s">
        <v>60</v>
      </c>
      <c r="B15" s="835">
        <v>-0.36899999999999999</v>
      </c>
      <c r="C15" s="836">
        <v>-1.4299999999999998E-2</v>
      </c>
      <c r="D15" s="836"/>
      <c r="E15" s="836"/>
      <c r="F15" s="836">
        <v>-0.10543452785158977</v>
      </c>
      <c r="G15" s="839">
        <f t="shared" si="0"/>
        <v>-0.38329999999999997</v>
      </c>
      <c r="H15" s="832" t="s">
        <v>60</v>
      </c>
      <c r="I15" s="835">
        <v>0.15515843572791932</v>
      </c>
      <c r="J15" s="836">
        <v>-1.3974240816095664E-2</v>
      </c>
      <c r="K15" s="836"/>
      <c r="L15" s="836"/>
      <c r="M15" s="843">
        <f t="shared" si="1"/>
        <v>0.14118419491182366</v>
      </c>
      <c r="N15" s="812"/>
    </row>
    <row r="16" spans="1:14" ht="15.5" x14ac:dyDescent="0.35">
      <c r="A16" s="829" t="s">
        <v>76</v>
      </c>
      <c r="B16" s="835">
        <v>-0.40109999999999946</v>
      </c>
      <c r="C16" s="836"/>
      <c r="D16" s="836"/>
      <c r="E16" s="836"/>
      <c r="F16" s="836">
        <v>-0.1103307829931453</v>
      </c>
      <c r="G16" s="839">
        <f t="shared" si="0"/>
        <v>-0.40109999999999946</v>
      </c>
      <c r="H16" s="832" t="s">
        <v>96</v>
      </c>
      <c r="I16" s="835">
        <v>-0.17013083660230752</v>
      </c>
      <c r="J16" s="836"/>
      <c r="K16" s="836"/>
      <c r="L16" s="836"/>
      <c r="M16" s="843">
        <f t="shared" si="1"/>
        <v>-0.17013083660230752</v>
      </c>
      <c r="N16" s="812"/>
    </row>
    <row r="17" spans="1:17" ht="15.5" x14ac:dyDescent="0.35">
      <c r="A17" s="829" t="s">
        <v>489</v>
      </c>
      <c r="B17" s="835">
        <v>-0.51803349614432959</v>
      </c>
      <c r="C17" s="836">
        <v>-3.0799999999999998E-2</v>
      </c>
      <c r="D17" s="836"/>
      <c r="E17" s="836"/>
      <c r="F17" s="836">
        <v>-0.14966586643373336</v>
      </c>
      <c r="G17" s="839">
        <f t="shared" si="0"/>
        <v>-0.54883349614432964</v>
      </c>
      <c r="H17" s="832" t="s">
        <v>429</v>
      </c>
      <c r="I17" s="835">
        <v>-0.18044515720466384</v>
      </c>
      <c r="J17" s="836">
        <v>-1.7745067702978621E-3</v>
      </c>
      <c r="K17" s="836"/>
      <c r="L17" s="836"/>
      <c r="M17" s="843">
        <f t="shared" si="1"/>
        <v>-0.1822196639749617</v>
      </c>
      <c r="N17" s="812"/>
    </row>
    <row r="18" spans="1:17" ht="15.5" x14ac:dyDescent="0.35">
      <c r="A18" s="829" t="s">
        <v>63</v>
      </c>
      <c r="B18" s="835">
        <v>-0.60762529759033068</v>
      </c>
      <c r="C18" s="836">
        <v>1.29E-2</v>
      </c>
      <c r="D18" s="836"/>
      <c r="E18" s="836"/>
      <c r="F18" s="836">
        <v>-0.14309168115939735</v>
      </c>
      <c r="G18" s="839">
        <f t="shared" si="0"/>
        <v>-0.59472529759033066</v>
      </c>
      <c r="H18" s="832" t="s">
        <v>75</v>
      </c>
      <c r="I18" s="835">
        <v>0.12698814074944081</v>
      </c>
      <c r="J18" s="836">
        <v>-0.16580547634970649</v>
      </c>
      <c r="K18" s="836"/>
      <c r="L18" s="836"/>
      <c r="M18" s="843">
        <f t="shared" si="1"/>
        <v>-3.8817335600265679E-2</v>
      </c>
      <c r="N18" s="812"/>
    </row>
    <row r="19" spans="1:17" ht="15.5" x14ac:dyDescent="0.35">
      <c r="A19" s="829" t="s">
        <v>301</v>
      </c>
      <c r="B19" s="835">
        <v>1.1061198839028947</v>
      </c>
      <c r="C19" s="836"/>
      <c r="D19" s="836"/>
      <c r="E19" s="836"/>
      <c r="F19" s="836">
        <v>0.30862911622615108</v>
      </c>
      <c r="G19" s="839">
        <f t="shared" si="0"/>
        <v>1.1061198839028947</v>
      </c>
      <c r="H19" s="832" t="s">
        <v>301</v>
      </c>
      <c r="I19" s="835">
        <v>-0.40991106393880605</v>
      </c>
      <c r="J19" s="836"/>
      <c r="K19" s="836"/>
      <c r="L19" s="836"/>
      <c r="M19" s="843">
        <f t="shared" si="1"/>
        <v>-0.40991106393880605</v>
      </c>
      <c r="N19" s="812"/>
      <c r="Q19" s="810"/>
    </row>
    <row r="20" spans="1:17" ht="15.5" x14ac:dyDescent="0.35">
      <c r="A20" s="829" t="s">
        <v>359</v>
      </c>
      <c r="B20" s="835">
        <v>-1.0928000000000002</v>
      </c>
      <c r="C20" s="836">
        <v>9.4800000000000009E-2</v>
      </c>
      <c r="D20" s="836"/>
      <c r="E20" s="836"/>
      <c r="F20" s="836">
        <v>-0.27452037254340367</v>
      </c>
      <c r="G20" s="839">
        <f t="shared" si="0"/>
        <v>-0.99800000000000022</v>
      </c>
      <c r="H20" s="832" t="s">
        <v>59</v>
      </c>
      <c r="I20" s="835">
        <v>-0.48100224142386405</v>
      </c>
      <c r="J20" s="836">
        <v>0.20517734531569029</v>
      </c>
      <c r="K20" s="836"/>
      <c r="L20" s="836"/>
      <c r="M20" s="843">
        <f t="shared" si="1"/>
        <v>-0.27582489610817373</v>
      </c>
      <c r="N20" s="812"/>
    </row>
    <row r="21" spans="1:17" ht="15.5" x14ac:dyDescent="0.35">
      <c r="A21" s="829" t="s">
        <v>96</v>
      </c>
      <c r="B21" s="835">
        <v>-1.4168826093900249</v>
      </c>
      <c r="C21" s="836">
        <v>-1.5699999999999995E-2</v>
      </c>
      <c r="D21" s="836"/>
      <c r="E21" s="836"/>
      <c r="F21" s="836">
        <v>-0.3341281528341406</v>
      </c>
      <c r="G21" s="839">
        <f t="shared" si="0"/>
        <v>-1.4325826093900249</v>
      </c>
      <c r="H21" s="832" t="s">
        <v>76</v>
      </c>
      <c r="I21" s="835">
        <v>1.2014519901647964</v>
      </c>
      <c r="J21" s="836"/>
      <c r="K21" s="836"/>
      <c r="L21" s="836"/>
      <c r="M21" s="843">
        <f t="shared" si="1"/>
        <v>1.2014519901647964</v>
      </c>
      <c r="N21" s="812"/>
    </row>
    <row r="22" spans="1:17" ht="15.5" x14ac:dyDescent="0.35">
      <c r="A22" s="829" t="s">
        <v>55</v>
      </c>
      <c r="B22" s="835">
        <v>-1.8105</v>
      </c>
      <c r="C22" s="836"/>
      <c r="D22" s="836"/>
      <c r="E22" s="836"/>
      <c r="F22" s="836">
        <v>-0.49801516481947111</v>
      </c>
      <c r="G22" s="839">
        <f t="shared" si="0"/>
        <v>-1.8105</v>
      </c>
      <c r="H22" s="832" t="s">
        <v>64</v>
      </c>
      <c r="I22" s="835">
        <v>1.2346130854347377</v>
      </c>
      <c r="J22" s="836">
        <v>-0.29356996381115252</v>
      </c>
      <c r="K22" s="836"/>
      <c r="L22" s="836"/>
      <c r="M22" s="843">
        <f t="shared" si="1"/>
        <v>0.94104312162358517</v>
      </c>
      <c r="N22" s="812"/>
    </row>
    <row r="23" spans="1:17" ht="15.5" x14ac:dyDescent="0.35">
      <c r="A23" s="829" t="s">
        <v>80</v>
      </c>
      <c r="B23" s="835">
        <v>-1.7636000000000003</v>
      </c>
      <c r="C23" s="836"/>
      <c r="D23" s="836">
        <v>-0.18432689076469042</v>
      </c>
      <c r="E23" s="836"/>
      <c r="F23" s="836">
        <v>-0.53083107708843724</v>
      </c>
      <c r="G23" s="839">
        <f t="shared" si="0"/>
        <v>-1.9479268907646907</v>
      </c>
      <c r="H23" s="832" t="s">
        <v>66</v>
      </c>
      <c r="I23" s="835">
        <v>-1.4780532329849763</v>
      </c>
      <c r="J23" s="836">
        <v>0.2403347607022166</v>
      </c>
      <c r="K23" s="836">
        <v>-1.6746907644686074E-2</v>
      </c>
      <c r="L23" s="836"/>
      <c r="M23" s="843">
        <f t="shared" si="1"/>
        <v>-1.2544653799274457</v>
      </c>
      <c r="N23" s="812"/>
    </row>
    <row r="24" spans="1:17" ht="15.5" x14ac:dyDescent="0.35">
      <c r="A24" s="829" t="s">
        <v>62</v>
      </c>
      <c r="B24" s="835">
        <v>0.87090000000000145</v>
      </c>
      <c r="C24" s="836">
        <v>1.0498000000000003</v>
      </c>
      <c r="D24" s="836">
        <v>0.75427628404973501</v>
      </c>
      <c r="E24" s="836"/>
      <c r="F24" s="836"/>
      <c r="G24" s="839">
        <f t="shared" si="0"/>
        <v>2.6749762840497366</v>
      </c>
      <c r="H24" s="832" t="s">
        <v>116</v>
      </c>
      <c r="I24" s="835">
        <v>-1.7419002083936388</v>
      </c>
      <c r="J24" s="836"/>
      <c r="K24" s="836"/>
      <c r="L24" s="836"/>
      <c r="M24" s="843">
        <f t="shared" si="1"/>
        <v>-1.7419002083936388</v>
      </c>
      <c r="N24" s="812"/>
    </row>
    <row r="25" spans="1:17" ht="15.5" x14ac:dyDescent="0.35">
      <c r="A25" s="829" t="s">
        <v>64</v>
      </c>
      <c r="B25" s="835">
        <v>-2.2133553388808851</v>
      </c>
      <c r="C25" s="836">
        <v>0.67020000000000002</v>
      </c>
      <c r="D25" s="836"/>
      <c r="E25" s="836"/>
      <c r="F25" s="836">
        <v>-0.38485115553654908</v>
      </c>
      <c r="G25" s="839">
        <f t="shared" si="0"/>
        <v>-1.5431553388808852</v>
      </c>
      <c r="H25" s="832" t="s">
        <v>79</v>
      </c>
      <c r="I25" s="835">
        <v>2.0966906557800677</v>
      </c>
      <c r="J25" s="836">
        <v>-0.80396247361807527</v>
      </c>
      <c r="K25" s="836"/>
      <c r="L25" s="836"/>
      <c r="M25" s="843">
        <f t="shared" si="1"/>
        <v>1.2927281821619925</v>
      </c>
      <c r="N25" s="812"/>
    </row>
    <row r="26" spans="1:17" ht="15.5" x14ac:dyDescent="0.35">
      <c r="A26" s="829" t="s">
        <v>2</v>
      </c>
      <c r="B26" s="835">
        <v>-1.1296021390570052</v>
      </c>
      <c r="C26" s="836">
        <v>2.9830999999999999</v>
      </c>
      <c r="D26" s="836">
        <v>-0.33061279264112042</v>
      </c>
      <c r="E26" s="836"/>
      <c r="F26" s="836">
        <v>0.60342218561970296</v>
      </c>
      <c r="G26" s="839">
        <f t="shared" si="0"/>
        <v>1.5228850683018742</v>
      </c>
      <c r="H26" s="832" t="s">
        <v>61</v>
      </c>
      <c r="I26" s="835">
        <v>3.2225042948609173</v>
      </c>
      <c r="J26" s="836">
        <v>-0.85919399684359621</v>
      </c>
      <c r="K26" s="836"/>
      <c r="L26" s="836"/>
      <c r="M26" s="843">
        <f t="shared" si="1"/>
        <v>2.3633102980173213</v>
      </c>
      <c r="N26" s="812"/>
    </row>
    <row r="27" spans="1:17" ht="15.5" x14ac:dyDescent="0.35">
      <c r="A27" s="829" t="s">
        <v>66</v>
      </c>
      <c r="B27" s="835">
        <v>-4.0287781571525381</v>
      </c>
      <c r="C27" s="836">
        <v>0.98580000000000001</v>
      </c>
      <c r="D27" s="836">
        <v>-8.3180004857712295E-3</v>
      </c>
      <c r="E27" s="836"/>
      <c r="F27" s="836">
        <v>-0.64278477611164886</v>
      </c>
      <c r="G27" s="839">
        <f t="shared" si="0"/>
        <v>-3.0512961576383089</v>
      </c>
      <c r="H27" s="832" t="s">
        <v>80</v>
      </c>
      <c r="I27" s="835">
        <v>4.738154890041578</v>
      </c>
      <c r="J27" s="836">
        <v>1.7367985014290326</v>
      </c>
      <c r="K27" s="836">
        <v>8.4289071589148373E-3</v>
      </c>
      <c r="L27" s="836"/>
      <c r="M27" s="843">
        <f t="shared" si="1"/>
        <v>6.4833822986295253</v>
      </c>
      <c r="N27" s="812"/>
    </row>
    <row r="28" spans="1:17" ht="15.5" x14ac:dyDescent="0.35">
      <c r="A28" s="829" t="s">
        <v>116</v>
      </c>
      <c r="B28" s="835">
        <v>-5.3437000000000001</v>
      </c>
      <c r="C28" s="836"/>
      <c r="D28" s="836"/>
      <c r="E28" s="836"/>
      <c r="F28" s="836">
        <v>-1.4698943033669196</v>
      </c>
      <c r="G28" s="839">
        <f t="shared" si="0"/>
        <v>-5.3437000000000001</v>
      </c>
      <c r="H28" s="832" t="s">
        <v>56</v>
      </c>
      <c r="I28" s="835">
        <v>5.4696209653918695</v>
      </c>
      <c r="J28" s="836">
        <v>-2.5125183340879995</v>
      </c>
      <c r="K28" s="836">
        <v>6.649149234447E-3</v>
      </c>
      <c r="L28" s="836"/>
      <c r="M28" s="843">
        <f t="shared" si="1"/>
        <v>2.9637517805383169</v>
      </c>
      <c r="N28" s="812"/>
    </row>
    <row r="29" spans="1:17" ht="15.5" x14ac:dyDescent="0.35">
      <c r="A29" s="829" t="s">
        <v>67</v>
      </c>
      <c r="B29" s="835">
        <v>-4.8689999999999998</v>
      </c>
      <c r="C29" s="836">
        <v>0.98350000000000004</v>
      </c>
      <c r="D29" s="836"/>
      <c r="E29" s="836">
        <v>6.649149234447E-3</v>
      </c>
      <c r="F29" s="836">
        <v>-1.0687864804783513</v>
      </c>
      <c r="G29" s="839">
        <f t="shared" si="0"/>
        <v>-3.8788508507655526</v>
      </c>
      <c r="H29" s="832" t="s">
        <v>55</v>
      </c>
      <c r="I29" s="835">
        <v>-8.2916046975630486</v>
      </c>
      <c r="J29" s="836"/>
      <c r="K29" s="836"/>
      <c r="L29" s="836"/>
      <c r="M29" s="843">
        <f t="shared" si="1"/>
        <v>-8.2916046975630486</v>
      </c>
      <c r="N29" s="812"/>
    </row>
    <row r="30" spans="1:17" ht="15.5" x14ac:dyDescent="0.35">
      <c r="A30" s="829" t="s">
        <v>0</v>
      </c>
      <c r="B30" s="835">
        <v>3.9965000000000002</v>
      </c>
      <c r="C30" s="836"/>
      <c r="D30" s="836"/>
      <c r="E30" s="836">
        <v>-2.5125183340879995</v>
      </c>
      <c r="F30" s="836">
        <v>1.0993193074846817</v>
      </c>
      <c r="G30" s="839">
        <f t="shared" si="0"/>
        <v>1.4839816659120006</v>
      </c>
      <c r="H30" s="832" t="s">
        <v>19</v>
      </c>
      <c r="I30" s="835">
        <v>5.4122456494084794</v>
      </c>
      <c r="J30" s="836">
        <v>-2.9653117198408707</v>
      </c>
      <c r="K30" s="836"/>
      <c r="L30" s="836"/>
      <c r="M30" s="843">
        <f t="shared" si="1"/>
        <v>2.4469339295676087</v>
      </c>
      <c r="N30" s="812"/>
    </row>
    <row r="31" spans="1:17" ht="15.5" x14ac:dyDescent="0.35">
      <c r="A31" s="829" t="s">
        <v>58</v>
      </c>
      <c r="B31" s="835">
        <v>-6.148133023016463</v>
      </c>
      <c r="C31" s="836">
        <v>0.39129999999999998</v>
      </c>
      <c r="D31" s="836"/>
      <c r="E31" s="836"/>
      <c r="F31" s="836">
        <v>-1.504938286795807</v>
      </c>
      <c r="G31" s="839">
        <f t="shared" si="0"/>
        <v>-5.7568330230164628</v>
      </c>
      <c r="H31" s="832" t="s">
        <v>48</v>
      </c>
      <c r="I31" s="835">
        <v>3.5166287920377877</v>
      </c>
      <c r="J31" s="836">
        <v>-6.6680419094136463</v>
      </c>
      <c r="K31" s="836">
        <v>-1.9832331291541478</v>
      </c>
      <c r="L31" s="836"/>
      <c r="M31" s="843">
        <f t="shared" si="1"/>
        <v>-5.1346462465300062</v>
      </c>
      <c r="N31" s="812"/>
    </row>
    <row r="32" spans="1:17" ht="15.5" x14ac:dyDescent="0.35">
      <c r="A32" s="829" t="s">
        <v>75</v>
      </c>
      <c r="B32" s="835">
        <v>-7.231743257151539</v>
      </c>
      <c r="C32" s="836">
        <v>0.27179999999999999</v>
      </c>
      <c r="D32" s="836"/>
      <c r="E32" s="836"/>
      <c r="F32" s="836">
        <v>-1.8756508179348299</v>
      </c>
      <c r="G32" s="839">
        <f t="shared" si="0"/>
        <v>-6.9599432571515392</v>
      </c>
      <c r="H32" s="832" t="s">
        <v>2</v>
      </c>
      <c r="I32" s="835">
        <v>-13.243809466771808</v>
      </c>
      <c r="J32" s="836">
        <v>-3.2185116546277475</v>
      </c>
      <c r="K32" s="836">
        <v>-0.25741438836633362</v>
      </c>
      <c r="L32" s="836"/>
      <c r="M32" s="843">
        <f t="shared" si="1"/>
        <v>-16.71973550976589</v>
      </c>
      <c r="N32" s="812"/>
    </row>
    <row r="33" spans="1:14" ht="15.5" x14ac:dyDescent="0.35">
      <c r="A33" s="829" t="s">
        <v>48</v>
      </c>
      <c r="B33" s="835">
        <v>-8.5152360315817841</v>
      </c>
      <c r="C33" s="836">
        <v>-0.86229999999999996</v>
      </c>
      <c r="D33" s="836"/>
      <c r="E33" s="836"/>
      <c r="F33" s="836">
        <v>-2.3761966314791501</v>
      </c>
      <c r="G33" s="839">
        <f t="shared" si="0"/>
        <v>-9.3775360315817835</v>
      </c>
      <c r="H33" s="832" t="s">
        <v>67</v>
      </c>
      <c r="I33" s="835">
        <v>7.0710767596175508</v>
      </c>
      <c r="J33" s="836">
        <v>10.646596995094596</v>
      </c>
      <c r="K33" s="836"/>
      <c r="L33" s="836"/>
      <c r="M33" s="843">
        <f t="shared" si="1"/>
        <v>17.717673754712145</v>
      </c>
      <c r="N33" s="812"/>
    </row>
    <row r="34" spans="1:14" ht="15.5" x14ac:dyDescent="0.35">
      <c r="A34" s="829" t="s">
        <v>82</v>
      </c>
      <c r="B34" s="835">
        <v>-10.525017051568271</v>
      </c>
      <c r="C34" s="836">
        <v>9.4597000000000016</v>
      </c>
      <c r="D34" s="836"/>
      <c r="E34" s="836">
        <v>5.4696209653918695</v>
      </c>
      <c r="F34" s="836">
        <v>0.35049484839158984</v>
      </c>
      <c r="G34" s="839">
        <f t="shared" si="0"/>
        <v>4.4043039138235995</v>
      </c>
      <c r="H34" s="832" t="s">
        <v>62</v>
      </c>
      <c r="I34" s="835">
        <v>-22.979419048664738</v>
      </c>
      <c r="J34" s="836">
        <v>-2.9584355061059671</v>
      </c>
      <c r="K34" s="836">
        <v>2.8613921671052978E-2</v>
      </c>
      <c r="L34" s="836"/>
      <c r="M34" s="843">
        <f t="shared" si="1"/>
        <v>-25.909240633099653</v>
      </c>
      <c r="N34" s="812"/>
    </row>
    <row r="35" spans="1:14" ht="15.5" x14ac:dyDescent="0.35">
      <c r="A35" s="829" t="s">
        <v>70</v>
      </c>
      <c r="B35" s="835">
        <v>6.0349478359335409</v>
      </c>
      <c r="C35" s="836">
        <v>23.136299999999999</v>
      </c>
      <c r="D35" s="836"/>
      <c r="E35" s="836"/>
      <c r="F35" s="836">
        <v>8.0383856180720272</v>
      </c>
      <c r="G35" s="839">
        <f t="shared" si="0"/>
        <v>29.171247835933539</v>
      </c>
      <c r="H35" s="832" t="s">
        <v>72</v>
      </c>
      <c r="I35" s="835">
        <v>19.8008337963687</v>
      </c>
      <c r="J35" s="836">
        <v>4.2992971844122891</v>
      </c>
      <c r="K35" s="836">
        <v>-2.2080409556162586</v>
      </c>
      <c r="L35" s="836"/>
      <c r="M35" s="843">
        <f t="shared" si="1"/>
        <v>21.89209002516473</v>
      </c>
      <c r="N35" s="812"/>
    </row>
    <row r="36" spans="1:14" ht="15.5" x14ac:dyDescent="0.35">
      <c r="A36" s="829" t="s">
        <v>72</v>
      </c>
      <c r="B36" s="835">
        <v>9.4419948771098632</v>
      </c>
      <c r="C36" s="836">
        <v>22.242800000000003</v>
      </c>
      <c r="D36" s="836">
        <v>0</v>
      </c>
      <c r="E36" s="836"/>
      <c r="F36" s="836">
        <v>8.1587564748104988</v>
      </c>
      <c r="G36" s="839">
        <f t="shared" si="0"/>
        <v>31.684794877109866</v>
      </c>
      <c r="H36" s="832" t="s">
        <v>82</v>
      </c>
      <c r="I36" s="835">
        <v>-17.428318244480458</v>
      </c>
      <c r="J36" s="836">
        <v>12.401584190919186</v>
      </c>
      <c r="K36" s="836">
        <v>0.23822753391248799</v>
      </c>
      <c r="L36" s="836"/>
      <c r="M36" s="843">
        <f t="shared" si="1"/>
        <v>-4.7885065196487844</v>
      </c>
      <c r="N36" s="812"/>
    </row>
    <row r="37" spans="1:14" ht="15.5" x14ac:dyDescent="0.35">
      <c r="A37" s="829" t="s">
        <v>19</v>
      </c>
      <c r="B37" s="835">
        <v>-1.4747999999999992</v>
      </c>
      <c r="C37" s="836">
        <v>46.219499999999996</v>
      </c>
      <c r="D37" s="836"/>
      <c r="E37" s="836"/>
      <c r="F37" s="836">
        <v>12.30794760855995</v>
      </c>
      <c r="G37" s="839">
        <f t="shared" si="0"/>
        <v>44.744699999999995</v>
      </c>
      <c r="H37" s="832" t="s">
        <v>70</v>
      </c>
      <c r="I37" s="835">
        <v>-48.802596103404952</v>
      </c>
      <c r="J37" s="836"/>
      <c r="K37" s="836"/>
      <c r="L37" s="836"/>
      <c r="M37" s="843">
        <f t="shared" si="1"/>
        <v>-48.802596103404952</v>
      </c>
      <c r="N37" s="812"/>
    </row>
    <row r="38" spans="1:14" ht="15.5" x14ac:dyDescent="0.35">
      <c r="A38" s="829"/>
      <c r="B38" s="830"/>
      <c r="C38" s="831"/>
      <c r="D38" s="831"/>
      <c r="E38" s="831"/>
      <c r="F38" s="831"/>
      <c r="G38" s="840"/>
      <c r="H38" s="832" t="s">
        <v>558</v>
      </c>
      <c r="I38" s="835">
        <v>-0.92602488393523941</v>
      </c>
      <c r="J38" s="836"/>
      <c r="K38" s="836"/>
      <c r="L38" s="836"/>
      <c r="M38" s="843"/>
      <c r="N38" s="812"/>
    </row>
    <row r="39" spans="1:14" ht="15.5" x14ac:dyDescent="0.35">
      <c r="A39" s="829"/>
      <c r="B39" s="845"/>
      <c r="C39" s="822"/>
      <c r="D39" s="822"/>
      <c r="E39" s="822"/>
      <c r="F39" s="822"/>
      <c r="G39" s="846"/>
      <c r="H39" s="832" t="s">
        <v>0</v>
      </c>
      <c r="I39" s="835">
        <v>122.56340811770303</v>
      </c>
      <c r="J39" s="836"/>
      <c r="K39" s="836">
        <v>1.0907671303674671</v>
      </c>
      <c r="L39" s="836">
        <v>0.31</v>
      </c>
      <c r="M39" s="843"/>
      <c r="N39" s="812"/>
    </row>
    <row r="40" spans="1:14" ht="27" customHeight="1" thickBot="1" x14ac:dyDescent="0.4">
      <c r="A40" s="849" t="s">
        <v>136</v>
      </c>
      <c r="B40" s="850">
        <f>SUM(B8:B37)</f>
        <v>-39.003169027980633</v>
      </c>
      <c r="C40" s="851">
        <f t="shared" ref="C40:M40" si="2">SUM(C8:C37)</f>
        <v>107.52809999999999</v>
      </c>
      <c r="D40" s="851">
        <f t="shared" si="2"/>
        <v>0.23101860015815293</v>
      </c>
      <c r="E40" s="851">
        <f t="shared" si="2"/>
        <v>2.9637517805383169</v>
      </c>
      <c r="F40" s="851">
        <f t="shared" si="2"/>
        <v>19.207678835706709</v>
      </c>
      <c r="G40" s="847">
        <f t="shared" si="2"/>
        <v>71.71970135271583</v>
      </c>
      <c r="H40" s="852" t="s">
        <v>136</v>
      </c>
      <c r="I40" s="850">
        <f t="shared" si="2"/>
        <v>-61.131832577466362</v>
      </c>
      <c r="J40" s="851">
        <f t="shared" si="2"/>
        <v>9.0854361032325421</v>
      </c>
      <c r="K40" s="851">
        <f t="shared" si="2"/>
        <v>-4.1835158688045233</v>
      </c>
      <c r="L40" s="851">
        <f t="shared" si="2"/>
        <v>0</v>
      </c>
      <c r="M40" s="848">
        <f t="shared" si="2"/>
        <v>-56.229912343038343</v>
      </c>
      <c r="N40" s="844"/>
    </row>
    <row r="41" spans="1:14" ht="13.5" thickTop="1" thickBot="1" x14ac:dyDescent="0.3"/>
    <row r="42" spans="1:14" x14ac:dyDescent="0.25">
      <c r="A42" s="2384" t="s">
        <v>707</v>
      </c>
      <c r="B42" s="2385"/>
      <c r="C42" s="2385"/>
      <c r="D42" s="2385"/>
      <c r="E42" s="2385"/>
      <c r="F42" s="2385"/>
      <c r="G42" s="2385"/>
      <c r="H42" s="2385"/>
      <c r="I42" s="2385"/>
      <c r="J42" s="2385"/>
      <c r="K42" s="2385"/>
      <c r="L42" s="2385"/>
      <c r="M42" s="2386"/>
    </row>
    <row r="43" spans="1:14" ht="13" thickBot="1" x14ac:dyDescent="0.3">
      <c r="A43" s="2387"/>
      <c r="B43" s="2388"/>
      <c r="C43" s="2388"/>
      <c r="D43" s="2388"/>
      <c r="E43" s="2388"/>
      <c r="F43" s="2388"/>
      <c r="G43" s="2388"/>
      <c r="H43" s="2388"/>
      <c r="I43" s="2388"/>
      <c r="J43" s="2388"/>
      <c r="K43" s="2388"/>
      <c r="L43" s="2388"/>
      <c r="M43" s="2389"/>
    </row>
  </sheetData>
  <mergeCells count="6">
    <mergeCell ref="A42:M43"/>
    <mergeCell ref="H5:M5"/>
    <mergeCell ref="A2:M2"/>
    <mergeCell ref="B6:G6"/>
    <mergeCell ref="I6:M6"/>
    <mergeCell ref="A5:G5"/>
  </mergeCells>
  <pageMargins left="0.7" right="0.7" top="0.75" bottom="0.75" header="0.3" footer="0.3"/>
  <pageSetup paperSize="9" scale="52" fitToHeight="0" orientation="portrait"/>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B1:Y41"/>
  <sheetViews>
    <sheetView topLeftCell="B1" workbookViewId="0">
      <selection activeCell="C14" sqref="C14"/>
    </sheetView>
  </sheetViews>
  <sheetFormatPr baseColWidth="10" defaultColWidth="8.81640625" defaultRowHeight="15.5" x14ac:dyDescent="0.35"/>
  <cols>
    <col min="1" max="1" width="0" style="376" hidden="1" customWidth="1"/>
    <col min="2" max="2" width="68.1796875" style="376" customWidth="1"/>
    <col min="3" max="4" width="15.6328125" style="376" customWidth="1"/>
    <col min="5" max="16384" width="8.81640625" style="376"/>
  </cols>
  <sheetData>
    <row r="1" spans="2:25" ht="16" thickBot="1" x14ac:dyDescent="0.4">
      <c r="B1" s="1148"/>
      <c r="C1" s="1148"/>
      <c r="D1" s="1148"/>
      <c r="E1" s="1148"/>
    </row>
    <row r="2" spans="2:25" ht="31" customHeight="1" thickTop="1" x14ac:dyDescent="0.4">
      <c r="B2" s="2400" t="s">
        <v>769</v>
      </c>
      <c r="C2" s="2401"/>
      <c r="D2" s="2402"/>
      <c r="E2" s="1287"/>
    </row>
    <row r="3" spans="2:25" ht="20" x14ac:dyDescent="0.4">
      <c r="B3" s="1461"/>
      <c r="C3" s="1286"/>
      <c r="D3" s="1462"/>
      <c r="E3" s="1286"/>
    </row>
    <row r="4" spans="2:25" ht="20" x14ac:dyDescent="0.4">
      <c r="B4" s="1461"/>
      <c r="C4" s="1479" t="s">
        <v>20</v>
      </c>
      <c r="D4" s="1480" t="s">
        <v>21</v>
      </c>
      <c r="E4" s="1286"/>
    </row>
    <row r="5" spans="2:25" x14ac:dyDescent="0.35">
      <c r="B5" s="1486"/>
      <c r="C5" s="2403" t="s">
        <v>729</v>
      </c>
      <c r="D5" s="2405" t="s">
        <v>758</v>
      </c>
      <c r="E5" s="1148"/>
    </row>
    <row r="6" spans="2:25" x14ac:dyDescent="0.35">
      <c r="B6" s="1463"/>
      <c r="C6" s="2404"/>
      <c r="D6" s="2406"/>
      <c r="E6" s="1148"/>
      <c r="G6" s="1249"/>
      <c r="H6" s="1284"/>
      <c r="I6" s="1249"/>
      <c r="J6" s="1249"/>
      <c r="K6" s="1284"/>
      <c r="L6" s="1284"/>
      <c r="M6" s="1284"/>
      <c r="N6" s="1285"/>
      <c r="O6" s="1249"/>
      <c r="P6" s="1249"/>
      <c r="Q6" s="1249"/>
      <c r="R6" s="1284"/>
      <c r="S6" s="1284"/>
      <c r="T6" s="1284"/>
      <c r="U6" s="1284"/>
      <c r="V6" s="1249"/>
      <c r="W6" s="1249"/>
      <c r="X6" s="1284"/>
      <c r="Y6" s="1284"/>
    </row>
    <row r="7" spans="2:25" s="1300" customFormat="1" ht="32.25" customHeight="1" x14ac:dyDescent="0.35">
      <c r="B7" s="1464" t="s">
        <v>765</v>
      </c>
      <c r="C7" s="1481"/>
      <c r="D7" s="1465"/>
      <c r="E7" s="949"/>
      <c r="G7" s="1257"/>
      <c r="H7" s="1296"/>
      <c r="I7" s="1257"/>
      <c r="J7" s="1257"/>
      <c r="K7" s="1296"/>
      <c r="L7" s="1296"/>
      <c r="M7" s="1296"/>
      <c r="N7" s="1301"/>
      <c r="O7" s="1257"/>
      <c r="P7" s="1257"/>
      <c r="Q7" s="1257"/>
      <c r="R7" s="1296"/>
      <c r="S7" s="1296"/>
      <c r="T7" s="1296"/>
      <c r="U7" s="1296"/>
      <c r="V7" s="1257"/>
      <c r="W7" s="1257"/>
      <c r="X7" s="1296"/>
      <c r="Y7" s="1296"/>
    </row>
    <row r="8" spans="2:25" x14ac:dyDescent="0.35">
      <c r="B8" s="1466" t="s">
        <v>778</v>
      </c>
      <c r="C8" s="1482">
        <f>+'Disc. 1'!AE35</f>
        <v>-93628.6</v>
      </c>
      <c r="D8" s="1467">
        <f>+'Disc. 1'!AE35/'Disc. 1'!AE99</f>
        <v>-9.2085196849681236E-2</v>
      </c>
      <c r="E8" s="1148"/>
      <c r="G8" s="1249"/>
      <c r="H8" s="1259"/>
      <c r="I8" s="1249"/>
      <c r="J8" s="1249"/>
      <c r="K8" s="1251"/>
      <c r="L8" s="1249"/>
      <c r="M8" s="1259"/>
      <c r="N8" s="1259"/>
      <c r="O8" s="1249"/>
      <c r="P8" s="1249"/>
      <c r="Q8" s="1249"/>
      <c r="R8" s="1259"/>
      <c r="S8" s="1259"/>
      <c r="T8" s="1259"/>
      <c r="U8" s="1259"/>
      <c r="V8" s="1249"/>
      <c r="W8" s="1249"/>
      <c r="X8" s="1259"/>
      <c r="Y8" s="1259"/>
    </row>
    <row r="9" spans="2:25" x14ac:dyDescent="0.35">
      <c r="B9" s="1487" t="s">
        <v>794</v>
      </c>
      <c r="C9" s="1482">
        <f>'Disc. 1'!AE36-'Disc. 1'!V36-'Disc. 1'!U36-'Disc. 1'!T36-'Disc. 1'!P36-'Disc. 1'!G36-'Disc. 1'!D36</f>
        <v>-24594.100000000017</v>
      </c>
      <c r="D9" s="1467">
        <f>+C9/'Disc. 1'!$AE$100</f>
        <v>-3.1282187999156469E-2</v>
      </c>
      <c r="E9" s="1148"/>
      <c r="G9" s="1249"/>
      <c r="H9" s="1259"/>
      <c r="I9" s="1249"/>
      <c r="J9" s="1249"/>
      <c r="K9" s="1251"/>
      <c r="L9" s="1249"/>
      <c r="M9" s="1259"/>
      <c r="N9" s="1259"/>
      <c r="O9" s="1249"/>
      <c r="P9" s="1249"/>
      <c r="Q9" s="1249"/>
      <c r="R9" s="1259"/>
      <c r="S9" s="1259"/>
      <c r="T9" s="1259"/>
      <c r="U9" s="1259"/>
      <c r="V9" s="1249"/>
      <c r="W9" s="1249"/>
      <c r="X9" s="1259"/>
      <c r="Y9" s="1259"/>
    </row>
    <row r="10" spans="2:25" x14ac:dyDescent="0.35">
      <c r="B10" s="1466"/>
      <c r="C10" s="1481"/>
      <c r="D10" s="1468"/>
      <c r="E10" s="1148"/>
    </row>
    <row r="11" spans="2:25" s="1300" customFormat="1" ht="32.25" customHeight="1" x14ac:dyDescent="0.35">
      <c r="B11" s="1464" t="s">
        <v>732</v>
      </c>
      <c r="C11" s="1481"/>
      <c r="D11" s="1468"/>
      <c r="E11" s="949"/>
    </row>
    <row r="12" spans="2:25" ht="15" customHeight="1" x14ac:dyDescent="0.35">
      <c r="B12" s="1466" t="s">
        <v>756</v>
      </c>
      <c r="C12" s="1482">
        <f>+'Disc. 1'!T99</f>
        <v>61021</v>
      </c>
      <c r="D12" s="1365">
        <f>+C12/'Disc. 1'!T99</f>
        <v>1</v>
      </c>
      <c r="E12" s="1148"/>
    </row>
    <row r="13" spans="2:25" x14ac:dyDescent="0.35">
      <c r="B13" s="1466" t="s">
        <v>757</v>
      </c>
      <c r="C13" s="1482">
        <f>+'Disc. 1'!T67</f>
        <v>37171.800000000003</v>
      </c>
      <c r="D13" s="1365">
        <f>+C13/C12</f>
        <v>0.60916405827502007</v>
      </c>
      <c r="E13" s="1148"/>
    </row>
    <row r="14" spans="2:25" x14ac:dyDescent="0.35">
      <c r="B14" s="1466" t="s">
        <v>764</v>
      </c>
      <c r="C14" s="1482">
        <f>+C13-C12</f>
        <v>-23849.199999999997</v>
      </c>
      <c r="D14" s="1467">
        <f>+C14/C12</f>
        <v>-0.39083594172497987</v>
      </c>
      <c r="E14" s="1148"/>
    </row>
    <row r="15" spans="2:25" x14ac:dyDescent="0.35">
      <c r="B15" s="1466" t="s">
        <v>761</v>
      </c>
      <c r="C15" s="1482">
        <f>+'Disc. 1'!T36</f>
        <v>-27767.8</v>
      </c>
      <c r="D15" s="1467">
        <f>+C15/'Disc. 1'!$T$100</f>
        <v>-0.53689746514820469</v>
      </c>
      <c r="E15" s="1148"/>
    </row>
    <row r="16" spans="2:25" x14ac:dyDescent="0.35">
      <c r="B16" s="1466"/>
      <c r="C16" s="1481"/>
      <c r="D16" s="1468"/>
      <c r="E16" s="1148"/>
    </row>
    <row r="17" spans="2:5" s="1300" customFormat="1" ht="32.25" customHeight="1" x14ac:dyDescent="0.35">
      <c r="B17" s="1464" t="s">
        <v>759</v>
      </c>
      <c r="C17" s="1481"/>
      <c r="D17" s="1468"/>
      <c r="E17" s="949"/>
    </row>
    <row r="18" spans="2:5" x14ac:dyDescent="0.35">
      <c r="B18" s="1466" t="s">
        <v>70</v>
      </c>
      <c r="C18" s="1482">
        <f>+C15</f>
        <v>-27767.8</v>
      </c>
      <c r="D18" s="1467">
        <f>+C18/'Disc. 1'!$T$100</f>
        <v>-0.53689746514820469</v>
      </c>
      <c r="E18" s="1148"/>
    </row>
    <row r="19" spans="2:5" x14ac:dyDescent="0.35">
      <c r="B19" s="1466" t="s">
        <v>19</v>
      </c>
      <c r="C19" s="1482">
        <f>+'Disc. 1'!P36</f>
        <v>-19957.900000000001</v>
      </c>
      <c r="D19" s="1467">
        <f>+'Disc. 1'!P36/'Disc. 1'!$P$100</f>
        <v>-0.34598075756262464</v>
      </c>
      <c r="E19" s="1148"/>
    </row>
    <row r="20" spans="2:5" x14ac:dyDescent="0.35">
      <c r="B20" s="1466" t="s">
        <v>2</v>
      </c>
      <c r="C20" s="1482">
        <f>+'Disc. 1'!D36</f>
        <v>-14484.8</v>
      </c>
      <c r="D20" s="1467">
        <f>+'Disc. 1'!D36/'Disc. 1'!D100</f>
        <v>-0.30481481481481482</v>
      </c>
      <c r="E20" s="1148"/>
    </row>
    <row r="21" spans="2:5" x14ac:dyDescent="0.35">
      <c r="B21" s="1466" t="s">
        <v>72</v>
      </c>
      <c r="C21" s="1482">
        <f>+'Disc. 1'!V36</f>
        <v>-6773.2</v>
      </c>
      <c r="D21" s="1467">
        <f>+C21/'Disc. 1'!V100</f>
        <v>-0.11672577748825538</v>
      </c>
      <c r="E21" s="1148"/>
    </row>
    <row r="22" spans="2:5" x14ac:dyDescent="0.35">
      <c r="B22" s="1466" t="s">
        <v>116</v>
      </c>
      <c r="C22" s="1482">
        <f>+'Disc. 1'!G36</f>
        <v>72.5</v>
      </c>
      <c r="D22" s="1467">
        <f>+C22/'Disc. 1'!G100</f>
        <v>1.7123287671232876E-2</v>
      </c>
      <c r="E22" s="1148"/>
    </row>
    <row r="23" spans="2:5" x14ac:dyDescent="0.35">
      <c r="B23" s="1466" t="s">
        <v>301</v>
      </c>
      <c r="C23" s="1482">
        <f>+'Disc. 1'!U36</f>
        <v>-146.39999999999998</v>
      </c>
      <c r="D23" s="1467">
        <f>+C23/'Disc. 1'!U100</f>
        <v>-4.4675007628928891E-2</v>
      </c>
      <c r="E23" s="1148"/>
    </row>
    <row r="24" spans="2:5" x14ac:dyDescent="0.35">
      <c r="B24" s="1469" t="s">
        <v>762</v>
      </c>
      <c r="C24" s="1483">
        <f>SUM(C18:C23)</f>
        <v>-69057.599999999991</v>
      </c>
      <c r="D24" s="1470">
        <f>+C24/('Disc. 1'!D100+'Disc. 1'!G100+'Disc. 1'!P100+'Disc. 1'!T100+'Disc. 1'!U100+'Disc. 1'!V100)</f>
        <v>-0.3104248103942433</v>
      </c>
      <c r="E24" s="1148"/>
    </row>
    <row r="25" spans="2:5" x14ac:dyDescent="0.35">
      <c r="B25" s="1471"/>
      <c r="C25" s="949"/>
      <c r="D25" s="1472"/>
      <c r="E25" s="1148"/>
    </row>
    <row r="26" spans="2:5" s="1300" customFormat="1" ht="32.25" customHeight="1" x14ac:dyDescent="0.35">
      <c r="B26" s="1464" t="s">
        <v>760</v>
      </c>
      <c r="C26" s="949"/>
      <c r="D26" s="1472"/>
      <c r="E26" s="949"/>
    </row>
    <row r="27" spans="2:5" x14ac:dyDescent="0.35">
      <c r="B27" s="1466" t="s">
        <v>70</v>
      </c>
      <c r="C27" s="1482">
        <f>+'Disc. 1'!T35-'Disc. 1'!T36</f>
        <v>3918.5999999999985</v>
      </c>
      <c r="D27" s="1467">
        <f>+C27/('Disc. 1'!T99-'Disc. 1'!T100)</f>
        <v>0.42126424424854853</v>
      </c>
      <c r="E27" s="1148"/>
    </row>
    <row r="28" spans="2:5" x14ac:dyDescent="0.35">
      <c r="B28" s="1466" t="s">
        <v>19</v>
      </c>
      <c r="C28" s="1482">
        <f>+'Disc. 1'!P35-'Disc. 1'!P36</f>
        <v>4081.7000000000007</v>
      </c>
      <c r="D28" s="1467">
        <f>+C28/('Disc. 1'!P99-'Disc. 1'!P100)</f>
        <v>0.5130341880341881</v>
      </c>
      <c r="E28" s="1148"/>
    </row>
    <row r="29" spans="2:5" x14ac:dyDescent="0.35">
      <c r="B29" s="1466" t="s">
        <v>2</v>
      </c>
      <c r="C29" s="1482">
        <f>+'Disc. 1'!D35-'Disc. 1'!D36</f>
        <v>-11535.8</v>
      </c>
      <c r="D29" s="1467">
        <f>+C29/('Disc. 1'!C99-'Disc. 1'!C100)</f>
        <v>-2.8539831766452251</v>
      </c>
      <c r="E29" s="1148"/>
    </row>
    <row r="30" spans="2:5" x14ac:dyDescent="0.35">
      <c r="B30" s="1466" t="s">
        <v>72</v>
      </c>
      <c r="C30" s="1482">
        <f>('Disc. 1'!V35-'Disc. 1'!V36)</f>
        <v>9557.9</v>
      </c>
      <c r="D30" s="1473">
        <f>+C30/('Disc. 1'!V99-'Disc. 1'!V100)</f>
        <v>0.37533329929982606</v>
      </c>
      <c r="E30" s="1148"/>
    </row>
    <row r="31" spans="2:5" x14ac:dyDescent="0.35">
      <c r="B31" s="1466" t="s">
        <v>116</v>
      </c>
      <c r="C31" s="1482">
        <f>+'Disc. 1'!G35-'Disc. 1'!G36</f>
        <v>510.4</v>
      </c>
      <c r="D31" s="1467">
        <f>+C31/('Disc. 1'!G99-'Disc. 1'!G100)</f>
        <v>1.8035335689045935</v>
      </c>
      <c r="E31" s="1148"/>
    </row>
    <row r="32" spans="2:5" x14ac:dyDescent="0.35">
      <c r="B32" s="1466" t="s">
        <v>301</v>
      </c>
      <c r="C32" s="1482">
        <f>+'Disc. 1'!U35-'Disc. 1'!U36</f>
        <v>330.7</v>
      </c>
      <c r="D32" s="1467">
        <f>+C32/('Disc. 1'!U99-'Disc. 1'!U100)</f>
        <v>1.5031818181818182</v>
      </c>
    </row>
    <row r="33" spans="2:4" x14ac:dyDescent="0.35">
      <c r="B33" s="1474" t="s">
        <v>763</v>
      </c>
      <c r="C33" s="1484">
        <f>SUM(C27:C32)</f>
        <v>6863.4999999999991</v>
      </c>
      <c r="D33" s="1475">
        <f>+C33/('Disc. 1'!D101+'Disc. 1'!G101+'Disc. 1'!P101+'Disc. 1'!T101+'Disc. 1'!U101+'Disc. 1'!V101)</f>
        <v>0.1050716373172326</v>
      </c>
    </row>
    <row r="34" spans="2:4" x14ac:dyDescent="0.35">
      <c r="B34" s="1471"/>
      <c r="C34" s="949"/>
      <c r="D34" s="1472"/>
    </row>
    <row r="35" spans="2:4" x14ac:dyDescent="0.35">
      <c r="B35" s="1471" t="s">
        <v>768</v>
      </c>
      <c r="C35" s="1485">
        <f>+'Disc. 1'!AE37-'Disc. 1'!V37-'Disc. 1'!U37-'Disc. 1'!T37-'Disc. 1'!P37-'Disc. 1'!G37-'Disc. 1'!D37</f>
        <v>-6840.3999999999978</v>
      </c>
      <c r="D35" s="1476">
        <f>+C35/('Disc. 1'!AE101-'Disc. 1'!V101-'Disc. 1'!U101-'Disc. 1'!T101-'Disc. 1'!P101-'Disc. 1'!G101-'Disc. 1'!D101)</f>
        <v>-4.1397482768700249E-2</v>
      </c>
    </row>
    <row r="36" spans="2:4" x14ac:dyDescent="0.35">
      <c r="B36" s="1471"/>
      <c r="C36" s="949"/>
      <c r="D36" s="1472"/>
    </row>
    <row r="37" spans="2:4" ht="16" thickBot="1" x14ac:dyDescent="0.4">
      <c r="B37" s="1477" t="s">
        <v>766</v>
      </c>
      <c r="C37" s="646">
        <f>+C35+C33+C24+C9</f>
        <v>-93628.6</v>
      </c>
      <c r="D37" s="1478">
        <f>+C37/'Disc. 1'!$AE$99</f>
        <v>-9.2085196849681236E-2</v>
      </c>
    </row>
    <row r="38" spans="2:4" ht="16" thickTop="1" x14ac:dyDescent="0.35"/>
    <row r="40" spans="2:4" x14ac:dyDescent="0.35">
      <c r="B40" s="1248"/>
    </row>
    <row r="41" spans="2:4" x14ac:dyDescent="0.35">
      <c r="B41" s="1248"/>
    </row>
  </sheetData>
  <mergeCells count="3">
    <mergeCell ref="B2:D2"/>
    <mergeCell ref="C5:C6"/>
    <mergeCell ref="D5:D6"/>
  </mergeCells>
  <pageMargins left="0.7" right="0.7" top="0.75" bottom="0.75" header="0.3" footer="0.3"/>
  <pageSetup paperSize="9" scale="88" orientation="portrait"/>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B1:F18"/>
  <sheetViews>
    <sheetView topLeftCell="B1" workbookViewId="0">
      <selection activeCell="I18" sqref="I18"/>
    </sheetView>
  </sheetViews>
  <sheetFormatPr baseColWidth="10" defaultColWidth="8.81640625" defaultRowHeight="15.5" x14ac:dyDescent="0.35"/>
  <cols>
    <col min="1" max="1" width="0" hidden="1" customWidth="1"/>
    <col min="2" max="2" width="13.1796875" customWidth="1"/>
    <col min="3" max="6" width="21.1796875" customWidth="1"/>
  </cols>
  <sheetData>
    <row r="1" spans="2:6" ht="16" thickBot="1" x14ac:dyDescent="0.4"/>
    <row r="2" spans="2:6" ht="37" customHeight="1" thickTop="1" x14ac:dyDescent="0.35">
      <c r="B2" s="2400" t="s">
        <v>770</v>
      </c>
      <c r="C2" s="2401"/>
      <c r="D2" s="2401"/>
      <c r="E2" s="2401"/>
      <c r="F2" s="2402"/>
    </row>
    <row r="3" spans="2:6" ht="12" customHeight="1" x14ac:dyDescent="0.35">
      <c r="B3" s="1494"/>
      <c r="C3" s="1148"/>
      <c r="D3" s="1148"/>
      <c r="E3" s="1148"/>
      <c r="F3" s="1495"/>
    </row>
    <row r="4" spans="2:6" ht="16" thickBot="1" x14ac:dyDescent="0.4">
      <c r="B4" s="1494"/>
      <c r="C4" s="409" t="s">
        <v>20</v>
      </c>
      <c r="D4" s="409" t="s">
        <v>21</v>
      </c>
      <c r="E4" s="409" t="s">
        <v>22</v>
      </c>
      <c r="F4" s="826" t="s">
        <v>23</v>
      </c>
    </row>
    <row r="5" spans="2:6" ht="19" customHeight="1" x14ac:dyDescent="0.35">
      <c r="B5" s="1496"/>
      <c r="C5" s="2407" t="s">
        <v>755</v>
      </c>
      <c r="D5" s="2408"/>
      <c r="E5" s="2408"/>
      <c r="F5" s="1497" t="s">
        <v>746</v>
      </c>
    </row>
    <row r="6" spans="2:6" ht="25" customHeight="1" x14ac:dyDescent="0.35">
      <c r="B6" s="1498"/>
      <c r="C6" s="1489" t="s">
        <v>753</v>
      </c>
      <c r="D6" s="1490" t="s">
        <v>754</v>
      </c>
      <c r="E6" s="1490" t="s">
        <v>745</v>
      </c>
      <c r="F6" s="1499" t="s">
        <v>745</v>
      </c>
    </row>
    <row r="7" spans="2:6" ht="17.25" customHeight="1" x14ac:dyDescent="0.35">
      <c r="B7" s="1496" t="s">
        <v>730</v>
      </c>
      <c r="C7" s="1491">
        <f>+'Disc. 2'!C10</f>
        <v>567016.80000000005</v>
      </c>
      <c r="D7" s="1492">
        <f>+C7-E7</f>
        <v>542422.70000000007</v>
      </c>
      <c r="E7" s="1493">
        <f>-'Disc. 2'!D10</f>
        <v>24594.10000000002</v>
      </c>
      <c r="F7" s="1500">
        <f>E7/'Disc. 2'!C10</f>
        <v>4.3374552570576423E-2</v>
      </c>
    </row>
    <row r="8" spans="2:6" ht="17.25" customHeight="1" x14ac:dyDescent="0.35">
      <c r="B8" s="1496" t="s">
        <v>731</v>
      </c>
      <c r="C8" s="1491">
        <f>SUM(C9:C14)</f>
        <v>222461.6</v>
      </c>
      <c r="D8" s="1492">
        <f>SUM(D9:D14)</f>
        <v>153404</v>
      </c>
      <c r="E8" s="1493">
        <f>SUM(E9:E14)</f>
        <v>69057.599999999991</v>
      </c>
      <c r="F8" s="1500">
        <f>E8/'Disc. 2'!C8</f>
        <v>0.31506593072688494</v>
      </c>
    </row>
    <row r="9" spans="2:6" ht="17.25" customHeight="1" x14ac:dyDescent="0.35">
      <c r="B9" s="1496" t="s">
        <v>70</v>
      </c>
      <c r="C9" s="1491">
        <f>+'Disc. 1'!T100</f>
        <v>51719</v>
      </c>
      <c r="D9" s="1492">
        <f>+C9-E9</f>
        <v>23951.200000000001</v>
      </c>
      <c r="E9" s="1493">
        <f>-TableB12a!C18</f>
        <v>27767.8</v>
      </c>
      <c r="F9" s="1500">
        <f>-TableB12a!D18</f>
        <v>0.53689746514820469</v>
      </c>
    </row>
    <row r="10" spans="2:6" ht="17.25" customHeight="1" x14ac:dyDescent="0.35">
      <c r="B10" s="1496" t="s">
        <v>19</v>
      </c>
      <c r="C10" s="1491">
        <f>+'Disc. 1'!P100</f>
        <v>57685</v>
      </c>
      <c r="D10" s="1492">
        <f t="shared" ref="D10:D14" si="0">+C10-E10</f>
        <v>37727.1</v>
      </c>
      <c r="E10" s="1493">
        <f>-TableB12a!C19</f>
        <v>19957.900000000001</v>
      </c>
      <c r="F10" s="1500">
        <f>-TableB12a!D19</f>
        <v>0.34598075756262464</v>
      </c>
    </row>
    <row r="11" spans="2:6" ht="17.25" customHeight="1" x14ac:dyDescent="0.35">
      <c r="B11" s="1496" t="s">
        <v>2</v>
      </c>
      <c r="C11" s="1491">
        <f>+'Disc. 1'!D100</f>
        <v>47520</v>
      </c>
      <c r="D11" s="1492">
        <f t="shared" si="0"/>
        <v>33035.199999999997</v>
      </c>
      <c r="E11" s="1493">
        <f>-TableB12a!C20</f>
        <v>14484.8</v>
      </c>
      <c r="F11" s="1500">
        <f>-TableB12a!D20</f>
        <v>0.30481481481481482</v>
      </c>
    </row>
    <row r="12" spans="2:6" ht="17.25" customHeight="1" x14ac:dyDescent="0.35">
      <c r="B12" s="1496" t="s">
        <v>72</v>
      </c>
      <c r="C12" s="1491">
        <f>+'Disc. 1'!V100</f>
        <v>58026.6</v>
      </c>
      <c r="D12" s="1492">
        <f t="shared" si="0"/>
        <v>51253.4</v>
      </c>
      <c r="E12" s="1493">
        <f>-TableB12a!C21</f>
        <v>6773.2</v>
      </c>
      <c r="F12" s="1500">
        <f>-TableB12a!D21</f>
        <v>0.11672577748825538</v>
      </c>
    </row>
    <row r="13" spans="2:6" ht="17.25" customHeight="1" x14ac:dyDescent="0.35">
      <c r="B13" s="1496" t="s">
        <v>301</v>
      </c>
      <c r="C13" s="1491">
        <f>+'Disc. 1'!G100</f>
        <v>4234</v>
      </c>
      <c r="D13" s="1492">
        <f t="shared" si="0"/>
        <v>4087.6</v>
      </c>
      <c r="E13" s="1493">
        <f>-'Disc. 1'!U36</f>
        <v>146.39999999999998</v>
      </c>
      <c r="F13" s="1500">
        <f>-'Disc. 1'!U36/'Disc. 1'!U100</f>
        <v>4.4675007628928891E-2</v>
      </c>
    </row>
    <row r="14" spans="2:6" ht="17.25" customHeight="1" thickBot="1" x14ac:dyDescent="0.4">
      <c r="B14" s="1501" t="s">
        <v>116</v>
      </c>
      <c r="C14" s="1502">
        <f>+'Disc. 1'!U100</f>
        <v>3277</v>
      </c>
      <c r="D14" s="1503">
        <f t="shared" si="0"/>
        <v>3349.5</v>
      </c>
      <c r="E14" s="1504">
        <f>-'Disc. 1'!G36</f>
        <v>-72.5</v>
      </c>
      <c r="F14" s="1505">
        <f>-'Disc. 1'!G36/'Disc. 1'!G100</f>
        <v>-1.7123287671232876E-2</v>
      </c>
    </row>
    <row r="15" spans="2:6" ht="16" thickTop="1" x14ac:dyDescent="0.35">
      <c r="B15" s="1249"/>
      <c r="C15" s="1274"/>
      <c r="D15" s="1274"/>
      <c r="E15" s="1272"/>
      <c r="F15" s="1488"/>
    </row>
    <row r="16" spans="2:6" ht="16" thickBot="1" x14ac:dyDescent="0.4"/>
    <row r="17" spans="2:6" x14ac:dyDescent="0.35">
      <c r="B17" s="2409" t="s">
        <v>773</v>
      </c>
      <c r="C17" s="2410"/>
      <c r="D17" s="2410"/>
      <c r="E17" s="2410"/>
      <c r="F17" s="2411"/>
    </row>
    <row r="18" spans="2:6" ht="16" thickBot="1" x14ac:dyDescent="0.4">
      <c r="B18" s="2412"/>
      <c r="C18" s="2413"/>
      <c r="D18" s="2413"/>
      <c r="E18" s="2413"/>
      <c r="F18" s="2414"/>
    </row>
  </sheetData>
  <mergeCells count="3">
    <mergeCell ref="B2:F2"/>
    <mergeCell ref="C5:E5"/>
    <mergeCell ref="B17:F18"/>
  </mergeCells>
  <pageMargins left="0.7" right="0.7" top="0.75" bottom="0.75" header="0.3" footer="0.3"/>
  <pageSetup paperSize="9" scale="90"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108"/>
  <sheetViews>
    <sheetView workbookViewId="0">
      <pane xSplit="1" ySplit="8" topLeftCell="B18" activePane="bottomRight" state="frozen"/>
      <selection activeCell="AR8" sqref="AR8"/>
      <selection pane="topRight" activeCell="AR8" sqref="AR8"/>
      <selection pane="bottomLeft" activeCell="AR8" sqref="AR8"/>
      <selection pane="bottomRight" activeCell="C7" sqref="C7:C8"/>
    </sheetView>
  </sheetViews>
  <sheetFormatPr baseColWidth="10" defaultColWidth="10.81640625" defaultRowHeight="15.5" x14ac:dyDescent="0.35"/>
  <cols>
    <col min="1" max="1" width="19" style="1" customWidth="1"/>
    <col min="2" max="2" width="11.36328125" style="1" customWidth="1"/>
    <col min="3" max="3" width="11.81640625" style="1" customWidth="1"/>
    <col min="4" max="13" width="11.36328125" style="1" customWidth="1"/>
    <col min="14" max="14" width="21.6328125" style="1" bestFit="1" customWidth="1"/>
    <col min="15" max="17" width="10.81640625" style="430"/>
    <col min="18" max="16384" width="10.81640625" style="1"/>
  </cols>
  <sheetData>
    <row r="2" spans="1:17" ht="16" thickBot="1" x14ac:dyDescent="0.4"/>
    <row r="3" spans="1:17" ht="32.25" customHeight="1" thickTop="1" x14ac:dyDescent="0.35">
      <c r="A3" s="2048" t="s">
        <v>35</v>
      </c>
      <c r="B3" s="2049"/>
      <c r="C3" s="2049"/>
      <c r="D3" s="2049"/>
      <c r="E3" s="2049"/>
      <c r="F3" s="2049"/>
      <c r="G3" s="2049"/>
      <c r="H3" s="2049"/>
      <c r="I3" s="2049"/>
      <c r="J3" s="2049"/>
      <c r="K3" s="2049"/>
      <c r="L3" s="2050"/>
      <c r="M3" s="417"/>
    </row>
    <row r="4" spans="1:17" ht="12" customHeight="1" x14ac:dyDescent="0.35">
      <c r="A4" s="11"/>
      <c r="B4" s="417"/>
      <c r="C4" s="417"/>
      <c r="D4" s="417"/>
      <c r="E4" s="417"/>
      <c r="F4" s="417"/>
      <c r="G4" s="417"/>
      <c r="H4" s="417"/>
      <c r="I4" s="417"/>
      <c r="J4" s="417"/>
      <c r="K4" s="417"/>
      <c r="L4" s="12"/>
      <c r="M4" s="417"/>
    </row>
    <row r="5" spans="1:17" ht="16" thickBot="1" x14ac:dyDescent="0.4">
      <c r="A5" s="15"/>
      <c r="B5" s="323" t="s">
        <v>20</v>
      </c>
      <c r="C5" s="323" t="s">
        <v>21</v>
      </c>
      <c r="D5" s="323" t="s">
        <v>22</v>
      </c>
      <c r="E5" s="323" t="s">
        <v>23</v>
      </c>
      <c r="F5" s="323" t="s">
        <v>24</v>
      </c>
      <c r="G5" s="323" t="s">
        <v>25</v>
      </c>
      <c r="H5" s="323" t="s">
        <v>26</v>
      </c>
      <c r="I5" s="323" t="s">
        <v>33</v>
      </c>
      <c r="J5" s="323" t="s">
        <v>34</v>
      </c>
      <c r="K5" s="323" t="s">
        <v>37</v>
      </c>
      <c r="L5" s="452" t="s">
        <v>105</v>
      </c>
      <c r="M5" s="323"/>
    </row>
    <row r="6" spans="1:17" ht="21" customHeight="1" x14ac:dyDescent="0.35">
      <c r="A6" s="15"/>
      <c r="B6" s="2061" t="s">
        <v>52</v>
      </c>
      <c r="C6" s="2062"/>
      <c r="D6" s="2062"/>
      <c r="E6" s="2062"/>
      <c r="F6" s="2062"/>
      <c r="G6" s="2063"/>
      <c r="H6" s="2084" t="s">
        <v>9</v>
      </c>
      <c r="I6" s="2086" t="s">
        <v>31</v>
      </c>
      <c r="J6" s="2087" t="s">
        <v>32</v>
      </c>
      <c r="K6" s="2089" t="s">
        <v>104</v>
      </c>
      <c r="L6" s="2079" t="s">
        <v>107</v>
      </c>
      <c r="M6" s="416"/>
    </row>
    <row r="7" spans="1:17" ht="85" customHeight="1" x14ac:dyDescent="0.35">
      <c r="A7" s="15"/>
      <c r="B7" s="2081" t="s">
        <v>14</v>
      </c>
      <c r="C7" s="2064" t="s">
        <v>13</v>
      </c>
      <c r="D7" s="2082" t="s">
        <v>12</v>
      </c>
      <c r="E7" s="415" t="s">
        <v>11</v>
      </c>
      <c r="F7" s="415" t="s">
        <v>8</v>
      </c>
      <c r="G7" s="2083" t="s">
        <v>36</v>
      </c>
      <c r="H7" s="2085"/>
      <c r="I7" s="2072"/>
      <c r="J7" s="2088"/>
      <c r="K7" s="2090"/>
      <c r="L7" s="2080"/>
      <c r="M7" s="416"/>
      <c r="N7" s="4"/>
      <c r="O7" s="708" t="s">
        <v>147</v>
      </c>
      <c r="P7" s="1205" t="s">
        <v>530</v>
      </c>
      <c r="Q7" s="1206" t="s">
        <v>531</v>
      </c>
    </row>
    <row r="8" spans="1:17" ht="33" customHeight="1" x14ac:dyDescent="0.35">
      <c r="A8" s="15"/>
      <c r="B8" s="2057"/>
      <c r="C8" s="2065"/>
      <c r="D8" s="2082"/>
      <c r="E8" s="324"/>
      <c r="F8" s="324"/>
      <c r="G8" s="2083"/>
      <c r="H8" s="2085"/>
      <c r="I8" s="2072"/>
      <c r="J8" s="2088"/>
      <c r="K8" s="2090"/>
      <c r="L8" s="2080"/>
      <c r="M8" s="416"/>
      <c r="N8" s="4"/>
      <c r="O8" s="41"/>
      <c r="Q8" s="1207"/>
    </row>
    <row r="9" spans="1:17" ht="40" customHeight="1" x14ac:dyDescent="0.35">
      <c r="A9" s="463" t="s">
        <v>98</v>
      </c>
      <c r="B9" s="432">
        <f t="shared" ref="B9:G9" si="0">SUM(B10:B44)</f>
        <v>26359.302824524231</v>
      </c>
      <c r="C9" s="479">
        <f t="shared" si="0"/>
        <v>15382.439705866644</v>
      </c>
      <c r="D9" s="480">
        <f t="shared" si="0"/>
        <v>6320.6828851727678</v>
      </c>
      <c r="E9" s="480">
        <f t="shared" si="0"/>
        <v>-9.1668137796673932</v>
      </c>
      <c r="F9" s="480">
        <f t="shared" si="0"/>
        <v>6329.8496989524356</v>
      </c>
      <c r="G9" s="481">
        <f t="shared" si="0"/>
        <v>4656.1796282132627</v>
      </c>
      <c r="H9" s="482">
        <f>(G9+D9)/B9</f>
        <v>0.41643220180972884</v>
      </c>
      <c r="I9" s="482">
        <f>D9/(D9+C9)</f>
        <v>0.29123380097306334</v>
      </c>
      <c r="J9" s="483">
        <f>1-I9</f>
        <v>0.70876619902693672</v>
      </c>
      <c r="K9" s="482">
        <f>E9/D9</f>
        <v>-1.4502885125230942E-3</v>
      </c>
      <c r="L9" s="484">
        <f>F9/C9</f>
        <v>0.41149842417638866</v>
      </c>
      <c r="M9" s="436"/>
      <c r="N9" s="37"/>
      <c r="O9" s="594">
        <f>B9-C9-D9-G9</f>
        <v>6.0527155710587977E-4</v>
      </c>
      <c r="P9" s="709">
        <f>G9/B9</f>
        <v>0.17664274579679837</v>
      </c>
      <c r="Q9" s="709">
        <f>G9/(G9+D9)</f>
        <v>0.42418128336172195</v>
      </c>
    </row>
    <row r="10" spans="1:17" ht="14.25" customHeight="1" x14ac:dyDescent="0.35">
      <c r="A10" s="455" t="s">
        <v>54</v>
      </c>
      <c r="B10" s="334">
        <f>+TableA1!E10</f>
        <v>774.05825301069046</v>
      </c>
      <c r="C10" s="273">
        <f>B10-D10-G10</f>
        <v>496.98457655004552</v>
      </c>
      <c r="D10" s="471">
        <f>SUM([1]AustralianNA!$I$233:$I$236)*0.001/[1]FX!$D$3-G10</f>
        <v>163.01301940514912</v>
      </c>
      <c r="E10" s="325">
        <f>TableA2b!E10+(SUM([1]AustralianNA4!$AP$117:$AP$120)-SUM([1]AustralianNA4!$AF$117:$AF$120))*0.001/[1]FX!$D$3</f>
        <v>-15.834391363469035</v>
      </c>
      <c r="F10" s="326">
        <f>D10-E10</f>
        <v>178.84741076861815</v>
      </c>
      <c r="G10" s="464">
        <f>TableA2b!G10+SUM([1]AustralianNA4!$AC$117:$AC$120)*0.001/[1]FX!$D$3</f>
        <v>114.06065705549587</v>
      </c>
      <c r="H10" s="384">
        <f>(G10+D10)/B10</f>
        <v>0.35794938608686128</v>
      </c>
      <c r="I10" s="117">
        <f>D10/(D10+C10)</f>
        <v>0.24699032300144261</v>
      </c>
      <c r="J10" s="327">
        <f>1-I10</f>
        <v>0.75300967699855736</v>
      </c>
      <c r="K10" s="119">
        <f>E10/D10</f>
        <v>-9.7135746710602128E-2</v>
      </c>
      <c r="L10" s="465">
        <f>F10/C10</f>
        <v>0.35986511293798373</v>
      </c>
      <c r="M10" s="117"/>
      <c r="O10" s="594">
        <f t="shared" ref="O10:O73" si="1">B10-C10-D10-G10</f>
        <v>0</v>
      </c>
      <c r="P10" s="709">
        <f t="shared" ref="P10:P52" si="2">G10/B10</f>
        <v>0.1473540997875267</v>
      </c>
      <c r="Q10" s="709">
        <f t="shared" ref="Q10:Q52" si="3">G10/(G10+D10)</f>
        <v>0.41166183129524692</v>
      </c>
    </row>
    <row r="11" spans="1:17" ht="14.25" customHeight="1" x14ac:dyDescent="0.35">
      <c r="A11" s="15" t="s">
        <v>55</v>
      </c>
      <c r="B11" s="334">
        <f>+TableA1!E11</f>
        <v>216.83707476995184</v>
      </c>
      <c r="C11" s="273">
        <f>+((VLOOKUP($A11,[1]OECDTable14a!$A$15:$XO$66,140,0)+VLOOKUP($A11,[1]OECDTable14a!$A$15:$XO$66,240,0))/VLOOKUP($A11,[1]FX!$B$2:$D$54,3,0))/1000</f>
        <v>124.3274896607254</v>
      </c>
      <c r="D11" s="471">
        <f>+((VLOOKUP($A11,'[1]OECDTable14a(small)'!$A:$D,4,0))/VLOOKUP($A11,[1]FX!$B$2:$D$54,3,0))/1000-G11</f>
        <v>47.620441874367138</v>
      </c>
      <c r="E11" s="274">
        <f>+((VLOOKUP($A11,[1]OECDTable14a!$A$15:$XO$66,162,0)+VLOOKUP($A11,[1]OECDTable14a!$A$15:$XO$66,262,0)-VLOOKUP($A11,[1]OECDTable14a!$A$15:$XO$66,154,0)-VLOOKUP($A11,[1]OECDTable14a!$A$15:$XO$66,254,0))/VLOOKUP($A11,[1]FX!$B$2:$D$54,3,0))/1000</f>
        <v>-0.33660175299087369</v>
      </c>
      <c r="F11" s="115">
        <f t="shared" ref="F11:F43" si="4">D11-E11</f>
        <v>47.957043627358011</v>
      </c>
      <c r="G11" s="466">
        <f>+((VLOOKUP($A11,[1]OECDTable14a!$A$15:$XO$66,133,0)+VLOOKUP($A11,[1]OECDTable14a!$A$15:$XO$66,233,0))/VLOOKUP($A11,[1]FX!$B$2:$D$54,3,0))/1000</f>
        <v>44.889032328186154</v>
      </c>
      <c r="H11" s="384">
        <f t="shared" ref="H11:H44" si="5">(G11+D11)/B11</f>
        <v>0.42663125897957732</v>
      </c>
      <c r="I11" s="117">
        <f t="shared" ref="I11:I44" si="6">D11/(D11+C11)</f>
        <v>0.27694687251674421</v>
      </c>
      <c r="J11" s="327">
        <f t="shared" ref="J11:J44" si="7">1-I11</f>
        <v>0.72305312748325579</v>
      </c>
      <c r="K11" s="119">
        <f t="shared" ref="K11:K44" si="8">E11/D11</f>
        <v>-7.0684298536939404E-3</v>
      </c>
      <c r="L11" s="465">
        <f t="shared" ref="L11:L44" si="9">F11/C11</f>
        <v>0.38573161702393371</v>
      </c>
      <c r="M11" s="117"/>
      <c r="O11" s="594">
        <f t="shared" si="1"/>
        <v>1.1090667314306302E-4</v>
      </c>
      <c r="P11" s="709">
        <f t="shared" si="2"/>
        <v>0.20701733029653765</v>
      </c>
      <c r="Q11" s="709">
        <f t="shared" si="3"/>
        <v>0.48523713614348057</v>
      </c>
    </row>
    <row r="12" spans="1:17" ht="14.25" customHeight="1" x14ac:dyDescent="0.35">
      <c r="A12" s="15" t="s">
        <v>2</v>
      </c>
      <c r="B12" s="334">
        <f>+TableA1!E12</f>
        <v>283.38418404296965</v>
      </c>
      <c r="C12" s="273">
        <f>+((VLOOKUP($A12,[1]OECDTable14a!$A$15:$XO$66,140,0)+VLOOKUP($A12,[1]OECDTable14a!$A$15:$XO$66,240,0))/VLOOKUP($A12,[1]FX!$B$2:$D$54,3,0))/1000</f>
        <v>166.52659153848629</v>
      </c>
      <c r="D12" s="471">
        <f>+((VLOOKUP($A12,'[1]OECDTable14a(small)'!$A:$D,4,0))/VLOOKUP($A12,[1]FX!$B$2:$D$54,3,0))/1000-G12</f>
        <v>59.610340494577216</v>
      </c>
      <c r="E12" s="325">
        <f>+((VLOOKUP($A12,[1]OECDTable14a!$A$15:$XO$66,162,0)+VLOOKUP($A12,[1]OECDTable14a!$A$15:$XO$66,262,0)-VLOOKUP($A12,[1]OECDTable14a!$A$15:$XO$66,154,0)-VLOOKUP($A12,[1]OECDTable14a!$A$15:$XO$66,254,0))/VLOOKUP($A12,[1]FX!$B$2:$D$54,3,0))/1000</f>
        <v>-17.063324383164808</v>
      </c>
      <c r="F12" s="115">
        <f t="shared" si="4"/>
        <v>76.673664877742027</v>
      </c>
      <c r="G12" s="466">
        <f>+((VLOOKUP($A12,[1]OECDTable14a!$A$15:$XO$66,133,0)+VLOOKUP($A12,[1]OECDTable14a!$A$15:$XO$66,233,0))/VLOOKUP($A12,[1]FX!$B$2:$D$54,3,0))/1000</f>
        <v>57.247252009906191</v>
      </c>
      <c r="H12" s="384">
        <f t="shared" si="5"/>
        <v>0.41236455343874889</v>
      </c>
      <c r="I12" s="117">
        <f t="shared" si="6"/>
        <v>0.26360285318570426</v>
      </c>
      <c r="J12" s="327">
        <f t="shared" si="7"/>
        <v>0.7363971468142958</v>
      </c>
      <c r="K12" s="119">
        <f t="shared" si="8"/>
        <v>-0.2862477255052262</v>
      </c>
      <c r="L12" s="465">
        <f>F12/C12</f>
        <v>0.46042895713758619</v>
      </c>
      <c r="M12" s="117"/>
      <c r="N12" s="4"/>
      <c r="O12" s="594">
        <f t="shared" si="1"/>
        <v>0</v>
      </c>
      <c r="P12" s="709">
        <f t="shared" si="2"/>
        <v>0.20201286886647762</v>
      </c>
      <c r="Q12" s="709">
        <f t="shared" si="3"/>
        <v>0.48988902460667944</v>
      </c>
    </row>
    <row r="13" spans="1:17" x14ac:dyDescent="0.35">
      <c r="A13" s="455" t="s">
        <v>56</v>
      </c>
      <c r="B13" s="334">
        <f>+TableA1!E13</f>
        <v>963.75367641885134</v>
      </c>
      <c r="C13" s="273">
        <f>B13-D13-G13</f>
        <v>613.39428253347273</v>
      </c>
      <c r="D13" s="471">
        <f>+((VLOOKUP($A13,'[1]OECDTable14a(small)'!$A:$D,4,0))/VLOOKUP($A13,[1]FX!$B$2:$D$54,3,0))/1000-G13</f>
        <v>181.32856122048508</v>
      </c>
      <c r="E13" s="325">
        <f>+((VLOOKUP($A13,[1]OECDTable14a!$A$15:$XO$66,162,0)+VLOOKUP($A13,[1]OECDTable14a!$A$15:$XO$66,262,0)-VLOOKUP($A13,[1]OECDTable14a!$A$15:$XO$66,154,0)-VLOOKUP($A13,[1]OECDTable14a!$A$15:$XO$66,254,0))/VLOOKUP($A13,[1]FX!$B$2:$D$54,3,0))/1000</f>
        <v>38.37157121659169</v>
      </c>
      <c r="F13" s="115">
        <f t="shared" si="4"/>
        <v>142.9569900038934</v>
      </c>
      <c r="G13" s="466">
        <f>+((VLOOKUP($A13,[1]OECDTable14a!$A$15:$XO$66,133,0)+VLOOKUP($A13,[1]OECDTable14a!$A$15:$XO$66,233,0))/VLOOKUP($A13,[1]FX!$B$2:$D$54,3,0))/1000</f>
        <v>169.03083266489352</v>
      </c>
      <c r="H13" s="384">
        <f t="shared" si="5"/>
        <v>0.363536246302329</v>
      </c>
      <c r="I13" s="117">
        <f t="shared" si="6"/>
        <v>0.22816578464507242</v>
      </c>
      <c r="J13" s="327">
        <f t="shared" si="7"/>
        <v>0.77183421535492758</v>
      </c>
      <c r="K13" s="119">
        <f t="shared" si="8"/>
        <v>0.21161349849312525</v>
      </c>
      <c r="L13" s="465">
        <f t="shared" si="9"/>
        <v>0.23305888899623428</v>
      </c>
      <c r="M13" s="117"/>
      <c r="O13" s="594">
        <f t="shared" si="1"/>
        <v>0</v>
      </c>
      <c r="P13" s="709">
        <f t="shared" si="2"/>
        <v>0.17538800297290075</v>
      </c>
      <c r="Q13" s="709">
        <f t="shared" si="3"/>
        <v>0.48244983755221532</v>
      </c>
    </row>
    <row r="14" spans="1:17" x14ac:dyDescent="0.35">
      <c r="A14" s="455" t="s">
        <v>57</v>
      </c>
      <c r="B14" s="334">
        <f>C14+D14+G14</f>
        <v>154.1756815022006</v>
      </c>
      <c r="C14" s="273">
        <f>+((VLOOKUP($A14,[1]OECDTable14a!$A$15:$XO$66,140,0)+VLOOKUP($A14,[1]OECDTable14a!$A$15:$XO$66,240,0))/VLOOKUP($A14,[1]FX!$B$2:$D$54,3,0))/1000</f>
        <v>67.029473521292758</v>
      </c>
      <c r="D14" s="471">
        <f>+((VLOOKUP($A14,'[1]OECDTable14a(small)'!$A:$D,4,0))/VLOOKUP($A14,[1]FX!$B$2:$D$54,3,0))/1000-G14</f>
        <v>66.204407980907845</v>
      </c>
      <c r="E14" s="325">
        <f>+((VLOOKUP($A14,[1]OECDTable14a!$A$15:$XO$66,162,0)+VLOOKUP($A14,[1]OECDTable14a!$A$15:$XO$66,262,0)-VLOOKUP($A14,[1]OECDTable14a!$A$15:$XO$66,154,0)-VLOOKUP($A14,[1]OECDTable14a!$A$15:$XO$66,254,0))/VLOOKUP($A14,[1]FX!$B$2:$D$54,3,0))/1000</f>
        <v>-1.3380769776890027</v>
      </c>
      <c r="F14" s="115">
        <f t="shared" si="4"/>
        <v>67.542484958596845</v>
      </c>
      <c r="G14" s="466">
        <f>+'[1]Data C33-37'!$AM$78/1000</f>
        <v>20.941800000000001</v>
      </c>
      <c r="H14" s="384">
        <f t="shared" si="5"/>
        <v>0.56523964824935102</v>
      </c>
      <c r="I14" s="117">
        <f t="shared" si="6"/>
        <v>0.49690369472433599</v>
      </c>
      <c r="J14" s="327">
        <f t="shared" si="7"/>
        <v>0.50309630527566407</v>
      </c>
      <c r="K14" s="119">
        <f t="shared" si="8"/>
        <v>-2.0211297381813004E-2</v>
      </c>
      <c r="L14" s="465">
        <f t="shared" si="9"/>
        <v>1.0076535203150763</v>
      </c>
      <c r="M14" s="117"/>
      <c r="O14" s="594">
        <f t="shared" si="1"/>
        <v>0</v>
      </c>
      <c r="P14" s="709">
        <f t="shared" si="2"/>
        <v>0.13583076005213632</v>
      </c>
      <c r="Q14" s="709">
        <f t="shared" si="3"/>
        <v>0.24030649738182491</v>
      </c>
    </row>
    <row r="15" spans="1:17" x14ac:dyDescent="0.35">
      <c r="A15" s="455" t="s">
        <v>58</v>
      </c>
      <c r="B15" s="334">
        <f>+TableA1!E15</f>
        <v>112.15354438741807</v>
      </c>
      <c r="C15" s="273">
        <f>+((VLOOKUP($A15,[1]OECDTable14a!$A$15:$XO$66,140,0)+VLOOKUP($A15,[1]OECDTable14a!$A$15:$XO$66,240,0))/VLOOKUP($A15,[1]FX!$B$2:$D$54,3,0))/1000</f>
        <v>54.009329742364955</v>
      </c>
      <c r="D15" s="471">
        <f>+((VLOOKUP($A15,'[1]OECDTable14a(small)'!$A:$D,4,0))/VLOOKUP($A15,[1]FX!$B$2:$D$54,3,0))/1000-G15</f>
        <v>32.639016210173281</v>
      </c>
      <c r="E15" s="325">
        <f>+((VLOOKUP($A15,[1]OECDTable14a!$A$15:$XO$66,162,0)+VLOOKUP($A15,[1]OECDTable14a!$A$15:$XO$66,262,0)-VLOOKUP($A15,[1]OECDTable14a!$A$15:$XO$66,154,0)-VLOOKUP($A15,[1]OECDTable14a!$A$15:$XO$66,254,0))/VLOOKUP($A15,[1]FX!$B$2:$D$54,3,0))/1000</f>
        <v>-0.93842166776767111</v>
      </c>
      <c r="F15" s="115">
        <f t="shared" si="4"/>
        <v>33.577437877940952</v>
      </c>
      <c r="G15" s="466">
        <f>+((VLOOKUP($A15,[1]OECDTable14a!$A$15:$XO$66,133,0)+VLOOKUP($A15,[1]OECDTable14a!$A$15:$XO$66,233,0))/VLOOKUP($A15,[1]FX!$B$2:$D$54,3,0))/1000</f>
        <v>25.505198434879823</v>
      </c>
      <c r="H15" s="384">
        <f t="shared" si="5"/>
        <v>0.51843403579116853</v>
      </c>
      <c r="I15" s="117">
        <f t="shared" si="6"/>
        <v>0.37668366142905202</v>
      </c>
      <c r="J15" s="327">
        <f t="shared" si="7"/>
        <v>0.62331633857094793</v>
      </c>
      <c r="K15" s="119">
        <f t="shared" si="8"/>
        <v>-2.8751530429865522E-2</v>
      </c>
      <c r="L15" s="465">
        <f t="shared" si="9"/>
        <v>0.62169699268833523</v>
      </c>
      <c r="M15" s="117"/>
      <c r="O15" s="594">
        <f t="shared" si="1"/>
        <v>0</v>
      </c>
      <c r="P15" s="709">
        <f t="shared" si="2"/>
        <v>0.22741321796104663</v>
      </c>
      <c r="Q15" s="709">
        <f t="shared" si="3"/>
        <v>0.43865410497981161</v>
      </c>
    </row>
    <row r="16" spans="1:17" x14ac:dyDescent="0.35">
      <c r="A16" s="455" t="s">
        <v>59</v>
      </c>
      <c r="B16" s="334">
        <f>+TableA1!E16</f>
        <v>171.31642871995703</v>
      </c>
      <c r="C16" s="273">
        <f>+((VLOOKUP($A16,[1]OECDTable14a!$A$15:$XO$66,140,0)+VLOOKUP($A16,[1]OECDTable14a!$A$15:$XO$66,240,0))/VLOOKUP($A16,[1]FX!$B$2:$D$54,3,0))/1000</f>
        <v>98.579989289388223</v>
      </c>
      <c r="D16" s="471">
        <f>+((VLOOKUP($A16,'[1]OECDTable14a(small)'!$A:$D,4,0))/VLOOKUP($A16,[1]FX!$B$2:$D$54,3,0))/1000-G16</f>
        <v>41.257110123549566</v>
      </c>
      <c r="E16" s="325">
        <f>+((VLOOKUP($A16,[1]OECDTable14a!$A$15:$XO$66,162,0)+VLOOKUP($A16,[1]OECDTable14a!$A$15:$XO$66,262,0)-VLOOKUP($A16,[1]OECDTable14a!$A$15:$XO$66,154,0)-VLOOKUP($A16,[1]OECDTable14a!$A$15:$XO$66,254,0))/VLOOKUP($A16,[1]FX!$B$2:$D$54,3,0))/1000</f>
        <v>-10.435489075577294</v>
      </c>
      <c r="F16" s="115">
        <f t="shared" si="4"/>
        <v>51.69259919912686</v>
      </c>
      <c r="G16" s="466">
        <f>+((VLOOKUP($A16,[1]OECDTable14a!$A$15:$XO$66,133,0)+VLOOKUP($A16,[1]OECDTable14a!$A$15:$XO$66,233,0))/VLOOKUP($A16,[1]FX!$B$2:$D$54,3,0))/1000</f>
        <v>31.479329307019256</v>
      </c>
      <c r="H16" s="384">
        <f t="shared" si="5"/>
        <v>0.42457363823213756</v>
      </c>
      <c r="I16" s="117">
        <f t="shared" si="6"/>
        <v>0.29503694153235877</v>
      </c>
      <c r="J16" s="327">
        <f t="shared" si="7"/>
        <v>0.70496305846764118</v>
      </c>
      <c r="K16" s="119">
        <f t="shared" si="8"/>
        <v>-0.25293795528399637</v>
      </c>
      <c r="L16" s="465">
        <f t="shared" si="9"/>
        <v>0.52437213243531344</v>
      </c>
      <c r="M16" s="117"/>
      <c r="O16" s="594">
        <f t="shared" si="1"/>
        <v>0</v>
      </c>
      <c r="P16" s="709">
        <f t="shared" si="2"/>
        <v>0.18374962367723091</v>
      </c>
      <c r="Q16" s="709">
        <f t="shared" si="3"/>
        <v>0.43278622865596977</v>
      </c>
    </row>
    <row r="17" spans="1:17" x14ac:dyDescent="0.35">
      <c r="A17" s="455" t="s">
        <v>60</v>
      </c>
      <c r="B17" s="334">
        <f>+TableA1!E17</f>
        <v>14.300084621791608</v>
      </c>
      <c r="C17" s="273">
        <f>+((VLOOKUP($A17,[1]OECDTable14a!$A$15:$XO$66,140,0)+VLOOKUP($A17,[1]OECDTable14a!$A$15:$XO$66,240,0))/VLOOKUP($A17,[1]FX!$B$2:$D$54,3,0))/1000</f>
        <v>7.9577756114007627</v>
      </c>
      <c r="D17" s="471">
        <f>+((VLOOKUP($A17,'[1]OECDTable14a(small)'!$A:$D,4,0))/VLOOKUP($A17,[1]FX!$B$2:$D$54,3,0))/1000-G17</f>
        <v>4.0342302355990451</v>
      </c>
      <c r="E17" s="325">
        <f>+((VLOOKUP($A17,[1]OECDTable14a!$A$15:$XO$66,162,0)+VLOOKUP($A17,[1]OECDTable14a!$A$15:$XO$66,262,0)-VLOOKUP($A17,[1]OECDTable14a!$A$15:$XO$66,154,0)-VLOOKUP($A17,[1]OECDTable14a!$A$15:$XO$66,254,0))/VLOOKUP($A17,[1]FX!$B$2:$D$54,3,0))/1000</f>
        <v>-4.5471735988882649E-2</v>
      </c>
      <c r="F17" s="115">
        <f t="shared" si="4"/>
        <v>4.0797019715879275</v>
      </c>
      <c r="G17" s="466">
        <f>+((VLOOKUP($A17,[1]OECDTable14a!$A$15:$XO$66,133,0)+VLOOKUP($A17,[1]OECDTable14a!$A$15:$XO$66,233,0))/VLOOKUP($A17,[1]FX!$B$2:$D$54,3,0))/1000</f>
        <v>2.3078569614455131</v>
      </c>
      <c r="H17" s="384">
        <f t="shared" si="5"/>
        <v>0.4434999767330034</v>
      </c>
      <c r="I17" s="117">
        <f t="shared" si="6"/>
        <v>0.33640996235907772</v>
      </c>
      <c r="J17" s="327">
        <f t="shared" si="7"/>
        <v>0.66359003764092228</v>
      </c>
      <c r="K17" s="119">
        <f t="shared" si="8"/>
        <v>-1.1271477663230226E-2</v>
      </c>
      <c r="L17" s="465">
        <f t="shared" si="9"/>
        <v>0.51266863641431581</v>
      </c>
      <c r="M17" s="117"/>
      <c r="O17" s="594">
        <f t="shared" si="1"/>
        <v>2.218133462874583E-4</v>
      </c>
      <c r="P17" s="709">
        <f t="shared" si="2"/>
        <v>0.16138764367370365</v>
      </c>
      <c r="Q17" s="709">
        <f t="shared" si="3"/>
        <v>0.36389549524342479</v>
      </c>
    </row>
    <row r="18" spans="1:17" x14ac:dyDescent="0.35">
      <c r="A18" s="455" t="s">
        <v>61</v>
      </c>
      <c r="B18" s="334">
        <f>+TableA1!E18</f>
        <v>127.77114186183469</v>
      </c>
      <c r="C18" s="273">
        <f>+((VLOOKUP($A18,[1]OECDTable14a!$A$15:$XO$66,140,0)+VLOOKUP($A18,[1]OECDTable14a!$A$15:$XO$66,240,0))/VLOOKUP($A18,[1]FX!$B$2:$D$54,3,0))/1000</f>
        <v>75.447591606139355</v>
      </c>
      <c r="D18" s="471">
        <f>+((VLOOKUP($A18,'[1]OECDTable14a(small)'!$A:$D,4,0))/VLOOKUP($A18,[1]FX!$B$2:$D$54,3,0))/1000-G18</f>
        <v>26.548839417118892</v>
      </c>
      <c r="E18" s="325">
        <f>+((VLOOKUP($A18,[1]OECDTable14a!$A$15:$XO$66,162,0)+VLOOKUP($A18,[1]OECDTable14a!$A$15:$XO$66,262,0)-VLOOKUP($A18,[1]OECDTable14a!$A$15:$XO$66,154,0)-VLOOKUP($A18,[1]OECDTable14a!$A$15:$XO$66,254,0))/VLOOKUP($A18,[1]FX!$B$2:$D$54,3,0))/1000</f>
        <v>1.4539864849128108</v>
      </c>
      <c r="F18" s="115">
        <f>D18-E18</f>
        <v>25.094852932206081</v>
      </c>
      <c r="G18" s="466">
        <f>+((VLOOKUP($A18,[1]OECDTable14a!$A$15:$XO$66,133,0)+VLOOKUP($A18,[1]OECDTable14a!$A$15:$XO$66,233,0))/VLOOKUP($A18,[1]FX!$B$2:$D$54,3,0))/1000</f>
        <v>25.774710838576446</v>
      </c>
      <c r="H18" s="384">
        <f t="shared" si="5"/>
        <v>0.40950992135826259</v>
      </c>
      <c r="I18" s="117">
        <f t="shared" si="6"/>
        <v>0.26029184698692992</v>
      </c>
      <c r="J18" s="327">
        <f t="shared" si="7"/>
        <v>0.73970815301307002</v>
      </c>
      <c r="K18" s="119">
        <f t="shared" si="8"/>
        <v>5.4766480073523263E-2</v>
      </c>
      <c r="L18" s="465">
        <f t="shared" si="9"/>
        <v>0.33261304168871642</v>
      </c>
      <c r="M18" s="117"/>
      <c r="O18" s="594">
        <f t="shared" si="1"/>
        <v>0</v>
      </c>
      <c r="P18" s="709">
        <f t="shared" si="2"/>
        <v>0.20172560456920646</v>
      </c>
      <c r="Q18" s="709">
        <f t="shared" si="3"/>
        <v>0.49260248420874131</v>
      </c>
    </row>
    <row r="19" spans="1:17" x14ac:dyDescent="0.35">
      <c r="A19" s="455" t="s">
        <v>48</v>
      </c>
      <c r="B19" s="334">
        <f>+TableA1!E19</f>
        <v>1308.4658390810716</v>
      </c>
      <c r="C19" s="273">
        <f>+((VLOOKUP($A19,[1]OECDTable14a!$A$15:$XO$66,140,0)+VLOOKUP($A19,[1]OECDTable14a!$A$15:$XO$66,240,0))/VLOOKUP($A19,[1]FX!$B$2:$D$54,3,0))/1000</f>
        <v>871.38042208861668</v>
      </c>
      <c r="D19" s="471">
        <f>+((VLOOKUP($A19,'[1]OECDTable14a(small)'!$A:$D,4,0))/VLOOKUP($A19,[1]FX!$B$2:$D$54,3,0))/1000-G19</f>
        <v>174.67801020119578</v>
      </c>
      <c r="E19" s="325">
        <f>+((VLOOKUP($A19,[1]OECDTable14a!$A$15:$XO$66,162,0)+VLOOKUP($A19,[1]OECDTable14a!$A$15:$XO$66,262,0)-VLOOKUP($A19,[1]OECDTable14a!$A$15:$XO$66,154,0)-VLOOKUP($A19,[1]OECDTable14a!$A$15:$XO$66,254,0))/VLOOKUP($A19,[1]FX!$B$2:$D$54,3,0))/1000</f>
        <v>-12.980517024728861</v>
      </c>
      <c r="F19" s="115">
        <f t="shared" si="4"/>
        <v>187.65852722592464</v>
      </c>
      <c r="G19" s="466">
        <f>+((VLOOKUP($A19,[1]OECDTable14a!$A$15:$XO$66,133,0)+VLOOKUP($A19,[1]OECDTable14a!$A$15:$XO$66,233,0))/VLOOKUP($A19,[1]FX!$B$2:$D$54,3,0))/1000</f>
        <v>262.40740679125923</v>
      </c>
      <c r="H19" s="384">
        <f t="shared" si="5"/>
        <v>0.33404419430576626</v>
      </c>
      <c r="I19" s="117">
        <f t="shared" si="6"/>
        <v>0.16698685733915186</v>
      </c>
      <c r="J19" s="327">
        <f t="shared" si="7"/>
        <v>0.83301314266084814</v>
      </c>
      <c r="K19" s="119">
        <f t="shared" si="8"/>
        <v>-7.4311111111111119E-2</v>
      </c>
      <c r="L19" s="465">
        <f t="shared" si="9"/>
        <v>0.21535775015018682</v>
      </c>
      <c r="M19" s="117"/>
      <c r="O19" s="594">
        <f t="shared" si="1"/>
        <v>0</v>
      </c>
      <c r="P19" s="709">
        <f t="shared" si="2"/>
        <v>0.20054585985641513</v>
      </c>
      <c r="Q19" s="709">
        <f t="shared" si="3"/>
        <v>0.60035726791541277</v>
      </c>
    </row>
    <row r="20" spans="1:17" s="1974" customFormat="1" x14ac:dyDescent="0.35">
      <c r="A20" s="1962" t="s">
        <v>62</v>
      </c>
      <c r="B20" s="1963">
        <f>+TableA1!E20</f>
        <v>2072.973263728305</v>
      </c>
      <c r="C20" s="1964">
        <f>+((VLOOKUP($A20,[1]OECDTable14a!$A$15:$XO$66,140,0)+VLOOKUP($A20,[1]OECDTable14a!$A$15:$XO$66,240,0))/VLOOKUP($A20,[1]FX!$B$2:$D$54,3,0))/1000</f>
        <v>1223.0067020902579</v>
      </c>
      <c r="D20" s="1965">
        <f>+((VLOOKUP($A20,'[1]OECDTable14a(small)'!$A:$D,4,0))/VLOOKUP($A20,[1]FX!$B$2:$D$54,3,0))/1000-G20</f>
        <v>507.14627148400893</v>
      </c>
      <c r="E20" s="1966">
        <f>+((VLOOKUP($A20,[1]OECDTable14a!$A$15:$XO$66,162,0)+VLOOKUP($A20,[1]OECDTable14a!$A$15:$XO$66,262,0)-VLOOKUP($A20,[1]OECDTable14a!$A$15:$XO$66,154,0)-VLOOKUP($A20,[1]OECDTable14a!$A$15:$XO$66,254,0))/VLOOKUP($A20,[1]FX!$B$2:$D$54,3,0))/1000</f>
        <v>-45.903162947411388</v>
      </c>
      <c r="F20" s="1967">
        <f>D20-E20</f>
        <v>553.04943443142031</v>
      </c>
      <c r="G20" s="1968">
        <f>+((VLOOKUP($A20,[1]OECDTable14a!$A$15:$XO$66,133,0)+VLOOKUP($A20,[1]OECDTable14a!$A$15:$XO$66,233,0))/VLOOKUP($A20,[1]FX!$B$2:$D$54,3,0))/1000</f>
        <v>342.82029015403828</v>
      </c>
      <c r="H20" s="1969">
        <f t="shared" si="5"/>
        <v>0.41002292528817119</v>
      </c>
      <c r="I20" s="1970">
        <f t="shared" si="6"/>
        <v>0.29312221475787303</v>
      </c>
      <c r="J20" s="1971">
        <f t="shared" si="7"/>
        <v>0.70687778524212697</v>
      </c>
      <c r="K20" s="1972">
        <f t="shared" si="8"/>
        <v>-9.0512669674352092E-2</v>
      </c>
      <c r="L20" s="1973">
        <f>F20/C20</f>
        <v>0.45220474547375394</v>
      </c>
      <c r="M20" s="1970"/>
      <c r="O20" s="1975">
        <f t="shared" si="1"/>
        <v>0</v>
      </c>
      <c r="P20" s="1976">
        <f t="shared" si="2"/>
        <v>0.16537612720458614</v>
      </c>
      <c r="Q20" s="1976">
        <f t="shared" si="3"/>
        <v>0.40333385526762178</v>
      </c>
    </row>
    <row r="21" spans="1:17" x14ac:dyDescent="0.35">
      <c r="A21" s="455" t="s">
        <v>63</v>
      </c>
      <c r="B21" s="334">
        <f>+TableA1!E21</f>
        <v>65.374766181006336</v>
      </c>
      <c r="C21" s="273">
        <f>+((VLOOKUP($A21,[1]OECDTable14a!$A$15:$XO$66,140,0)+VLOOKUP($A21,[1]OECDTable14a!$A$15:$XO$66,240,0))/VLOOKUP($A21,[1]FX!$B$2:$D$54,3,0))/1000</f>
        <v>27.693378982519995</v>
      </c>
      <c r="D21" s="471">
        <f>+((VLOOKUP($A21,'[1]OECDTable14a(small)'!$A:$D,4,0))/VLOOKUP($A21,[1]FX!$B$2:$D$54,3,0))/1000-G21</f>
        <v>19.839164251673861</v>
      </c>
      <c r="E21" s="325">
        <f>+((VLOOKUP($A21,[1]OECDTable14a!$A$15:$XO$66,162,0)+VLOOKUP($A21,[1]OECDTable14a!$A$15:$XO$66,262,0)-VLOOKUP($A21,[1]OECDTable14a!$A$15:$XO$66,154,0)-VLOOKUP($A21,[1]OECDTable14a!$A$15:$XO$66,254,0))/VLOOKUP($A21,[1]FX!$B$2:$D$54,3,0))/1000</f>
        <v>-2.7686198440873979</v>
      </c>
      <c r="F21" s="115">
        <f t="shared" si="4"/>
        <v>22.607784095761257</v>
      </c>
      <c r="G21" s="466">
        <f>+((VLOOKUP($A21,[1]OECDTable14a!$A$15:$XO$66,133,0)+VLOOKUP($A21,[1]OECDTable14a!$A$15:$XO$66,233,0))/VLOOKUP($A21,[1]FX!$B$2:$D$54,3,0))/1000</f>
        <v>17.842223057719163</v>
      </c>
      <c r="H21" s="384">
        <f t="shared" si="5"/>
        <v>0.57639039511151302</v>
      </c>
      <c r="I21" s="117">
        <f t="shared" si="6"/>
        <v>0.41738065968668825</v>
      </c>
      <c r="J21" s="327">
        <f t="shared" si="7"/>
        <v>0.58261934031331175</v>
      </c>
      <c r="K21" s="119">
        <f t="shared" si="8"/>
        <v>-0.13955324977229347</v>
      </c>
      <c r="L21" s="465">
        <f t="shared" si="9"/>
        <v>0.81636062215561511</v>
      </c>
      <c r="M21" s="117"/>
      <c r="O21" s="594">
        <f t="shared" si="1"/>
        <v>-1.1090668294855277E-7</v>
      </c>
      <c r="P21" s="709">
        <f t="shared" si="2"/>
        <v>0.2729221701278215</v>
      </c>
      <c r="Q21" s="709">
        <f t="shared" si="3"/>
        <v>0.4735022867183965</v>
      </c>
    </row>
    <row r="22" spans="1:17" x14ac:dyDescent="0.35">
      <c r="A22" s="455" t="s">
        <v>64</v>
      </c>
      <c r="B22" s="334">
        <f>+TableA1!E22</f>
        <v>66.600399165868637</v>
      </c>
      <c r="C22" s="273">
        <f>+((VLOOKUP($A22,[1]OECDTable14a!$A$15:$XO$66,140,0)+VLOOKUP($A22,[1]OECDTable14a!$A$15:$XO$66,240,0))/VLOOKUP($A22,[1]FX!$B$2:$D$54,3,0))/1000</f>
        <v>34.2062595652135</v>
      </c>
      <c r="D22" s="471">
        <f>+((VLOOKUP($A22,'[1]OECDTable14a(small)'!$A:$D,4,0))/VLOOKUP($A22,[1]FX!$B$2:$D$54,3,0))/1000-G22</f>
        <v>19.543121548691975</v>
      </c>
      <c r="E22" s="325">
        <f>+((VLOOKUP($A22,[1]OECDTable14a!$A$15:$XO$66,162,0)+VLOOKUP($A22,[1]OECDTable14a!$A$15:$XO$66,262,0)-VLOOKUP($A22,[1]OECDTable14a!$A$15:$XO$66,154,0)-VLOOKUP($A22,[1]OECDTable14a!$A$15:$XO$66,254,0))/VLOOKUP($A22,[1]FX!$B$2:$D$54,3,0))/1000</f>
        <v>-1.125168034510843</v>
      </c>
      <c r="F22" s="115">
        <f t="shared" si="4"/>
        <v>20.668289583202817</v>
      </c>
      <c r="G22" s="466">
        <f>+((VLOOKUP($A22,[1]OECDTable14a!$A$15:$XO$66,133,0)+VLOOKUP($A22,[1]OECDTable14a!$A$15:$XO$66,233,0))/VLOOKUP($A22,[1]FX!$B$2:$D$54,3,0))/1000</f>
        <v>12.851018051963162</v>
      </c>
      <c r="H22" s="384">
        <f t="shared" si="5"/>
        <v>0.48639557729942978</v>
      </c>
      <c r="I22" s="117">
        <f t="shared" si="6"/>
        <v>0.36359714556110462</v>
      </c>
      <c r="J22" s="327">
        <f t="shared" si="7"/>
        <v>0.63640285443889533</v>
      </c>
      <c r="K22" s="119">
        <f t="shared" si="8"/>
        <v>-5.7573608786470998E-2</v>
      </c>
      <c r="L22" s="465">
        <f t="shared" si="9"/>
        <v>0.60422536243108271</v>
      </c>
      <c r="M22" s="117"/>
      <c r="O22" s="594">
        <f t="shared" si="1"/>
        <v>0</v>
      </c>
      <c r="P22" s="709">
        <f t="shared" si="2"/>
        <v>0.19295707252380928</v>
      </c>
      <c r="Q22" s="709">
        <f t="shared" si="3"/>
        <v>0.39670811481294177</v>
      </c>
    </row>
    <row r="23" spans="1:17" x14ac:dyDescent="0.35">
      <c r="A23" s="455" t="s">
        <v>65</v>
      </c>
      <c r="B23" s="334">
        <f>+TableA1!E23</f>
        <v>8.7968397543178742</v>
      </c>
      <c r="C23" s="273">
        <f>+B23*$C$101</f>
        <v>5.1275502981429524</v>
      </c>
      <c r="D23" s="471">
        <f>B23-C23-G23</f>
        <v>2.1512894561749221</v>
      </c>
      <c r="E23" s="325">
        <f>+B23*E$101</f>
        <v>2.292478048831671E-3</v>
      </c>
      <c r="F23" s="115">
        <f t="shared" si="4"/>
        <v>2.1489969781260903</v>
      </c>
      <c r="G23" s="466">
        <f>+'[1]Data C33-37'!$AM$89/1000</f>
        <v>1.518</v>
      </c>
      <c r="H23" s="384">
        <f t="shared" si="5"/>
        <v>0.41711450460079985</v>
      </c>
      <c r="I23" s="117">
        <f t="shared" si="6"/>
        <v>0.29555389715768332</v>
      </c>
      <c r="J23" s="327">
        <f t="shared" si="7"/>
        <v>0.70444610284231668</v>
      </c>
      <c r="K23" s="119">
        <f t="shared" si="8"/>
        <v>1.0656297516131502E-3</v>
      </c>
      <c r="L23" s="465">
        <f t="shared" si="9"/>
        <v>0.41910792740626918</v>
      </c>
      <c r="M23" s="117"/>
      <c r="O23" s="594">
        <f t="shared" si="1"/>
        <v>0</v>
      </c>
      <c r="P23" s="709">
        <f t="shared" si="2"/>
        <v>0.17256197025243061</v>
      </c>
      <c r="Q23" s="709">
        <f t="shared" si="3"/>
        <v>0.41370407489804589</v>
      </c>
    </row>
    <row r="24" spans="1:17" x14ac:dyDescent="0.35">
      <c r="A24" s="455" t="s">
        <v>19</v>
      </c>
      <c r="B24" s="334">
        <f>+TableA1!E24</f>
        <v>216.35996679454206</v>
      </c>
      <c r="C24" s="273">
        <f>+((VLOOKUP($A24,[1]OECDTable14a!$A$15:$XO$66,140,0)+VLOOKUP($A24,[1]OECDTable14a!$A$15:$XO$66,240,0))/VLOOKUP($A24,[1]FX!$B$2:$D$54,3,0))/1000</f>
        <v>61.361034049457722</v>
      </c>
      <c r="D24" s="471">
        <f>+((VLOOKUP($A24,'[1]OECDTable14a(small)'!$A:$D,4,0))/VLOOKUP($A24,[1]FX!$B$2:$D$54,3,0))/1000-G24</f>
        <v>100.86714256720114</v>
      </c>
      <c r="E24" s="325">
        <f>+((VLOOKUP($A24,[1]OECDTable14a!$A$15:$XO$66,162,0)+VLOOKUP($A24,[1]OECDTable14a!$A$15:$XO$66,262,0)-VLOOKUP($A24,[1]OECDTable14a!$A$15:$XO$66,154,0)-VLOOKUP($A24,[1]OECDTable14a!$A$15:$XO$66,254,0))/VLOOKUP($A24,[1]FX!$B$2:$D$54,3,0))/1000</f>
        <v>-24.667497801275207</v>
      </c>
      <c r="F24" s="115">
        <f t="shared" si="4"/>
        <v>125.53464036847635</v>
      </c>
      <c r="G24" s="466">
        <f>+((VLOOKUP($A24,[1]OECDTable14a!$A$15:$XO$66,133,0)+VLOOKUP($A24,[1]OECDTable14a!$A$15:$XO$66,233,0))/VLOOKUP($A24,[1]FX!$B$2:$D$54,3,0))/1000</f>
        <v>54.131790177883211</v>
      </c>
      <c r="H24" s="384">
        <f t="shared" si="5"/>
        <v>0.716393772107911</v>
      </c>
      <c r="I24" s="117">
        <f t="shared" si="6"/>
        <v>0.62176093370973218</v>
      </c>
      <c r="J24" s="327">
        <f t="shared" si="7"/>
        <v>0.37823906629026782</v>
      </c>
      <c r="K24" s="119">
        <f t="shared" si="8"/>
        <v>-0.24455434320290054</v>
      </c>
      <c r="L24" s="465">
        <f t="shared" si="9"/>
        <v>2.0458364548956904</v>
      </c>
      <c r="M24" s="117"/>
      <c r="O24" s="594">
        <f t="shared" si="1"/>
        <v>0</v>
      </c>
      <c r="P24" s="709">
        <f t="shared" si="2"/>
        <v>0.25019318952515551</v>
      </c>
      <c r="Q24" s="709">
        <f t="shared" si="3"/>
        <v>0.34923976068215834</v>
      </c>
    </row>
    <row r="25" spans="1:17" x14ac:dyDescent="0.35">
      <c r="A25" s="455" t="s">
        <v>95</v>
      </c>
      <c r="B25" s="334">
        <f>+TableA1!E25</f>
        <v>168.61095158963607</v>
      </c>
      <c r="C25" s="273">
        <f>+((VLOOKUP($A25,[1]OECDTable14a!$A$15:$XO$66,140,0)+VLOOKUP($A25,[1]OECDTable14a!$A$15:$XO$66,240,0))/VLOOKUP($A25,[1]FX!$B$2:$D$54,3,0))/1000</f>
        <v>91.954332974943853</v>
      </c>
      <c r="D25" s="471">
        <f>+((VLOOKUP($A25,'[1]OECDTable14a(small)'!$A:$D,4,0))/VLOOKUP($A25,[1]FX!$B$2:$D$54,3,0))/1000-G25</f>
        <v>53.865003050041011</v>
      </c>
      <c r="E25" s="325">
        <f>+B25*E$101</f>
        <v>4.3940428165936636E-2</v>
      </c>
      <c r="F25" s="115">
        <f t="shared" si="4"/>
        <v>53.821062621875072</v>
      </c>
      <c r="G25" s="466">
        <f>+((VLOOKUP($A25,[1]OECDTable14a!$A$15:$XO$66,133,0)+VLOOKUP($A25,[1]OECDTable14a!$A$15:$XO$66,233,0))/VLOOKUP($A25,[1]FX!$B$2:$D$54,3,0))/1000</f>
        <v>22.791615590379109</v>
      </c>
      <c r="H25" s="384">
        <f t="shared" si="5"/>
        <v>0.45463605962551212</v>
      </c>
      <c r="I25" s="117">
        <f t="shared" si="6"/>
        <v>0.3693954760623222</v>
      </c>
      <c r="J25" s="327">
        <f t="shared" si="7"/>
        <v>0.63060452393767785</v>
      </c>
      <c r="K25" s="119">
        <f t="shared" si="8"/>
        <v>8.1575096403718077E-4</v>
      </c>
      <c r="L25" s="465">
        <f t="shared" si="9"/>
        <v>0.58530208289956809</v>
      </c>
      <c r="M25" s="117"/>
      <c r="O25" s="594">
        <f t="shared" si="1"/>
        <v>-2.5727899810590316E-8</v>
      </c>
      <c r="P25" s="709">
        <f t="shared" si="2"/>
        <v>0.13517280684026475</v>
      </c>
      <c r="Q25" s="709">
        <f t="shared" si="3"/>
        <v>0.29732090972196057</v>
      </c>
    </row>
    <row r="26" spans="1:17" x14ac:dyDescent="0.35">
      <c r="A26" s="455" t="s">
        <v>66</v>
      </c>
      <c r="B26" s="334">
        <f>+TableA1!E26</f>
        <v>872.75122856867165</v>
      </c>
      <c r="C26" s="273">
        <f>+((VLOOKUP($A26,[1]OECDTable14a!$A$15:$XO$66,140,0)+VLOOKUP($A26,[1]OECDTable14a!$A$15:$XO$66,240,0))/VLOOKUP($A26,[1]FX!$B$2:$D$54,3,0))/1000</f>
        <v>491.69619556839115</v>
      </c>
      <c r="D26" s="471">
        <f>+((VLOOKUP($A26,'[1]OECDTable14a(small)'!$A:$D,4,0))/VLOOKUP($A26,[1]FX!$B$2:$D$54,3,0))/1000-G26</f>
        <v>194.378029831677</v>
      </c>
      <c r="E26" s="325">
        <f>+((VLOOKUP($A26,[1]OECDTable14a!$A$15:$XO$66,162,0)+VLOOKUP($A26,[1]OECDTable14a!$A$15:$XO$66,262,0)-VLOOKUP($A26,[1]OECDTable14a!$A$15:$XO$66,154,0)-VLOOKUP($A26,[1]OECDTable14a!$A$15:$XO$66,254,0))/VLOOKUP($A26,[1]FX!$B$2:$D$54,3,0))/1000</f>
        <v>-17.51637814295648</v>
      </c>
      <c r="F26" s="115">
        <f t="shared" si="4"/>
        <v>211.89440797463348</v>
      </c>
      <c r="G26" s="466">
        <f>+((VLOOKUP($A26,[1]OECDTable14a!$A$15:$XO$66,133,0)+VLOOKUP($A26,[1]OECDTable14a!$A$15:$XO$66,233,0))/VLOOKUP($A26,[1]FX!$B$2:$D$54,3,0))/1000</f>
        <v>186.6768922619305</v>
      </c>
      <c r="H26" s="384">
        <f t="shared" si="5"/>
        <v>0.43661344678774583</v>
      </c>
      <c r="I26" s="117">
        <f t="shared" si="6"/>
        <v>0.28331924248914903</v>
      </c>
      <c r="J26" s="327">
        <f t="shared" si="7"/>
        <v>0.71668075751085092</v>
      </c>
      <c r="K26" s="119">
        <f t="shared" si="8"/>
        <v>-9.0115010210386995E-2</v>
      </c>
      <c r="L26" s="465">
        <f t="shared" si="9"/>
        <v>0.43094579515647402</v>
      </c>
      <c r="M26" s="117"/>
      <c r="O26" s="594">
        <f t="shared" si="1"/>
        <v>1.1090667300095447E-4</v>
      </c>
      <c r="P26" s="709">
        <f t="shared" si="2"/>
        <v>0.21389473443432913</v>
      </c>
      <c r="Q26" s="709">
        <f t="shared" si="3"/>
        <v>0.48989497691378109</v>
      </c>
    </row>
    <row r="27" spans="1:17" x14ac:dyDescent="0.35">
      <c r="A27" s="455" t="s">
        <v>67</v>
      </c>
      <c r="B27" s="334">
        <f>+TableA1!E27</f>
        <v>2733.7570791303033</v>
      </c>
      <c r="C27" s="273">
        <f>B27-D27-G27</f>
        <v>1514.0182782989034</v>
      </c>
      <c r="D27" s="471">
        <f>+((VLOOKUP($A27,'[1]OECDTable14a(small)'!$A:$D,4,0))/VLOOKUP($A27,[1]FX!$B$2:$D$54,3,0))/1000-G27</f>
        <v>559.73103340990883</v>
      </c>
      <c r="E27" s="325">
        <f>+((VLOOKUP($A27,[1]OECDTable14a!$A$15:$XO$66,162,0)+VLOOKUP($A27,[1]OECDTable14a!$A$15:$XO$66,262,0)-VLOOKUP($A27,[1]OECDTable14a!$A$15:$XO$66,154,0)-VLOOKUP($A27,[1]OECDTable14a!$A$15:$XO$66,254,0))/VLOOKUP($A27,[1]FX!$B$2:$D$54,3,0))/1000</f>
        <v>-74.404330391180793</v>
      </c>
      <c r="F27" s="115">
        <f t="shared" si="4"/>
        <v>634.13536380108962</v>
      </c>
      <c r="G27" s="466">
        <f>+((VLOOKUP($A27,[1]OECDTable14a!$A$15:$XO$66,133,0)+VLOOKUP($A27,[1]OECDTable14a!$A$15:$XO$66,233,0))/VLOOKUP($A27,[1]FX!$B$2:$D$54,3,0))/1000</f>
        <v>660.00776742149105</v>
      </c>
      <c r="H27" s="384">
        <f t="shared" si="5"/>
        <v>0.44617673243280209</v>
      </c>
      <c r="I27" s="117">
        <f t="shared" si="6"/>
        <v>0.26991258309263949</v>
      </c>
      <c r="J27" s="327">
        <f t="shared" si="7"/>
        <v>0.73008741690736056</v>
      </c>
      <c r="K27" s="119">
        <f t="shared" si="8"/>
        <v>-0.13292872102857325</v>
      </c>
      <c r="L27" s="465">
        <f t="shared" si="9"/>
        <v>0.41884260770852871</v>
      </c>
      <c r="M27" s="117"/>
      <c r="N27" s="118"/>
      <c r="O27" s="670">
        <f t="shared" si="1"/>
        <v>0</v>
      </c>
      <c r="P27" s="709">
        <f t="shared" si="2"/>
        <v>0.2414288279159979</v>
      </c>
      <c r="Q27" s="709">
        <f t="shared" si="3"/>
        <v>0.54110582279715602</v>
      </c>
    </row>
    <row r="28" spans="1:17" x14ac:dyDescent="0.35">
      <c r="A28" s="455" t="s">
        <v>68</v>
      </c>
      <c r="B28" s="334">
        <f>C28+D28+G28</f>
        <v>843.46264777451415</v>
      </c>
      <c r="C28" s="273">
        <f>+((VLOOKUP($A28,[1]OECDTable14a!$A$15:$XO$66,140,0)+VLOOKUP($A28,[1]OECDTable14a!$A$15:$XO$66,240,0))/VLOOKUP($A28,[1]FX!$B$2:$D$54,3,0))/1000</f>
        <v>414.68018379403401</v>
      </c>
      <c r="D28" s="471">
        <f>+((VLOOKUP($A28,'[1]OECDTable14a(small)'!$A:$D,4,0))/VLOOKUP($A28,[1]FX!$B$2:$D$54,3,0))/1000-G28</f>
        <v>244.98356771713927</v>
      </c>
      <c r="E28" s="325">
        <f>+((VLOOKUP($A28,[1]OECDTable14a!$A$15:$XO$66,162,0)+VLOOKUP($A28,[1]OECDTable14a!$A$15:$XO$66,262,0)-VLOOKUP($A28,[1]OECDTable14a!$A$15:$XO$66,154,0)-VLOOKUP($A28,[1]OECDTable14a!$A$15:$XO$66,254,0))/VLOOKUP($A28,[1]FX!$B$2:$D$54,3,0))/1000</f>
        <v>-3.2335019659066044</v>
      </c>
      <c r="F28" s="115">
        <f t="shared" si="4"/>
        <v>248.21706968304588</v>
      </c>
      <c r="G28" s="466">
        <f>+((VLOOKUP($A28,[1]OECDTable14a!$A$15:$XO$66,133,0)+VLOOKUP($A28,[1]OECDTable14a!$A$15:$XO$66,233,0))/VLOOKUP($A28,[1]FX!$B$2:$D$54,3,0))/1000</f>
        <v>183.79889626334088</v>
      </c>
      <c r="H28" s="384">
        <f t="shared" si="5"/>
        <v>0.50835975382173426</v>
      </c>
      <c r="I28" s="117">
        <f t="shared" si="6"/>
        <v>0.37137642799975767</v>
      </c>
      <c r="J28" s="327">
        <f t="shared" si="7"/>
        <v>0.62862357200024233</v>
      </c>
      <c r="K28" s="119">
        <f t="shared" si="8"/>
        <v>-1.3198852461974272E-2</v>
      </c>
      <c r="L28" s="465">
        <f>F28/C28</f>
        <v>0.59857470740953445</v>
      </c>
      <c r="M28" s="117"/>
      <c r="O28" s="594">
        <f t="shared" si="1"/>
        <v>0</v>
      </c>
      <c r="P28" s="709">
        <f t="shared" si="2"/>
        <v>0.21790994153481055</v>
      </c>
      <c r="Q28" s="709">
        <f t="shared" si="3"/>
        <v>0.42865301569727471</v>
      </c>
    </row>
    <row r="29" spans="1:17" x14ac:dyDescent="0.35">
      <c r="A29" s="15" t="s">
        <v>69</v>
      </c>
      <c r="B29" s="334">
        <f>+TableA1!E29</f>
        <v>16.865578894016473</v>
      </c>
      <c r="C29" s="273">
        <f>+((VLOOKUP($A29,[1]OECDTable14a!$A$15:$XO$66,140,0)+VLOOKUP($A29,[1]OECDTable14a!$A$15:$XO$66,240,0))/VLOOKUP($A29,[1]FX!$B$2:$D$54,3,0))/1000</f>
        <v>9.2021529203390635</v>
      </c>
      <c r="D29" s="471">
        <f>+((VLOOKUP($A29,'[1]OECDTable14a(small)'!$A:$D,4,0))/VLOOKUP($A29,[1]FX!$B$2:$D$54,3,0))/1000-G29</f>
        <v>4.0502828674698534</v>
      </c>
      <c r="E29" s="325">
        <f>+((VLOOKUP($A29,[1]OECDTable14a!$A$15:$XO$66,162,0)+VLOOKUP($A29,[1]OECDTable14a!$A$15:$XO$66,262,0)-VLOOKUP($A29,[1]OECDTable14a!$A$15:$XO$66,154,0)-VLOOKUP($A29,[1]OECDTable14a!$A$15:$XO$66,254,0))/VLOOKUP($A29,[1]FX!$B$2:$D$54,3,0))/1000</f>
        <v>-0.13559228045192251</v>
      </c>
      <c r="F29" s="115">
        <f t="shared" si="4"/>
        <v>4.1858751479217755</v>
      </c>
      <c r="G29" s="466">
        <f>+((VLOOKUP($A29,[1]OECDTable14a!$A$15:$XO$66,133,0)+VLOOKUP($A29,[1]OECDTable14a!$A$15:$XO$66,233,0))/VLOOKUP($A29,[1]FX!$B$2:$D$54,3,0))/1000</f>
        <v>3.6131442152742888</v>
      </c>
      <c r="H29" s="384">
        <f t="shared" si="5"/>
        <v>0.45438268860507086</v>
      </c>
      <c r="I29" s="117">
        <f t="shared" si="6"/>
        <v>0.30562554177366846</v>
      </c>
      <c r="J29" s="327">
        <f t="shared" si="7"/>
        <v>0.69437445822633159</v>
      </c>
      <c r="K29" s="119">
        <f t="shared" si="8"/>
        <v>-3.3477237242105225E-2</v>
      </c>
      <c r="L29" s="465">
        <f t="shared" si="9"/>
        <v>0.4548799812563365</v>
      </c>
      <c r="M29" s="117"/>
      <c r="O29" s="594">
        <f t="shared" si="1"/>
        <v>-1.1090667331181692E-6</v>
      </c>
      <c r="P29" s="709">
        <f t="shared" si="2"/>
        <v>0.21423185281568669</v>
      </c>
      <c r="Q29" s="709">
        <f t="shared" si="3"/>
        <v>0.47147890575093504</v>
      </c>
    </row>
    <row r="30" spans="1:17" x14ac:dyDescent="0.35">
      <c r="A30" s="15" t="s">
        <v>70</v>
      </c>
      <c r="B30" s="334">
        <f>+TableA1!E30</f>
        <v>39.231128397764564</v>
      </c>
      <c r="C30" s="273">
        <f>+((VLOOKUP($A30,[1]OECDTable14a!$A$15:$XO$66,140,0)+VLOOKUP($A30,[1]OECDTable14a!$A$15:$XO$66,240,0))/VLOOKUP($A30,[1]FX!$B$2:$D$54,3,0))/1000</f>
        <v>21.552271978652684</v>
      </c>
      <c r="D30" s="471">
        <f>+((VLOOKUP($A30,'[1]OECDTable14a(small)'!$A:$D,4,0))/VLOOKUP($A30,[1]FX!$B$2:$D$54,3,0))/1000-G30</f>
        <v>13.500336601752991</v>
      </c>
      <c r="E30" s="325">
        <f>+((VLOOKUP($A30,[1]OECDTable14a!$A$15:$XO$66,162,0)+VLOOKUP($A30,[1]OECDTable14a!$A$15:$XO$66,262,0)-VLOOKUP($A30,[1]OECDTable14a!$A$15:$XO$66,154,0)-VLOOKUP($A30,[1]OECDTable14a!$A$15:$XO$66,254,0))/VLOOKUP($A30,[1]FX!$B$2:$D$54,3,0))/1000</f>
        <v>-45.776729340027664</v>
      </c>
      <c r="F30" s="115">
        <f t="shared" si="4"/>
        <v>59.277065941780656</v>
      </c>
      <c r="G30" s="466">
        <f>+((VLOOKUP($A30,[1]OECDTable14a!$A$15:$XO$66,133,0)+VLOOKUP($A30,[1]OECDTable14a!$A$15:$XO$66,233,0))/VLOOKUP($A30,[1]FX!$B$2:$D$54,3,0))/1000</f>
        <v>4.1785198173588904</v>
      </c>
      <c r="H30" s="384">
        <f t="shared" si="5"/>
        <v>0.45063339091004179</v>
      </c>
      <c r="I30" s="117">
        <f t="shared" si="6"/>
        <v>0.38514499058708135</v>
      </c>
      <c r="J30" s="327">
        <f t="shared" si="7"/>
        <v>0.6148550094129186</v>
      </c>
      <c r="K30" s="119">
        <f t="shared" si="8"/>
        <v>-3.3907842960066379</v>
      </c>
      <c r="L30" s="465">
        <f t="shared" si="9"/>
        <v>2.7503859454118813</v>
      </c>
      <c r="M30" s="117"/>
      <c r="O30" s="594">
        <f t="shared" si="1"/>
        <v>0</v>
      </c>
      <c r="P30" s="709">
        <f t="shared" si="2"/>
        <v>0.1065103143349042</v>
      </c>
      <c r="Q30" s="709">
        <f t="shared" si="3"/>
        <v>0.23635690670815479</v>
      </c>
    </row>
    <row r="31" spans="1:17" x14ac:dyDescent="0.35">
      <c r="A31" s="15" t="s">
        <v>71</v>
      </c>
      <c r="B31" s="334">
        <f>+TableA1!E31</f>
        <v>580.51899302302263</v>
      </c>
      <c r="C31" s="273">
        <f>+((VLOOKUP($A31,[1]OECDTable14a!$A$15:$XO$66,140,0)+VLOOKUP($A31,[1]OECDTable14a!$A$15:$XO$66,240,0))/VLOOKUP($A31,[1]FX!$B$2:$D$54,3,0))/1000</f>
        <v>140.22820286912128</v>
      </c>
      <c r="D31" s="471">
        <f>+((VLOOKUP($A31,'[1]OECDTable14a(small)'!$A:$D,4,0))/VLOOKUP($A31,[1]FX!$B$2:$D$54,3,0))/1000-G31</f>
        <v>337.9335418818979</v>
      </c>
      <c r="E31" s="325">
        <f>+((VLOOKUP($A31,[1]OECDTable14a!$A$15:$XO$66,162,0)+VLOOKUP($A31,[1]OECDTable14a!$A$15:$XO$66,262,0)-VLOOKUP($A31,[1]OECDTable14a!$A$15:$XO$66,154,0)-VLOOKUP($A31,[1]OECDTable14a!$A$15:$XO$66,254,0))/VLOOKUP($A31,[1]FX!$B$2:$D$54,3,0))/1000</f>
        <v>12.88885403053848</v>
      </c>
      <c r="F31" s="115">
        <f t="shared" si="4"/>
        <v>325.04468785135941</v>
      </c>
      <c r="G31" s="466">
        <f>+((VLOOKUP($A31,[1]OECDTable14a!$A$15:$XO$66,133,0)+VLOOKUP($A31,[1]OECDTable14a!$A$15:$XO$66,233,0))/VLOOKUP($A31,[1]FX!$B$2:$D$54,3,0))/1000</f>
        <v>102.35718517362183</v>
      </c>
      <c r="H31" s="384">
        <f t="shared" si="5"/>
        <v>0.75844327635643494</v>
      </c>
      <c r="I31" s="117">
        <f t="shared" si="6"/>
        <v>0.70673479338641221</v>
      </c>
      <c r="J31" s="327">
        <f t="shared" si="7"/>
        <v>0.29326520661358779</v>
      </c>
      <c r="K31" s="119">
        <f t="shared" si="8"/>
        <v>3.8140203422135935E-2</v>
      </c>
      <c r="L31" s="465">
        <f t="shared" si="9"/>
        <v>2.3179694326877476</v>
      </c>
      <c r="M31" s="117"/>
      <c r="O31" s="594">
        <f t="shared" si="1"/>
        <v>6.3098381630766198E-5</v>
      </c>
      <c r="P31" s="709">
        <f t="shared" si="2"/>
        <v>0.17632013147511691</v>
      </c>
      <c r="Q31" s="709">
        <f t="shared" si="3"/>
        <v>0.2324763591051392</v>
      </c>
    </row>
    <row r="32" spans="1:17" x14ac:dyDescent="0.35">
      <c r="A32" s="15" t="s">
        <v>72</v>
      </c>
      <c r="B32" s="334">
        <f>+TableA1!E32</f>
        <v>501.13845699981925</v>
      </c>
      <c r="C32" s="273">
        <f>+((VLOOKUP($A32,[1]OECDTable14a!$A$15:$XO$66,140,0)+VLOOKUP($A32,[1]OECDTable14a!$A$15:$XO$66,240,0))/VLOOKUP($A32,[1]FX!$B$2:$D$54,3,0))/1000</f>
        <v>282.03899700441076</v>
      </c>
      <c r="D32" s="471">
        <f>+((VLOOKUP($A32,'[1]OECDTable14a(small)'!$A:$D,4,0))/VLOOKUP($A32,[1]FX!$B$2:$D$54,3,0))/1000-G32</f>
        <v>147.30735233608272</v>
      </c>
      <c r="E32" s="325">
        <f>+((VLOOKUP($A32,[1]OECDTable14a!$A$15:$XO$66,162,0)+VLOOKUP($A32,[1]OECDTable14a!$A$15:$XO$66,262,0)-VLOOKUP($A32,[1]OECDTable14a!$A$15:$XO$66,154,0)-VLOOKUP($A32,[1]OECDTable14a!$A$15:$XO$66,254,0))/VLOOKUP($A32,[1]FX!$B$2:$D$54,3,0))/1000</f>
        <v>-12.440401526519448</v>
      </c>
      <c r="F32" s="115">
        <f t="shared" si="4"/>
        <v>159.74775386260217</v>
      </c>
      <c r="G32" s="466">
        <f>+((VLOOKUP($A32,[1]OECDTable14a!$A$15:$XO$66,133,0)+VLOOKUP($A32,[1]OECDTable14a!$A$15:$XO$66,233,0))/VLOOKUP($A32,[1]FX!$B$2:$D$54,3,0))/1000</f>
        <v>71.792107659325765</v>
      </c>
      <c r="H32" s="384">
        <f t="shared" si="5"/>
        <v>0.43720344534541983</v>
      </c>
      <c r="I32" s="117">
        <f t="shared" si="6"/>
        <v>0.34309678552608469</v>
      </c>
      <c r="J32" s="327">
        <f t="shared" si="7"/>
        <v>0.65690321447391531</v>
      </c>
      <c r="K32" s="119">
        <f t="shared" si="8"/>
        <v>-8.4452006836268356E-2</v>
      </c>
      <c r="L32" s="465">
        <f t="shared" si="9"/>
        <v>0.56640307035308279</v>
      </c>
      <c r="M32" s="117"/>
      <c r="O32" s="594">
        <f t="shared" si="1"/>
        <v>0</v>
      </c>
      <c r="P32" s="709">
        <f t="shared" si="2"/>
        <v>0.14325802910661806</v>
      </c>
      <c r="Q32" s="709">
        <f t="shared" si="3"/>
        <v>0.32766903058925961</v>
      </c>
    </row>
    <row r="33" spans="1:20" x14ac:dyDescent="0.35">
      <c r="A33" s="15" t="s">
        <v>73</v>
      </c>
      <c r="B33" s="334">
        <f>+C33+D33+G33</f>
        <v>117.72450705207552</v>
      </c>
      <c r="C33" s="273">
        <f>+((VLOOKUP($A33,[1]OECDTable14a!$A$15:$XO$66,140,0)+VLOOKUP($A33,[1]OECDTable14a!$A$15:$XO$66,240,0))/VLOOKUP($A33,[1]FX!$B$2:$D$54,3,0))/1000</f>
        <v>57.141860911103748</v>
      </c>
      <c r="D33" s="471">
        <f>+((VLOOKUP($A33,'[1]OECDTable14a(small)'!$A:$D,4,0))/VLOOKUP($A33,[1]FX!$B$2:$D$54,3,0))/1000-G33</f>
        <v>43.654346140971775</v>
      </c>
      <c r="E33" s="325">
        <f>+B33*E$101</f>
        <v>3.0679295720254882E-2</v>
      </c>
      <c r="F33" s="115">
        <f t="shared" si="4"/>
        <v>43.62366684525152</v>
      </c>
      <c r="G33" s="466">
        <f>+'[1]Data C33-37'!$AM$100/1000</f>
        <v>16.9283</v>
      </c>
      <c r="H33" s="384">
        <f t="shared" si="5"/>
        <v>0.51461371687182345</v>
      </c>
      <c r="I33" s="117">
        <f t="shared" si="6"/>
        <v>0.43309512746266454</v>
      </c>
      <c r="J33" s="327">
        <f t="shared" si="7"/>
        <v>0.56690487253733546</v>
      </c>
      <c r="K33" s="119">
        <f t="shared" si="8"/>
        <v>7.02777579606463E-4</v>
      </c>
      <c r="L33" s="465">
        <f t="shared" si="9"/>
        <v>0.76342747942908895</v>
      </c>
      <c r="M33" s="117"/>
      <c r="O33" s="594">
        <f t="shared" si="1"/>
        <v>0</v>
      </c>
      <c r="P33" s="709">
        <f t="shared" si="2"/>
        <v>0.14379588773739146</v>
      </c>
      <c r="Q33" s="709">
        <f t="shared" si="3"/>
        <v>0.27942490264636138</v>
      </c>
    </row>
    <row r="34" spans="1:20" x14ac:dyDescent="0.35">
      <c r="A34" s="15" t="s">
        <v>74</v>
      </c>
      <c r="B34" s="334">
        <f>+TableA1!E34</f>
        <v>244.0517414879925</v>
      </c>
      <c r="C34" s="273">
        <f>+((VLOOKUP($A34,[1]OECDTable14a!$A$15:$XO$66,140,0)+VLOOKUP($A34,[1]OECDTable14a!$A$15:$XO$66,240,0))/VLOOKUP($A34,[1]FX!$B$2:$D$54,3,0))/1000</f>
        <v>120.45063054869772</v>
      </c>
      <c r="D34" s="471">
        <f>+((VLOOKUP($A34,'[1]OECDTable14a(small)'!$A:$D,4,0))/VLOOKUP($A34,[1]FX!$B$2:$D$54,3,0))/1000-G34</f>
        <v>79.92071592763395</v>
      </c>
      <c r="E34" s="325">
        <f>+((VLOOKUP($A34,[1]OECDTable14a!$A$15:$XO$66,162,0)+VLOOKUP($A34,[1]OECDTable14a!$A$15:$XO$66,262,0)-VLOOKUP($A34,[1]OECDTable14a!$A$15:$XO$66,154,0)-VLOOKUP($A34,[1]OECDTable14a!$A$15:$XO$66,254,0))/VLOOKUP($A34,[1]FX!$B$2:$D$54,3,0))/1000</f>
        <v>3.7908441132233497</v>
      </c>
      <c r="F34" s="115">
        <f t="shared" si="4"/>
        <v>76.129871814410606</v>
      </c>
      <c r="G34" s="466">
        <f>+((VLOOKUP($A34,[1]OECDTable14a!$A$15:$XO$66,133,0)+VLOOKUP($A34,[1]OECDTable14a!$A$15:$XO$66,233,0))/VLOOKUP($A34,[1]FX!$B$2:$D$54,3,0))/1000</f>
        <v>43.680395011660849</v>
      </c>
      <c r="H34" s="384">
        <f t="shared" si="5"/>
        <v>0.50645453372180116</v>
      </c>
      <c r="I34" s="117">
        <f t="shared" si="6"/>
        <v>0.39886299779431972</v>
      </c>
      <c r="J34" s="327">
        <f t="shared" si="7"/>
        <v>0.60113700220568034</v>
      </c>
      <c r="K34" s="119">
        <f t="shared" si="8"/>
        <v>4.7432559496287004E-2</v>
      </c>
      <c r="L34" s="465">
        <f t="shared" si="9"/>
        <v>0.63204211939456467</v>
      </c>
      <c r="M34" s="117"/>
      <c r="O34" s="594">
        <f t="shared" si="1"/>
        <v>0</v>
      </c>
      <c r="P34" s="709">
        <f t="shared" si="2"/>
        <v>0.17898005867665548</v>
      </c>
      <c r="Q34" s="709">
        <f t="shared" si="3"/>
        <v>0.35339807773341092</v>
      </c>
    </row>
    <row r="35" spans="1:20" x14ac:dyDescent="0.35">
      <c r="A35" s="15" t="s">
        <v>75</v>
      </c>
      <c r="B35" s="334">
        <f>+TableA1!E35</f>
        <v>234.89932351770796</v>
      </c>
      <c r="C35" s="273">
        <f>+((VLOOKUP($A35,[1]OECDTable14a!$A$15:$XO$66,140,0)+VLOOKUP($A35,[1]OECDTable14a!$A$15:$XO$66,240,0))/VLOOKUP($A35,[1]FX!$B$2:$D$54,3,0))/1000</f>
        <v>110.83432816023345</v>
      </c>
      <c r="D35" s="471">
        <f>+((VLOOKUP($A35,'[1]OECDTable14a(small)'!$A:$D,4,0))/VLOOKUP($A35,[1]FX!$B$2:$D$54,3,0))/1000-G35</f>
        <v>87.729672370340893</v>
      </c>
      <c r="E35" s="325">
        <f>+((VLOOKUP($A35,[1]OECDTable14a!$A$15:$XO$66,162,0)+VLOOKUP($A35,[1]OECDTable14a!$A$15:$XO$66,262,0)-VLOOKUP($A35,[1]OECDTable14a!$A$15:$XO$66,154,0)-VLOOKUP($A35,[1]OECDTable14a!$A$15:$XO$66,254,0))/VLOOKUP($A35,[1]FX!$B$2:$D$54,3,0))/1000</f>
        <v>-5.4914444886589732E-2</v>
      </c>
      <c r="F35" s="115">
        <f t="shared" si="4"/>
        <v>87.784586815227485</v>
      </c>
      <c r="G35" s="466">
        <f>+((VLOOKUP($A35,[1]OECDTable14a!$A$15:$XO$66,133,0)+VLOOKUP($A35,[1]OECDTable14a!$A$15:$XO$66,233,0))/VLOOKUP($A35,[1]FX!$B$2:$D$54,3,0))/1000</f>
        <v>36.335322987133573</v>
      </c>
      <c r="H35" s="384">
        <f t="shared" si="5"/>
        <v>0.52816242081736686</v>
      </c>
      <c r="I35" s="117">
        <f t="shared" si="6"/>
        <v>0.44182063282328221</v>
      </c>
      <c r="J35" s="327">
        <f t="shared" si="7"/>
        <v>0.55817936717671779</v>
      </c>
      <c r="K35" s="119">
        <f t="shared" si="8"/>
        <v>-6.2595064364055308E-4</v>
      </c>
      <c r="L35" s="465">
        <f t="shared" si="9"/>
        <v>0.79203427559300121</v>
      </c>
      <c r="M35" s="117"/>
      <c r="O35" s="594">
        <f t="shared" si="1"/>
        <v>0</v>
      </c>
      <c r="P35" s="709">
        <f t="shared" si="2"/>
        <v>0.15468466423401353</v>
      </c>
      <c r="Q35" s="709">
        <f t="shared" si="3"/>
        <v>0.29287328696090992</v>
      </c>
    </row>
    <row r="36" spans="1:20" x14ac:dyDescent="0.35">
      <c r="A36" s="15" t="s">
        <v>76</v>
      </c>
      <c r="B36" s="334">
        <f>+TableA1!E36</f>
        <v>101.75390252856124</v>
      </c>
      <c r="C36" s="273">
        <f>+((VLOOKUP($A36,[1]OECDTable14a!$A$15:$XO$66,140,0)+VLOOKUP($A36,[1]OECDTable14a!$A$15:$XO$66,240,0))/VLOOKUP($A36,[1]FX!$B$2:$D$54,3,0))/1000</f>
        <v>57.993657247362911</v>
      </c>
      <c r="D36" s="471">
        <f>+((VLOOKUP($A36,'[1]OECDTable14a(small)'!$A:$D,4,0))/VLOOKUP($A36,[1]FX!$B$2:$D$54,3,0))/1000-G36</f>
        <v>26.458278573163476</v>
      </c>
      <c r="E36" s="325">
        <f>+((VLOOKUP($A36,[1]OECDTable14a!$A$15:$XO$66,162,0)+VLOOKUP($A36,[1]OECDTable14a!$A$15:$XO$66,262,0)-VLOOKUP($A36,[1]OECDTable14a!$A$15:$XO$66,154,0)-VLOOKUP($A36,[1]OECDTable14a!$A$15:$XO$66,254,0))/VLOOKUP($A36,[1]FX!$B$2:$D$54,3,0))/1000</f>
        <v>-0.15979433466532239</v>
      </c>
      <c r="F36" s="115">
        <f t="shared" si="4"/>
        <v>26.618072907828797</v>
      </c>
      <c r="G36" s="466">
        <f>+((VLOOKUP($A36,[1]OECDTable14a!$A$15:$XO$66,133,0)+VLOOKUP($A36,[1]OECDTable14a!$A$15:$XO$66,233,0))/VLOOKUP($A36,[1]FX!$B$2:$D$54,3,0))/1000</f>
        <v>17.301966708034854</v>
      </c>
      <c r="H36" s="384">
        <f t="shared" si="5"/>
        <v>0.43005962615453786</v>
      </c>
      <c r="I36" s="117">
        <f t="shared" si="6"/>
        <v>0.3132939264931886</v>
      </c>
      <c r="J36" s="327">
        <f t="shared" si="7"/>
        <v>0.68670607350681134</v>
      </c>
      <c r="K36" s="119">
        <f t="shared" si="8"/>
        <v>-6.03948341625676E-3</v>
      </c>
      <c r="L36" s="465">
        <f t="shared" si="9"/>
        <v>0.45898248483094545</v>
      </c>
      <c r="M36" s="117"/>
      <c r="O36" s="594">
        <f t="shared" si="1"/>
        <v>0</v>
      </c>
      <c r="P36" s="709">
        <f t="shared" si="2"/>
        <v>0.17003737722175694</v>
      </c>
      <c r="Q36" s="709">
        <f t="shared" si="3"/>
        <v>0.39538093529536672</v>
      </c>
    </row>
    <row r="37" spans="1:20" x14ac:dyDescent="0.35">
      <c r="A37" s="15" t="s">
        <v>96</v>
      </c>
      <c r="B37" s="334">
        <f>+TableA1!E37</f>
        <v>43.35690211044308</v>
      </c>
      <c r="C37" s="273">
        <f>+((VLOOKUP($A37,[1]OECDTable14a!$A$15:$XO$66,140,0)+VLOOKUP($A37,[1]OECDTable14a!$A$15:$XO$66,240,0))/VLOOKUP($A37,[1]FX!$B$2:$D$54,3,0))/1000</f>
        <v>21.242901141118761</v>
      </c>
      <c r="D37" s="471">
        <f>+((VLOOKUP($A37,'[1]OECDTable14a(small)'!$A:$D,4,0))/VLOOKUP($A37,[1]FX!$B$2:$D$54,3,0))/1000-G37</f>
        <v>10.906050957180039</v>
      </c>
      <c r="E37" s="325">
        <f>+((VLOOKUP($A37,[1]OECDTable14a!$A$15:$XO$66,162,0)+VLOOKUP($A37,[1]OECDTable14a!$A$15:$XO$66,262,0)-VLOOKUP($A37,[1]OECDTable14a!$A$15:$XO$66,154,0)-VLOOKUP($A37,[1]OECDTable14a!$A$15:$XO$66,254,0))/VLOOKUP($A37,[1]FX!$B$2:$D$54,3,0))/1000</f>
        <v>-0.69849909999234772</v>
      </c>
      <c r="F37" s="115">
        <f t="shared" si="4"/>
        <v>11.604550057172386</v>
      </c>
      <c r="G37" s="466">
        <f>+((VLOOKUP($A37,[1]OECDTable14a!$A$15:$XO$66,133,0)+VLOOKUP($A37,[1]OECDTable14a!$A$15:$XO$66,233,0))/VLOOKUP($A37,[1]FX!$B$2:$D$54,3,0))/1000</f>
        <v>11.207950012144281</v>
      </c>
      <c r="H37" s="384">
        <f t="shared" si="5"/>
        <v>0.5100456880658425</v>
      </c>
      <c r="I37" s="117">
        <f t="shared" si="6"/>
        <v>0.33923503708094876</v>
      </c>
      <c r="J37" s="327">
        <f t="shared" si="7"/>
        <v>0.66076496291905129</v>
      </c>
      <c r="K37" s="119">
        <f t="shared" si="8"/>
        <v>-6.404693162858259E-2</v>
      </c>
      <c r="L37" s="465">
        <f t="shared" si="9"/>
        <v>0.546278965386233</v>
      </c>
      <c r="M37" s="117"/>
      <c r="O37" s="594">
        <f t="shared" si="1"/>
        <v>0</v>
      </c>
      <c r="P37" s="709">
        <f t="shared" si="2"/>
        <v>0.25850440106616146</v>
      </c>
      <c r="Q37" s="709">
        <f t="shared" si="3"/>
        <v>0.50682597091731674</v>
      </c>
    </row>
    <row r="38" spans="1:20" x14ac:dyDescent="0.35">
      <c r="A38" s="15" t="s">
        <v>78</v>
      </c>
      <c r="B38" s="334">
        <f>+TableA1!E38</f>
        <v>23.475728296395868</v>
      </c>
      <c r="C38" s="273">
        <f>+((VLOOKUP($A38,[1]OECDTable14a!$A$15:$XO$66,140,0)+VLOOKUP($A38,[1]OECDTable14a!$A$15:$XO$66,240,0))/VLOOKUP($A38,[1]FX!$B$2:$D$54,3,0))/1000</f>
        <v>14.942894708531718</v>
      </c>
      <c r="D38" s="471">
        <f>+((VLOOKUP($A38,'[1]OECDTable14a(small)'!$A:$D,4,0))/VLOOKUP($A38,[1]FX!$B$2:$D$54,3,0))/1000-G38</f>
        <v>3.0845410515505307</v>
      </c>
      <c r="E38" s="325">
        <f>+((VLOOKUP($A38,[1]OECDTable14a!$A$15:$XO$66,162,0)+VLOOKUP($A38,[1]OECDTable14a!$A$15:$XO$66,262,0)-VLOOKUP($A38,[1]OECDTable14a!$A$15:$XO$66,154,0)-VLOOKUP($A38,[1]OECDTable14a!$A$15:$XO$66,254,0))/VLOOKUP($A38,[1]FX!$B$2:$D$54,3,0))/1000</f>
        <v>-0.33321743585989821</v>
      </c>
      <c r="F38" s="115">
        <f t="shared" si="4"/>
        <v>3.417758487410429</v>
      </c>
      <c r="G38" s="466">
        <f>+((VLOOKUP($A38,[1]OECDTable14a!$A$15:$XO$66,133,0)+VLOOKUP($A38,[1]OECDTable14a!$A$15:$XO$66,233,0))/VLOOKUP($A38,[1]FX!$B$2:$D$54,3,0))/1000</f>
        <v>5.4482925363136179</v>
      </c>
      <c r="H38" s="384">
        <f t="shared" si="5"/>
        <v>0.36347471227012623</v>
      </c>
      <c r="I38" s="117">
        <f t="shared" si="6"/>
        <v>0.17110259565481639</v>
      </c>
      <c r="J38" s="327">
        <f t="shared" si="7"/>
        <v>0.82889740434518355</v>
      </c>
      <c r="K38" s="119">
        <f t="shared" si="8"/>
        <v>-0.10802820591166948</v>
      </c>
      <c r="L38" s="465">
        <f t="shared" si="9"/>
        <v>0.22872131230765103</v>
      </c>
      <c r="M38" s="117"/>
      <c r="O38" s="594">
        <f t="shared" si="1"/>
        <v>0</v>
      </c>
      <c r="P38" s="709">
        <f t="shared" si="2"/>
        <v>0.23208193873798036</v>
      </c>
      <c r="Q38" s="709">
        <f t="shared" si="3"/>
        <v>0.63850917520089345</v>
      </c>
    </row>
    <row r="39" spans="1:20" x14ac:dyDescent="0.35">
      <c r="A39" s="15" t="s">
        <v>79</v>
      </c>
      <c r="B39" s="334">
        <f>+TableA1!E39</f>
        <v>678.97508925214515</v>
      </c>
      <c r="C39" s="273">
        <f>+((VLOOKUP($A39,[1]OECDTable14a!$A$15:$XO$66,140,0)+VLOOKUP($A39,[1]OECDTable14a!$A$15:$XO$66,240,0))/VLOOKUP($A39,[1]FX!$B$2:$D$54,3,0))/1000</f>
        <v>393.17191976124013</v>
      </c>
      <c r="D39" s="471">
        <f>+((VLOOKUP($A39,'[1]OECDTable14a(small)'!$A:$D,4,0))/VLOOKUP($A39,[1]FX!$B$2:$D$54,3,0))/1000-G39</f>
        <v>152.19833662171621</v>
      </c>
      <c r="E39" s="325">
        <f>+((VLOOKUP($A39,[1]OECDTable14a!$A$15:$XO$66,162,0)+VLOOKUP($A39,[1]OECDTable14a!$A$15:$XO$66,262,0)-VLOOKUP($A39,[1]OECDTable14a!$A$15:$XO$66,154,0)-VLOOKUP($A39,[1]OECDTable14a!$A$15:$XO$66,254,0))/VLOOKUP($A39,[1]FX!$B$2:$D$54,3,0))/1000</f>
        <v>-6.7553254611776739</v>
      </c>
      <c r="F39" s="115">
        <f t="shared" si="4"/>
        <v>158.95366208289389</v>
      </c>
      <c r="G39" s="466">
        <f>+((VLOOKUP($A39,[1]OECDTable14a!$A$15:$XO$66,133,0)+VLOOKUP($A39,[1]OECDTable14a!$A$15:$XO$66,233,0))/VLOOKUP($A39,[1]FX!$B$2:$D$54,3,0))/1000</f>
        <v>133.60483286918893</v>
      </c>
      <c r="H39" s="384">
        <f t="shared" si="5"/>
        <v>0.42093321833898512</v>
      </c>
      <c r="I39" s="117">
        <f t="shared" si="6"/>
        <v>0.27907340901048933</v>
      </c>
      <c r="J39" s="327">
        <f t="shared" si="7"/>
        <v>0.72092659098951062</v>
      </c>
      <c r="K39" s="119">
        <f t="shared" si="8"/>
        <v>-4.4385015047620435E-2</v>
      </c>
      <c r="L39" s="465">
        <f t="shared" si="9"/>
        <v>0.40428538787668511</v>
      </c>
      <c r="M39" s="117"/>
      <c r="O39" s="594">
        <f t="shared" si="1"/>
        <v>0</v>
      </c>
      <c r="P39" s="709">
        <f t="shared" si="2"/>
        <v>0.1967742778550941</v>
      </c>
      <c r="Q39" s="709">
        <f t="shared" si="3"/>
        <v>0.46747148783260961</v>
      </c>
    </row>
    <row r="40" spans="1:20" x14ac:dyDescent="0.35">
      <c r="A40" s="15" t="s">
        <v>80</v>
      </c>
      <c r="B40" s="334">
        <f>+TableA1!E40</f>
        <v>287.8253425286855</v>
      </c>
      <c r="C40" s="273">
        <f>+((VLOOKUP($A40,[1]OECDTable14a!$A$15:$XO$66,140,0)+VLOOKUP($A40,[1]OECDTable14a!$A$15:$XO$66,240,0))/VLOOKUP($A40,[1]FX!$B$2:$D$54,3,0))/1000</f>
        <v>164.05430760342725</v>
      </c>
      <c r="D40" s="471">
        <f>+((VLOOKUP($A40,'[1]OECDTable14a(small)'!$A:$D,4,0))/VLOOKUP($A40,[1]FX!$B$2:$D$54,3,0))/1000-G40</f>
        <v>66.119444338073464</v>
      </c>
      <c r="E40" s="325">
        <f>+((VLOOKUP($A40,[1]OECDTable14a!$A$15:$XO$66,162,0)+VLOOKUP($A40,[1]OECDTable14a!$A$15:$XO$66,262,0)-VLOOKUP($A40,[1]OECDTable14a!$A$15:$XO$66,154,0)-VLOOKUP($A40,[1]OECDTable14a!$A$15:$XO$66,254,0))/VLOOKUP($A40,[1]FX!$B$2:$D$54,3,0))/1000</f>
        <v>2.7516819819128777</v>
      </c>
      <c r="F40" s="115">
        <f t="shared" si="4"/>
        <v>63.367762356160583</v>
      </c>
      <c r="G40" s="466">
        <f>+((VLOOKUP($A40,[1]OECDTable14a!$A$15:$XO$66,133,0)+VLOOKUP($A40,[1]OECDTable14a!$A$15:$XO$66,233,0))/VLOOKUP($A40,[1]FX!$B$2:$D$54,3,0))/1000</f>
        <v>57.651590587184749</v>
      </c>
      <c r="H40" s="384">
        <f t="shared" si="5"/>
        <v>0.43002132417482608</v>
      </c>
      <c r="I40" s="117">
        <f t="shared" si="6"/>
        <v>0.28725883720606815</v>
      </c>
      <c r="J40" s="327">
        <f t="shared" si="7"/>
        <v>0.71274116279393185</v>
      </c>
      <c r="K40" s="119">
        <f t="shared" si="8"/>
        <v>4.1616834646149327E-2</v>
      </c>
      <c r="L40" s="465">
        <f t="shared" si="9"/>
        <v>0.38626088690911503</v>
      </c>
      <c r="M40" s="117"/>
      <c r="O40" s="594">
        <f t="shared" si="1"/>
        <v>0</v>
      </c>
      <c r="P40" s="709">
        <f t="shared" si="2"/>
        <v>0.20030060619640894</v>
      </c>
      <c r="Q40" s="709">
        <f t="shared" si="3"/>
        <v>0.46579226409473662</v>
      </c>
    </row>
    <row r="41" spans="1:20" x14ac:dyDescent="0.35">
      <c r="A41" s="15" t="s">
        <v>1</v>
      </c>
      <c r="B41" s="334">
        <f>+TableA1!E41</f>
        <v>483.52057116672086</v>
      </c>
      <c r="C41" s="273">
        <f>+((VLOOKUP($A41,[1]OECDTable14a!$A$15:$XO$66,140,0)+VLOOKUP($A41,[1]OECDTable14a!$A$15:$XO$66,240,0))/VLOOKUP($A41,[1]FX!$B$2:$D$54,3,0))/1000</f>
        <v>321.15382930461016</v>
      </c>
      <c r="D41" s="471">
        <f>+((VLOOKUP($A41,'[1]OECDTable14a(small)'!$A:$D,4,0))/VLOOKUP($A41,[1]FX!$B$2:$D$54,3,0))/1000-G41</f>
        <v>64.840660819363634</v>
      </c>
      <c r="E41" s="325">
        <f>+((VLOOKUP($A41,[1]OECDTable14a!$A$15:$XO$66,162,0)+VLOOKUP($A41,[1]OECDTable14a!$A$15:$XO$66,262,0)-VLOOKUP($A41,[1]OECDTable14a!$A$15:$XO$66,154,0)-VLOOKUP($A41,[1]OECDTable14a!$A$15:$XO$66,254,0))/VLOOKUP($A41,[1]FX!$B$2:$D$54,3,0))/1000</f>
        <v>-30.048578057962487</v>
      </c>
      <c r="F41" s="115">
        <f t="shared" si="4"/>
        <v>94.889238877326122</v>
      </c>
      <c r="G41" s="466">
        <f>+((VLOOKUP($A41,[1]OECDTable14a!$A$15:$XO$66,133,0)+VLOOKUP($A41,[1]OECDTable14a!$A$15:$XO$66,233,0))/VLOOKUP($A41,[1]FX!$B$2:$D$54,3,0))/1000</f>
        <v>97.526081250565014</v>
      </c>
      <c r="H41" s="384">
        <f t="shared" si="5"/>
        <v>0.33580110496259236</v>
      </c>
      <c r="I41" s="117">
        <f t="shared" si="6"/>
        <v>0.16798338442224423</v>
      </c>
      <c r="J41" s="327">
        <f t="shared" si="7"/>
        <v>0.83201661557775575</v>
      </c>
      <c r="K41" s="119">
        <f t="shared" si="8"/>
        <v>-0.46342183559284389</v>
      </c>
      <c r="L41" s="465">
        <f t="shared" si="9"/>
        <v>0.29546351380205693</v>
      </c>
      <c r="M41" s="117"/>
      <c r="O41" s="594">
        <f t="shared" si="1"/>
        <v>-2.07817947739386E-7</v>
      </c>
      <c r="P41" s="709">
        <f t="shared" si="2"/>
        <v>0.20169996286866856</v>
      </c>
      <c r="Q41" s="709">
        <f t="shared" si="3"/>
        <v>0.6006530648287699</v>
      </c>
    </row>
    <row r="42" spans="1:20" x14ac:dyDescent="0.35">
      <c r="A42" s="15" t="s">
        <v>81</v>
      </c>
      <c r="B42" s="334">
        <f>+TableA1!E42</f>
        <v>461.75718903871274</v>
      </c>
      <c r="C42" s="273">
        <f>+((VLOOKUP($A42,[1]OECDTable14a!$A$15:$XO$66,140,0)+VLOOKUP($A42,[1]OECDTable14a!$A$15:$XO$66,240,0))/VLOOKUP($A42,[1]FX!$B$2:$D$54,3,0))/1000</f>
        <v>180.37437743772173</v>
      </c>
      <c r="D42" s="471">
        <f>+((VLOOKUP($A42,'[1]OECDTable14a(small)'!$A:$D,4,0))/VLOOKUP($A42,[1]FX!$B$2:$D$54,3,0))/1000-G42</f>
        <v>218.62581160099097</v>
      </c>
      <c r="E42" s="325">
        <f>+((VLOOKUP($A42,[1]OECDTable14a!$A$15:$XO$66,162,0)+VLOOKUP($A42,[1]OECDTable14a!$A$15:$XO$66,262,0)-VLOOKUP($A42,[1]OECDTable14a!$A$15:$XO$66,154,0)-VLOOKUP($A42,[1]OECDTable14a!$A$15:$XO$66,254,0))/VLOOKUP($A42,[1]FX!$B$2:$D$54,3,0))/1000</f>
        <v>6.0263182952703511</v>
      </c>
      <c r="F42" s="115">
        <f t="shared" si="4"/>
        <v>212.59949330572061</v>
      </c>
      <c r="G42" s="466">
        <f>+'[1]Data C33-37'!$AM$111/1000</f>
        <v>62.756999999999998</v>
      </c>
      <c r="H42" s="384">
        <f t="shared" si="5"/>
        <v>0.6093739703041211</v>
      </c>
      <c r="I42" s="117">
        <f t="shared" si="6"/>
        <v>0.54793410531386721</v>
      </c>
      <c r="J42" s="327">
        <f t="shared" si="7"/>
        <v>0.45206589468613279</v>
      </c>
      <c r="K42" s="119">
        <f t="shared" si="8"/>
        <v>2.7564532527700109E-2</v>
      </c>
      <c r="L42" s="465">
        <f t="shared" si="9"/>
        <v>1.1786568376604671</v>
      </c>
      <c r="M42" s="117"/>
      <c r="O42" s="594">
        <f t="shared" si="1"/>
        <v>0</v>
      </c>
      <c r="P42" s="709">
        <f t="shared" si="2"/>
        <v>0.13590909137905935</v>
      </c>
      <c r="Q42" s="709">
        <f t="shared" si="3"/>
        <v>0.22303068066926296</v>
      </c>
      <c r="R42" s="261"/>
      <c r="S42" s="261"/>
      <c r="T42" s="262"/>
    </row>
    <row r="43" spans="1:20" x14ac:dyDescent="0.35">
      <c r="A43" s="15" t="s">
        <v>82</v>
      </c>
      <c r="B43" s="334">
        <f>+TableA1!E43</f>
        <v>1619.5418191262634</v>
      </c>
      <c r="C43" s="273">
        <f>+((VLOOKUP($A43,[1]OECDTable14a!$A$15:$XO$66,140,0)+VLOOKUP($A43,[1]OECDTable14a!$A$15:$XO$66,240,0))/VLOOKUP($A43,[1]FX!$B$2:$D$54,3,0))/1000</f>
        <v>1012.5690365062753</v>
      </c>
      <c r="D43" s="471">
        <f>+((VLOOKUP($A43,'[1]OECDTable14a(small)'!$A:$D,4,0))/VLOOKUP($A43,[1]FX!$B$2:$D$54,3,0))/1000-G43</f>
        <v>402.15111260493916</v>
      </c>
      <c r="E43" s="325">
        <f>+((VLOOKUP($A43,[1]OECDTable14a!$A$15:$XO$66,162,0)+VLOOKUP($A43,[1]OECDTable14a!$A$15:$XO$66,262,0)-VLOOKUP($A43,[1]OECDTable14a!$A$15:$XO$66,154,0)-VLOOKUP($A43,[1]OECDTable14a!$A$15:$XO$66,254,0))/VLOOKUP($A43,[1]FX!$B$2:$D$54,3,0))/1000</f>
        <v>-22.899877013803483</v>
      </c>
      <c r="F43" s="115">
        <f t="shared" si="4"/>
        <v>425.05098961874262</v>
      </c>
      <c r="G43" s="466">
        <f>+((VLOOKUP($A43,[1]OECDTable14a!$A$15:$XO$66,133,0)+VLOOKUP($A43,[1]OECDTable14a!$A$15:$XO$66,233,0))/VLOOKUP($A43,[1]FX!$B$2:$D$54,3,0))/1000</f>
        <v>204.82167001504862</v>
      </c>
      <c r="H43" s="384">
        <f t="shared" si="5"/>
        <v>0.37478055549528649</v>
      </c>
      <c r="I43" s="117">
        <f t="shared" si="6"/>
        <v>0.28426195304957452</v>
      </c>
      <c r="J43" s="327">
        <f t="shared" si="7"/>
        <v>0.71573804695042553</v>
      </c>
      <c r="K43" s="119">
        <f t="shared" si="8"/>
        <v>-5.6943463031767401E-2</v>
      </c>
      <c r="L43" s="465">
        <f t="shared" si="9"/>
        <v>0.41977482452487414</v>
      </c>
      <c r="M43" s="117"/>
      <c r="O43" s="594">
        <f t="shared" si="1"/>
        <v>2.5579538487363607E-13</v>
      </c>
      <c r="P43" s="709">
        <f t="shared" si="2"/>
        <v>0.12646889854659582</v>
      </c>
      <c r="Q43" s="709">
        <f t="shared" si="3"/>
        <v>0.33744786567025187</v>
      </c>
    </row>
    <row r="44" spans="1:20" x14ac:dyDescent="0.35">
      <c r="A44" s="56" t="s">
        <v>0</v>
      </c>
      <c r="B44" s="334">
        <f>+TableA1!E44</f>
        <v>9749.7634999999991</v>
      </c>
      <c r="C44" s="273">
        <f>+((VLOOKUP($A44,[1]OECDTable14a!$A$15:$XO$66,140,0)+VLOOKUP($A44,[1]OECDTable14a!$A$15:$XO$66,240,0))/VLOOKUP($A44,[1]FX!$B$2:$D$54,3,0))/1000</f>
        <v>6036.1069000000007</v>
      </c>
      <c r="D44" s="471">
        <f>+((VLOOKUP($A44,'[1]OECDTable14a(small)'!$A:$D,4,0))/VLOOKUP($A44,[1]FX!$B$2:$D$54,3,0))/1000-G44</f>
        <v>2162.7638000000002</v>
      </c>
      <c r="E44" s="325">
        <f>+((VLOOKUP($A44,[1]OECDTable14a!$A$15:$XO$66,162,0)+VLOOKUP($A44,[1]OECDTable14a!$A$15:$XO$66,262,0)-VLOOKUP($A44,[1]OECDTable14a!$A$15:$XO$66,154,0)-VLOOKUP($A44,[1]OECDTable14a!$A$15:$XO$66,254,0))/VLOOKUP($A44,[1]FX!$B$2:$D$54,3,0))/1000</f>
        <v>273.36689999999993</v>
      </c>
      <c r="F44" s="115">
        <f>D44-E44</f>
        <v>1889.3969000000002</v>
      </c>
      <c r="G44" s="466">
        <f>+((VLOOKUP($A44,[1]OECDTable14a!$A$15:$XO$66,133,0)+VLOOKUP($A44,[1]OECDTable14a!$A$15:$XO$66,233,0))/VLOOKUP($A44,[1]FX!$B$2:$D$54,3,0))/1000</f>
        <v>1550.8926999999999</v>
      </c>
      <c r="H44" s="384">
        <f t="shared" si="5"/>
        <v>0.38089708534981392</v>
      </c>
      <c r="I44" s="1531">
        <f t="shared" si="6"/>
        <v>0.26378801168312116</v>
      </c>
      <c r="J44" s="327">
        <f t="shared" si="7"/>
        <v>0.73621198831687884</v>
      </c>
      <c r="K44" s="119">
        <f t="shared" si="8"/>
        <v>0.12639702033111516</v>
      </c>
      <c r="L44" s="465">
        <f t="shared" si="9"/>
        <v>0.31301581156556391</v>
      </c>
      <c r="M44" s="117"/>
      <c r="O44" s="594">
        <f t="shared" si="1"/>
        <v>9.9999998383282218E-5</v>
      </c>
      <c r="P44" s="709">
        <f t="shared" si="2"/>
        <v>0.15906977641047396</v>
      </c>
      <c r="Q44" s="709">
        <f t="shared" si="3"/>
        <v>0.41761878084308546</v>
      </c>
    </row>
    <row r="45" spans="1:20" ht="40" customHeight="1" x14ac:dyDescent="0.35">
      <c r="A45" s="454" t="s">
        <v>99</v>
      </c>
      <c r="B45" s="425">
        <f t="shared" ref="B45:G45" si="10">SUM(B46:B52)</f>
        <v>9449.600738407149</v>
      </c>
      <c r="C45" s="485">
        <f t="shared" si="10"/>
        <v>4635.4243070321654</v>
      </c>
      <c r="D45" s="486">
        <f t="shared" si="10"/>
        <v>3321.8450289362322</v>
      </c>
      <c r="E45" s="487">
        <f t="shared" si="10"/>
        <v>164.74348387507928</v>
      </c>
      <c r="F45" s="433">
        <f t="shared" si="10"/>
        <v>3157.101545061153</v>
      </c>
      <c r="G45" s="435">
        <f t="shared" si="10"/>
        <v>1492.331402438941</v>
      </c>
      <c r="H45" s="472">
        <f>(G45+D45)/B45</f>
        <v>0.50945818396414755</v>
      </c>
      <c r="I45" s="436">
        <f>D45/(D45+C45)</f>
        <v>0.41746042375628151</v>
      </c>
      <c r="J45" s="473">
        <f>1-I45</f>
        <v>0.58253957624371844</v>
      </c>
      <c r="K45" s="436">
        <f>E45/D45</f>
        <v>4.959397035081909E-2</v>
      </c>
      <c r="L45" s="453">
        <f>F45/C45</f>
        <v>0.68108145790918762</v>
      </c>
      <c r="M45" s="436"/>
      <c r="O45" s="594">
        <f t="shared" si="1"/>
        <v>-1.8962964531965554E-10</v>
      </c>
      <c r="P45" s="709">
        <f t="shared" si="2"/>
        <v>0.15792533925517921</v>
      </c>
      <c r="Q45" s="709">
        <f t="shared" si="3"/>
        <v>0.30998685314336416</v>
      </c>
    </row>
    <row r="46" spans="1:20" x14ac:dyDescent="0.35">
      <c r="A46" s="455" t="s">
        <v>92</v>
      </c>
      <c r="B46" s="334">
        <f>C46+D46+G46</f>
        <v>1105.0676793002151</v>
      </c>
      <c r="C46" s="273">
        <f>'[1]OECDTable14a2014(small)'!$J$39/(VLOOKUP($A46,[1]FX!$B$2:$E$54,4,0))/1000</f>
        <v>683.84777930021517</v>
      </c>
      <c r="D46" s="471">
        <f>[1]OECDnew.xls!$D$104/1000-G46</f>
        <v>228.2663</v>
      </c>
      <c r="E46" s="325">
        <f>[1]OECDnew.xls!$E$104/1000</f>
        <v>-46.069400000000002</v>
      </c>
      <c r="F46" s="115">
        <f t="shared" ref="F46:F51" si="11">D46-E46</f>
        <v>274.33569999999997</v>
      </c>
      <c r="G46" s="466">
        <f>[1]OECDnew.xls!$F$104/1000</f>
        <v>192.95359999999999</v>
      </c>
      <c r="H46" s="384">
        <f t="shared" ref="H46:H52" si="12">(G46+D46)/B46</f>
        <v>0.38117113357865812</v>
      </c>
      <c r="I46" s="117">
        <f t="shared" ref="I46:I53" si="13">D46/(D46+C46)</f>
        <v>0.25026069126696149</v>
      </c>
      <c r="J46" s="327">
        <f t="shared" ref="J46:J53" si="14">1-I46</f>
        <v>0.74973930873303851</v>
      </c>
      <c r="K46" s="119">
        <f t="shared" ref="K46:K53" si="15">E46/D46</f>
        <v>-0.20182304615267344</v>
      </c>
      <c r="L46" s="465">
        <f t="shared" ref="L46:L51" si="16">F46/C46</f>
        <v>0.40116486198248541</v>
      </c>
      <c r="M46" s="117"/>
      <c r="O46" s="594">
        <f t="shared" si="1"/>
        <v>0</v>
      </c>
      <c r="P46" s="709">
        <f t="shared" si="2"/>
        <v>0.17460794810521288</v>
      </c>
      <c r="Q46" s="709">
        <f t="shared" si="3"/>
        <v>0.45808282087337276</v>
      </c>
    </row>
    <row r="47" spans="1:20" x14ac:dyDescent="0.35">
      <c r="A47" s="56" t="s">
        <v>101</v>
      </c>
      <c r="B47" s="334">
        <f>+TableA1!E47</f>
        <v>6211.8447853385696</v>
      </c>
      <c r="C47" s="273">
        <f>+[2]HavenRawData!$M$46</f>
        <v>3000.3468631285727</v>
      </c>
      <c r="D47" s="471">
        <f>B47-C47-G47</f>
        <v>2262.1510287447009</v>
      </c>
      <c r="E47" s="325">
        <f>+[2]HavenRawData!$O$46</f>
        <v>193.44695620379616</v>
      </c>
      <c r="F47" s="115">
        <f t="shared" si="11"/>
        <v>2068.7040725409047</v>
      </c>
      <c r="G47" s="466">
        <f>+[2]HavenRawData!$Q$46</f>
        <v>949.34689346529626</v>
      </c>
      <c r="H47" s="384">
        <f t="shared" si="12"/>
        <v>0.51699584152358347</v>
      </c>
      <c r="I47" s="117">
        <f t="shared" si="13"/>
        <v>0.42986260046547031</v>
      </c>
      <c r="J47" s="327">
        <f t="shared" si="14"/>
        <v>0.57013739953452969</v>
      </c>
      <c r="K47" s="119">
        <f t="shared" si="15"/>
        <v>8.5514607002673285E-2</v>
      </c>
      <c r="L47" s="465">
        <f t="shared" si="16"/>
        <v>0.6894883048234598</v>
      </c>
      <c r="M47" s="117"/>
      <c r="O47" s="594">
        <f t="shared" si="1"/>
        <v>0</v>
      </c>
      <c r="P47" s="709">
        <f t="shared" si="2"/>
        <v>0.15282849560342857</v>
      </c>
      <c r="Q47" s="709">
        <f t="shared" si="3"/>
        <v>0.29560875219623423</v>
      </c>
    </row>
    <row r="48" spans="1:20" x14ac:dyDescent="0.35">
      <c r="A48" s="56" t="s">
        <v>93</v>
      </c>
      <c r="B48" s="334">
        <f>+TableA1!E48</f>
        <v>135.02409969740114</v>
      </c>
      <c r="C48" s="273">
        <f>+((VLOOKUP($A48,[1]OECDTable14a!$A$15:$XO$66,140,0)+VLOOKUP($A48,[1]OECDTable14a!$A$15:$XO$66,240,0))/VLOOKUP($A48,[1]FX!$B$2:$D$54,3,0))/1000</f>
        <v>54.170478374899503</v>
      </c>
      <c r="D48" s="471">
        <f>+((VLOOKUP($A48,'[1]OECDTable14a(small)'!$A:$D,4,0))/VLOOKUP($A48,[1]FX!$B$2:$D$54,3,0))/1000-G48</f>
        <v>63.58782132250164</v>
      </c>
      <c r="E48" s="325">
        <f>+((VLOOKUP($A48,[1]OECDTable14a!$A$15:$XO$66,162,0)+VLOOKUP($A48,[1]OECDTable14a!$A$15:$XO$66,262,0)-VLOOKUP($A48,[1]OECDTable14a!$A$15:$XO$66,154,0)-VLOOKUP($A48,[1]OECDTable14a!$A$15:$XO$66,254,0))/VLOOKUP($A48,[1]FX!$B$2:$D$54,3,0))/1000</f>
        <v>4.9870875135386079</v>
      </c>
      <c r="F48" s="115">
        <f t="shared" si="11"/>
        <v>58.600733808963028</v>
      </c>
      <c r="G48" s="466">
        <f>+'[1]Data C33-37'!$AM$79/1000</f>
        <v>17.265799999999999</v>
      </c>
      <c r="H48" s="384">
        <f t="shared" si="12"/>
        <v>0.59880881637945005</v>
      </c>
      <c r="I48" s="117">
        <f t="shared" si="13"/>
        <v>0.53998589896339155</v>
      </c>
      <c r="J48" s="327">
        <f t="shared" si="14"/>
        <v>0.46001410103660845</v>
      </c>
      <c r="K48" s="119">
        <f t="shared" si="15"/>
        <v>7.8428343821458177E-2</v>
      </c>
      <c r="L48" s="465">
        <f t="shared" si="16"/>
        <v>1.0817835759803136</v>
      </c>
      <c r="M48" s="117"/>
      <c r="O48" s="594">
        <f t="shared" si="1"/>
        <v>0</v>
      </c>
      <c r="P48" s="709">
        <f t="shared" si="2"/>
        <v>0.12787198758365295</v>
      </c>
      <c r="Q48" s="709">
        <f t="shared" si="3"/>
        <v>0.2135439293576194</v>
      </c>
    </row>
    <row r="49" spans="1:17" x14ac:dyDescent="0.35">
      <c r="A49" s="56" t="s">
        <v>94</v>
      </c>
      <c r="B49" s="334">
        <f>+TableA1!E49</f>
        <v>29.987501894855708</v>
      </c>
      <c r="C49" s="273">
        <f>+((VLOOKUP($A49,[1]OECDTable14a!$A$15:$XO$66,140,0)+VLOOKUP($A49,[1]OECDTable14a!$A$15:$XO$66,240,0))/VLOOKUP($A49,[1]FX!$B$2:$D$54,3,0))/1000</f>
        <v>15.631819704056245</v>
      </c>
      <c r="D49" s="471">
        <f>+((VLOOKUP($A49,'[1]OECDTable14a(small)'!$A:$D,4,0))/VLOOKUP($A49,[1]FX!$B$2:$D$54,3,0))/1000-G49</f>
        <v>11.754449253082553</v>
      </c>
      <c r="E49" s="325">
        <f>+((VLOOKUP($A49,[1]OECDTable14a!$A$15:$XO$66,162,0)+VLOOKUP($A49,[1]OECDTable14a!$A$15:$XO$66,262,0)-VLOOKUP($A49,[1]OECDTable14a!$A$15:$XO$66,154,0)-VLOOKUP($A49,[1]OECDTable14a!$A$15:$XO$66,254,0))/VLOOKUP($A49,[1]FX!$B$2:$D$54,3,0))/1000</f>
        <v>-1.4482909191884843</v>
      </c>
      <c r="F49" s="115">
        <f>D49-E49</f>
        <v>13.202740172271037</v>
      </c>
      <c r="G49" s="466">
        <f>+((VLOOKUP($A49,[1]OECDTable14a!$A$15:$XO$66,133,0)+VLOOKUP($A49,[1]OECDTable14a!$A$15:$XO$66,233,0))/VLOOKUP($A49,[1]FX!$B$2:$D$54,3,0))/1000</f>
        <v>2.601232937903974</v>
      </c>
      <c r="H49" s="384">
        <f>(G49+D49)/B49</f>
        <v>0.47872217703633441</v>
      </c>
      <c r="I49" s="117">
        <f>D49/(D49+C49)</f>
        <v>0.4292095893558554</v>
      </c>
      <c r="J49" s="327">
        <f>1-I49</f>
        <v>0.5707904106441446</v>
      </c>
      <c r="K49" s="119">
        <f>E49/D49</f>
        <v>-0.12321214614191101</v>
      </c>
      <c r="L49" s="465">
        <f>F49/C49</f>
        <v>0.84460673307568312</v>
      </c>
      <c r="M49" s="117"/>
      <c r="O49" s="594">
        <f t="shared" si="1"/>
        <v>-1.8706414195435173E-10</v>
      </c>
      <c r="P49" s="709">
        <f t="shared" si="2"/>
        <v>8.6743902410564247E-2</v>
      </c>
      <c r="Q49" s="709">
        <f t="shared" si="3"/>
        <v>0.18119883843187923</v>
      </c>
    </row>
    <row r="50" spans="1:17" x14ac:dyDescent="0.35">
      <c r="A50" s="56" t="s">
        <v>102</v>
      </c>
      <c r="B50" s="334">
        <f>+TableA1!E50</f>
        <v>919.01579786888453</v>
      </c>
      <c r="C50" s="273">
        <f>+[2]HavenRawData!$M$45</f>
        <v>318.62573018831665</v>
      </c>
      <c r="D50" s="471">
        <f>B50-C50-G50</f>
        <v>392.14914516074521</v>
      </c>
      <c r="E50" s="325">
        <f>+B50*$E$102</f>
        <v>16.022038228747046</v>
      </c>
      <c r="F50" s="115">
        <f t="shared" si="11"/>
        <v>376.12710693199818</v>
      </c>
      <c r="G50" s="466">
        <f>+[2]HavenRawData!$Q$45</f>
        <v>208.24092251982265</v>
      </c>
      <c r="H50" s="384">
        <f t="shared" si="12"/>
        <v>0.6532967867068431</v>
      </c>
      <c r="I50" s="117">
        <f t="shared" si="13"/>
        <v>0.55172060628642872</v>
      </c>
      <c r="J50" s="327">
        <f t="shared" si="14"/>
        <v>0.44827939371357128</v>
      </c>
      <c r="K50" s="119">
        <f t="shared" si="15"/>
        <v>4.0857001542562277E-2</v>
      </c>
      <c r="L50" s="465">
        <f t="shared" si="16"/>
        <v>1.1804668339549873</v>
      </c>
      <c r="M50" s="117"/>
      <c r="O50" s="594">
        <f t="shared" si="1"/>
        <v>0</v>
      </c>
      <c r="P50" s="709">
        <f t="shared" si="2"/>
        <v>0.22659123271081383</v>
      </c>
      <c r="Q50" s="709">
        <f t="shared" si="3"/>
        <v>0.34684271730926658</v>
      </c>
    </row>
    <row r="51" spans="1:17" x14ac:dyDescent="0.35">
      <c r="A51" s="56" t="s">
        <v>103</v>
      </c>
      <c r="B51" s="334">
        <f>+TableA1!E51</f>
        <v>856.3415010588692</v>
      </c>
      <c r="C51" s="273">
        <f>+((VLOOKUP($A51,[1]OECDTable14a!$A$15:$XO$66,140,0)+VLOOKUP($A51,[1]OECDTable14a!$A$15:$XO$66,240,0))/VLOOKUP($A51,[1]FX!$B$2:$D$54,3,0))/1000</f>
        <v>465.66449313355542</v>
      </c>
      <c r="D51" s="471">
        <f>+((VLOOKUP($A51,'[1]OECDTable14a(small)'!$A:$D,4,0))/VLOOKUP($A51,[1]FX!$B$2:$D$54,3,0))/1000-G51</f>
        <v>304.59339180293296</v>
      </c>
      <c r="E51" s="325">
        <f>+B51*$E$102</f>
        <v>14.929380211574236</v>
      </c>
      <c r="F51" s="115">
        <f t="shared" si="11"/>
        <v>289.6640115913587</v>
      </c>
      <c r="G51" s="466">
        <f>+((VLOOKUP($A51,[1]OECDTable14a!$A$15:$XO$66,133,0)+VLOOKUP($A51,[1]OECDTable14a!$A$15:$XO$66,233,0))/VLOOKUP($A51,[1]FX!$B$2:$D$54,3,0))/1000</f>
        <v>86.083616122380846</v>
      </c>
      <c r="H51" s="384">
        <f t="shared" si="12"/>
        <v>0.45621636630040741</v>
      </c>
      <c r="I51" s="117">
        <f t="shared" si="13"/>
        <v>0.39544339338772</v>
      </c>
      <c r="J51" s="327">
        <f t="shared" si="14"/>
        <v>0.60455660661228006</v>
      </c>
      <c r="K51" s="119">
        <f t="shared" si="15"/>
        <v>4.9014130356555156E-2</v>
      </c>
      <c r="L51" s="465">
        <f t="shared" si="16"/>
        <v>0.62204444586734098</v>
      </c>
      <c r="M51" s="117"/>
      <c r="O51" s="594">
        <f t="shared" si="1"/>
        <v>0</v>
      </c>
      <c r="P51" s="709">
        <f t="shared" si="2"/>
        <v>0.10052486772617952</v>
      </c>
      <c r="Q51" s="709">
        <f t="shared" si="3"/>
        <v>0.22034472051356951</v>
      </c>
    </row>
    <row r="52" spans="1:17" x14ac:dyDescent="0.35">
      <c r="A52" s="15" t="s">
        <v>97</v>
      </c>
      <c r="B52" s="334">
        <f>+TableA1!E52</f>
        <v>192.31937324835505</v>
      </c>
      <c r="C52" s="273">
        <f>([1]OECDTable14a2014!$EP$59+[1]OECDTable14a2014!$IO$59)/[1]FX!$E$46/1000</f>
        <v>97.137143202548756</v>
      </c>
      <c r="D52" s="471">
        <f>B52-C52-G52</f>
        <v>59.342892652268709</v>
      </c>
      <c r="E52" s="325">
        <f>([1]OECDTable14a2014!$JK$59-[1]OECDTable14a2014!$JC$59+[1]OECDTable14a2014!$FL$59-[1]OECDTable14a2014!$FD$59)/[1]FX!$E$46/1000</f>
        <v>-17.12428736338828</v>
      </c>
      <c r="F52" s="115">
        <f>D52-E52</f>
        <v>76.467180015656993</v>
      </c>
      <c r="G52" s="466">
        <f>([1]OECDTable14a2014!$IH$59+[1]OECDTable14a2014!$EI$59)/[1]FX!$E$46/1000</f>
        <v>35.839337393537583</v>
      </c>
      <c r="H52" s="384">
        <f t="shared" si="12"/>
        <v>0.49491753450595444</v>
      </c>
      <c r="I52" s="117">
        <f t="shared" si="13"/>
        <v>0.37923619027878536</v>
      </c>
      <c r="J52" s="327">
        <f t="shared" si="14"/>
        <v>0.6207638097212147</v>
      </c>
      <c r="K52" s="119">
        <f t="shared" si="15"/>
        <v>-0.28856509344314224</v>
      </c>
      <c r="L52" s="465">
        <f t="shared" ref="L52:L91" si="17">F52/C52</f>
        <v>0.78720845080042035</v>
      </c>
      <c r="M52" s="117"/>
      <c r="O52" s="594">
        <f t="shared" si="1"/>
        <v>0</v>
      </c>
      <c r="P52" s="709">
        <f t="shared" si="2"/>
        <v>0.18635323518476643</v>
      </c>
      <c r="Q52" s="709">
        <f t="shared" si="3"/>
        <v>0.37653391159557786</v>
      </c>
    </row>
    <row r="53" spans="1:17" ht="40" customHeight="1" x14ac:dyDescent="0.35">
      <c r="A53" s="454" t="s">
        <v>100</v>
      </c>
      <c r="B53" s="425">
        <f t="shared" ref="B53:G53" si="18">SUM(B54:B89)</f>
        <v>687.54671431433303</v>
      </c>
      <c r="C53" s="485">
        <f t="shared" si="18"/>
        <v>314.67446275208073</v>
      </c>
      <c r="D53" s="486">
        <f t="shared" si="18"/>
        <v>265.16973811058523</v>
      </c>
      <c r="E53" s="487">
        <f t="shared" si="18"/>
        <v>-33.628710695772561</v>
      </c>
      <c r="F53" s="433">
        <f t="shared" si="18"/>
        <v>298.79844880635773</v>
      </c>
      <c r="G53" s="435">
        <f t="shared" si="18"/>
        <v>107.70251345166704</v>
      </c>
      <c r="H53" s="472">
        <f t="shared" ref="H53:H89" si="19">(G53+D53)/B53</f>
        <v>0.54232278883639939</v>
      </c>
      <c r="I53" s="436">
        <f t="shared" si="13"/>
        <v>0.45731204643605594</v>
      </c>
      <c r="J53" s="473">
        <f t="shared" si="14"/>
        <v>0.54268795356394406</v>
      </c>
      <c r="K53" s="436">
        <f t="shared" si="15"/>
        <v>-0.12681956446232259</v>
      </c>
      <c r="L53" s="453">
        <f t="shared" si="17"/>
        <v>0.9495478158383921</v>
      </c>
      <c r="M53" s="436"/>
      <c r="O53" s="594">
        <f t="shared" si="1"/>
        <v>0</v>
      </c>
    </row>
    <row r="54" spans="1:17" ht="15.75" customHeight="1" x14ac:dyDescent="0.35">
      <c r="A54" s="458" t="str">
        <f>+TableA1!A54</f>
        <v>Andorra</v>
      </c>
      <c r="B54" s="299">
        <f>TableA1!E54</f>
        <v>1.8902000000000001</v>
      </c>
      <c r="C54" s="418">
        <f>+VLOOKUP(A54,[1]UNnataccount.xls!$A$1:$I$232,8,0)/1000000000</f>
        <v>0.50910500000000003</v>
      </c>
      <c r="D54" s="330">
        <f t="shared" ref="D54:D88" si="20">B54-C54-G54</f>
        <v>1.1254930000000001</v>
      </c>
      <c r="E54" s="331">
        <f t="shared" ref="E54:E64" si="21">+B54*$E$103</f>
        <v>-9.2451883826600065E-2</v>
      </c>
      <c r="F54" s="331">
        <f t="shared" ref="F54:F89" si="22">D54-E54</f>
        <v>1.2179448838266</v>
      </c>
      <c r="G54" s="467">
        <f>+VLOOKUP(A54,[1]UNnataccount.xls!$A$1:$I$232,9,0)/1000000000</f>
        <v>0.255602</v>
      </c>
      <c r="H54" s="383">
        <f t="shared" si="19"/>
        <v>0.73066077663739293</v>
      </c>
      <c r="I54" s="117">
        <f t="shared" ref="I54:I89" si="23">D54/(D54+C54)</f>
        <v>0.6885442169879078</v>
      </c>
      <c r="J54" s="332">
        <f t="shared" ref="J54:J89" si="24">1-I54</f>
        <v>0.3114557830120922</v>
      </c>
      <c r="K54" s="333">
        <f t="shared" ref="K54:K91" si="25">E54/D54</f>
        <v>-8.2143455202831173E-2</v>
      </c>
      <c r="L54" s="465">
        <f t="shared" si="17"/>
        <v>2.3923255199351803</v>
      </c>
      <c r="M54" s="117"/>
      <c r="O54" s="594">
        <f t="shared" si="1"/>
        <v>0</v>
      </c>
    </row>
    <row r="55" spans="1:17" ht="15.75" customHeight="1" x14ac:dyDescent="0.35">
      <c r="A55" s="458" t="str">
        <f>+TableA1!A55</f>
        <v>Anguilla</v>
      </c>
      <c r="B55" s="299">
        <f>TableA1!E55</f>
        <v>0.17888200000000001</v>
      </c>
      <c r="C55" s="418">
        <f>+VLOOKUP(A55,[1]UNnataccount.xls!$A$1:$I$232,8,0)/1000000000</f>
        <v>4.8179904000000003E-2</v>
      </c>
      <c r="D55" s="330">
        <f t="shared" si="20"/>
        <v>0.10651282000000002</v>
      </c>
      <c r="E55" s="331">
        <f t="shared" si="21"/>
        <v>-8.7493269932651958E-3</v>
      </c>
      <c r="F55" s="331">
        <f t="shared" si="22"/>
        <v>0.11526214699326522</v>
      </c>
      <c r="G55" s="467">
        <f>+VLOOKUP(A55,[1]UNnataccount.xls!$A$1:$I$232,9,0)/1000000000</f>
        <v>2.4189275999999999E-2</v>
      </c>
      <c r="H55" s="383">
        <f t="shared" si="19"/>
        <v>0.73066097203743252</v>
      </c>
      <c r="I55" s="117">
        <f t="shared" si="23"/>
        <v>0.68854447220154968</v>
      </c>
      <c r="J55" s="332">
        <f t="shared" si="24"/>
        <v>0.31145552779845032</v>
      </c>
      <c r="K55" s="333">
        <f t="shared" si="25"/>
        <v>-8.214341703904933E-2</v>
      </c>
      <c r="L55" s="465">
        <f t="shared" si="17"/>
        <v>2.3923282826230872</v>
      </c>
      <c r="M55" s="117"/>
      <c r="O55" s="594">
        <f t="shared" si="1"/>
        <v>0</v>
      </c>
    </row>
    <row r="56" spans="1:17" ht="15.75" customHeight="1" x14ac:dyDescent="0.35">
      <c r="A56" s="458" t="str">
        <f>+TableA1!A56</f>
        <v>Antigua and Barbuda</v>
      </c>
      <c r="B56" s="299">
        <f>TableA1!E56</f>
        <v>0.91761499999999996</v>
      </c>
      <c r="C56" s="418">
        <f>+VLOOKUP(A56,[1]UNnataccount.xls!$A$1:$I$232,8,0)/1000000000</f>
        <v>9.4220399999999996E-2</v>
      </c>
      <c r="D56" s="330">
        <f t="shared" si="20"/>
        <v>0.6993106</v>
      </c>
      <c r="E56" s="331">
        <f t="shared" si="21"/>
        <v>-4.4881618547003288E-2</v>
      </c>
      <c r="F56" s="331">
        <f t="shared" si="22"/>
        <v>0.74419221854700335</v>
      </c>
      <c r="G56" s="467">
        <f>+VLOOKUP(A56,[1]UNnataccount.xls!$A$1:$I$232,9,0)/1000000000</f>
        <v>0.124084</v>
      </c>
      <c r="H56" s="383">
        <f t="shared" si="19"/>
        <v>0.89732033587070836</v>
      </c>
      <c r="I56" s="117">
        <f t="shared" si="23"/>
        <v>0.88126437404461833</v>
      </c>
      <c r="J56" s="332">
        <f t="shared" si="24"/>
        <v>0.11873562595538167</v>
      </c>
      <c r="K56" s="333">
        <f t="shared" si="25"/>
        <v>-6.4179805864523265E-2</v>
      </c>
      <c r="L56" s="465">
        <f t="shared" si="17"/>
        <v>7.8984192228753365</v>
      </c>
      <c r="M56" s="117"/>
      <c r="O56" s="594">
        <f t="shared" si="1"/>
        <v>0</v>
      </c>
    </row>
    <row r="57" spans="1:17" ht="15.75" customHeight="1" x14ac:dyDescent="0.35">
      <c r="A57" s="458" t="str">
        <f>+TableA1!A57</f>
        <v>Aruba</v>
      </c>
      <c r="B57" s="299">
        <f>TableA1!E57</f>
        <v>1.6807799999999999</v>
      </c>
      <c r="C57" s="418">
        <f>+VLOOKUP(A57,[1]UNnataccount.xls!$A$1:$I$232,8,0)/1000000000</f>
        <v>0.45270100000000002</v>
      </c>
      <c r="D57" s="330">
        <f t="shared" si="20"/>
        <v>1.0007949999999999</v>
      </c>
      <c r="E57" s="331">
        <f t="shared" si="21"/>
        <v>-8.2208907680707252E-2</v>
      </c>
      <c r="F57" s="331">
        <f t="shared" si="22"/>
        <v>1.0830039076807072</v>
      </c>
      <c r="G57" s="467">
        <f>+VLOOKUP(A57,[1]UNnataccount.xls!$A$1:$I$232,9,0)/1000000000</f>
        <v>0.22728400000000001</v>
      </c>
      <c r="H57" s="383">
        <f t="shared" si="19"/>
        <v>0.73066016968312331</v>
      </c>
      <c r="I57" s="117">
        <f t="shared" si="23"/>
        <v>0.68854334652451743</v>
      </c>
      <c r="J57" s="332">
        <f t="shared" si="24"/>
        <v>0.31145665347548257</v>
      </c>
      <c r="K57" s="333">
        <f t="shared" si="25"/>
        <v>-8.2143603515912114E-2</v>
      </c>
      <c r="L57" s="465">
        <f t="shared" si="17"/>
        <v>2.3923161373195709</v>
      </c>
      <c r="M57" s="117"/>
      <c r="O57" s="594">
        <f t="shared" si="1"/>
        <v>0</v>
      </c>
    </row>
    <row r="58" spans="1:17" ht="15.75" customHeight="1" x14ac:dyDescent="0.35">
      <c r="A58" s="458" t="str">
        <f>+TableA1!A58</f>
        <v>Bahamas, The</v>
      </c>
      <c r="B58" s="299">
        <f>TableA1!E58</f>
        <v>7.5567900000000003</v>
      </c>
      <c r="C58" s="418">
        <f>+VLOOKUP(A58,[1]UNnataccount.xls!$A$1:$I$232,8,0)/1000000000</f>
        <v>0.49227100000000001</v>
      </c>
      <c r="D58" s="330">
        <f t="shared" si="20"/>
        <v>6.0426490000000008</v>
      </c>
      <c r="E58" s="331">
        <f t="shared" si="21"/>
        <v>-0.3696114015352942</v>
      </c>
      <c r="F58" s="331">
        <f t="shared" si="22"/>
        <v>6.4122604015352946</v>
      </c>
      <c r="G58" s="467">
        <f>+VLOOKUP(A58,[1]UNnataccount.xls!$A$1:$I$232,9,0)/1000000000</f>
        <v>1.0218700000000001</v>
      </c>
      <c r="H58" s="383">
        <f t="shared" si="19"/>
        <v>0.93485712848974234</v>
      </c>
      <c r="I58" s="117">
        <f t="shared" si="23"/>
        <v>0.92467069221964471</v>
      </c>
      <c r="J58" s="332">
        <f t="shared" si="24"/>
        <v>7.5329307780355292E-2</v>
      </c>
      <c r="K58" s="333">
        <f t="shared" si="25"/>
        <v>-6.1167114213533526E-2</v>
      </c>
      <c r="L58" s="465">
        <f t="shared" si="17"/>
        <v>13.025874775347917</v>
      </c>
      <c r="M58" s="117"/>
      <c r="O58" s="594">
        <f t="shared" si="1"/>
        <v>0</v>
      </c>
    </row>
    <row r="59" spans="1:17" ht="15.75" customHeight="1" x14ac:dyDescent="0.35">
      <c r="A59" s="458" t="str">
        <f>+TableA1!A59</f>
        <v>Bahrain</v>
      </c>
      <c r="B59" s="299">
        <f>TableA1!E59</f>
        <v>22.1172</v>
      </c>
      <c r="C59" s="1721">
        <f>+B59*SUM($C$60:$C$73,$C$54:$C$58,$C$75:$C$89)/SUM($B$75:$B$89,$B$60:$B$73,$B$54:$B$58)</f>
        <v>10.122538414747584</v>
      </c>
      <c r="D59" s="330">
        <f t="shared" si="20"/>
        <v>10.950201585252415</v>
      </c>
      <c r="E59" s="331">
        <f t="shared" si="21"/>
        <v>-1.0817780155378685</v>
      </c>
      <c r="F59" s="331">
        <f t="shared" si="22"/>
        <v>12.031979600790283</v>
      </c>
      <c r="G59" s="467">
        <f>+VLOOKUP(A59,[1]UNnataccount.xls!$A$1:$I$232,9,0)/1000000000</f>
        <v>1.0444599999999999</v>
      </c>
      <c r="H59" s="383">
        <f t="shared" si="19"/>
        <v>0.54232278883639951</v>
      </c>
      <c r="I59" s="117">
        <f t="shared" si="23"/>
        <v>0.5196382428318489</v>
      </c>
      <c r="J59" s="332">
        <f t="shared" si="24"/>
        <v>0.4803617571681511</v>
      </c>
      <c r="K59" s="333">
        <f t="shared" si="25"/>
        <v>-9.8790694136151117E-2</v>
      </c>
      <c r="L59" s="465">
        <f t="shared" si="17"/>
        <v>1.1886326440866672</v>
      </c>
      <c r="M59" s="117"/>
      <c r="O59" s="594">
        <f t="shared" si="1"/>
        <v>0</v>
      </c>
    </row>
    <row r="60" spans="1:17" ht="15.75" customHeight="1" x14ac:dyDescent="0.35">
      <c r="A60" s="458" t="str">
        <f>+TableA1!A60</f>
        <v>Barbados</v>
      </c>
      <c r="B60" s="299">
        <f>TableA1!E60</f>
        <v>3.0819800000000002</v>
      </c>
      <c r="C60" s="1721">
        <f>+VLOOKUP(A60,[1]UNnataccount.xls!$A$1:$I$232,8,0)/1000000000</f>
        <v>0.34493299999999999</v>
      </c>
      <c r="D60" s="330">
        <f t="shared" si="20"/>
        <v>2.3202859999999998</v>
      </c>
      <c r="E60" s="331">
        <f t="shared" si="21"/>
        <v>-0.1507432318886387</v>
      </c>
      <c r="F60" s="331">
        <f t="shared" si="22"/>
        <v>2.4710292318886387</v>
      </c>
      <c r="G60" s="467">
        <f>+VLOOKUP(A60,[1]UNnataccount.xls!$A$1:$I$232,9,0)/1000000000</f>
        <v>0.41676099999999999</v>
      </c>
      <c r="H60" s="383">
        <f t="shared" si="19"/>
        <v>0.88808071434597236</v>
      </c>
      <c r="I60" s="117">
        <f t="shared" si="23"/>
        <v>0.87057986604477899</v>
      </c>
      <c r="J60" s="332">
        <f t="shared" si="24"/>
        <v>0.12942013395522101</v>
      </c>
      <c r="K60" s="333">
        <f t="shared" si="25"/>
        <v>-6.4967522059193872E-2</v>
      </c>
      <c r="L60" s="465">
        <f t="shared" si="17"/>
        <v>7.1637948004065679</v>
      </c>
      <c r="M60" s="117"/>
      <c r="O60" s="594">
        <f t="shared" si="1"/>
        <v>0</v>
      </c>
    </row>
    <row r="61" spans="1:17" ht="15.75" customHeight="1" x14ac:dyDescent="0.35">
      <c r="A61" s="458" t="str">
        <f>+TableA1!A61</f>
        <v>Belize</v>
      </c>
      <c r="B61" s="299">
        <f>TableA1!E61</f>
        <v>1.17154</v>
      </c>
      <c r="C61" s="1721">
        <f>+VLOOKUP(A61,[1]UNnataccount.xls!$A$1:$I$232,8,0)/1000000000</f>
        <v>0.13389599999999999</v>
      </c>
      <c r="D61" s="330">
        <f t="shared" si="20"/>
        <v>0.87922299999999998</v>
      </c>
      <c r="E61" s="331">
        <f t="shared" si="21"/>
        <v>-5.7301386085184133E-2</v>
      </c>
      <c r="F61" s="331">
        <f t="shared" si="22"/>
        <v>0.93652438608518407</v>
      </c>
      <c r="G61" s="467">
        <f>+VLOOKUP(A61,[1]UNnataccount.xls!$A$1:$I$232,9,0)/1000000000</f>
        <v>0.15842100000000001</v>
      </c>
      <c r="H61" s="383">
        <f t="shared" si="19"/>
        <v>0.88570940812947063</v>
      </c>
      <c r="I61" s="117">
        <f t="shared" si="23"/>
        <v>0.86783783543690329</v>
      </c>
      <c r="J61" s="332">
        <f t="shared" si="24"/>
        <v>0.13216216456309671</v>
      </c>
      <c r="K61" s="333">
        <f t="shared" si="25"/>
        <v>-6.5172756041623273E-2</v>
      </c>
      <c r="L61" s="465">
        <f t="shared" si="17"/>
        <v>6.9944164581853387</v>
      </c>
      <c r="M61" s="117"/>
      <c r="O61" s="594">
        <f t="shared" si="1"/>
        <v>0</v>
      </c>
    </row>
    <row r="62" spans="1:17" ht="15.75" customHeight="1" x14ac:dyDescent="0.35">
      <c r="A62" s="458" t="str">
        <f>+TableA1!A62</f>
        <v>Bermuda</v>
      </c>
      <c r="B62" s="299">
        <f>TableA1!E62</f>
        <v>4.8467700000000002</v>
      </c>
      <c r="C62" s="1721">
        <f>+VLOOKUP(A62,[1]UNnataccount.xls!$A$1:$I$232,8,0)/1000000000</f>
        <v>3.0988699999999998</v>
      </c>
      <c r="D62" s="330">
        <f t="shared" si="20"/>
        <v>1.5341060000000004</v>
      </c>
      <c r="E62" s="331">
        <f t="shared" si="21"/>
        <v>-0.23706116652960027</v>
      </c>
      <c r="F62" s="331">
        <f t="shared" si="22"/>
        <v>1.7711671665296007</v>
      </c>
      <c r="G62" s="467">
        <f>+VLOOKUP(A62,[1]UNnataccount.xls!$A$1:$I$232,9,0)/1000000000</f>
        <v>0.21379400000000001</v>
      </c>
      <c r="H62" s="383">
        <f t="shared" si="19"/>
        <v>0.36063192600432875</v>
      </c>
      <c r="I62" s="117">
        <f t="shared" si="23"/>
        <v>0.33112755170758501</v>
      </c>
      <c r="J62" s="332">
        <f t="shared" si="24"/>
        <v>0.66887244829241499</v>
      </c>
      <c r="K62" s="333">
        <f t="shared" si="25"/>
        <v>-0.15452724031429393</v>
      </c>
      <c r="L62" s="465">
        <f t="shared" si="17"/>
        <v>0.57155258740431214</v>
      </c>
      <c r="M62" s="117"/>
      <c r="O62" s="594">
        <f t="shared" si="1"/>
        <v>0</v>
      </c>
    </row>
    <row r="63" spans="1:17" ht="15.75" customHeight="1" x14ac:dyDescent="0.35">
      <c r="A63" s="458" t="str">
        <f>+TableA1!A63</f>
        <v>Bonaire</v>
      </c>
      <c r="B63" s="299">
        <f>TableA1!E63</f>
        <v>0.26904600000000001</v>
      </c>
      <c r="C63" s="1721">
        <f>+VLOOKUP(A63,[1]UNnataccount.xls!$A$1:$I$232,8,0)/1000000000</f>
        <v>7.2464799999999996E-2</v>
      </c>
      <c r="D63" s="330">
        <f t="shared" si="20"/>
        <v>0.16019941200000001</v>
      </c>
      <c r="E63" s="331">
        <f t="shared" si="21"/>
        <v>-1.3159353262094721E-2</v>
      </c>
      <c r="F63" s="331">
        <f t="shared" si="22"/>
        <v>0.17335876526209473</v>
      </c>
      <c r="G63" s="467">
        <f>+VLOOKUP(A63,[1]UNnataccount.xls!$A$1:$I$232,9,0)/1000000000</f>
        <v>3.6381787999999998E-2</v>
      </c>
      <c r="H63" s="383">
        <f t="shared" si="19"/>
        <v>0.73066018450376513</v>
      </c>
      <c r="I63" s="117">
        <f t="shared" si="23"/>
        <v>0.68854341895950899</v>
      </c>
      <c r="J63" s="332">
        <f t="shared" si="24"/>
        <v>0.31145658104049101</v>
      </c>
      <c r="K63" s="333">
        <f t="shared" si="25"/>
        <v>-8.2143580290386584E-2</v>
      </c>
      <c r="L63" s="465">
        <f t="shared" si="17"/>
        <v>2.3923168940243364</v>
      </c>
      <c r="M63" s="117"/>
      <c r="O63" s="594">
        <f t="shared" si="1"/>
        <v>0</v>
      </c>
    </row>
    <row r="64" spans="1:17" ht="15.75" customHeight="1" x14ac:dyDescent="0.35">
      <c r="A64" s="458" t="str">
        <f>+TableA1!A64</f>
        <v>British Virgin Islands</v>
      </c>
      <c r="B64" s="299">
        <f>TableA1!E64</f>
        <v>0.60508099999999998</v>
      </c>
      <c r="C64" s="1721">
        <f>+VLOOKUP(A64,[1]UNnataccount.xls!$A$1:$I$232,8,0)/1000000000</f>
        <v>0.16297200000000001</v>
      </c>
      <c r="D64" s="330">
        <f t="shared" si="20"/>
        <v>0.36028688799999997</v>
      </c>
      <c r="E64" s="331">
        <f t="shared" si="21"/>
        <v>-2.9595216547287584E-2</v>
      </c>
      <c r="F64" s="331">
        <f t="shared" si="22"/>
        <v>0.38988210454728756</v>
      </c>
      <c r="G64" s="467">
        <f>+VLOOKUP(A64,[1]UNnataccount.xls!$A$1:$I$232,9,0)/1000000000</f>
        <v>8.1822112000000002E-2</v>
      </c>
      <c r="H64" s="383">
        <f t="shared" si="19"/>
        <v>0.73066085367083078</v>
      </c>
      <c r="I64" s="117">
        <f t="shared" si="23"/>
        <v>0.68854422975420149</v>
      </c>
      <c r="J64" s="332">
        <f t="shared" si="24"/>
        <v>0.31145577024579851</v>
      </c>
      <c r="K64" s="333">
        <f t="shared" si="25"/>
        <v>-8.2143473806594883E-2</v>
      </c>
      <c r="L64" s="465">
        <f t="shared" si="17"/>
        <v>2.3923257034784351</v>
      </c>
      <c r="M64" s="117"/>
      <c r="O64" s="594">
        <f t="shared" si="1"/>
        <v>0</v>
      </c>
    </row>
    <row r="65" spans="1:15" ht="15.75" customHeight="1" x14ac:dyDescent="0.35">
      <c r="A65" s="458" t="str">
        <f>+TableA1!A65</f>
        <v>Cayman Islands</v>
      </c>
      <c r="B65" s="299">
        <f>TableA1!E65</f>
        <v>2.3189600000000001</v>
      </c>
      <c r="C65" s="1721">
        <f>+VLOOKUP(A65,[1]UNnataccount.xls!$A$1:$I$232,8,0)/1000000000</f>
        <v>1.41639</v>
      </c>
      <c r="D65" s="330">
        <f t="shared" si="20"/>
        <v>0.58898800000000007</v>
      </c>
      <c r="E65" s="331">
        <f>+[2]HavenRawData!$O$18</f>
        <v>-0.47557262591999999</v>
      </c>
      <c r="F65" s="331">
        <f t="shared" si="22"/>
        <v>1.06456062592</v>
      </c>
      <c r="G65" s="467">
        <f>+VLOOKUP(A65,[1]UNnataccount.xls!$A$1:$I$232,9,0)/1000000000</f>
        <v>0.31358200000000003</v>
      </c>
      <c r="H65" s="383">
        <f t="shared" si="19"/>
        <v>0.38921326801669714</v>
      </c>
      <c r="I65" s="117">
        <f t="shared" si="23"/>
        <v>0.29370422932733875</v>
      </c>
      <c r="J65" s="332">
        <f t="shared" si="24"/>
        <v>0.70629577067266125</v>
      </c>
      <c r="K65" s="333">
        <f t="shared" si="25"/>
        <v>-0.80744026350282172</v>
      </c>
      <c r="L65" s="465">
        <f t="shared" si="17"/>
        <v>0.75160134279400448</v>
      </c>
      <c r="M65" s="117"/>
      <c r="O65" s="594">
        <f t="shared" si="1"/>
        <v>0</v>
      </c>
    </row>
    <row r="66" spans="1:15" ht="15.75" customHeight="1" x14ac:dyDescent="0.35">
      <c r="A66" s="458" t="str">
        <f>+TableA1!A66</f>
        <v>Curacao</v>
      </c>
      <c r="B66" s="299">
        <f>TableA1!E66</f>
        <v>2.0247299999999999</v>
      </c>
      <c r="C66" s="1721">
        <f>+VLOOKUP(A66,[1]UNnataccount.xls!$A$1:$I$232,8,0)/1000000000</f>
        <v>1.3583099999999999</v>
      </c>
      <c r="D66" s="330">
        <f t="shared" si="20"/>
        <v>0.35703400000000002</v>
      </c>
      <c r="E66" s="331">
        <f>+B66*$E$103</f>
        <v>-9.9031902835801475E-2</v>
      </c>
      <c r="F66" s="331">
        <f t="shared" si="22"/>
        <v>0.45606590283580151</v>
      </c>
      <c r="G66" s="467">
        <f>+VLOOKUP(A66,[1]UNnataccount.xls!$A$1:$I$232,9,0)/1000000000</f>
        <v>0.30938599999999999</v>
      </c>
      <c r="H66" s="383">
        <f t="shared" si="19"/>
        <v>0.32914018165385017</v>
      </c>
      <c r="I66" s="117">
        <f t="shared" si="23"/>
        <v>0.20814134074564636</v>
      </c>
      <c r="J66" s="332">
        <f t="shared" si="24"/>
        <v>0.79185865925435361</v>
      </c>
      <c r="K66" s="333">
        <f t="shared" si="25"/>
        <v>-0.27737387149627618</v>
      </c>
      <c r="L66" s="465">
        <f t="shared" si="17"/>
        <v>0.33575980655064125</v>
      </c>
      <c r="M66" s="117"/>
      <c r="O66" s="594">
        <f t="shared" si="1"/>
        <v>0</v>
      </c>
    </row>
    <row r="67" spans="1:15" ht="15.75" customHeight="1" x14ac:dyDescent="0.35">
      <c r="A67" s="458" t="str">
        <f>+TableA1!A67</f>
        <v>Cyprus</v>
      </c>
      <c r="B67" s="299">
        <f>TableA1!E67</f>
        <v>9.9627499999999998</v>
      </c>
      <c r="C67" s="1721">
        <f>+VLOOKUP(A67,[1]UNnataccount.xls!$A$1:$I$232,8,0)/1000000000</f>
        <v>5.5453299999999999</v>
      </c>
      <c r="D67" s="330">
        <f t="shared" si="20"/>
        <v>3.12425</v>
      </c>
      <c r="E67" s="331">
        <f>+[2]HavenRawData!$O$20</f>
        <v>0</v>
      </c>
      <c r="F67" s="331">
        <f t="shared" si="22"/>
        <v>3.12425</v>
      </c>
      <c r="G67" s="467">
        <f>+VLOOKUP(A67,[1]UNnataccount.xls!$A$1:$I$232,9,0)/1000000000</f>
        <v>1.2931699999999999</v>
      </c>
      <c r="H67" s="383">
        <f t="shared" si="19"/>
        <v>0.44339364131389425</v>
      </c>
      <c r="I67" s="117">
        <f t="shared" si="23"/>
        <v>0.36036924510760615</v>
      </c>
      <c r="J67" s="332">
        <f t="shared" si="24"/>
        <v>0.63963075489239385</v>
      </c>
      <c r="K67" s="333">
        <f t="shared" si="25"/>
        <v>0</v>
      </c>
      <c r="L67" s="465">
        <f t="shared" si="17"/>
        <v>0.56340199771699795</v>
      </c>
      <c r="M67" s="117"/>
      <c r="O67" s="594">
        <f t="shared" si="1"/>
        <v>0</v>
      </c>
    </row>
    <row r="68" spans="1:15" ht="15.75" customHeight="1" x14ac:dyDescent="0.35">
      <c r="A68" s="458" t="str">
        <f>+TableA1!A68</f>
        <v>Jersey</v>
      </c>
      <c r="B68" s="299">
        <f>TableA1!E68</f>
        <v>4.6878599999999997</v>
      </c>
      <c r="C68" s="1721">
        <f>+VLOOKUP(A68,[1]UNnataccount.xls!$A$1:$I$232,8,0)/1000000000</f>
        <v>1.2626299999999999</v>
      </c>
      <c r="D68" s="330">
        <f t="shared" si="20"/>
        <v>2.7913139999999999</v>
      </c>
      <c r="E68" s="331">
        <f>+B68*$E$103</f>
        <v>-0.2292886933210059</v>
      </c>
      <c r="F68" s="331">
        <f t="shared" si="22"/>
        <v>3.0206026933210057</v>
      </c>
      <c r="G68" s="467">
        <f>+VLOOKUP(A68,[1]UNnataccount.xls!$A$1:$I$232,9,0)/1000000000</f>
        <v>0.63391600000000004</v>
      </c>
      <c r="H68" s="383">
        <f t="shared" si="19"/>
        <v>0.73065961867461915</v>
      </c>
      <c r="I68" s="117">
        <f t="shared" si="23"/>
        <v>0.68854281164219344</v>
      </c>
      <c r="J68" s="332">
        <f t="shared" si="24"/>
        <v>0.31145718835780656</v>
      </c>
      <c r="K68" s="333">
        <f t="shared" si="25"/>
        <v>-8.2143640350389069E-2</v>
      </c>
      <c r="L68" s="465">
        <f t="shared" si="17"/>
        <v>2.3923102518718911</v>
      </c>
      <c r="M68" s="117"/>
      <c r="O68" s="594">
        <f t="shared" si="1"/>
        <v>0</v>
      </c>
    </row>
    <row r="69" spans="1:15" ht="15.75" customHeight="1" x14ac:dyDescent="0.35">
      <c r="A69" s="458" t="str">
        <f>+TableA1!A69</f>
        <v>Grenada</v>
      </c>
      <c r="B69" s="299">
        <f>TableA1!E69</f>
        <v>0.50683400000000001</v>
      </c>
      <c r="C69" s="1721">
        <f>+VLOOKUP(A69,[1]UNnataccount.xls!$A$1:$I$232,8,0)/1000000000</f>
        <v>7.3907048000000003E-2</v>
      </c>
      <c r="D69" s="330">
        <f t="shared" si="20"/>
        <v>0.35847732799999998</v>
      </c>
      <c r="E69" s="331">
        <f>+B69*$E$103</f>
        <v>-2.4789841332859497E-2</v>
      </c>
      <c r="F69" s="331">
        <f t="shared" si="22"/>
        <v>0.38326716933285948</v>
      </c>
      <c r="G69" s="467">
        <f>+VLOOKUP(A69,[1]UNnataccount.xls!$A$1:$I$232,9,0)/1000000000</f>
        <v>7.4449624000000006E-2</v>
      </c>
      <c r="H69" s="383">
        <f t="shared" si="19"/>
        <v>0.85417898562448447</v>
      </c>
      <c r="I69" s="117">
        <f t="shared" si="23"/>
        <v>0.82907095606988346</v>
      </c>
      <c r="J69" s="332">
        <f t="shared" si="24"/>
        <v>0.17092904393011654</v>
      </c>
      <c r="K69" s="333">
        <f t="shared" si="25"/>
        <v>-6.9153163663559489E-2</v>
      </c>
      <c r="L69" s="465">
        <f t="shared" si="17"/>
        <v>5.1857999974895419</v>
      </c>
      <c r="M69" s="117"/>
      <c r="O69" s="594">
        <f t="shared" si="1"/>
        <v>0</v>
      </c>
    </row>
    <row r="70" spans="1:15" ht="15.75" customHeight="1" x14ac:dyDescent="0.35">
      <c r="A70" s="458" t="str">
        <f>+TableA1!A70</f>
        <v>Guernsey</v>
      </c>
      <c r="B70" s="299">
        <f>TableA1!E70</f>
        <v>3.1522600000000001</v>
      </c>
      <c r="C70" s="1721">
        <f>+VLOOKUP(A70,[1]UNnataccount.xls!$A$1:$I$232,8,0)/1000000000</f>
        <v>0.84902900000000003</v>
      </c>
      <c r="D70" s="330">
        <f t="shared" si="20"/>
        <v>1.8769660000000004</v>
      </c>
      <c r="E70" s="331">
        <f>+B70*$E$103</f>
        <v>-0.15418070855530544</v>
      </c>
      <c r="F70" s="331">
        <f t="shared" si="22"/>
        <v>2.0311467085553057</v>
      </c>
      <c r="G70" s="467">
        <f>+VLOOKUP(A70,[1]UNnataccount.xls!$A$1:$I$232,9,0)/1000000000</f>
        <v>0.42626500000000001</v>
      </c>
      <c r="H70" s="383">
        <f t="shared" si="19"/>
        <v>0.73066022472765579</v>
      </c>
      <c r="I70" s="117">
        <f t="shared" si="23"/>
        <v>0.68854344927265099</v>
      </c>
      <c r="J70" s="332">
        <f t="shared" si="24"/>
        <v>0.31145655072734901</v>
      </c>
      <c r="K70" s="333">
        <f t="shared" si="25"/>
        <v>-8.2143580946754183E-2</v>
      </c>
      <c r="L70" s="465">
        <f t="shared" si="17"/>
        <v>2.3923172336343113</v>
      </c>
      <c r="M70" s="117"/>
      <c r="O70" s="594">
        <f t="shared" si="1"/>
        <v>0</v>
      </c>
    </row>
    <row r="71" spans="1:15" ht="15.75" customHeight="1" x14ac:dyDescent="0.35">
      <c r="A71" s="458" t="str">
        <f>+TableA1!A71</f>
        <v>Gibraltar</v>
      </c>
      <c r="B71" s="299">
        <f>TableA1!E71</f>
        <v>1.6875</v>
      </c>
      <c r="C71" s="1721">
        <f>+VLOOKUP(A71,[1]UNnataccount.xls!$A$1:$I$232,8,0)/1000000000</f>
        <v>0.45451200000000003</v>
      </c>
      <c r="D71" s="330">
        <f t="shared" si="20"/>
        <v>1.0047949999999999</v>
      </c>
      <c r="E71" s="331">
        <f>+B71*$E$103</f>
        <v>-8.2537590708595704E-2</v>
      </c>
      <c r="F71" s="331">
        <f t="shared" si="22"/>
        <v>1.0873325907085956</v>
      </c>
      <c r="G71" s="467">
        <f>+VLOOKUP(A71,[1]UNnataccount.xls!$A$1:$I$232,9,0)/1000000000</f>
        <v>0.22819300000000001</v>
      </c>
      <c r="H71" s="383">
        <f t="shared" si="19"/>
        <v>0.73065955555555551</v>
      </c>
      <c r="I71" s="117">
        <f t="shared" si="23"/>
        <v>0.68854257534569485</v>
      </c>
      <c r="J71" s="332">
        <f t="shared" si="24"/>
        <v>0.31145742465430515</v>
      </c>
      <c r="K71" s="333">
        <f t="shared" si="25"/>
        <v>-8.2143711611418965E-2</v>
      </c>
      <c r="L71" s="465">
        <f t="shared" si="17"/>
        <v>2.3923077734110332</v>
      </c>
      <c r="M71" s="117"/>
      <c r="O71" s="594">
        <f t="shared" si="1"/>
        <v>0</v>
      </c>
    </row>
    <row r="72" spans="1:15" ht="15.75" customHeight="1" x14ac:dyDescent="0.35">
      <c r="A72" s="458" t="str">
        <f>+TableA1!A72</f>
        <v>Hong Kong</v>
      </c>
      <c r="B72" s="299">
        <f>TableA1!E72</f>
        <v>219.09200000000001</v>
      </c>
      <c r="C72" s="1721">
        <f>+VLOOKUP(A72,[1]UNnataccount.xls!$A$1:$I$232,8,0)/1000000000</f>
        <v>117.069</v>
      </c>
      <c r="D72" s="330">
        <f t="shared" si="20"/>
        <v>72.396300000000011</v>
      </c>
      <c r="E72" s="331">
        <f>+[2]HavenRawData!$O$25</f>
        <v>-1.5334282122</v>
      </c>
      <c r="F72" s="331">
        <f t="shared" si="22"/>
        <v>73.929728212200004</v>
      </c>
      <c r="G72" s="467">
        <f>+VLOOKUP(A72,[1]UNnataccount.xls!$A$1:$I$232,9,0)/1000000000</f>
        <v>29.6267</v>
      </c>
      <c r="H72" s="383">
        <f t="shared" si="19"/>
        <v>0.46566282657513741</v>
      </c>
      <c r="I72" s="117">
        <f t="shared" si="23"/>
        <v>0.38210849163408817</v>
      </c>
      <c r="J72" s="332">
        <f t="shared" si="24"/>
        <v>0.61789150836591178</v>
      </c>
      <c r="K72" s="333">
        <f t="shared" si="25"/>
        <v>-2.1181030138280543E-2</v>
      </c>
      <c r="L72" s="465">
        <f t="shared" si="17"/>
        <v>0.63150559253260896</v>
      </c>
      <c r="M72" s="117"/>
      <c r="O72" s="594">
        <f t="shared" si="1"/>
        <v>0</v>
      </c>
    </row>
    <row r="73" spans="1:15" ht="15.75" customHeight="1" x14ac:dyDescent="0.35">
      <c r="A73" s="458" t="str">
        <f>+TableA1!A73</f>
        <v>Isle of man</v>
      </c>
      <c r="B73" s="299">
        <f>TableA1!E73</f>
        <v>4.56663</v>
      </c>
      <c r="C73" s="1721">
        <f>+VLOOKUP(A73,[1]UNnataccount.xls!$A$1:$I$232,8,0)/1000000000</f>
        <v>1.22997</v>
      </c>
      <c r="D73" s="330">
        <f t="shared" si="20"/>
        <v>2.7191380000000001</v>
      </c>
      <c r="E73" s="331">
        <f>+B73*$E$103</f>
        <v>-0.22335919280450039</v>
      </c>
      <c r="F73" s="331">
        <f t="shared" si="22"/>
        <v>2.9424971928045003</v>
      </c>
      <c r="G73" s="467">
        <f>+VLOOKUP(A73,[1]UNnataccount.xls!$A$1:$I$232,9,0)/1000000000</f>
        <v>0.61752200000000002</v>
      </c>
      <c r="H73" s="383">
        <f t="shared" si="19"/>
        <v>0.73066134107646119</v>
      </c>
      <c r="I73" s="117">
        <f t="shared" si="23"/>
        <v>0.68854485620550265</v>
      </c>
      <c r="J73" s="332">
        <f t="shared" si="24"/>
        <v>0.31145514379449735</v>
      </c>
      <c r="K73" s="333">
        <f t="shared" si="25"/>
        <v>-8.2143382500079215E-2</v>
      </c>
      <c r="L73" s="465">
        <f t="shared" si="17"/>
        <v>2.3923324900643919</v>
      </c>
      <c r="M73" s="117"/>
      <c r="O73" s="594">
        <f t="shared" si="1"/>
        <v>0</v>
      </c>
    </row>
    <row r="74" spans="1:15" ht="15.75" customHeight="1" x14ac:dyDescent="0.35">
      <c r="A74" s="652" t="str">
        <f>+TableA1!A74</f>
        <v>Lebanon</v>
      </c>
      <c r="B74" s="299">
        <f>TableA1!E74</f>
        <v>33.252099999999999</v>
      </c>
      <c r="C74" s="1721">
        <f>+B74*SUM($C$60:$C$73,$C$54:$C$58,$C$75:$C$89)/SUM($B$75:$B$89,$B$60:$B$73,$B$54:$B$58)</f>
        <v>15.218728393333157</v>
      </c>
      <c r="D74" s="653">
        <f t="shared" si="20"/>
        <v>13.53685160666684</v>
      </c>
      <c r="E74" s="654">
        <f>+B74*$E$103</f>
        <v>-1.6263989451859528</v>
      </c>
      <c r="F74" s="654">
        <f t="shared" si="22"/>
        <v>15.163250551852792</v>
      </c>
      <c r="G74" s="467">
        <f>+VLOOKUP(A74,[1]UNnataccount.xls!$A$1:$I$232,9,0)/1000000000</f>
        <v>4.4965200000000003</v>
      </c>
      <c r="H74" s="655">
        <f t="shared" si="19"/>
        <v>0.54232278883639951</v>
      </c>
      <c r="I74" s="359">
        <f t="shared" si="23"/>
        <v>0.47075564487542393</v>
      </c>
      <c r="J74" s="656">
        <f t="shared" si="24"/>
        <v>0.52924435512457602</v>
      </c>
      <c r="K74" s="657">
        <f t="shared" si="25"/>
        <v>-0.12014602748433457</v>
      </c>
      <c r="L74" s="362">
        <f t="shared" si="17"/>
        <v>0.9963546335773581</v>
      </c>
      <c r="M74" s="117"/>
      <c r="O74" s="594">
        <f t="shared" ref="O74:O91" si="26">B74-C74-D74-G74</f>
        <v>0</v>
      </c>
    </row>
    <row r="75" spans="1:15" ht="15.75" customHeight="1" x14ac:dyDescent="0.35">
      <c r="A75" s="458" t="str">
        <f>+TableA1!A75</f>
        <v>Liechtenstein</v>
      </c>
      <c r="B75" s="299">
        <f>TableA1!E75</f>
        <v>4.7388899999999996</v>
      </c>
      <c r="C75" s="1721">
        <f>+VLOOKUP(A75,[1]UNnataccount.xls!$A$1:$I$232,8,0)/1000000000</f>
        <v>2.9184000000000001</v>
      </c>
      <c r="D75" s="330">
        <f t="shared" si="20"/>
        <v>1.1529629999999995</v>
      </c>
      <c r="E75" s="331">
        <f>+B75*$E$103</f>
        <v>-0.23178463006403383</v>
      </c>
      <c r="F75" s="331">
        <f t="shared" si="22"/>
        <v>1.3847476300640333</v>
      </c>
      <c r="G75" s="467">
        <f>+VLOOKUP(A75,[1]UNnataccount.xls!$A$1:$I$232,9,0)/1000000000</f>
        <v>0.66752699999999998</v>
      </c>
      <c r="H75" s="383">
        <f t="shared" si="19"/>
        <v>0.38415958167418945</v>
      </c>
      <c r="I75" s="117">
        <f t="shared" si="23"/>
        <v>0.28318845556144207</v>
      </c>
      <c r="J75" s="332">
        <f t="shared" si="24"/>
        <v>0.71681154443855788</v>
      </c>
      <c r="K75" s="333">
        <f t="shared" si="25"/>
        <v>-0.20103388405701997</v>
      </c>
      <c r="L75" s="465">
        <f t="shared" si="17"/>
        <v>0.47448863420505527</v>
      </c>
      <c r="M75" s="117"/>
      <c r="O75" s="594">
        <f t="shared" si="26"/>
        <v>0</v>
      </c>
    </row>
    <row r="76" spans="1:15" ht="15.75" customHeight="1" x14ac:dyDescent="0.35">
      <c r="A76" s="458" t="str">
        <f>+TableA1!A76</f>
        <v>Macau</v>
      </c>
      <c r="B76" s="299">
        <f>TableA1!E76</f>
        <v>25.217500000000001</v>
      </c>
      <c r="C76" s="1721">
        <f>+VLOOKUP(A76,[1]UNnataccount.xls!$A$1:$I$232,8,0)/1000000000</f>
        <v>10.102600000000001</v>
      </c>
      <c r="D76" s="330">
        <f t="shared" si="20"/>
        <v>11.70486</v>
      </c>
      <c r="E76" s="331">
        <f>+B76*$E$103</f>
        <v>-1.2334172999668223</v>
      </c>
      <c r="F76" s="331">
        <f t="shared" si="22"/>
        <v>12.938277299966822</v>
      </c>
      <c r="G76" s="467">
        <f>+VLOOKUP(A76,[1]UNnataccount.xls!$A$1:$I$232,9,0)/1000000000</f>
        <v>3.41004</v>
      </c>
      <c r="H76" s="383">
        <f t="shared" si="19"/>
        <v>0.5993813819768018</v>
      </c>
      <c r="I76" s="117">
        <f t="shared" si="23"/>
        <v>0.53673651126724531</v>
      </c>
      <c r="J76" s="332">
        <f t="shared" si="24"/>
        <v>0.46326348873275469</v>
      </c>
      <c r="K76" s="333">
        <f t="shared" si="25"/>
        <v>-0.1053765102672584</v>
      </c>
      <c r="L76" s="465">
        <f t="shared" si="17"/>
        <v>1.2806878724255955</v>
      </c>
      <c r="M76" s="117"/>
      <c r="O76" s="594">
        <f t="shared" si="26"/>
        <v>0</v>
      </c>
    </row>
    <row r="77" spans="1:15" ht="15.75" customHeight="1" x14ac:dyDescent="0.35">
      <c r="A77" s="458" t="s">
        <v>301</v>
      </c>
      <c r="B77" s="299">
        <f>TableA1!E77</f>
        <v>5.8736199999999998</v>
      </c>
      <c r="C77" s="1721">
        <f>+VLOOKUP(A77,[1]UNnataccount.xls!$A$1:$I$232,8,0)/1000000000</f>
        <v>2.7482700000000002</v>
      </c>
      <c r="D77" s="330">
        <f t="shared" si="20"/>
        <v>2.3345849999999997</v>
      </c>
      <c r="E77" s="331">
        <f>-'[3]World BOP data'!$I$117/1000000000</f>
        <v>1.6701859999999999E-3</v>
      </c>
      <c r="F77" s="331">
        <f t="shared" si="22"/>
        <v>2.3329148139999996</v>
      </c>
      <c r="G77" s="467">
        <f>+VLOOKUP(A77,[1]UNnataccount.xls!$A$1:$I$232,9,0)/1000000000</f>
        <v>0.79076500000000005</v>
      </c>
      <c r="H77" s="383">
        <f t="shared" si="19"/>
        <v>0.53209945485067123</v>
      </c>
      <c r="I77" s="117">
        <f t="shared" si="23"/>
        <v>0.45930584287767395</v>
      </c>
      <c r="J77" s="332">
        <f t="shared" si="24"/>
        <v>0.54069415712232605</v>
      </c>
      <c r="K77" s="333">
        <f t="shared" si="25"/>
        <v>7.1541023351045271E-4</v>
      </c>
      <c r="L77" s="465">
        <f t="shared" si="17"/>
        <v>0.84886667394397175</v>
      </c>
      <c r="M77" s="117"/>
      <c r="O77" s="594">
        <f t="shared" si="26"/>
        <v>0</v>
      </c>
    </row>
    <row r="78" spans="1:15" ht="15.75" customHeight="1" x14ac:dyDescent="0.35">
      <c r="A78" s="458" t="s">
        <v>302</v>
      </c>
      <c r="B78" s="299">
        <f>TableA1!E78</f>
        <v>0.12894600000000001</v>
      </c>
      <c r="C78" s="418">
        <f>+VLOOKUP(A78,[1]UNnataccount.xls!$A$1:$I$232,8,0)/1000000000</f>
        <v>8.3486143999999998E-2</v>
      </c>
      <c r="D78" s="330">
        <f t="shared" si="20"/>
        <v>2.8023098000000007E-2</v>
      </c>
      <c r="E78" s="331">
        <f>+B78*$E$103</f>
        <v>-6.3068990645988639E-3</v>
      </c>
      <c r="F78" s="331">
        <f t="shared" si="22"/>
        <v>3.4329997064598869E-2</v>
      </c>
      <c r="G78" s="467">
        <f>+VLOOKUP(A78,[1]UNnataccount.xls!$A$1:$I$232,9,0)/1000000000</f>
        <v>1.7436758E-2</v>
      </c>
      <c r="H78" s="383">
        <f t="shared" si="19"/>
        <v>0.35254956338312166</v>
      </c>
      <c r="I78" s="117">
        <f t="shared" si="23"/>
        <v>0.25130740284289621</v>
      </c>
      <c r="J78" s="332">
        <f t="shared" si="24"/>
        <v>0.74869259715710379</v>
      </c>
      <c r="K78" s="333">
        <f t="shared" si="25"/>
        <v>-0.22506073613270247</v>
      </c>
      <c r="L78" s="465">
        <f t="shared" si="17"/>
        <v>0.41120592495682723</v>
      </c>
      <c r="M78" s="117"/>
      <c r="O78" s="594">
        <f t="shared" si="26"/>
        <v>0</v>
      </c>
    </row>
    <row r="79" spans="1:15" ht="15.75" customHeight="1" x14ac:dyDescent="0.35">
      <c r="A79" s="458" t="str">
        <f>+TableA1!A79</f>
        <v>Monaco</v>
      </c>
      <c r="B79" s="299">
        <f>TableA1!E79</f>
        <v>3.85907</v>
      </c>
      <c r="C79" s="418">
        <f>+VLOOKUP(A79,[1]UNnataccount.xls!$A$1:$I$232,8,0)/1000000000</f>
        <v>1.0394000000000001</v>
      </c>
      <c r="D79" s="330">
        <f t="shared" si="20"/>
        <v>2.2978269999999998</v>
      </c>
      <c r="E79" s="331">
        <f>+B79*$E$103</f>
        <v>-0.18875160899307877</v>
      </c>
      <c r="F79" s="331">
        <f t="shared" si="22"/>
        <v>2.4865786089930788</v>
      </c>
      <c r="G79" s="467">
        <f>+VLOOKUP(A79,[1]UNnataccount.xls!$A$1:$I$232,9,0)/1000000000</f>
        <v>0.52184299999999995</v>
      </c>
      <c r="H79" s="383">
        <f t="shared" si="19"/>
        <v>0.73066049592259275</v>
      </c>
      <c r="I79" s="117">
        <f t="shared" si="23"/>
        <v>0.688543811973234</v>
      </c>
      <c r="J79" s="332">
        <f t="shared" si="24"/>
        <v>0.311456188026766</v>
      </c>
      <c r="K79" s="333">
        <f t="shared" si="25"/>
        <v>-8.2143524727091632E-2</v>
      </c>
      <c r="L79" s="465">
        <f t="shared" si="17"/>
        <v>2.3923211554676529</v>
      </c>
      <c r="M79" s="117"/>
      <c r="O79" s="594">
        <f t="shared" si="26"/>
        <v>0</v>
      </c>
    </row>
    <row r="80" spans="1:15" ht="15.75" customHeight="1" x14ac:dyDescent="0.35">
      <c r="A80" s="458" t="str">
        <f>+TableA1!A80</f>
        <v>Sint Maarten</v>
      </c>
      <c r="B80" s="299">
        <f>TableA1!E80</f>
        <v>0.53428699999999996</v>
      </c>
      <c r="C80" s="418">
        <f>+VLOOKUP(A80,[1]UNnataccount.xls!$A$1:$I$232,8,0)/1000000000</f>
        <v>0.14390500000000001</v>
      </c>
      <c r="D80" s="330">
        <f t="shared" si="20"/>
        <v>0.31813307199999996</v>
      </c>
      <c r="E80" s="331">
        <f>+B80*$E$103</f>
        <v>-2.6132599541880575E-2</v>
      </c>
      <c r="F80" s="331">
        <f t="shared" si="22"/>
        <v>0.34426567154188054</v>
      </c>
      <c r="G80" s="467">
        <f>+VLOOKUP(A80,[1]UNnataccount.xls!$A$1:$I$232,9,0)/1000000000</f>
        <v>7.2248928000000004E-2</v>
      </c>
      <c r="H80" s="383">
        <f t="shared" si="19"/>
        <v>0.73065973905410386</v>
      </c>
      <c r="I80" s="117">
        <f t="shared" si="23"/>
        <v>0.68854298223285804</v>
      </c>
      <c r="J80" s="332">
        <f t="shared" si="24"/>
        <v>0.31145701776714196</v>
      </c>
      <c r="K80" s="333">
        <f t="shared" si="25"/>
        <v>-8.2143611720697104E-2</v>
      </c>
      <c r="L80" s="465">
        <f t="shared" si="17"/>
        <v>2.3923120916012683</v>
      </c>
      <c r="M80" s="117"/>
      <c r="O80" s="594">
        <f t="shared" si="26"/>
        <v>0</v>
      </c>
    </row>
    <row r="81" spans="1:17" ht="15.75" customHeight="1" x14ac:dyDescent="0.35">
      <c r="A81" s="458" t="str">
        <f>+TableA1!A81</f>
        <v>Mauritius</v>
      </c>
      <c r="B81" s="299">
        <f>TableA1!E81</f>
        <v>7.8608700000000002</v>
      </c>
      <c r="C81" s="418">
        <f>+VLOOKUP(A81,[1]UNnataccount.xls!$A$1:$I$232,8,0)/1000000000</f>
        <v>0.36308000000000001</v>
      </c>
      <c r="D81" s="330">
        <f t="shared" si="20"/>
        <v>6.4348000000000001</v>
      </c>
      <c r="E81" s="331">
        <f>+B81*$E$103</f>
        <v>-0.38448430854724669</v>
      </c>
      <c r="F81" s="331">
        <f t="shared" si="22"/>
        <v>6.819284308547247</v>
      </c>
      <c r="G81" s="467">
        <f>+VLOOKUP(A81,[1]UNnataccount.xls!$A$1:$I$232,9,0)/1000000000</f>
        <v>1.0629900000000001</v>
      </c>
      <c r="H81" s="383">
        <f t="shared" si="19"/>
        <v>0.9538117282183779</v>
      </c>
      <c r="I81" s="117">
        <f t="shared" si="23"/>
        <v>0.9465892307601782</v>
      </c>
      <c r="J81" s="332">
        <f t="shared" si="24"/>
        <v>5.3410769239821798E-2</v>
      </c>
      <c r="K81" s="333">
        <f t="shared" si="25"/>
        <v>-5.9750778353211707E-2</v>
      </c>
      <c r="L81" s="465">
        <f t="shared" si="17"/>
        <v>18.781767953473743</v>
      </c>
      <c r="M81" s="117"/>
      <c r="O81" s="594">
        <f t="shared" si="26"/>
        <v>0</v>
      </c>
    </row>
    <row r="82" spans="1:17" ht="15.75" customHeight="1" x14ac:dyDescent="0.35">
      <c r="A82" s="458" t="str">
        <f>+TableA1!A82</f>
        <v>Seychelles</v>
      </c>
      <c r="B82" s="299">
        <f>TableA1!E82</f>
        <v>0.96659899999999999</v>
      </c>
      <c r="C82" s="418">
        <f>+VLOOKUP(A82,[1]UNnataccount.xls!$A$1:$I$232,8,0)/1000000000</f>
        <v>6.9840823999999996E-2</v>
      </c>
      <c r="D82" s="330">
        <f t="shared" si="20"/>
        <v>0.76605017600000003</v>
      </c>
      <c r="E82" s="331">
        <f>+B82*$E$103</f>
        <v>-4.7277483046718756E-2</v>
      </c>
      <c r="F82" s="331">
        <f t="shared" si="22"/>
        <v>0.81332765904671878</v>
      </c>
      <c r="G82" s="467">
        <f>+VLOOKUP(A82,[1]UNnataccount.xls!$A$1:$I$232,9,0)/1000000000</f>
        <v>0.13070799999999999</v>
      </c>
      <c r="H82" s="383">
        <f t="shared" si="19"/>
        <v>0.92774581393111322</v>
      </c>
      <c r="I82" s="117">
        <f t="shared" si="23"/>
        <v>0.91644745068435951</v>
      </c>
      <c r="J82" s="332">
        <f t="shared" si="24"/>
        <v>8.355254931564049E-2</v>
      </c>
      <c r="K82" s="333">
        <f t="shared" si="25"/>
        <v>-6.1715909124363616E-2</v>
      </c>
      <c r="L82" s="465">
        <f t="shared" si="17"/>
        <v>11.645447640290138</v>
      </c>
      <c r="M82" s="117"/>
      <c r="O82" s="594">
        <f t="shared" si="26"/>
        <v>0</v>
      </c>
    </row>
    <row r="83" spans="1:17" ht="15.75" customHeight="1" x14ac:dyDescent="0.35">
      <c r="A83" s="458" t="str">
        <f>+TableA1!A83</f>
        <v>Singapore</v>
      </c>
      <c r="B83" s="299">
        <f>TableA1!E83</f>
        <v>193.44101831433295</v>
      </c>
      <c r="C83" s="329">
        <f>+[2]HavenRawData!M36</f>
        <v>103.461294</v>
      </c>
      <c r="D83" s="330">
        <f t="shared" si="20"/>
        <v>45.48921462866592</v>
      </c>
      <c r="E83" s="331">
        <f>+[2]HavenRawData!$O$36</f>
        <v>-19.058138157438236</v>
      </c>
      <c r="F83" s="331">
        <f t="shared" si="22"/>
        <v>64.547352786104156</v>
      </c>
      <c r="G83" s="467">
        <f>+[2]HavenRawData!Q36</f>
        <v>44.490509685667035</v>
      </c>
      <c r="H83" s="383">
        <f t="shared" si="19"/>
        <v>0.46515328082134033</v>
      </c>
      <c r="I83" s="117">
        <f t="shared" si="23"/>
        <v>0.30539818257398954</v>
      </c>
      <c r="J83" s="332">
        <f t="shared" si="24"/>
        <v>0.69460181742601046</v>
      </c>
      <c r="K83" s="333">
        <f t="shared" si="25"/>
        <v>-0.41895948991452531</v>
      </c>
      <c r="L83" s="465">
        <f t="shared" si="17"/>
        <v>0.62387923338851881</v>
      </c>
      <c r="M83" s="117"/>
      <c r="O83" s="594">
        <f t="shared" si="26"/>
        <v>0</v>
      </c>
    </row>
    <row r="84" spans="1:17" ht="15.75" customHeight="1" x14ac:dyDescent="0.35">
      <c r="A84" s="458" t="str">
        <f>+TableA1!A84</f>
        <v>St. Kitts and Nevis</v>
      </c>
      <c r="B84" s="299">
        <f>TableA1!E84</f>
        <v>0.59048</v>
      </c>
      <c r="C84" s="418">
        <f>+VLOOKUP(A84,[1]UNnataccount.xls!$A$1:$I$232,8,0)/1000000000</f>
        <v>7.3737880000000006E-2</v>
      </c>
      <c r="D84" s="330">
        <f t="shared" si="20"/>
        <v>0.43689451199999996</v>
      </c>
      <c r="E84" s="331">
        <f t="shared" ref="E84:E89" si="27">+B84*$E$103</f>
        <v>-2.8881064629103167E-2</v>
      </c>
      <c r="F84" s="331">
        <f t="shared" si="22"/>
        <v>0.46577557662910313</v>
      </c>
      <c r="G84" s="467">
        <f>+VLOOKUP(A84,[1]UNnataccount.xls!$A$1:$I$232,9,0)/1000000000</f>
        <v>7.9847608E-2</v>
      </c>
      <c r="H84" s="383">
        <f t="shared" si="19"/>
        <v>0.8751221379216908</v>
      </c>
      <c r="I84" s="117">
        <f t="shared" si="23"/>
        <v>0.85559498152635793</v>
      </c>
      <c r="J84" s="332">
        <f t="shared" si="24"/>
        <v>0.14440501847364207</v>
      </c>
      <c r="K84" s="333">
        <f t="shared" si="25"/>
        <v>-6.6105350000604191E-2</v>
      </c>
      <c r="L84" s="465">
        <f t="shared" si="17"/>
        <v>6.3166391090861724</v>
      </c>
      <c r="M84" s="117"/>
      <c r="O84" s="594">
        <f t="shared" si="26"/>
        <v>0</v>
      </c>
    </row>
    <row r="85" spans="1:17" ht="15.75" customHeight="1" x14ac:dyDescent="0.35">
      <c r="A85" s="458" t="str">
        <f>+TableA1!A85</f>
        <v>St. Lucia</v>
      </c>
      <c r="B85" s="299">
        <f>TableA1!E85</f>
        <v>1.1087400000000001</v>
      </c>
      <c r="C85" s="418">
        <f>+VLOOKUP(A85,[1]UNnataccount.xls!$A$1:$I$232,8,0)/1000000000</f>
        <v>0.115233</v>
      </c>
      <c r="D85" s="330">
        <f t="shared" si="20"/>
        <v>0.84357800000000005</v>
      </c>
      <c r="E85" s="331">
        <f t="shared" si="27"/>
        <v>-5.4229764931702763E-2</v>
      </c>
      <c r="F85" s="331">
        <f t="shared" si="22"/>
        <v>0.89780776493170278</v>
      </c>
      <c r="G85" s="467">
        <f>+VLOOKUP(A85,[1]UNnataccount.xls!$A$1:$I$232,9,0)/1000000000</f>
        <v>0.14992900000000001</v>
      </c>
      <c r="H85" s="383">
        <f t="shared" si="19"/>
        <v>0.89606851020076839</v>
      </c>
      <c r="I85" s="117">
        <f t="shared" si="23"/>
        <v>0.87981677306580752</v>
      </c>
      <c r="J85" s="332">
        <f t="shared" si="24"/>
        <v>0.12018322693419248</v>
      </c>
      <c r="K85" s="333">
        <f t="shared" si="25"/>
        <v>-6.4285418694777205E-2</v>
      </c>
      <c r="L85" s="465">
        <f t="shared" si="17"/>
        <v>7.7912383165560453</v>
      </c>
      <c r="M85" s="117"/>
      <c r="O85" s="594">
        <f t="shared" si="26"/>
        <v>0</v>
      </c>
    </row>
    <row r="86" spans="1:17" ht="15.75" customHeight="1" x14ac:dyDescent="0.35">
      <c r="A86" s="458" t="str">
        <f>+TableA1!A86</f>
        <v>St. Vincent and the Grenadines</v>
      </c>
      <c r="B86" s="299">
        <f>TableA1!E86</f>
        <v>0.50773400000000002</v>
      </c>
      <c r="C86" s="418">
        <f>+VLOOKUP(A86,[1]UNnataccount.xls!$A$1:$I$232,8,0)/1000000000</f>
        <v>7.3914943999999996E-2</v>
      </c>
      <c r="D86" s="330">
        <f t="shared" si="20"/>
        <v>0.36516068800000001</v>
      </c>
      <c r="E86" s="331">
        <f t="shared" si="27"/>
        <v>-2.4833861381237412E-2</v>
      </c>
      <c r="F86" s="331">
        <f t="shared" si="22"/>
        <v>0.3899945493812374</v>
      </c>
      <c r="G86" s="467">
        <f>+VLOOKUP(A86,[1]UNnataccount.xls!$A$1:$I$232,9,0)/1000000000</f>
        <v>6.8658367999999997E-2</v>
      </c>
      <c r="H86" s="383">
        <f t="shared" si="19"/>
        <v>0.8544219138367728</v>
      </c>
      <c r="I86" s="117">
        <f t="shared" si="23"/>
        <v>0.83165783156009898</v>
      </c>
      <c r="J86" s="332">
        <f t="shared" si="24"/>
        <v>0.16834216843990102</v>
      </c>
      <c r="K86" s="333">
        <f t="shared" si="25"/>
        <v>-6.8008036454453746E-2</v>
      </c>
      <c r="L86" s="465">
        <f t="shared" si="17"/>
        <v>5.2762611763764227</v>
      </c>
      <c r="M86" s="117"/>
      <c r="O86" s="594">
        <f t="shared" si="26"/>
        <v>0</v>
      </c>
    </row>
    <row r="87" spans="1:17" ht="15.75" customHeight="1" x14ac:dyDescent="0.35">
      <c r="A87" s="458" t="str">
        <f>+TableA1!A87</f>
        <v>Turks and Caicos</v>
      </c>
      <c r="B87" s="299">
        <f>TableA1!E87</f>
        <v>0.424902</v>
      </c>
      <c r="C87" s="418">
        <f>+VLOOKUP(A87,[1]UNnataccount.xls!$A$1:$I$232,8,0)/1000000000</f>
        <v>0.114443</v>
      </c>
      <c r="D87" s="330">
        <f t="shared" si="20"/>
        <v>0.253001696</v>
      </c>
      <c r="E87" s="331">
        <f t="shared" si="27"/>
        <v>-2.0782451773193322E-2</v>
      </c>
      <c r="F87" s="331">
        <f t="shared" si="22"/>
        <v>0.27378414777319332</v>
      </c>
      <c r="G87" s="467">
        <f>+VLOOKUP(A87,[1]UNnataccount.xls!$A$1:$I$232,9,0)/1000000000</f>
        <v>5.7457304000000001E-2</v>
      </c>
      <c r="H87" s="383">
        <f t="shared" si="19"/>
        <v>0.73066024636269067</v>
      </c>
      <c r="I87" s="117">
        <f t="shared" si="23"/>
        <v>0.68854360602881037</v>
      </c>
      <c r="J87" s="332">
        <f t="shared" si="24"/>
        <v>0.31145639397118963</v>
      </c>
      <c r="K87" s="333">
        <f t="shared" si="25"/>
        <v>-8.2143527501069888E-2</v>
      </c>
      <c r="L87" s="465">
        <f t="shared" si="17"/>
        <v>2.3923188641786157</v>
      </c>
      <c r="M87" s="117"/>
      <c r="O87" s="594">
        <f t="shared" si="26"/>
        <v>0</v>
      </c>
    </row>
    <row r="88" spans="1:17" ht="15.75" customHeight="1" x14ac:dyDescent="0.35">
      <c r="A88" s="458" t="str">
        <f>+TableA1!A88</f>
        <v>Panama</v>
      </c>
      <c r="B88" s="299">
        <f>TableA1!E88</f>
        <v>35.049199999999999</v>
      </c>
      <c r="C88" s="418">
        <f>+VLOOKUP(A88,[1]UNnataccount.xls!$A$1:$I$232,8,0)/1000000000</f>
        <v>10.2681</v>
      </c>
      <c r="D88" s="330">
        <f t="shared" si="20"/>
        <v>20.04157</v>
      </c>
      <c r="E88" s="331">
        <f t="shared" si="27"/>
        <v>-1.7142971995636815</v>
      </c>
      <c r="F88" s="331">
        <f t="shared" si="22"/>
        <v>21.755867199563681</v>
      </c>
      <c r="G88" s="467">
        <f>+VLOOKUP(A88,[1]UNnataccount.xls!$A$1:$I$232,9,0)/1000000000</f>
        <v>4.7395300000000002</v>
      </c>
      <c r="H88" s="383">
        <f t="shared" si="19"/>
        <v>0.70703753580680884</v>
      </c>
      <c r="I88" s="117">
        <f t="shared" si="23"/>
        <v>0.6612269285676815</v>
      </c>
      <c r="J88" s="332">
        <f t="shared" si="24"/>
        <v>0.3387730714323185</v>
      </c>
      <c r="K88" s="333">
        <f t="shared" si="25"/>
        <v>-8.5537071175745286E-2</v>
      </c>
      <c r="L88" s="465">
        <f t="shared" si="17"/>
        <v>2.1187821699792249</v>
      </c>
      <c r="M88" s="117"/>
      <c r="O88" s="594">
        <f t="shared" si="26"/>
        <v>0</v>
      </c>
    </row>
    <row r="89" spans="1:17" ht="15.75" customHeight="1" x14ac:dyDescent="0.35">
      <c r="A89" s="458" t="s">
        <v>290</v>
      </c>
      <c r="B89" s="299">
        <f>C89+D89+G89</f>
        <v>81.677350000000004</v>
      </c>
      <c r="C89" s="329">
        <f>+[2]HavenRawData!M42</f>
        <v>23.088800000000003</v>
      </c>
      <c r="D89" s="330">
        <f>+[2]HavenRawData!$P$42</f>
        <v>48.7699</v>
      </c>
      <c r="E89" s="331">
        <f t="shared" si="27"/>
        <v>-3.9949343315334636</v>
      </c>
      <c r="F89" s="331">
        <f t="shared" si="22"/>
        <v>52.764834331533464</v>
      </c>
      <c r="G89" s="467">
        <f>+VLOOKUP(A89,[1]UNnataccount.xls!$A$1:$I$232,9,0)/1000000000</f>
        <v>9.8186499999999999</v>
      </c>
      <c r="H89" s="383">
        <f t="shared" si="19"/>
        <v>0.71731697955430718</v>
      </c>
      <c r="I89" s="117">
        <f t="shared" si="23"/>
        <v>0.67869165459436365</v>
      </c>
      <c r="J89" s="332">
        <f t="shared" si="24"/>
        <v>0.32130834540563635</v>
      </c>
      <c r="K89" s="333">
        <f t="shared" si="25"/>
        <v>-8.1913933215640458E-2</v>
      </c>
      <c r="L89" s="465">
        <f t="shared" si="17"/>
        <v>2.2852999866399926</v>
      </c>
      <c r="M89" s="117"/>
      <c r="O89" s="594">
        <f t="shared" si="26"/>
        <v>0</v>
      </c>
    </row>
    <row r="90" spans="1:17" ht="40" customHeight="1" x14ac:dyDescent="0.35">
      <c r="A90" s="492" t="s">
        <v>474</v>
      </c>
      <c r="B90" s="445">
        <f>TableA1!E90</f>
        <v>4259.654706389314</v>
      </c>
      <c r="C90" s="493">
        <f>+B90*C102</f>
        <v>2089.5387553579658</v>
      </c>
      <c r="D90" s="494">
        <f>B90-C90-G90</f>
        <v>1497.408536414895</v>
      </c>
      <c r="E90" s="495">
        <f>+B90*E102</f>
        <v>74.262434558027934</v>
      </c>
      <c r="F90" s="446">
        <f t="shared" ref="F90" si="28">D90-E90</f>
        <v>1423.1461018568671</v>
      </c>
      <c r="G90" s="448">
        <f>+B90*D102</f>
        <v>672.70741461645321</v>
      </c>
      <c r="H90" s="496">
        <f t="shared" ref="H90" si="29">(G90+D90)/B90</f>
        <v>0.50945818396412745</v>
      </c>
      <c r="I90" s="449">
        <f t="shared" ref="I90" si="30">D90/(D90+C90)</f>
        <v>0.41746042375626763</v>
      </c>
      <c r="J90" s="497">
        <f t="shared" ref="J90" si="31">1-I90</f>
        <v>0.58253957624373243</v>
      </c>
      <c r="K90" s="449">
        <f t="shared" si="25"/>
        <v>4.9593970350821907E-2</v>
      </c>
      <c r="L90" s="460">
        <f t="shared" si="17"/>
        <v>0.68108145790914665</v>
      </c>
      <c r="M90" s="436"/>
      <c r="O90" s="594">
        <f t="shared" si="26"/>
        <v>0</v>
      </c>
    </row>
    <row r="91" spans="1:17" ht="40" customHeight="1" thickBot="1" x14ac:dyDescent="0.4">
      <c r="A91" s="488" t="s">
        <v>499</v>
      </c>
      <c r="B91" s="422">
        <f>TableA1!E91</f>
        <v>40756.104983635028</v>
      </c>
      <c r="C91" s="489">
        <f>C90+C53+C45+C9</f>
        <v>22422.077231008858</v>
      </c>
      <c r="D91" s="490">
        <f>D90+D53+D45+D9</f>
        <v>11405.10618863448</v>
      </c>
      <c r="E91" s="491">
        <f>E90+E53+E45+E9</f>
        <v>196.21039395766726</v>
      </c>
      <c r="F91" s="427">
        <f>F90+F53+F45+F9</f>
        <v>11208.895794676813</v>
      </c>
      <c r="G91" s="423">
        <f>G90+G53+G45+G9</f>
        <v>6928.9209587203241</v>
      </c>
      <c r="H91" s="474">
        <f>(G91+D91)/B91</f>
        <v>0.44984738248948336</v>
      </c>
      <c r="I91" s="424">
        <f>D91/(D91+C91)</f>
        <v>0.33715802013866669</v>
      </c>
      <c r="J91" s="475">
        <f>1-I91</f>
        <v>0.66284197986133331</v>
      </c>
      <c r="K91" s="424">
        <f t="shared" si="25"/>
        <v>1.7203732320633422E-2</v>
      </c>
      <c r="L91" s="476">
        <f t="shared" si="17"/>
        <v>0.49990443254630074</v>
      </c>
      <c r="M91" s="436"/>
      <c r="O91" s="594">
        <f t="shared" si="26"/>
        <v>6.0527136702148709E-4</v>
      </c>
    </row>
    <row r="92" spans="1:17" ht="16" thickTop="1" x14ac:dyDescent="0.35">
      <c r="A92" s="468"/>
      <c r="B92" s="469"/>
      <c r="C92" s="387"/>
      <c r="D92" s="388"/>
      <c r="E92" s="470"/>
      <c r="F92" s="387"/>
      <c r="G92" s="387"/>
      <c r="H92" s="390"/>
      <c r="I92" s="389"/>
      <c r="J92" s="390"/>
      <c r="K92" s="390"/>
      <c r="L92" s="389"/>
      <c r="M92" s="389"/>
    </row>
    <row r="93" spans="1:17" s="2" customFormat="1" ht="16" thickBot="1" x14ac:dyDescent="0.4">
      <c r="B93" s="1"/>
      <c r="C93" s="1"/>
      <c r="D93" s="1"/>
      <c r="E93" s="1"/>
      <c r="F93" s="1"/>
      <c r="G93" s="1"/>
      <c r="H93" s="1"/>
      <c r="I93" s="1"/>
      <c r="J93" s="1"/>
      <c r="K93" s="1"/>
      <c r="L93" s="1"/>
      <c r="M93" s="1"/>
      <c r="N93" s="1"/>
      <c r="O93" s="704"/>
      <c r="P93" s="704"/>
      <c r="Q93" s="704"/>
    </row>
    <row r="94" spans="1:17" s="2" customFormat="1" ht="47.25" customHeight="1" thickBot="1" x14ac:dyDescent="0.4">
      <c r="A94" s="2076" t="s">
        <v>508</v>
      </c>
      <c r="B94" s="2077"/>
      <c r="C94" s="2077"/>
      <c r="D94" s="2077"/>
      <c r="E94" s="2077"/>
      <c r="F94" s="2077"/>
      <c r="G94" s="2077"/>
      <c r="H94" s="2077"/>
      <c r="I94" s="2077"/>
      <c r="J94" s="2077"/>
      <c r="K94" s="2077"/>
      <c r="L94" s="2078"/>
      <c r="M94" s="499"/>
      <c r="N94" s="1"/>
      <c r="O94" s="704"/>
      <c r="P94" s="704"/>
      <c r="Q94" s="704"/>
    </row>
    <row r="95" spans="1:17" s="2" customFormat="1" x14ac:dyDescent="0.35">
      <c r="A95" s="1"/>
      <c r="B95" s="1"/>
      <c r="C95" s="1"/>
      <c r="D95" s="1"/>
      <c r="E95" s="1"/>
      <c r="F95" s="1"/>
      <c r="G95" s="1"/>
      <c r="H95" s="1"/>
      <c r="I95" s="1"/>
      <c r="J95" s="1"/>
      <c r="K95" s="1"/>
      <c r="L95" s="1"/>
      <c r="M95" s="1"/>
      <c r="N95" s="1"/>
      <c r="O95" s="704"/>
      <c r="P95" s="704"/>
      <c r="Q95" s="704"/>
    </row>
    <row r="96" spans="1:17" s="2" customFormat="1" x14ac:dyDescent="0.35">
      <c r="A96" s="1"/>
      <c r="B96" s="1"/>
      <c r="C96" s="1"/>
      <c r="D96" s="1"/>
      <c r="E96" s="232"/>
      <c r="F96" s="1"/>
      <c r="H96" s="1"/>
      <c r="I96" s="1"/>
      <c r="J96" s="1"/>
      <c r="K96" s="1"/>
      <c r="L96" s="1"/>
      <c r="M96" s="1"/>
      <c r="N96" s="1"/>
      <c r="O96" s="704"/>
      <c r="P96" s="704"/>
      <c r="Q96" s="704"/>
    </row>
    <row r="97" spans="1:18" s="2" customFormat="1" x14ac:dyDescent="0.35">
      <c r="A97" s="1530" t="s">
        <v>795</v>
      </c>
      <c r="B97" s="7">
        <f>SUM(B10:B44)-B12-B24-B30-B32-B41</f>
        <v>24835.668517122413</v>
      </c>
      <c r="C97" s="7">
        <f t="shared" ref="C97:G97" si="32">SUM(C10:C44)-C12-C24-C30-C32-C41</f>
        <v>14529.806981991025</v>
      </c>
      <c r="D97" s="7">
        <f t="shared" si="32"/>
        <v>5934.5570523537908</v>
      </c>
      <c r="E97" s="7">
        <f t="shared" si="32"/>
        <v>120.82971732928223</v>
      </c>
      <c r="F97" s="7">
        <f t="shared" si="32"/>
        <v>5813.7273350245077</v>
      </c>
      <c r="G97" s="7">
        <f t="shared" si="32"/>
        <v>4371.3038772982236</v>
      </c>
      <c r="H97" s="383">
        <f t="shared" ref="H97" si="33">(G97+D97)/B97</f>
        <v>0.41496209061362144</v>
      </c>
      <c r="I97" s="1531">
        <f t="shared" ref="I97" si="34">D97/(D97+C97)</f>
        <v>0.28999469724023558</v>
      </c>
      <c r="J97" s="332">
        <f t="shared" ref="J97" si="35">1-I97</f>
        <v>0.71000530275976437</v>
      </c>
      <c r="K97" s="333">
        <f t="shared" ref="K97" si="36">E97/D97</f>
        <v>2.0360359882522015E-2</v>
      </c>
      <c r="L97" s="465">
        <f t="shared" ref="L97" si="37">F97/C97</f>
        <v>0.4001241958843868</v>
      </c>
      <c r="M97" s="1"/>
      <c r="N97" s="1"/>
      <c r="O97" s="704"/>
      <c r="P97" s="704"/>
      <c r="Q97" s="704"/>
    </row>
    <row r="98" spans="1:18" s="2" customFormat="1" x14ac:dyDescent="0.35">
      <c r="A98" s="1"/>
      <c r="C98" s="339"/>
      <c r="D98" s="339"/>
      <c r="E98" s="339"/>
      <c r="F98" s="339"/>
      <c r="G98" s="339"/>
      <c r="H98" s="1"/>
      <c r="I98" s="1"/>
      <c r="J98" s="1"/>
      <c r="K98" s="1"/>
      <c r="L98" s="1"/>
      <c r="M98" s="1"/>
      <c r="N98" s="1"/>
      <c r="O98" s="704"/>
      <c r="P98" s="704"/>
      <c r="Q98" s="704"/>
    </row>
    <row r="99" spans="1:18" x14ac:dyDescent="0.35">
      <c r="B99" s="339"/>
      <c r="C99" s="340"/>
      <c r="D99" s="340"/>
      <c r="E99" s="340"/>
      <c r="F99" s="340"/>
      <c r="G99" s="340"/>
    </row>
    <row r="100" spans="1:18" s="2" customFormat="1" ht="30" customHeight="1" x14ac:dyDescent="0.35">
      <c r="A100" s="339" t="s">
        <v>264</v>
      </c>
      <c r="B100" s="341"/>
      <c r="C100" s="339" t="s">
        <v>13</v>
      </c>
      <c r="D100" s="339" t="s">
        <v>10</v>
      </c>
      <c r="E100" s="339" t="s">
        <v>11</v>
      </c>
      <c r="F100" s="340"/>
      <c r="G100" s="340"/>
      <c r="H100" s="1"/>
      <c r="I100" s="1"/>
      <c r="J100" s="1"/>
      <c r="K100" s="1"/>
      <c r="L100" s="1"/>
      <c r="M100" s="1"/>
      <c r="N100" s="1"/>
      <c r="O100" s="704"/>
      <c r="P100" s="704"/>
      <c r="Q100" s="704"/>
    </row>
    <row r="101" spans="1:18" x14ac:dyDescent="0.35">
      <c r="B101" s="339" t="s">
        <v>263</v>
      </c>
      <c r="C101" s="342">
        <f>+(+C11+C12+SUM(C14:C22)+SUM(C24:C26)+SUM(C28:C44))/(B11+B12+SUM(B28:B44)+SUM(B24:B26)+SUM(B14:B22))</f>
        <v>0.5828854953992002</v>
      </c>
      <c r="D101" s="342">
        <f>+SUM(G10:G44)/SUM(B10:B44)</f>
        <v>0.17664274579679837</v>
      </c>
      <c r="E101" s="342">
        <f>(SUM(E11:E13,E26:E27,E28:E32)+SUM(E14:E22)+SUM(E24)+SUM(E34:E44))/(SUM(B11:B13)+SUM(B14:B22)+SUM(B24)+SUM(B34:B44,B26:B27,B28:B32))</f>
        <v>2.6060245643401908E-4</v>
      </c>
      <c r="F101" s="342"/>
      <c r="G101" s="345">
        <f>+SUM(G49,G51:G53)</f>
        <v>232.22669990548945</v>
      </c>
    </row>
    <row r="102" spans="1:18" x14ac:dyDescent="0.35">
      <c r="B102" s="339" t="s">
        <v>99</v>
      </c>
      <c r="C102" s="342">
        <f>+SUM(C46:C52)/SUM(B46:B52)</f>
        <v>0.4905418160358726</v>
      </c>
      <c r="D102" s="342">
        <f>+SUM(G46:G52)/SUM(B46:B52)</f>
        <v>0.15792533925517921</v>
      </c>
      <c r="E102" s="342">
        <f>+SUM(E46:E49,E52)/SUM(B46:B49,B52)</f>
        <v>1.7433909477835661E-2</v>
      </c>
      <c r="F102" s="342"/>
      <c r="G102" s="342"/>
    </row>
    <row r="103" spans="1:18" x14ac:dyDescent="0.35">
      <c r="B103" s="339" t="s">
        <v>268</v>
      </c>
      <c r="C103" s="343">
        <f>+[2]HavenRawData!$M$52</f>
        <v>0</v>
      </c>
      <c r="D103" s="344">
        <f>+[2]HavenRawData!$N$52</f>
        <v>0</v>
      </c>
      <c r="E103" s="344">
        <f>+(E65+E67+E72+E83+E77)/(B83+B67+B65+B72+B77)</f>
        <v>-4.8911164864353013E-2</v>
      </c>
      <c r="F103" s="339"/>
      <c r="G103" s="339"/>
      <c r="J103"/>
      <c r="K103"/>
      <c r="L103"/>
      <c r="M103"/>
      <c r="N103"/>
      <c r="R103"/>
    </row>
    <row r="104" spans="1:18" ht="15" customHeight="1" x14ac:dyDescent="0.35">
      <c r="B104" s="339"/>
      <c r="C104" s="339"/>
      <c r="D104" s="339"/>
      <c r="E104" s="339"/>
      <c r="F104" s="339"/>
      <c r="G104" s="339"/>
      <c r="J104"/>
      <c r="K104"/>
      <c r="L104"/>
      <c r="M104"/>
      <c r="N104"/>
      <c r="R104"/>
    </row>
    <row r="105" spans="1:18" x14ac:dyDescent="0.35">
      <c r="J105"/>
      <c r="K105"/>
      <c r="L105"/>
      <c r="M105"/>
      <c r="N105"/>
      <c r="R105"/>
    </row>
    <row r="106" spans="1:18" x14ac:dyDescent="0.35">
      <c r="J106"/>
      <c r="K106"/>
      <c r="L106"/>
      <c r="M106"/>
      <c r="N106"/>
      <c r="R106"/>
    </row>
    <row r="107" spans="1:18" x14ac:dyDescent="0.35">
      <c r="J107"/>
      <c r="K107"/>
      <c r="L107"/>
      <c r="M107"/>
      <c r="N107"/>
      <c r="R107"/>
    </row>
    <row r="108" spans="1:18" x14ac:dyDescent="0.35">
      <c r="J108"/>
      <c r="K108"/>
      <c r="L108"/>
      <c r="M108"/>
      <c r="N108"/>
      <c r="R108"/>
    </row>
  </sheetData>
  <mergeCells count="12">
    <mergeCell ref="A94:L94"/>
    <mergeCell ref="A3:L3"/>
    <mergeCell ref="L6:L8"/>
    <mergeCell ref="B7:B8"/>
    <mergeCell ref="C7:C8"/>
    <mergeCell ref="D7:D8"/>
    <mergeCell ref="B6:G6"/>
    <mergeCell ref="G7:G8"/>
    <mergeCell ref="H6:H8"/>
    <mergeCell ref="I6:I8"/>
    <mergeCell ref="J6:J8"/>
    <mergeCell ref="K6:K8"/>
  </mergeCells>
  <phoneticPr fontId="62" type="noConversion"/>
  <pageMargins left="0.7" right="0.7" top="0.75" bottom="0.75" header="0.3" footer="0.3"/>
  <pageSetup scale="42" fitToHeight="0" orientation="portrait" horizontalDpi="4294967292" verticalDpi="4294967292"/>
  <ignoredErrors>
    <ignoredError sqref="C59 C74" formula="1"/>
  </ignoredErrors>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J101"/>
  <sheetViews>
    <sheetView workbookViewId="0">
      <pane xSplit="3" ySplit="7" topLeftCell="D8" activePane="bottomRight" state="frozen"/>
      <selection activeCell="AR8" sqref="AR8"/>
      <selection pane="topRight" activeCell="AR8" sqref="AR8"/>
      <selection pane="bottomLeft" activeCell="AR8" sqref="AR8"/>
      <selection pane="bottomRight" activeCell="D8" sqref="D8"/>
    </sheetView>
  </sheetViews>
  <sheetFormatPr baseColWidth="10" defaultColWidth="10.81640625" defaultRowHeight="15.5" x14ac:dyDescent="0.35"/>
  <cols>
    <col min="1" max="1" width="0" style="1" hidden="1" customWidth="1"/>
    <col min="2" max="2" width="10.81640625" style="1" hidden="1" customWidth="1"/>
    <col min="3" max="3" width="19" style="1" customWidth="1"/>
    <col min="4" max="4" width="10.81640625" style="1" customWidth="1"/>
    <col min="5" max="5" width="10.81640625" style="738" customWidth="1"/>
    <col min="6" max="25" width="10.81640625" style="1" customWidth="1"/>
    <col min="26" max="28" width="10.81640625" style="1"/>
    <col min="29" max="29" width="15" style="1" customWidth="1"/>
    <col min="30" max="34" width="10.81640625" style="1"/>
    <col min="35" max="35" width="12.81640625" style="1" bestFit="1" customWidth="1"/>
    <col min="36" max="16384" width="10.81640625" style="1"/>
  </cols>
  <sheetData>
    <row r="1" spans="3:36" ht="16" thickBot="1" x14ac:dyDescent="0.4">
      <c r="C1" s="27"/>
      <c r="D1" s="27"/>
      <c r="F1" s="27"/>
      <c r="G1" s="27"/>
      <c r="H1" s="27"/>
      <c r="I1" s="27"/>
      <c r="J1" s="27"/>
      <c r="K1" s="27"/>
      <c r="L1" s="27"/>
      <c r="M1" s="27"/>
      <c r="N1" s="92"/>
      <c r="O1" s="92"/>
      <c r="Q1" s="27"/>
      <c r="R1" s="27"/>
      <c r="S1" s="27"/>
      <c r="T1" s="27"/>
      <c r="U1" s="27"/>
      <c r="V1" s="27"/>
      <c r="W1" s="27"/>
      <c r="X1" s="27"/>
      <c r="Y1" s="92"/>
    </row>
    <row r="2" spans="3:36" ht="16" hidden="1" thickBot="1" x14ac:dyDescent="0.4">
      <c r="F2" s="1">
        <v>2</v>
      </c>
      <c r="G2" s="1">
        <v>3</v>
      </c>
      <c r="H2" s="1">
        <v>4</v>
      </c>
      <c r="I2" s="1">
        <v>5</v>
      </c>
      <c r="J2" s="1">
        <v>6</v>
      </c>
      <c r="K2" s="1">
        <v>7</v>
      </c>
      <c r="Q2" s="1">
        <v>2</v>
      </c>
      <c r="R2" s="1">
        <v>3</v>
      </c>
      <c r="S2" s="1">
        <v>4</v>
      </c>
      <c r="T2" s="1">
        <v>5</v>
      </c>
      <c r="U2" s="1">
        <v>6</v>
      </c>
      <c r="V2" s="1">
        <v>7</v>
      </c>
    </row>
    <row r="3" spans="3:36" ht="32.25" customHeight="1" thickTop="1" x14ac:dyDescent="0.35">
      <c r="C3" s="2048" t="s">
        <v>580</v>
      </c>
      <c r="D3" s="2049"/>
      <c r="E3" s="2049"/>
      <c r="F3" s="2049"/>
      <c r="G3" s="2049"/>
      <c r="H3" s="2049"/>
      <c r="I3" s="2049"/>
      <c r="J3" s="2049"/>
      <c r="K3" s="2049"/>
      <c r="L3" s="2049"/>
      <c r="M3" s="2049"/>
      <c r="N3" s="2049"/>
      <c r="O3" s="2049"/>
      <c r="P3" s="2049"/>
      <c r="Q3" s="2049"/>
      <c r="R3" s="2049"/>
      <c r="S3" s="2049"/>
      <c r="T3" s="2049"/>
      <c r="U3" s="2049"/>
      <c r="V3" s="2049"/>
      <c r="W3" s="2049"/>
      <c r="X3" s="2049"/>
      <c r="Y3" s="2050"/>
    </row>
    <row r="4" spans="3:36" ht="20" x14ac:dyDescent="0.35">
      <c r="C4" s="11"/>
      <c r="D4" s="409" t="s">
        <v>20</v>
      </c>
      <c r="E4" s="409" t="s">
        <v>21</v>
      </c>
      <c r="F4" s="409" t="s">
        <v>22</v>
      </c>
      <c r="G4" s="409" t="s">
        <v>23</v>
      </c>
      <c r="H4" s="409" t="s">
        <v>24</v>
      </c>
      <c r="I4" s="409" t="s">
        <v>25</v>
      </c>
      <c r="J4" s="409" t="s">
        <v>26</v>
      </c>
      <c r="K4" s="409" t="s">
        <v>33</v>
      </c>
      <c r="L4" s="409" t="s">
        <v>34</v>
      </c>
      <c r="M4" s="409" t="s">
        <v>37</v>
      </c>
      <c r="N4" s="409" t="s">
        <v>105</v>
      </c>
      <c r="O4" s="409" t="s">
        <v>138</v>
      </c>
      <c r="P4" s="409" t="s">
        <v>139</v>
      </c>
      <c r="Q4" s="409" t="s">
        <v>140</v>
      </c>
      <c r="R4" s="409" t="s">
        <v>141</v>
      </c>
      <c r="S4" s="409" t="s">
        <v>255</v>
      </c>
      <c r="T4" s="409" t="s">
        <v>655</v>
      </c>
      <c r="U4" s="409" t="s">
        <v>656</v>
      </c>
      <c r="V4" s="409" t="s">
        <v>657</v>
      </c>
      <c r="W4" s="409" t="s">
        <v>658</v>
      </c>
      <c r="X4" s="409" t="s">
        <v>659</v>
      </c>
      <c r="Y4" s="14" t="s">
        <v>660</v>
      </c>
    </row>
    <row r="5" spans="3:36" ht="21" customHeight="1" x14ac:dyDescent="0.35">
      <c r="C5" s="13"/>
      <c r="D5" s="2230" t="s">
        <v>544</v>
      </c>
      <c r="E5" s="2231"/>
      <c r="F5" s="2231"/>
      <c r="G5" s="2231"/>
      <c r="H5" s="2231"/>
      <c r="I5" s="2231"/>
      <c r="J5" s="2231"/>
      <c r="K5" s="2231"/>
      <c r="L5" s="2231"/>
      <c r="M5" s="2231"/>
      <c r="N5" s="2232"/>
      <c r="O5" s="2231" t="s">
        <v>546</v>
      </c>
      <c r="P5" s="2231"/>
      <c r="Q5" s="2231"/>
      <c r="R5" s="2231"/>
      <c r="S5" s="2231"/>
      <c r="T5" s="2231"/>
      <c r="U5" s="2231"/>
      <c r="V5" s="2231"/>
      <c r="W5" s="2231"/>
      <c r="X5" s="2231"/>
      <c r="Y5" s="2315"/>
    </row>
    <row r="6" spans="3:36" ht="73.5" customHeight="1" x14ac:dyDescent="0.35">
      <c r="C6" s="13"/>
      <c r="D6" s="2153" t="s">
        <v>542</v>
      </c>
      <c r="E6" s="2153" t="s">
        <v>533</v>
      </c>
      <c r="F6" s="736" t="s">
        <v>2</v>
      </c>
      <c r="G6" s="736" t="s">
        <v>116</v>
      </c>
      <c r="H6" s="736" t="s">
        <v>19</v>
      </c>
      <c r="I6" s="1305" t="s">
        <v>70</v>
      </c>
      <c r="J6" s="1304" t="s">
        <v>301</v>
      </c>
      <c r="K6" s="1305" t="s">
        <v>72</v>
      </c>
      <c r="L6" s="2153" t="s">
        <v>487</v>
      </c>
      <c r="M6" s="1305" t="s">
        <v>1</v>
      </c>
      <c r="N6" s="1313" t="s">
        <v>534</v>
      </c>
      <c r="O6" s="2153" t="s">
        <v>542</v>
      </c>
      <c r="P6" s="2153" t="s">
        <v>533</v>
      </c>
      <c r="Q6" s="736" t="s">
        <v>2</v>
      </c>
      <c r="R6" s="736" t="s">
        <v>116</v>
      </c>
      <c r="S6" s="736" t="s">
        <v>19</v>
      </c>
      <c r="T6" s="1305" t="s">
        <v>70</v>
      </c>
      <c r="U6" s="1304" t="s">
        <v>301</v>
      </c>
      <c r="V6" s="1305" t="s">
        <v>72</v>
      </c>
      <c r="W6" s="2152" t="s">
        <v>487</v>
      </c>
      <c r="X6" s="1305" t="s">
        <v>1</v>
      </c>
      <c r="Y6" s="1314" t="s">
        <v>534</v>
      </c>
      <c r="Z6" s="431"/>
      <c r="AA6" s="2416" t="s">
        <v>779</v>
      </c>
      <c r="AB6" s="2416"/>
      <c r="AC6" s="2416"/>
      <c r="AD6" s="2416"/>
      <c r="AE6" s="2416"/>
      <c r="AF6" s="2416"/>
      <c r="AG6" s="2416"/>
      <c r="AH6" s="2416"/>
      <c r="AI6" s="2416"/>
      <c r="AJ6" s="2416"/>
    </row>
    <row r="7" spans="3:36" ht="16.5" customHeight="1" x14ac:dyDescent="0.35">
      <c r="C7" s="13"/>
      <c r="D7" s="2153"/>
      <c r="E7" s="2153"/>
      <c r="F7" s="1304"/>
      <c r="G7" s="1304"/>
      <c r="H7" s="1304"/>
      <c r="I7" s="1308"/>
      <c r="J7" s="1308"/>
      <c r="K7" s="1308"/>
      <c r="L7" s="2177"/>
      <c r="M7" s="1308"/>
      <c r="N7" s="1315"/>
      <c r="O7" s="2153"/>
      <c r="P7" s="2153"/>
      <c r="Q7" s="1304"/>
      <c r="R7" s="1304"/>
      <c r="S7" s="1304"/>
      <c r="T7" s="1308"/>
      <c r="U7" s="1308"/>
      <c r="V7" s="1308"/>
      <c r="W7" s="2177"/>
      <c r="X7" s="1308"/>
      <c r="Y7" s="576"/>
      <c r="Z7" s="431"/>
    </row>
    <row r="8" spans="3:36" ht="40" customHeight="1" x14ac:dyDescent="0.35">
      <c r="C8" s="39" t="s">
        <v>98</v>
      </c>
      <c r="D8" s="587">
        <f>+E8+L8</f>
        <v>83693.776530170406</v>
      </c>
      <c r="E8" s="587">
        <f>SUMIF(E9:E43,"&gt;-999999999")-(E11+E23+E29+E31+E40)</f>
        <v>65679.204649272186</v>
      </c>
      <c r="F8" s="571">
        <f t="shared" ref="F8:K8" si="0">SUMIF(F9:F43,"&gt;-999999999")-(F11+F23+F29+F31+F40)</f>
        <v>7015.510104471201</v>
      </c>
      <c r="G8" s="571">
        <f t="shared" si="0"/>
        <v>282.23899490426965</v>
      </c>
      <c r="H8" s="571">
        <f t="shared" si="0"/>
        <v>2568.8956883965775</v>
      </c>
      <c r="I8" s="571">
        <f t="shared" si="0"/>
        <v>25696.238636535363</v>
      </c>
      <c r="J8" s="571">
        <f t="shared" si="0"/>
        <v>217.0985790002191</v>
      </c>
      <c r="K8" s="571">
        <f t="shared" si="0"/>
        <v>29899.222645964561</v>
      </c>
      <c r="L8" s="587">
        <f>SUMIF(L9:L43,"&gt;-999999999")-(L11+L23+L29+L31)</f>
        <v>18014.571880898227</v>
      </c>
      <c r="M8" s="571">
        <f>SUMIF(M9:M43,"&gt;-999999999")-(M11+M23+M29+M31)</f>
        <v>4165.7323652371379</v>
      </c>
      <c r="N8" s="572">
        <f>SUMIF(N9:N43,"&gt;-999999999")-(N11+N23+N29+N31)</f>
        <v>13848.839515661095</v>
      </c>
      <c r="O8" s="587">
        <f>+P8+W8</f>
        <v>448814.081244973</v>
      </c>
      <c r="P8" s="587">
        <f>SUMIF(P9:P43,"&gt;-999999999")-(P11+P23+P29+P31)-P40</f>
        <v>225242.21225594476</v>
      </c>
      <c r="Q8" s="571">
        <f t="shared" ref="Q8:V8" si="1">SUMIF(Q9:Q43,"&gt;-999999999")-(Q11+Q23+Q29+Q31)-Q40</f>
        <v>39238.274089301536</v>
      </c>
      <c r="R8" s="571">
        <f t="shared" si="1"/>
        <v>1316.3210430899758</v>
      </c>
      <c r="S8" s="571">
        <f t="shared" si="1"/>
        <v>69281.817454401942</v>
      </c>
      <c r="T8" s="571">
        <f t="shared" si="1"/>
        <v>57187.256812274674</v>
      </c>
      <c r="U8" s="571">
        <f t="shared" si="1"/>
        <v>1093.2623119709401</v>
      </c>
      <c r="V8" s="571">
        <f t="shared" si="1"/>
        <v>57125.280544905785</v>
      </c>
      <c r="W8" s="587">
        <f>SUMIF(W9:W43,"&gt;-999999999")-(W11+W23+W29+W31)</f>
        <v>223571.86898902821</v>
      </c>
      <c r="X8" s="571">
        <f>SUMIF(X9:X43,"&gt;-999999999")-(X11+X23+X29+X31)</f>
        <v>51881.273516048612</v>
      </c>
      <c r="Y8" s="1316">
        <f>SUMIF(Y9:Y43,"&gt;-999999999")-(Y11+Y23+Y29+Y31)</f>
        <v>171690.59547297953</v>
      </c>
      <c r="Z8" s="431"/>
      <c r="AA8" s="232"/>
      <c r="AB8" s="2415" t="s">
        <v>573</v>
      </c>
      <c r="AC8" s="2415"/>
      <c r="AD8" s="2415" t="s">
        <v>574</v>
      </c>
      <c r="AE8" s="2415"/>
      <c r="AF8" s="1337"/>
      <c r="AG8" s="2415" t="s">
        <v>599</v>
      </c>
      <c r="AH8" s="2415"/>
      <c r="AI8" s="2415" t="s">
        <v>600</v>
      </c>
      <c r="AJ8" s="2415"/>
    </row>
    <row r="9" spans="3:36" x14ac:dyDescent="0.35">
      <c r="C9" s="95" t="s">
        <v>54</v>
      </c>
      <c r="D9" s="739">
        <f>+E9+L9</f>
        <v>1540.2224395651967</v>
      </c>
      <c r="E9" s="739">
        <f>SUM(F9:K9)</f>
        <v>875.71909114199502</v>
      </c>
      <c r="F9" s="740">
        <f>HLOOKUP($C9,'[2]Interest shifted to EU'!$L$2:$AT$8,F$2,0)/TableB10!$E$229</f>
        <v>71.091177485058097</v>
      </c>
      <c r="G9" s="740">
        <f>HLOOKUP($C9,'[2]Interest shifted to EU'!$L$2:$AT$8,G$2,0)/TableB10!$E$229</f>
        <v>0</v>
      </c>
      <c r="H9" s="740">
        <f>HLOOKUP($C9,'[2]Interest shifted to EU'!$L$2:$AT$8,H$2,0)/TableB10!$E$229</f>
        <v>0</v>
      </c>
      <c r="I9" s="740">
        <f>HLOOKUP($C9,'[2]Interest shifted to EU'!$L$2:$AT$8,I$2,0)/TableB10!$E$229</f>
        <v>371.31554168482768</v>
      </c>
      <c r="J9" s="740">
        <f>HLOOKUP($C9,'[2]Interest shifted to EU'!$L$2:$AT$8,J$2,0)/TableB10!$E$229</f>
        <v>5.2126136377499703</v>
      </c>
      <c r="K9" s="740">
        <f>HLOOKUP($C9,'[2]Interest shifted to EU'!$L$2:$AT$8,K$2,0)/TableB10!$E$229</f>
        <v>428.09975833435925</v>
      </c>
      <c r="L9" s="739">
        <f>SUM(M9:N9)</f>
        <v>664.50334842320171</v>
      </c>
      <c r="M9" s="678">
        <f>AC9*'[2]Non-EU tax havens'!$K$8</f>
        <v>113.43566356655384</v>
      </c>
      <c r="N9" s="1328">
        <f>AC9*'[2]Non-EU tax havens'!$K$13</f>
        <v>551.06768485664793</v>
      </c>
      <c r="O9" s="739">
        <f>+P9+W9</f>
        <v>15114.33158590892</v>
      </c>
      <c r="P9" s="739">
        <f t="shared" ref="P9:P43" si="2">SUM(Q9:V9)</f>
        <v>4386.0262028105972</v>
      </c>
      <c r="Q9" s="740">
        <f>HLOOKUP($C9,'[2]Non EU income shifted to EU'!$B$2:$AI$9,Q$2+1,0)/TableB10!$E$229</f>
        <v>433.97781201097092</v>
      </c>
      <c r="R9" s="740">
        <f>HLOOKUP($C9,'[2]Non EU income shifted to EU'!$B$2:$AI$9,R$2+1,0)/TableB10!$E$229</f>
        <v>2.2181334628723275</v>
      </c>
      <c r="S9" s="740">
        <f>HLOOKUP($C9,'[2]Non EU income shifted to EU'!$B$2:$AI$9,S$2+1,0)/TableB10!$E$229</f>
        <v>2141.6078584032325</v>
      </c>
      <c r="T9" s="740">
        <f>HLOOKUP($C9,'[2]Non EU income shifted to EU'!$B$2:$AI$9,T$2+1,0)/TableB10!$E$229</f>
        <v>317.19308519074286</v>
      </c>
      <c r="U9" s="740">
        <f>HLOOKUP($C9,'[2]Non EU income shifted to EU'!$B$2:$AI$9,U$2+1,0)/TableB10!$E$229</f>
        <v>6.2107736960425166</v>
      </c>
      <c r="V9" s="740">
        <f>HLOOKUP($C9,'[2]Non EU income shifted to EU'!$B$2:$AI$9,V$2+1,0)/TableB10!$E$229</f>
        <v>1484.818540046736</v>
      </c>
      <c r="W9" s="739">
        <f>SUM(X9:Y9)</f>
        <v>10728.305383098323</v>
      </c>
      <c r="X9" s="678">
        <f>AE9*'[2]Non-EU tax havens'!$I$8</f>
        <v>1031.3882217121466</v>
      </c>
      <c r="Y9" s="593">
        <f>AE9*'[2]Non-EU tax havens'!$I$13</f>
        <v>9696.9171613861763</v>
      </c>
      <c r="Z9" s="431"/>
      <c r="AA9" s="232">
        <f>+TableB2!L10/TableB2!$L$91</f>
        <v>1.2748824469055224E-2</v>
      </c>
      <c r="AB9" s="552">
        <f>+AA9</f>
        <v>1.2748824469055224E-2</v>
      </c>
      <c r="AC9" s="552">
        <f>+AB9/$AB$90</f>
        <v>3.0171292148778037E-2</v>
      </c>
      <c r="AD9" s="552">
        <f>+AB9</f>
        <v>1.2748824469055224E-2</v>
      </c>
      <c r="AE9" s="552">
        <f>+AD9/$AD$90</f>
        <v>4.9800062874892144E-2</v>
      </c>
      <c r="AF9" s="552"/>
      <c r="AG9" s="552"/>
      <c r="AH9" s="552">
        <f t="shared" ref="AH9:AH72" si="3">+AG9/$AG$90</f>
        <v>0</v>
      </c>
      <c r="AI9" s="552"/>
      <c r="AJ9" s="552">
        <f t="shared" ref="AJ9:AJ21" si="4">+AI9/$AB$90</f>
        <v>0</v>
      </c>
    </row>
    <row r="10" spans="3:36" x14ac:dyDescent="0.35">
      <c r="C10" s="95" t="s">
        <v>55</v>
      </c>
      <c r="D10" s="739">
        <f t="shared" ref="D10:D51" si="5">+E10+L10</f>
        <v>438.19226559042829</v>
      </c>
      <c r="E10" s="739">
        <f t="shared" ref="E10:E51" si="6">SUM(F10:K10)</f>
        <v>310.31687145583862</v>
      </c>
      <c r="F10" s="740">
        <f>VLOOKUP($C10,'[2]Breakdown EU havens'!$S$4:$Y$31,F$2,0)/TableB10!$E$229</f>
        <v>23.290401360159439</v>
      </c>
      <c r="G10" s="740">
        <f>VLOOKUP($C10,'[2]Breakdown EU havens'!$S$4:$Y$31,G$2,0)/TableB10!$E$229</f>
        <v>0</v>
      </c>
      <c r="H10" s="740">
        <f>VLOOKUP($C10,'[2]Breakdown EU havens'!$S$4:$Y$31,H$2,0)/TableB10!$E$229</f>
        <v>58.669630092973065</v>
      </c>
      <c r="I10" s="740">
        <f>VLOOKUP($C10,'[2]Breakdown EU havens'!$S$4:$Y$31,I$2,0)/TableB10!$E$229</f>
        <v>122.88459384312695</v>
      </c>
      <c r="J10" s="740">
        <f>VLOOKUP($C10,'[2]Breakdown EU havens'!$S$4:$Y$31,J$2,0)/TableB10!$E$229</f>
        <v>1.2199734045797803</v>
      </c>
      <c r="K10" s="740">
        <f>VLOOKUP($C10,'[2]Breakdown EU havens'!$S$4:$Y$31,K$2,0)/TableB10!$E$229</f>
        <v>104.2522727549994</v>
      </c>
      <c r="L10" s="739">
        <f t="shared" ref="L10:L51" si="7">SUM(M10:N10)</f>
        <v>127.87539413458968</v>
      </c>
      <c r="M10" s="678">
        <f>VLOOKUP($C10,'[2]Breakdown non-EU havens'!$K$4:$M$31,3,0)/TableB10!$E$229</f>
        <v>61.109576902132616</v>
      </c>
      <c r="N10" s="1328">
        <f>VLOOKUP($C10,'[2]Breakdown non-EU havens'!$K$4:$M$31,2,0)/TableB10!$E$229</f>
        <v>66.765817232457067</v>
      </c>
      <c r="O10" s="739">
        <f t="shared" ref="O10:O51" si="8">+P10+W10</f>
        <v>3867.648412537334</v>
      </c>
      <c r="P10" s="739">
        <f t="shared" si="2"/>
        <v>2266.1560523435137</v>
      </c>
      <c r="Q10" s="740">
        <f>VLOOKUP($C10,'[2]Breakdown EU havens'!$J$4:$P$31,Q$2,0)/TableB10!$E$229</f>
        <v>444.73575930590169</v>
      </c>
      <c r="R10" s="740">
        <f>VLOOKUP($C10,'[2]Breakdown EU havens'!$J$4:$P$31,R$2,0)/TableB10!$E$229</f>
        <v>12.199734045797802</v>
      </c>
      <c r="S10" s="740">
        <f>VLOOKUP($C10,'[2]Breakdown EU havens'!$J$4:$P$31,S$2,0)/TableB10!$E$229</f>
        <v>797.41897990260179</v>
      </c>
      <c r="T10" s="740">
        <f>VLOOKUP($C10,'[2]Breakdown EU havens'!$J$4:$P$31,T$2,0)/TableB10!$E$229</f>
        <v>544.55176513515642</v>
      </c>
      <c r="U10" s="740">
        <f>VLOOKUP($C10,'[2]Breakdown EU havens'!$J$4:$P$31,U$2,0)/TableB10!$E$229</f>
        <v>45.028109296308251</v>
      </c>
      <c r="V10" s="740">
        <f>VLOOKUP($C10,'[2]Breakdown EU havens'!$J$4:$P$31,V$2,0)/TableB10!$E$229</f>
        <v>422.22170465774752</v>
      </c>
      <c r="W10" s="739">
        <f t="shared" ref="W10:W51" si="9">SUM(X10:Y10)</f>
        <v>1601.4923601938203</v>
      </c>
      <c r="X10" s="678">
        <f>VLOOKUP($C10,'[2]Breakdown non-EU havens'!$F$4:$H$31,3,0)/TableB10!$E$229</f>
        <v>1274.3176744201521</v>
      </c>
      <c r="Y10" s="593">
        <f>VLOOKUP($C10,'[2]Breakdown non-EU havens'!$F$4:$H$31,2,0)/TableB10!$E$229</f>
        <v>327.17468577366833</v>
      </c>
      <c r="Z10" s="431"/>
      <c r="AA10" s="232">
        <f>+TableB2!L11/TableB2!$L$91</f>
        <v>7.732296120374859E-3</v>
      </c>
      <c r="AB10" s="552"/>
      <c r="AC10" s="552">
        <f t="shared" ref="AC10:AC73" si="10">+AB10/$AB$90</f>
        <v>0</v>
      </c>
      <c r="AD10" s="552">
        <f t="shared" ref="AD10:AD42" si="11">+AB10</f>
        <v>0</v>
      </c>
      <c r="AE10" s="552">
        <f t="shared" ref="AE10:AE73" si="12">+AD10/$AD$90</f>
        <v>0</v>
      </c>
      <c r="AF10" s="552"/>
      <c r="AG10" s="552"/>
      <c r="AH10" s="552">
        <f t="shared" si="3"/>
        <v>0</v>
      </c>
      <c r="AI10" s="552"/>
      <c r="AJ10" s="552">
        <f t="shared" si="4"/>
        <v>0</v>
      </c>
    </row>
    <row r="11" spans="3:36" x14ac:dyDescent="0.35">
      <c r="C11" s="95" t="s">
        <v>2</v>
      </c>
      <c r="D11" s="739">
        <f t="shared" si="5"/>
        <v>4416.6364445982344</v>
      </c>
      <c r="E11" s="739">
        <f t="shared" si="6"/>
        <v>4324.3620925427458</v>
      </c>
      <c r="F11" s="740">
        <f>VLOOKUP($C11,'[2]Breakdown EU havens'!$S$4:$Y$31,F$2,0)/TableB10!$E$229</f>
        <v>0</v>
      </c>
      <c r="G11" s="740">
        <f>VLOOKUP($C11,'[2]Breakdown EU havens'!$S$4:$Y$31,G$2,0)/TableB10!$E$229</f>
        <v>0</v>
      </c>
      <c r="H11" s="740">
        <f>VLOOKUP($C11,'[2]Breakdown EU havens'!$S$4:$Y$31,H$2,0)/TableB10!$E$229</f>
        <v>170.68536996802561</v>
      </c>
      <c r="I11" s="740">
        <f>VLOOKUP($C11,'[2]Breakdown EU havens'!$S$4:$Y$31,I$2,0)/TableB10!$E$229</f>
        <v>2586.3436177091339</v>
      </c>
      <c r="J11" s="740">
        <f>VLOOKUP($C11,'[2]Breakdown EU havens'!$S$4:$Y$31,J$2,0)/TableB10!$E$229</f>
        <v>17.966881049265854</v>
      </c>
      <c r="K11" s="740">
        <f>VLOOKUP($C11,'[2]Breakdown EU havens'!$S$4:$Y$31,K$2,0)/TableB10!$E$229</f>
        <v>1549.3662238163208</v>
      </c>
      <c r="L11" s="739">
        <f t="shared" si="7"/>
        <v>92.274352055488833</v>
      </c>
      <c r="M11" s="678">
        <f>VLOOKUP($C11,'[2]Breakdown non-EU havens'!$K$4:$M$31,3,0)/TableB10!$E$229</f>
        <v>58.780536766116683</v>
      </c>
      <c r="N11" s="1328">
        <f>VLOOKUP($C11,'[2]Breakdown non-EU havens'!$K$4:$M$31,2,0)/TableB10!$E$229</f>
        <v>33.493815289372144</v>
      </c>
      <c r="O11" s="739">
        <f t="shared" si="8"/>
        <v>14402.56238777631</v>
      </c>
      <c r="P11" s="739">
        <f t="shared" si="2"/>
        <v>8827.2839288467148</v>
      </c>
      <c r="Q11" s="740">
        <f>VLOOKUP($C11,'[2]Breakdown EU havens'!$J$4:$P$31,Q$2,0)/TableB10!$E$229</f>
        <v>0</v>
      </c>
      <c r="R11" s="740">
        <f>VLOOKUP($C11,'[2]Breakdown EU havens'!$J$4:$P$31,R$2,0)/TableB10!$E$229</f>
        <v>13.308800777233966</v>
      </c>
      <c r="S11" s="740">
        <f>VLOOKUP($C11,'[2]Breakdown EU havens'!$J$4:$P$31,S$2,0)/TableB10!$E$229</f>
        <v>2127.8554309334236</v>
      </c>
      <c r="T11" s="740">
        <f>VLOOKUP($C11,'[2]Breakdown EU havens'!$J$4:$P$31,T$2,0)/TableB10!$E$229</f>
        <v>4154.1203492672948</v>
      </c>
      <c r="U11" s="740">
        <f>VLOOKUP($C11,'[2]Breakdown EU havens'!$J$4:$P$31,U$2,0)/TableB10!$E$229</f>
        <v>6.6544003886169829</v>
      </c>
      <c r="V11" s="740">
        <f>VLOOKUP($C11,'[2]Breakdown EU havens'!$J$4:$P$31,V$2,0)/TableB10!$E$229</f>
        <v>2525.344947480145</v>
      </c>
      <c r="W11" s="739">
        <f t="shared" si="9"/>
        <v>5575.2784589295952</v>
      </c>
      <c r="X11" s="678">
        <f>VLOOKUP($C11,'[2]Breakdown non-EU havens'!$F$4:$H$31,3,0)/TableB10!$E$229</f>
        <v>4482.8477284649744</v>
      </c>
      <c r="Y11" s="593">
        <f>VLOOKUP($C11,'[2]Breakdown non-EU havens'!$F$4:$H$31,2,0)/TableB10!$E$229</f>
        <v>1092.4307304646213</v>
      </c>
      <c r="Z11" s="431"/>
      <c r="AA11" s="232">
        <f>+TableB2!L12/TableB2!$L$91</f>
        <v>2.307033494060028E-2</v>
      </c>
      <c r="AB11" s="552"/>
      <c r="AC11" s="552">
        <f t="shared" si="10"/>
        <v>0</v>
      </c>
      <c r="AD11" s="552">
        <f t="shared" si="11"/>
        <v>0</v>
      </c>
      <c r="AE11" s="552">
        <f t="shared" si="12"/>
        <v>0</v>
      </c>
      <c r="AF11" s="552"/>
      <c r="AG11" s="552"/>
      <c r="AH11" s="552">
        <f t="shared" si="3"/>
        <v>0</v>
      </c>
      <c r="AI11" s="552"/>
      <c r="AJ11" s="552">
        <f t="shared" si="4"/>
        <v>0</v>
      </c>
    </row>
    <row r="12" spans="3:36" x14ac:dyDescent="0.35">
      <c r="C12" s="95" t="s">
        <v>56</v>
      </c>
      <c r="D12" s="739">
        <f t="shared" si="5"/>
        <v>2429.8624644859888</v>
      </c>
      <c r="E12" s="739">
        <f t="shared" si="6"/>
        <v>1259.345273545764</v>
      </c>
      <c r="F12" s="740">
        <f>HLOOKUP($C12,'[2]Interest shifted to EU'!$L$2:$AT$8,F$2,0)/TableB10!$E$229</f>
        <v>157.48747586393526</v>
      </c>
      <c r="G12" s="740">
        <f>HLOOKUP($C12,'[2]Interest shifted to EU'!$L$2:$AT$8,G$2,0)/TableB10!$E$229</f>
        <v>0</v>
      </c>
      <c r="H12" s="740">
        <f>HLOOKUP($C12,'[2]Interest shifted to EU'!$L$2:$AT$8,H$2,0)/TableB10!$E$229</f>
        <v>57.116936668962438</v>
      </c>
      <c r="I12" s="740">
        <f>HLOOKUP($C12,'[2]Interest shifted to EU'!$L$2:$AT$8,I$2,0)/TableB10!$E$229</f>
        <v>564.84768632043824</v>
      </c>
      <c r="J12" s="740">
        <f>HLOOKUP($C12,'[2]Interest shifted to EU'!$L$2:$AT$8,J$2,0)/TableB10!$E$229</f>
        <v>5.2126136377499703</v>
      </c>
      <c r="K12" s="740">
        <f>HLOOKUP($C12,'[2]Interest shifted to EU'!$L$2:$AT$8,K$2,0)/TableB10!$E$229</f>
        <v>474.68056105467809</v>
      </c>
      <c r="L12" s="739">
        <f t="shared" si="7"/>
        <v>1170.5171909402247</v>
      </c>
      <c r="M12" s="678">
        <f>AC12*'[2]Non-EU tax havens'!$K$8</f>
        <v>199.81598976955121</v>
      </c>
      <c r="N12" s="1328">
        <f>AC12*'[2]Non-EU tax havens'!$K$13</f>
        <v>970.70120117067347</v>
      </c>
      <c r="O12" s="739">
        <f t="shared" si="8"/>
        <v>21870.009758508928</v>
      </c>
      <c r="P12" s="739">
        <f t="shared" si="2"/>
        <v>2972.1879335757753</v>
      </c>
      <c r="Q12" s="740">
        <f>HLOOKUP($C12,'[2]Non EU income shifted to EU'!$B$2:$AI$9,Q$2+1,0)/TableB10!$E$229</f>
        <v>251.75814803600917</v>
      </c>
      <c r="R12" s="740">
        <f>HLOOKUP($C12,'[2]Non EU income shifted to EU'!$B$2:$AI$9,R$2+1,0)/TableB10!$E$229</f>
        <v>2.2181334628723275</v>
      </c>
      <c r="S12" s="740">
        <f>HLOOKUP($C12,'[2]Non EU income shifted to EU'!$B$2:$AI$9,S$2+1,0)/TableB10!$E$229</f>
        <v>641.92782415525153</v>
      </c>
      <c r="T12" s="740">
        <f>HLOOKUP($C12,'[2]Non EU income shifted to EU'!$B$2:$AI$9,T$2+1,0)/TableB10!$E$229</f>
        <v>613.31390248419859</v>
      </c>
      <c r="U12" s="740">
        <f>HLOOKUP($C12,'[2]Non EU income shifted to EU'!$B$2:$AI$9,U$2+1,0)/TableB10!$E$229</f>
        <v>7.9852804663403791</v>
      </c>
      <c r="V12" s="740">
        <f>HLOOKUP($C12,'[2]Non EU income shifted to EU'!$B$2:$AI$9,V$2+1,0)/TableB10!$E$229</f>
        <v>1454.9846449711033</v>
      </c>
      <c r="W12" s="739">
        <f t="shared" si="9"/>
        <v>18897.821824933151</v>
      </c>
      <c r="X12" s="678">
        <f>AE12*'[2]Non-EU tax havens'!$I$8</f>
        <v>1816.7818821561007</v>
      </c>
      <c r="Y12" s="593">
        <f>AE12*'[2]Non-EU tax havens'!$I$13</f>
        <v>17081.03994277705</v>
      </c>
      <c r="Z12" s="431"/>
      <c r="AA12" s="232">
        <f>+TableB2!L13/TableB2!$L$91</f>
        <v>2.2456949601109763E-2</v>
      </c>
      <c r="AB12" s="552">
        <f>+AA12</f>
        <v>2.2456949601109763E-2</v>
      </c>
      <c r="AC12" s="552">
        <f t="shared" si="10"/>
        <v>5.3146483334998697E-2</v>
      </c>
      <c r="AD12" s="552">
        <f t="shared" si="11"/>
        <v>2.2456949601109763E-2</v>
      </c>
      <c r="AE12" s="552">
        <f t="shared" si="12"/>
        <v>8.7722401765598104E-2</v>
      </c>
      <c r="AF12" s="552"/>
      <c r="AG12" s="552"/>
      <c r="AH12" s="552">
        <f t="shared" si="3"/>
        <v>0</v>
      </c>
      <c r="AI12" s="552"/>
      <c r="AJ12" s="552">
        <f t="shared" si="4"/>
        <v>0</v>
      </c>
    </row>
    <row r="13" spans="3:36" x14ac:dyDescent="0.35">
      <c r="C13" s="95" t="s">
        <v>57</v>
      </c>
      <c r="D13" s="739">
        <f t="shared" si="5"/>
        <v>747.23762873329281</v>
      </c>
      <c r="E13" s="739">
        <f t="shared" si="6"/>
        <v>433.64509199154008</v>
      </c>
      <c r="F13" s="740">
        <f>HLOOKUP($C13,'[2]Interest shifted to EU'!$L$2:$AT$8,F$2,0)/TableB10!$E$229</f>
        <v>18.965041107558402</v>
      </c>
      <c r="G13" s="740">
        <f>HLOOKUP($C13,'[2]Interest shifted to EU'!$L$2:$AT$8,G$2,0)/TableB10!$E$229</f>
        <v>0</v>
      </c>
      <c r="H13" s="740">
        <f>HLOOKUP($C13,'[2]Interest shifted to EU'!$L$2:$AT$8,H$2,0)/TableB10!$E$229</f>
        <v>0</v>
      </c>
      <c r="I13" s="740">
        <f>HLOOKUP($C13,'[2]Interest shifted to EU'!$L$2:$AT$8,I$2,0)/TableB10!$E$229</f>
        <v>124.32638059399397</v>
      </c>
      <c r="J13" s="740">
        <f>HLOOKUP($C13,'[2]Interest shifted to EU'!$L$2:$AT$8,J$2,0)/TableB10!$E$229</f>
        <v>1.9963201165850948</v>
      </c>
      <c r="K13" s="740">
        <f>HLOOKUP($C13,'[2]Interest shifted to EU'!$L$2:$AT$8,K$2,0)/TableB10!$E$229</f>
        <v>288.35735017340261</v>
      </c>
      <c r="L13" s="739">
        <f t="shared" si="7"/>
        <v>313.59253674175272</v>
      </c>
      <c r="M13" s="678">
        <f>AC13*'[2]Non-EU tax havens'!$K$8</f>
        <v>53.532578246941441</v>
      </c>
      <c r="N13" s="1328">
        <f>AC13*'[2]Non-EU tax havens'!$K$13</f>
        <v>260.05995849481127</v>
      </c>
      <c r="O13" s="739">
        <f t="shared" si="8"/>
        <v>5828.9361495392905</v>
      </c>
      <c r="P13" s="739">
        <f t="shared" si="2"/>
        <v>766.0323914029583</v>
      </c>
      <c r="Q13" s="740">
        <f>HLOOKUP($C13,'[2]Non EU income shifted to EU'!$B$2:$AI$9,Q$2+1,0)/TableB10!$E$229</f>
        <v>57.338750015249673</v>
      </c>
      <c r="R13" s="740">
        <f>HLOOKUP($C13,'[2]Non EU income shifted to EU'!$B$2:$AI$9,R$2+1,0)/TableB10!$E$229</f>
        <v>0</v>
      </c>
      <c r="S13" s="740">
        <f>HLOOKUP($C13,'[2]Non EU income shifted to EU'!$B$2:$AI$9,S$2+1,0)/TableB10!$E$229</f>
        <v>286.13921671053026</v>
      </c>
      <c r="T13" s="740">
        <f>HLOOKUP($C13,'[2]Non EU income shifted to EU'!$B$2:$AI$9,T$2+1,0)/TableB10!$E$229</f>
        <v>164.14187625255224</v>
      </c>
      <c r="U13" s="740">
        <f>HLOOKUP($C13,'[2]Non EU income shifted to EU'!$B$2:$AI$9,U$2+1,0)/TableB10!$E$229</f>
        <v>38.26280223454765</v>
      </c>
      <c r="V13" s="740">
        <f>HLOOKUP($C13,'[2]Non EU income shifted to EU'!$B$2:$AI$9,V$2+1,0)/TableB10!$E$229</f>
        <v>220.1497461900785</v>
      </c>
      <c r="W13" s="739">
        <f t="shared" si="9"/>
        <v>5062.9037581363318</v>
      </c>
      <c r="X13" s="678">
        <f>AE13*'[2]Non-EU tax havens'!$I$8</f>
        <v>486.73291049587181</v>
      </c>
      <c r="Y13" s="593">
        <f>AE13*'[2]Non-EU tax havens'!$I$13</f>
        <v>4576.1708476404601</v>
      </c>
      <c r="Z13" s="431"/>
      <c r="AA13" s="232">
        <f>+TableB2!L14/TableB2!$L$91</f>
        <v>6.0164274795801243E-3</v>
      </c>
      <c r="AB13" s="552">
        <f>+AA13</f>
        <v>6.0164274795801243E-3</v>
      </c>
      <c r="AC13" s="552">
        <f t="shared" si="10"/>
        <v>1.4238441482895431E-2</v>
      </c>
      <c r="AD13" s="552">
        <f t="shared" si="11"/>
        <v>6.0164274795801243E-3</v>
      </c>
      <c r="AE13" s="552">
        <f t="shared" si="12"/>
        <v>2.3501654406849235E-2</v>
      </c>
      <c r="AF13" s="552"/>
      <c r="AG13" s="552"/>
      <c r="AH13" s="552">
        <f t="shared" si="3"/>
        <v>0</v>
      </c>
      <c r="AI13" s="552"/>
      <c r="AJ13" s="552">
        <f t="shared" si="4"/>
        <v>0</v>
      </c>
    </row>
    <row r="14" spans="3:36" x14ac:dyDescent="0.35">
      <c r="C14" s="95" t="s">
        <v>58</v>
      </c>
      <c r="D14" s="739">
        <f t="shared" si="5"/>
        <v>177.78339704921706</v>
      </c>
      <c r="E14" s="739">
        <f t="shared" si="6"/>
        <v>144.84411512556298</v>
      </c>
      <c r="F14" s="740">
        <f>VLOOKUP($C14,'[2]Breakdown EU havens'!$S$4:$Y$31,F$2,0)/TableB10!$E$229</f>
        <v>9.6488805634946235</v>
      </c>
      <c r="G14" s="740">
        <f>VLOOKUP($C14,'[2]Breakdown EU havens'!$S$4:$Y$31,G$2,0)/TableB10!$E$229</f>
        <v>2.4399468091595606</v>
      </c>
      <c r="H14" s="740">
        <f>VLOOKUP($C14,'[2]Breakdown EU havens'!$S$4:$Y$31,H$2,0)/TableB10!$E$229</f>
        <v>2.4399468091595606</v>
      </c>
      <c r="I14" s="740">
        <f>VLOOKUP($C14,'[2]Breakdown EU havens'!$S$4:$Y$31,I$2,0)/TableB10!$E$229</f>
        <v>71.534804177632566</v>
      </c>
      <c r="J14" s="740">
        <f>VLOOKUP($C14,'[2]Breakdown EU havens'!$S$4:$Y$31,J$2,0)/TableB10!$E$229</f>
        <v>1.1090667314361637</v>
      </c>
      <c r="K14" s="740">
        <f>VLOOKUP($C14,'[2]Breakdown EU havens'!$S$4:$Y$31,K$2,0)/TableB10!$E$229</f>
        <v>57.671470034680517</v>
      </c>
      <c r="L14" s="739">
        <f t="shared" si="7"/>
        <v>32.939281923654065</v>
      </c>
      <c r="M14" s="678">
        <f>VLOOKUP($C14,'[2]Breakdown non-EU havens'!$K$4:$M$31,3,0)/TableB10!$E$229</f>
        <v>32.162935211648751</v>
      </c>
      <c r="N14" s="1328">
        <f>VLOOKUP($C14,'[2]Breakdown non-EU havens'!$K$4:$M$31,2,0)/TableB10!$E$229</f>
        <v>0.77634671200531458</v>
      </c>
      <c r="O14" s="739">
        <f t="shared" si="8"/>
        <v>2190.4067945864235</v>
      </c>
      <c r="P14" s="739">
        <f t="shared" si="2"/>
        <v>1823.1947998079099</v>
      </c>
      <c r="Q14" s="740">
        <f>VLOOKUP($C14,'[2]Breakdown EU havens'!$J$4:$P$31,Q$2,0)/TableB10!$E$229</f>
        <v>393.71868965983816</v>
      </c>
      <c r="R14" s="740">
        <f>VLOOKUP($C14,'[2]Breakdown EU havens'!$J$4:$P$31,R$2,0)/TableB10!$E$229</f>
        <v>21.40498791671796</v>
      </c>
      <c r="S14" s="740">
        <f>VLOOKUP($C14,'[2]Breakdown EU havens'!$J$4:$P$31,S$2,0)/TableB10!$E$229</f>
        <v>299.44801748776422</v>
      </c>
      <c r="T14" s="740">
        <f>VLOOKUP($C14,'[2]Breakdown EU havens'!$J$4:$P$31,T$2,0)/TableB10!$E$229</f>
        <v>297.89532406375361</v>
      </c>
      <c r="U14" s="740">
        <f>VLOOKUP($C14,'[2]Breakdown EU havens'!$J$4:$P$31,U$2,0)/TableB10!$E$229</f>
        <v>5.434426984037203</v>
      </c>
      <c r="V14" s="740">
        <f>VLOOKUP($C14,'[2]Breakdown EU havens'!$J$4:$P$31,V$2,0)/TableB10!$E$229</f>
        <v>805.2933536957986</v>
      </c>
      <c r="W14" s="739">
        <f t="shared" si="9"/>
        <v>367.21199477851383</v>
      </c>
      <c r="X14" s="678">
        <f>VLOOKUP($C14,'[2]Breakdown non-EU havens'!$F$4:$H$31,3,0)/TableB10!$E$229</f>
        <v>327.17468577366833</v>
      </c>
      <c r="Y14" s="593">
        <f>VLOOKUP($C14,'[2]Breakdown non-EU havens'!$F$4:$H$31,2,0)/TableB10!$E$229</f>
        <v>40.037309004845511</v>
      </c>
      <c r="Z14" s="431"/>
      <c r="AA14" s="232">
        <f>+TableB2!L15/TableB2!$L$91</f>
        <v>3.5917694478059007E-3</v>
      </c>
      <c r="AB14" s="552"/>
      <c r="AC14" s="552">
        <f t="shared" si="10"/>
        <v>0</v>
      </c>
      <c r="AD14" s="552">
        <f t="shared" si="11"/>
        <v>0</v>
      </c>
      <c r="AE14" s="552">
        <f t="shared" si="12"/>
        <v>0</v>
      </c>
      <c r="AF14" s="552"/>
      <c r="AG14" s="552"/>
      <c r="AH14" s="552">
        <f t="shared" si="3"/>
        <v>0</v>
      </c>
      <c r="AI14" s="552"/>
      <c r="AJ14" s="552">
        <f t="shared" si="4"/>
        <v>0</v>
      </c>
    </row>
    <row r="15" spans="3:36" x14ac:dyDescent="0.35">
      <c r="C15" s="95" t="s">
        <v>59</v>
      </c>
      <c r="D15" s="739">
        <f t="shared" si="5"/>
        <v>307.4332979541046</v>
      </c>
      <c r="E15" s="739">
        <f t="shared" si="6"/>
        <v>258.85617511720062</v>
      </c>
      <c r="F15" s="740">
        <f>VLOOKUP($C15,'[2]Breakdown EU havens'!$S$4:$Y$31,F$2,0)/TableB10!$E$229</f>
        <v>12.088827372654185</v>
      </c>
      <c r="G15" s="740">
        <f>VLOOKUP($C15,'[2]Breakdown EU havens'!$S$4:$Y$31,G$2,0)/TableB10!$E$229</f>
        <v>0</v>
      </c>
      <c r="H15" s="740">
        <f>VLOOKUP($C15,'[2]Breakdown EU havens'!$S$4:$Y$31,H$2,0)/TableB10!$E$229</f>
        <v>138.41152808323324</v>
      </c>
      <c r="I15" s="740">
        <f>VLOOKUP($C15,'[2]Breakdown EU havens'!$S$4:$Y$31,I$2,0)/TableB10!$E$229</f>
        <v>77.745577873675074</v>
      </c>
      <c r="J15" s="740">
        <f>VLOOKUP($C15,'[2]Breakdown EU havens'!$S$4:$Y$31,J$2,0)/TableB10!$E$229</f>
        <v>0.66544003886169822</v>
      </c>
      <c r="K15" s="740">
        <f>VLOOKUP($C15,'[2]Breakdown EU havens'!$S$4:$Y$31,K$2,0)/TableB10!$E$229</f>
        <v>29.944801748776424</v>
      </c>
      <c r="L15" s="739">
        <f t="shared" si="7"/>
        <v>48.577122836903975</v>
      </c>
      <c r="M15" s="678">
        <f>VLOOKUP($C15,'[2]Breakdown non-EU havens'!$K$4:$M$31,3,0)/TableB10!$E$229</f>
        <v>42.366349140861459</v>
      </c>
      <c r="N15" s="1328">
        <f>VLOOKUP($C15,'[2]Breakdown non-EU havens'!$K$4:$M$31,2,0)/TableB10!$E$229</f>
        <v>6.2107736960425166</v>
      </c>
      <c r="O15" s="739">
        <f t="shared" si="8"/>
        <v>3383.8735042848789</v>
      </c>
      <c r="P15" s="739">
        <f t="shared" si="2"/>
        <v>2705.4573846653775</v>
      </c>
      <c r="Q15" s="740">
        <f>VLOOKUP($C15,'[2]Breakdown EU havens'!$J$4:$P$31,Q$2,0)/TableB10!$E$229</f>
        <v>445.84482603733784</v>
      </c>
      <c r="R15" s="740">
        <f>VLOOKUP($C15,'[2]Breakdown EU havens'!$J$4:$P$31,R$2,0)/TableB10!$E$229</f>
        <v>1.1090667314361637</v>
      </c>
      <c r="S15" s="740">
        <f>VLOOKUP($C15,'[2]Breakdown EU havens'!$J$4:$P$31,S$2,0)/TableB10!$E$229</f>
        <v>1195.5739364881845</v>
      </c>
      <c r="T15" s="740">
        <f>VLOOKUP($C15,'[2]Breakdown EU havens'!$J$4:$P$31,T$2,0)/TableB10!$E$229</f>
        <v>402.36941016504022</v>
      </c>
      <c r="U15" s="740">
        <f>VLOOKUP($C15,'[2]Breakdown EU havens'!$J$4:$P$31,U$2,0)/TableB10!$E$229</f>
        <v>15.305120893819062</v>
      </c>
      <c r="V15" s="740">
        <f>VLOOKUP($C15,'[2]Breakdown EU havens'!$J$4:$P$31,V$2,0)/TableB10!$E$229</f>
        <v>645.25502434956002</v>
      </c>
      <c r="W15" s="739">
        <f t="shared" si="9"/>
        <v>678.41611961950139</v>
      </c>
      <c r="X15" s="678">
        <f>VLOOKUP($C15,'[2]Breakdown non-EU havens'!$F$4:$H$31,3,0)/TableB10!$E$229</f>
        <v>373.42276847455634</v>
      </c>
      <c r="Y15" s="593">
        <f>VLOOKUP($C15,'[2]Breakdown non-EU havens'!$F$4:$H$31,2,0)/TableB10!$E$229</f>
        <v>304.99335114494505</v>
      </c>
      <c r="Z15" s="431"/>
      <c r="AA15" s="232">
        <f>+TableB2!L16/TableB2!$L$91</f>
        <v>3.2805903994461813E-3</v>
      </c>
      <c r="AB15" s="552"/>
      <c r="AC15" s="552">
        <f t="shared" si="10"/>
        <v>0</v>
      </c>
      <c r="AD15" s="552">
        <f t="shared" si="11"/>
        <v>0</v>
      </c>
      <c r="AE15" s="552">
        <f t="shared" si="12"/>
        <v>0</v>
      </c>
      <c r="AF15" s="552"/>
      <c r="AG15" s="552"/>
      <c r="AH15" s="552">
        <f t="shared" si="3"/>
        <v>0</v>
      </c>
      <c r="AI15" s="552"/>
      <c r="AJ15" s="552">
        <f t="shared" si="4"/>
        <v>0</v>
      </c>
    </row>
    <row r="16" spans="3:36" x14ac:dyDescent="0.35">
      <c r="C16" s="455" t="s">
        <v>60</v>
      </c>
      <c r="D16" s="739">
        <f t="shared" si="5"/>
        <v>33.604721962515768</v>
      </c>
      <c r="E16" s="739">
        <f t="shared" si="6"/>
        <v>26.173974861893466</v>
      </c>
      <c r="F16" s="740">
        <f>VLOOKUP($C16,'[2]Breakdown EU havens'!$S$4:$Y$31,F$2,0)/TableB10!$E$229</f>
        <v>0.99816005829254728</v>
      </c>
      <c r="G16" s="740">
        <f>VLOOKUP($C16,'[2]Breakdown EU havens'!$S$4:$Y$31,G$2,0)/TableB10!$E$229</f>
        <v>0</v>
      </c>
      <c r="H16" s="740">
        <f>VLOOKUP($C16,'[2]Breakdown EU havens'!$S$4:$Y$31,H$2,0)/TableB10!$E$229</f>
        <v>4.2144535794574232</v>
      </c>
      <c r="I16" s="740">
        <f>VLOOKUP($C16,'[2]Breakdown EU havens'!$S$4:$Y$31,I$2,0)/TableB10!$E$229</f>
        <v>7.5416537737659137</v>
      </c>
      <c r="J16" s="740">
        <f>VLOOKUP($C16,'[2]Breakdown EU havens'!$S$4:$Y$31,J$2,0)/TableB10!$E$229</f>
        <v>0.11090667314361638</v>
      </c>
      <c r="K16" s="740">
        <f>VLOOKUP($C16,'[2]Breakdown EU havens'!$S$4:$Y$31,K$2,0)/TableB10!$E$229</f>
        <v>13.308800777233966</v>
      </c>
      <c r="L16" s="739">
        <f t="shared" si="7"/>
        <v>7.4307471006222983</v>
      </c>
      <c r="M16" s="678">
        <f>VLOOKUP($C16,'[2]Breakdown non-EU havens'!$K$4:$M$31,3,0)/TableB10!$E$229</f>
        <v>3.7708268868829569</v>
      </c>
      <c r="N16" s="1328">
        <f>VLOOKUP($C16,'[2]Breakdown non-EU havens'!$K$4:$M$31,2,0)/TableB10!$E$229</f>
        <v>3.659920213739341</v>
      </c>
      <c r="O16" s="739">
        <f t="shared" si="8"/>
        <v>253.08902811373258</v>
      </c>
      <c r="P16" s="739">
        <f t="shared" si="2"/>
        <v>181.33241058981278</v>
      </c>
      <c r="Q16" s="740">
        <f>VLOOKUP($C16,'[2]Breakdown EU havens'!$J$4:$P$31,Q$2,0)/TableB10!$E$229</f>
        <v>43.25360252601039</v>
      </c>
      <c r="R16" s="740">
        <f>VLOOKUP($C16,'[2]Breakdown EU havens'!$J$4:$P$31,R$2,0)/TableB10!$E$229</f>
        <v>1.5526934240106292</v>
      </c>
      <c r="S16" s="740">
        <f>VLOOKUP($C16,'[2]Breakdown EU havens'!$J$4:$P$31,S$2,0)/TableB10!$E$229</f>
        <v>11.090667314361639</v>
      </c>
      <c r="T16" s="740">
        <f>VLOOKUP($C16,'[2]Breakdown EU havens'!$J$4:$P$31,T$2,0)/TableB10!$E$229</f>
        <v>106.47040621787173</v>
      </c>
      <c r="U16" s="740">
        <f>VLOOKUP($C16,'[2]Breakdown EU havens'!$J$4:$P$31,U$2,0)/TableB10!$E$229</f>
        <v>0.33272001943084911</v>
      </c>
      <c r="V16" s="740">
        <f>VLOOKUP($C16,'[2]Breakdown EU havens'!$J$4:$P$31,V$2,0)/TableB10!$E$229</f>
        <v>18.632321088127554</v>
      </c>
      <c r="W16" s="739">
        <f t="shared" si="9"/>
        <v>71.7566175239198</v>
      </c>
      <c r="X16" s="678">
        <f>VLOOKUP($C16,'[2]Breakdown non-EU havens'!$F$4:$H$31,3,0)/TableB10!$E$229</f>
        <v>44.806295950021017</v>
      </c>
      <c r="Y16" s="593">
        <f>VLOOKUP($C16,'[2]Breakdown non-EU havens'!$F$4:$H$31,2,0)/TableB10!$E$229</f>
        <v>26.95032157389878</v>
      </c>
      <c r="Z16" s="431"/>
      <c r="AA16" s="232">
        <f>+TableB2!L17/TableB2!$L$91</f>
        <v>5.929502460818286E-4</v>
      </c>
      <c r="AB16" s="552"/>
      <c r="AC16" s="552">
        <f t="shared" si="10"/>
        <v>0</v>
      </c>
      <c r="AD16" s="552">
        <f t="shared" si="11"/>
        <v>0</v>
      </c>
      <c r="AE16" s="552">
        <f t="shared" si="12"/>
        <v>0</v>
      </c>
      <c r="AF16" s="552"/>
      <c r="AG16" s="552"/>
      <c r="AH16" s="552">
        <f t="shared" si="3"/>
        <v>0</v>
      </c>
      <c r="AI16" s="552"/>
      <c r="AJ16" s="552">
        <f t="shared" si="4"/>
        <v>0</v>
      </c>
    </row>
    <row r="17" spans="1:36" x14ac:dyDescent="0.35">
      <c r="C17" s="95" t="s">
        <v>61</v>
      </c>
      <c r="D17" s="739">
        <f t="shared" si="5"/>
        <v>353.79228732813624</v>
      </c>
      <c r="E17" s="739">
        <f t="shared" si="6"/>
        <v>251.97996138229644</v>
      </c>
      <c r="F17" s="740">
        <f>VLOOKUP($C17,'[2]Breakdown EU havens'!$S$4:$Y$31,F$2,0)/TableB10!$E$229</f>
        <v>10.757947294930789</v>
      </c>
      <c r="G17" s="740">
        <f>VLOOKUP($C17,'[2]Breakdown EU havens'!$S$4:$Y$31,G$2,0)/TableB10!$E$229</f>
        <v>0</v>
      </c>
      <c r="H17" s="740">
        <f>VLOOKUP($C17,'[2]Breakdown EU havens'!$S$4:$Y$31,H$2,0)/TableB10!$E$229</f>
        <v>41.700909101999756</v>
      </c>
      <c r="I17" s="740">
        <f>VLOOKUP($C17,'[2]Breakdown EU havens'!$S$4:$Y$31,I$2,0)/TableB10!$E$229</f>
        <v>87.394458437169718</v>
      </c>
      <c r="J17" s="740">
        <f>VLOOKUP($C17,'[2]Breakdown EU havens'!$S$4:$Y$31,J$2,0)/TableB10!$E$229</f>
        <v>1.2199734045797803</v>
      </c>
      <c r="K17" s="740">
        <f>VLOOKUP($C17,'[2]Breakdown EU havens'!$S$4:$Y$31,K$2,0)/TableB10!$E$229</f>
        <v>110.90667314361637</v>
      </c>
      <c r="L17" s="739">
        <f t="shared" si="7"/>
        <v>101.81232594583983</v>
      </c>
      <c r="M17" s="678">
        <f>VLOOKUP($C17,'[2]Breakdown non-EU havens'!$K$4:$M$31,3,0)/TableB10!$E$229</f>
        <v>75.083817718228289</v>
      </c>
      <c r="N17" s="1328">
        <f>VLOOKUP($C17,'[2]Breakdown non-EU havens'!$K$4:$M$31,2,0)/TableB10!$E$229</f>
        <v>26.728508227611545</v>
      </c>
      <c r="O17" s="739">
        <f t="shared" si="8"/>
        <v>2875.2555012482544</v>
      </c>
      <c r="P17" s="739">
        <f t="shared" si="2"/>
        <v>1852.4741615178245</v>
      </c>
      <c r="Q17" s="740">
        <f>VLOOKUP($C17,'[2]Breakdown EU havens'!$J$4:$P$31,Q$2,0)/TableB10!$E$229</f>
        <v>291.79545704085473</v>
      </c>
      <c r="R17" s="740">
        <f>VLOOKUP($C17,'[2]Breakdown EU havens'!$J$4:$P$31,R$2,0)/TableB10!$E$229</f>
        <v>1.1090667314361637</v>
      </c>
      <c r="S17" s="740">
        <f>VLOOKUP($C17,'[2]Breakdown EU havens'!$J$4:$P$31,S$2,0)/TableB10!$E$229</f>
        <v>854.09228987898973</v>
      </c>
      <c r="T17" s="740">
        <f>VLOOKUP($C17,'[2]Breakdown EU havens'!$J$4:$P$31,T$2,0)/TableB10!$E$229</f>
        <v>443.95941259389639</v>
      </c>
      <c r="U17" s="740">
        <f>VLOOKUP($C17,'[2]Breakdown EU havens'!$J$4:$P$31,U$2,0)/TableB10!$E$229</f>
        <v>2.7726668285904097</v>
      </c>
      <c r="V17" s="740">
        <f>VLOOKUP($C17,'[2]Breakdown EU havens'!$J$4:$P$31,V$2,0)/TableB10!$E$229</f>
        <v>258.74526844405705</v>
      </c>
      <c r="W17" s="739">
        <f t="shared" si="9"/>
        <v>1022.7813397304301</v>
      </c>
      <c r="X17" s="678">
        <f>VLOOKUP($C17,'[2]Breakdown non-EU havens'!$F$4:$H$31,3,0)/TableB10!$E$229</f>
        <v>389.17151606094984</v>
      </c>
      <c r="Y17" s="593">
        <f>VLOOKUP($C17,'[2]Breakdown non-EU havens'!$F$4:$H$31,2,0)/TableB10!$E$229</f>
        <v>633.60982366948031</v>
      </c>
      <c r="Z17" s="431"/>
      <c r="AA17" s="232">
        <f>+TableB2!L18/TableB2!$L$91</f>
        <v>2.1673389492316785E-3</v>
      </c>
      <c r="AB17" s="552"/>
      <c r="AC17" s="552">
        <f t="shared" si="10"/>
        <v>0</v>
      </c>
      <c r="AD17" s="552">
        <f t="shared" si="11"/>
        <v>0</v>
      </c>
      <c r="AE17" s="552">
        <f t="shared" si="12"/>
        <v>0</v>
      </c>
      <c r="AF17" s="552"/>
      <c r="AG17" s="552"/>
      <c r="AH17" s="552">
        <f t="shared" si="3"/>
        <v>0</v>
      </c>
      <c r="AI17" s="552"/>
      <c r="AJ17" s="552">
        <f t="shared" si="4"/>
        <v>0</v>
      </c>
    </row>
    <row r="18" spans="1:36" x14ac:dyDescent="0.35">
      <c r="C18" s="455" t="s">
        <v>48</v>
      </c>
      <c r="D18" s="739">
        <f t="shared" si="5"/>
        <v>6381.4590660105423</v>
      </c>
      <c r="E18" s="739">
        <f t="shared" si="6"/>
        <v>6067.5931810141083</v>
      </c>
      <c r="F18" s="740">
        <f>VLOOKUP($C18,'[2]Breakdown EU havens'!$S$4:$Y$31,F$2,0)/TableB10!$E$229</f>
        <v>1151.211267230738</v>
      </c>
      <c r="G18" s="740">
        <f>VLOOKUP($C18,'[2]Breakdown EU havens'!$S$4:$Y$31,G$2,0)/TableB10!$E$229</f>
        <v>0</v>
      </c>
      <c r="H18" s="740">
        <f>VLOOKUP($C18,'[2]Breakdown EU havens'!$S$4:$Y$31,H$2,0)/TableB10!$E$229</f>
        <v>159.70560932680758</v>
      </c>
      <c r="I18" s="740">
        <f>VLOOKUP($C18,'[2]Breakdown EU havens'!$S$4:$Y$31,I$2,0)/TableB10!$E$229</f>
        <v>3051.5971115466045</v>
      </c>
      <c r="J18" s="740">
        <f>VLOOKUP($C18,'[2]Breakdown EU havens'!$S$4:$Y$31,J$2,0)/TableB10!$E$229</f>
        <v>17.079627664116924</v>
      </c>
      <c r="K18" s="740">
        <f>VLOOKUP($C18,'[2]Breakdown EU havens'!$S$4:$Y$31,K$2,0)/TableB10!$E$229</f>
        <v>1687.9995652458413</v>
      </c>
      <c r="L18" s="739">
        <f t="shared" si="7"/>
        <v>313.86588499643437</v>
      </c>
      <c r="M18" s="678">
        <f>VLOOKUP($C18,'[2]Breakdown non-EU havens'!$K$4:$M$31,3,0)/TableB10!$E$229</f>
        <v>225.14054648154126</v>
      </c>
      <c r="N18" s="1328">
        <f>VLOOKUP($C18,'[2]Breakdown non-EU havens'!$K$4:$M$31,2,0)/TableB10!$E$229</f>
        <v>88.72533851489311</v>
      </c>
      <c r="O18" s="739">
        <f t="shared" si="8"/>
        <v>33129.59777476851</v>
      </c>
      <c r="P18" s="739">
        <f t="shared" si="2"/>
        <v>23927.67110404266</v>
      </c>
      <c r="Q18" s="740">
        <f>VLOOKUP($C18,'[2]Breakdown EU havens'!$J$4:$P$31,Q$2,0)/TableB10!$E$229</f>
        <v>7693.5959159726681</v>
      </c>
      <c r="R18" s="740">
        <f>VLOOKUP($C18,'[2]Breakdown EU havens'!$J$4:$P$31,R$2,0)/TableB10!$E$229</f>
        <v>24.066748072164753</v>
      </c>
      <c r="S18" s="740">
        <f>VLOOKUP($C18,'[2]Breakdown EU havens'!$J$4:$P$31,S$2,0)/TableB10!$E$229</f>
        <v>5843.6726079371474</v>
      </c>
      <c r="T18" s="740">
        <f>VLOOKUP($C18,'[2]Breakdown EU havens'!$J$4:$P$31,T$2,0)/TableB10!$E$229</f>
        <v>6344.5271438537193</v>
      </c>
      <c r="U18" s="740">
        <f>VLOOKUP($C18,'[2]Breakdown EU havens'!$J$4:$P$31,U$2,0)/TableB10!$E$229</f>
        <v>61.442296921563475</v>
      </c>
      <c r="V18" s="740">
        <f>VLOOKUP($C18,'[2]Breakdown EU havens'!$J$4:$P$31,V$2,0)/TableB10!$E$229</f>
        <v>3960.3663912853972</v>
      </c>
      <c r="W18" s="739">
        <f t="shared" si="9"/>
        <v>9201.9266707258503</v>
      </c>
      <c r="X18" s="678">
        <f>VLOOKUP($C18,'[2]Breakdown non-EU havens'!$F$4:$H$31,3,0)/TableB10!$E$229</f>
        <v>6096.5398227045926</v>
      </c>
      <c r="Y18" s="593">
        <f>VLOOKUP($C18,'[2]Breakdown non-EU havens'!$F$4:$H$31,2,0)/TableB10!$E$229</f>
        <v>3105.3868480212586</v>
      </c>
      <c r="Z18" s="431"/>
      <c r="AA18" s="232">
        <f>+TableB2!L19/TableB2!$L$91</f>
        <v>2.05890434097546E-2</v>
      </c>
      <c r="AB18" s="552"/>
      <c r="AC18" s="552">
        <f t="shared" si="10"/>
        <v>0</v>
      </c>
      <c r="AD18" s="552">
        <f t="shared" si="11"/>
        <v>0</v>
      </c>
      <c r="AE18" s="552">
        <f t="shared" si="12"/>
        <v>0</v>
      </c>
      <c r="AF18" s="552"/>
      <c r="AG18" s="552"/>
      <c r="AH18" s="552">
        <f t="shared" si="3"/>
        <v>0</v>
      </c>
      <c r="AI18" s="552"/>
      <c r="AJ18" s="552">
        <f t="shared" si="4"/>
        <v>0</v>
      </c>
    </row>
    <row r="19" spans="1:36" x14ac:dyDescent="0.35">
      <c r="B19" s="1" t="s">
        <v>535</v>
      </c>
      <c r="C19" s="95" t="s">
        <v>62</v>
      </c>
      <c r="D19" s="739">
        <f t="shared" si="5"/>
        <v>13655.605944154055</v>
      </c>
      <c r="E19" s="739">
        <f t="shared" si="6"/>
        <v>12437.850673037146</v>
      </c>
      <c r="F19" s="740">
        <f>VLOOKUP($B19,'[2]Breakdown EU havens'!$S$4:$Y$31,F$2,0)/TableB10!$E$229</f>
        <v>919.08360034114901</v>
      </c>
      <c r="G19" s="740">
        <f>VLOOKUP($B19,'[2]Breakdown EU havens'!$S$4:$Y$31,G$2,0)/TableB10!$E$229</f>
        <v>31.719308519074286</v>
      </c>
      <c r="H19" s="740">
        <f>VLOOKUP($B19,'[2]Breakdown EU havens'!$S$4:$Y$31,H$2,0)/TableB10!$E$229</f>
        <v>140.85147489239282</v>
      </c>
      <c r="I19" s="740">
        <f>VLOOKUP($B19,'[2]Breakdown EU havens'!$S$4:$Y$31,I$2,0)/TableB10!$E$229</f>
        <v>1841.3834942034628</v>
      </c>
      <c r="J19" s="740">
        <f>VLOOKUP($B19,'[2]Breakdown EU havens'!$S$4:$Y$31,J$2,0)/TableB10!$E$229</f>
        <v>16.746907644686075</v>
      </c>
      <c r="K19" s="740">
        <f>VLOOKUP($B19,'[2]Breakdown EU havens'!$S$4:$Y$31,K$2,0)/TableB10!$E$229</f>
        <v>9488.0658874363817</v>
      </c>
      <c r="L19" s="739">
        <f t="shared" si="7"/>
        <v>1217.7552711169078</v>
      </c>
      <c r="M19" s="678">
        <f>VLOOKUP($B19,'[2]Breakdown non-EU havens'!$K$4:$M$31,3,0)/TableB10!$E$229</f>
        <v>548.98803206090111</v>
      </c>
      <c r="N19" s="1328">
        <f>VLOOKUP($B19,'[2]Breakdown non-EU havens'!$K$4:$M$31,2,0)/TableB10!$E$229</f>
        <v>668.76723905600682</v>
      </c>
      <c r="O19" s="739">
        <f t="shared" si="8"/>
        <v>51452.378338152223</v>
      </c>
      <c r="P19" s="739">
        <f t="shared" si="2"/>
        <v>37230.815640946297</v>
      </c>
      <c r="Q19" s="740">
        <f>VLOOKUP($B19,'[2]Breakdown EU havens'!$J$4:$P$31,Q$2,0)/TableB10!$E$229</f>
        <v>5290.2483089505013</v>
      </c>
      <c r="R19" s="740">
        <f>VLOOKUP($B19,'[2]Breakdown EU havens'!$J$4:$P$31,R$2,0)/TableB10!$E$229</f>
        <v>89.834405246329268</v>
      </c>
      <c r="S19" s="740">
        <f>VLOOKUP($B19,'[2]Breakdown EU havens'!$J$4:$P$31,S$2,0)/TableB10!$E$229</f>
        <v>10263.525346056547</v>
      </c>
      <c r="T19" s="740">
        <f>VLOOKUP($B19,'[2]Breakdown EU havens'!$J$4:$P$31,T$2,0)/TableB10!$E$229</f>
        <v>13904.369612015185</v>
      </c>
      <c r="U19" s="740">
        <f>VLOOKUP($B19,'[2]Breakdown EU havens'!$J$4:$P$31,U$2,0)/TableB10!$E$229</f>
        <v>198.96657161964779</v>
      </c>
      <c r="V19" s="740">
        <f>VLOOKUP($B19,'[2]Breakdown EU havens'!$J$4:$P$31,V$2,0)/TableB10!$E$229</f>
        <v>7483.8713970580893</v>
      </c>
      <c r="W19" s="739">
        <f t="shared" si="9"/>
        <v>14221.562697205927</v>
      </c>
      <c r="X19" s="678">
        <f>VLOOKUP($B19,'[2]Breakdown non-EU havens'!$F$4:$H$31,3,0)/TableB10!$E$229</f>
        <v>8972.3498573185643</v>
      </c>
      <c r="Y19" s="593">
        <f>VLOOKUP($B19,'[2]Breakdown non-EU havens'!$F$4:$H$31,2,0)/TableB10!$E$229</f>
        <v>5249.2128398873629</v>
      </c>
      <c r="Z19" s="431"/>
      <c r="AA19" s="232">
        <f>+TableB2!L20/TableB2!$L$91</f>
        <v>1.9280661865832386E-2</v>
      </c>
      <c r="AB19" s="552"/>
      <c r="AC19" s="552">
        <f t="shared" si="10"/>
        <v>0</v>
      </c>
      <c r="AD19" s="552">
        <f t="shared" si="11"/>
        <v>0</v>
      </c>
      <c r="AE19" s="552">
        <f t="shared" si="12"/>
        <v>0</v>
      </c>
      <c r="AF19" s="552"/>
      <c r="AG19" s="552"/>
      <c r="AH19" s="552">
        <f t="shared" si="3"/>
        <v>0</v>
      </c>
      <c r="AI19" s="552"/>
      <c r="AJ19" s="552">
        <f t="shared" si="4"/>
        <v>0</v>
      </c>
    </row>
    <row r="20" spans="1:36" x14ac:dyDescent="0.35">
      <c r="C20" s="95" t="s">
        <v>63</v>
      </c>
      <c r="D20" s="739">
        <f t="shared" si="5"/>
        <v>65.656750501020895</v>
      </c>
      <c r="E20" s="739">
        <f t="shared" si="6"/>
        <v>56.340589956957125</v>
      </c>
      <c r="F20" s="740">
        <f>VLOOKUP($C20,'[2]Breakdown EU havens'!$S$4:$Y$31,F$2,0)/TableB10!$E$229</f>
        <v>4.6580802720318886</v>
      </c>
      <c r="G20" s="740">
        <f>VLOOKUP($C20,'[2]Breakdown EU havens'!$S$4:$Y$31,G$2,0)/TableB10!$E$229</f>
        <v>0</v>
      </c>
      <c r="H20" s="740">
        <f>VLOOKUP($C20,'[2]Breakdown EU havens'!$S$4:$Y$31,H$2,0)/TableB10!$E$229</f>
        <v>0</v>
      </c>
      <c r="I20" s="740">
        <f>VLOOKUP($C20,'[2]Breakdown EU havens'!$S$4:$Y$31,I$2,0)/TableB10!$E$229</f>
        <v>18.188694395553085</v>
      </c>
      <c r="J20" s="740">
        <f>VLOOKUP($C20,'[2]Breakdown EU havens'!$S$4:$Y$31,J$2,0)/TableB10!$E$229</f>
        <v>0.22181334628723276</v>
      </c>
      <c r="K20" s="740">
        <f>VLOOKUP($C20,'[2]Breakdown EU havens'!$S$4:$Y$31,K$2,0)/TableB10!$E$229</f>
        <v>33.272001943084916</v>
      </c>
      <c r="L20" s="739">
        <f t="shared" si="7"/>
        <v>9.3161605440637771</v>
      </c>
      <c r="M20" s="678">
        <f>VLOOKUP($C20,'[2]Breakdown non-EU havens'!$K$4:$M$31,3,0)/TableB10!$E$229</f>
        <v>8.5398138320584618</v>
      </c>
      <c r="N20" s="1328">
        <f>VLOOKUP($C20,'[2]Breakdown non-EU havens'!$K$4:$M$31,2,0)/TableB10!$E$229</f>
        <v>0.77634671200531458</v>
      </c>
      <c r="O20" s="739">
        <f t="shared" si="8"/>
        <v>1304.1515694957852</v>
      </c>
      <c r="P20" s="739">
        <f t="shared" si="2"/>
        <v>1161.8583078525253</v>
      </c>
      <c r="Q20" s="740">
        <f>VLOOKUP($C20,'[2]Breakdown EU havens'!$J$4:$P$31,Q$2,0)/TableB10!$E$229</f>
        <v>270.61228247042396</v>
      </c>
      <c r="R20" s="740">
        <f>VLOOKUP($C20,'[2]Breakdown EU havens'!$J$4:$P$31,R$2,0)/TableB10!$E$229</f>
        <v>64.325870423297502</v>
      </c>
      <c r="S20" s="740">
        <f>VLOOKUP($C20,'[2]Breakdown EU havens'!$J$4:$P$31,S$2,0)/TableB10!$E$229</f>
        <v>302.77521768207271</v>
      </c>
      <c r="T20" s="740">
        <f>VLOOKUP($C20,'[2]Breakdown EU havens'!$J$4:$P$31,T$2,0)/TableB10!$E$229</f>
        <v>206.28641204712648</v>
      </c>
      <c r="U20" s="740">
        <f>VLOOKUP($C20,'[2]Breakdown EU havens'!$J$4:$P$31,U$2,0)/TableB10!$E$229</f>
        <v>5.5453336571808194</v>
      </c>
      <c r="V20" s="740">
        <f>VLOOKUP($C20,'[2]Breakdown EU havens'!$J$4:$P$31,V$2,0)/TableB10!$E$229</f>
        <v>312.31319157242376</v>
      </c>
      <c r="W20" s="739">
        <f t="shared" si="9"/>
        <v>142.29326164325983</v>
      </c>
      <c r="X20" s="678">
        <f>VLOOKUP($C20,'[2]Breakdown non-EU havens'!$F$4:$H$31,3,0)/TableB10!$E$229</f>
        <v>117.45016685908975</v>
      </c>
      <c r="Y20" s="593">
        <f>VLOOKUP($C20,'[2]Breakdown non-EU havens'!$F$4:$H$31,2,0)/TableB10!$E$229</f>
        <v>24.843094784170066</v>
      </c>
      <c r="Z20" s="431"/>
      <c r="AA20" s="232">
        <f>+TableB2!L21/TableB2!$L$91</f>
        <v>6.4152078461630685E-4</v>
      </c>
      <c r="AB20" s="552"/>
      <c r="AC20" s="552">
        <f t="shared" si="10"/>
        <v>0</v>
      </c>
      <c r="AD20" s="552">
        <f t="shared" si="11"/>
        <v>0</v>
      </c>
      <c r="AE20" s="552">
        <f t="shared" si="12"/>
        <v>0</v>
      </c>
      <c r="AF20" s="552"/>
      <c r="AG20" s="552"/>
      <c r="AH20" s="552">
        <f t="shared" si="3"/>
        <v>0</v>
      </c>
      <c r="AI20" s="552"/>
      <c r="AJ20" s="552">
        <f t="shared" si="4"/>
        <v>0</v>
      </c>
    </row>
    <row r="21" spans="1:36" x14ac:dyDescent="0.35">
      <c r="C21" s="95" t="s">
        <v>64</v>
      </c>
      <c r="D21" s="739">
        <f t="shared" si="5"/>
        <v>576.2710736542308</v>
      </c>
      <c r="E21" s="739">
        <f t="shared" si="6"/>
        <v>307.2114846078174</v>
      </c>
      <c r="F21" s="740">
        <f>VLOOKUP($C21,'[2]Breakdown EU havens'!$S$4:$Y$31,F$2,0)/TableB10!$E$229</f>
        <v>43.031789179723155</v>
      </c>
      <c r="G21" s="740">
        <f>VLOOKUP($C21,'[2]Breakdown EU havens'!$S$4:$Y$31,G$2,0)/TableB10!$E$229</f>
        <v>1.1090667314361637</v>
      </c>
      <c r="H21" s="740">
        <f>VLOOKUP($C21,'[2]Breakdown EU havens'!$S$4:$Y$31,H$2,0)/TableB10!$E$229</f>
        <v>9.6488805634946235</v>
      </c>
      <c r="I21" s="740">
        <f>VLOOKUP($C21,'[2]Breakdown EU havens'!$S$4:$Y$31,I$2,0)/TableB10!$E$229</f>
        <v>118.55923359052592</v>
      </c>
      <c r="J21" s="740">
        <f>VLOOKUP($C21,'[2]Breakdown EU havens'!$S$4:$Y$31,J$2,0)/TableB10!$E$229</f>
        <v>0.66544003886169834</v>
      </c>
      <c r="K21" s="740">
        <f>VLOOKUP($C21,'[2]Breakdown EU havens'!$S$4:$Y$31,K$2,0)/TableB10!$E$229</f>
        <v>134.19707450377581</v>
      </c>
      <c r="L21" s="739">
        <f t="shared" si="7"/>
        <v>269.05958904641335</v>
      </c>
      <c r="M21" s="678">
        <f>VLOOKUP($C21,'[2]Breakdown non-EU havens'!$K$4:$M$31,3,0)/TableB10!$E$229</f>
        <v>70.869364138770877</v>
      </c>
      <c r="N21" s="1328">
        <f>VLOOKUP($C21,'[2]Breakdown non-EU havens'!$K$4:$M$31,2,0)/TableB10!$E$229</f>
        <v>198.19022490764249</v>
      </c>
      <c r="O21" s="739">
        <f t="shared" si="8"/>
        <v>2289.3355470305291</v>
      </c>
      <c r="P21" s="739">
        <f t="shared" si="2"/>
        <v>1756.5398892485962</v>
      </c>
      <c r="Q21" s="740">
        <f>VLOOKUP($C21,'[2]Breakdown EU havens'!$J$4:$P$31,Q$2,0)/TableB10!$E$229</f>
        <v>261.73974861893464</v>
      </c>
      <c r="R21" s="740">
        <f>VLOOKUP($C21,'[2]Breakdown EU havens'!$J$4:$P$31,R$2,0)/TableB10!$E$229</f>
        <v>0.44362669257446552</v>
      </c>
      <c r="S21" s="740">
        <f>VLOOKUP($C21,'[2]Breakdown EU havens'!$J$4:$P$31,S$2,0)/TableB10!$E$229</f>
        <v>867.29018398308006</v>
      </c>
      <c r="T21" s="740">
        <f>VLOOKUP($C21,'[2]Breakdown EU havens'!$J$4:$P$31,T$2,0)/TableB10!$E$229</f>
        <v>296.67535065917383</v>
      </c>
      <c r="U21" s="740">
        <f>VLOOKUP($C21,'[2]Breakdown EU havens'!$J$4:$P$31,U$2,0)/TableB10!$E$229</f>
        <v>7.2089337543350647</v>
      </c>
      <c r="V21" s="740">
        <f>VLOOKUP($C21,'[2]Breakdown EU havens'!$J$4:$P$31,V$2,0)/TableB10!$E$229</f>
        <v>323.18204554049811</v>
      </c>
      <c r="W21" s="739">
        <f t="shared" si="9"/>
        <v>532.79565778193307</v>
      </c>
      <c r="X21" s="678">
        <f>VLOOKUP($C21,'[2]Breakdown non-EU havens'!$F$4:$H$31,3,0)/TableB10!$E$229</f>
        <v>268.83777570012609</v>
      </c>
      <c r="Y21" s="593">
        <f>VLOOKUP($C21,'[2]Breakdown non-EU havens'!$F$4:$H$31,2,0)/TableB10!$E$229</f>
        <v>263.95788208180699</v>
      </c>
      <c r="Z21" s="431"/>
      <c r="AA21" s="232">
        <f>+TableB2!L22/TableB2!$L$91</f>
        <v>6.4782772588043071E-3</v>
      </c>
      <c r="AB21" s="552"/>
      <c r="AC21" s="552">
        <f t="shared" si="10"/>
        <v>0</v>
      </c>
      <c r="AD21" s="552">
        <f t="shared" si="11"/>
        <v>0</v>
      </c>
      <c r="AE21" s="552">
        <f t="shared" si="12"/>
        <v>0</v>
      </c>
      <c r="AF21" s="552"/>
      <c r="AG21" s="552"/>
      <c r="AH21" s="552">
        <f t="shared" si="3"/>
        <v>0</v>
      </c>
      <c r="AI21" s="552"/>
      <c r="AJ21" s="552">
        <f t="shared" si="4"/>
        <v>0</v>
      </c>
    </row>
    <row r="22" spans="1:36" x14ac:dyDescent="0.35">
      <c r="C22" s="95" t="s">
        <v>65</v>
      </c>
      <c r="D22" s="739">
        <f t="shared" si="5"/>
        <v>146.18619425553672</v>
      </c>
      <c r="E22" s="739">
        <f t="shared" si="6"/>
        <v>133.08800777233967</v>
      </c>
      <c r="F22" s="740">
        <f>HLOOKUP($C22,'[2]Interest shifted to EU'!$L$2:$AT$8,F$2,0)/TableB10!$E$229</f>
        <v>32.052028538505134</v>
      </c>
      <c r="G22" s="740">
        <f>HLOOKUP($C22,'[2]Interest shifted to EU'!$L$2:$AT$8,G$2,0)/TableB10!$E$229</f>
        <v>0</v>
      </c>
      <c r="H22" s="740">
        <f>HLOOKUP($C22,'[2]Interest shifted to EU'!$L$2:$AT$8,H$2,0)/TableB10!$E$229</f>
        <v>4.2144535794574223</v>
      </c>
      <c r="I22" s="740">
        <f>HLOOKUP($C22,'[2]Interest shifted to EU'!$L$2:$AT$8,I$2,0)/TableB10!$E$229</f>
        <v>91.830725362914364</v>
      </c>
      <c r="J22" s="740">
        <f>HLOOKUP($C22,'[2]Interest shifted to EU'!$L$2:$AT$8,J$2,0)/TableB10!$E$229</f>
        <v>0.55453336571808187</v>
      </c>
      <c r="K22" s="740">
        <f>HLOOKUP($C22,'[2]Interest shifted to EU'!$L$2:$AT$8,K$2,0)/TableB10!$E$229</f>
        <v>4.436266925744655</v>
      </c>
      <c r="L22" s="739">
        <f t="shared" si="7"/>
        <v>13.098186483197058</v>
      </c>
      <c r="M22" s="678">
        <f>AC22*'[2]Non-EU tax havens'!$K$8</f>
        <v>2.235957845457933</v>
      </c>
      <c r="N22" s="1328">
        <f>AC22*'[2]Non-EU tax havens'!$K$13</f>
        <v>10.862228637739124</v>
      </c>
      <c r="O22" s="739">
        <f t="shared" si="8"/>
        <v>482.63504227917116</v>
      </c>
      <c r="P22" s="739">
        <f t="shared" si="2"/>
        <v>271.16681583614206</v>
      </c>
      <c r="Q22" s="740">
        <f>HLOOKUP($C22,'[2]Non EU income shifted to EU'!$B$2:$AI$9,Q$2+1,0)/TableB10!$E$229</f>
        <v>23.290401360159439</v>
      </c>
      <c r="R22" s="740">
        <f>HLOOKUP($C22,'[2]Non EU income shifted to EU'!$B$2:$AI$9,R$2+1,0)/TableB10!$E$229</f>
        <v>0</v>
      </c>
      <c r="S22" s="740">
        <f>HLOOKUP($C22,'[2]Non EU income shifted to EU'!$B$2:$AI$9,S$2+1,0)/TableB10!$E$229</f>
        <v>78.07829789310594</v>
      </c>
      <c r="T22" s="740">
        <f>HLOOKUP($C22,'[2]Non EU income shifted to EU'!$B$2:$AI$9,T$2+1,0)/TableB10!$E$229</f>
        <v>103.14320602356324</v>
      </c>
      <c r="U22" s="740">
        <f>HLOOKUP($C22,'[2]Non EU income shifted to EU'!$B$2:$AI$9,U$2+1,0)/TableB10!$E$229</f>
        <v>0</v>
      </c>
      <c r="V22" s="740">
        <f>HLOOKUP($C22,'[2]Non EU income shifted to EU'!$B$2:$AI$9,V$2+1,0)/TableB10!$E$229</f>
        <v>66.65491055931345</v>
      </c>
      <c r="W22" s="739">
        <f t="shared" si="9"/>
        <v>211.4682264430291</v>
      </c>
      <c r="X22" s="678">
        <f>AE22*'[2]Non-EU tax havens'!$I$8</f>
        <v>20.329943102039906</v>
      </c>
      <c r="Y22" s="593">
        <f>AE22*'[2]Non-EU tax havens'!$I$13</f>
        <v>191.1382833409892</v>
      </c>
      <c r="Z22" s="431"/>
      <c r="AA22" s="232">
        <f>+TableB2!L23/TableB2!$L$91</f>
        <v>2.5129516763681151E-4</v>
      </c>
      <c r="AB22" s="552">
        <f>+AA22</f>
        <v>2.5129516763681151E-4</v>
      </c>
      <c r="AC22" s="552">
        <f t="shared" si="10"/>
        <v>5.9471364883481386E-4</v>
      </c>
      <c r="AD22" s="552">
        <f t="shared" si="11"/>
        <v>2.5129516763681151E-4</v>
      </c>
      <c r="AE22" s="552">
        <f t="shared" si="12"/>
        <v>9.8162110387870036E-4</v>
      </c>
      <c r="AF22" s="552"/>
      <c r="AG22" s="552">
        <v>0</v>
      </c>
      <c r="AH22" s="552">
        <f t="shared" si="3"/>
        <v>0</v>
      </c>
      <c r="AI22" s="552">
        <v>0</v>
      </c>
      <c r="AJ22" s="552">
        <f>+AI22/$AI$90</f>
        <v>0</v>
      </c>
    </row>
    <row r="23" spans="1:36" x14ac:dyDescent="0.35">
      <c r="C23" s="95" t="s">
        <v>19</v>
      </c>
      <c r="D23" s="739">
        <f t="shared" si="5"/>
        <v>6363.4921849612774</v>
      </c>
      <c r="E23" s="739">
        <f t="shared" si="6"/>
        <v>5864.4121558150036</v>
      </c>
      <c r="F23" s="740">
        <f>VLOOKUP($C23,'[2]Breakdown EU havens'!$S$4:$Y$31,F$2,0)/TableB10!$E$229</f>
        <v>334.82724622057782</v>
      </c>
      <c r="G23" s="740">
        <f>VLOOKUP($C23,'[2]Breakdown EU havens'!$S$4:$Y$31,G$2,0)/TableB10!$E$229</f>
        <v>0</v>
      </c>
      <c r="H23" s="740">
        <f>VLOOKUP($C23,'[2]Breakdown EU havens'!$S$4:$Y$31,H$2,0)/TableB10!$E$229</f>
        <v>0</v>
      </c>
      <c r="I23" s="740">
        <f>VLOOKUP($C23,'[2]Breakdown EU havens'!$S$4:$Y$31,I$2,0)/TableB10!$E$229</f>
        <v>1098.9742241800948</v>
      </c>
      <c r="J23" s="740">
        <f>VLOOKUP($C23,'[2]Breakdown EU havens'!$S$4:$Y$31,J$2,0)/TableB10!$E$229</f>
        <v>15.416027566962677</v>
      </c>
      <c r="K23" s="740">
        <f>VLOOKUP($C23,'[2]Breakdown EU havens'!$S$4:$Y$31,K$2,0)/TableB10!$E$229</f>
        <v>4415.194657847368</v>
      </c>
      <c r="L23" s="739">
        <f t="shared" si="7"/>
        <v>499.08002914627372</v>
      </c>
      <c r="M23" s="678">
        <f>VLOOKUP($C23,'[2]Breakdown non-EU havens'!$K$4:$M$31,3,0)/TableB10!$E$229</f>
        <v>216.71163932262641</v>
      </c>
      <c r="N23" s="1328">
        <f>VLOOKUP($C23,'[2]Breakdown non-EU havens'!$K$4:$M$31,2,0)/TableB10!$E$229</f>
        <v>282.36838982364731</v>
      </c>
      <c r="O23" s="739">
        <f t="shared" si="8"/>
        <v>64483.801525854018</v>
      </c>
      <c r="P23" s="739">
        <f t="shared" si="2"/>
        <v>21142.582728060166</v>
      </c>
      <c r="Q23" s="740">
        <f>VLOOKUP($C23,'[2]Breakdown EU havens'!$J$4:$P$31,Q$2,0)/TableB10!$E$229</f>
        <v>2207.0427955579657</v>
      </c>
      <c r="R23" s="740">
        <f>VLOOKUP($C23,'[2]Breakdown EU havens'!$J$4:$P$31,R$2,0)/TableB10!$E$229</f>
        <v>4.436266925744655</v>
      </c>
      <c r="S23" s="740">
        <f>VLOOKUP($C23,'[2]Breakdown EU havens'!$J$4:$P$31,S$2,0)/TableB10!$E$229</f>
        <v>0</v>
      </c>
      <c r="T23" s="740">
        <f>VLOOKUP($C23,'[2]Breakdown EU havens'!$J$4:$P$31,T$2,0)/TableB10!$E$229</f>
        <v>968.21525654377103</v>
      </c>
      <c r="U23" s="740">
        <f>VLOOKUP($C23,'[2]Breakdown EU havens'!$J$4:$P$31,U$2,0)/TableB10!$E$229</f>
        <v>3.9926402331701896</v>
      </c>
      <c r="V23" s="740">
        <f>VLOOKUP($C23,'[2]Breakdown EU havens'!$J$4:$P$31,V$2,0)/TableB10!$E$229</f>
        <v>17958.895768799513</v>
      </c>
      <c r="W23" s="739">
        <f t="shared" si="9"/>
        <v>43341.218797793852</v>
      </c>
      <c r="X23" s="678">
        <f>VLOOKUP($C23,'[2]Breakdown non-EU havens'!$F$4:$H$31,3,0)/TableB10!$E$229</f>
        <v>3424.798066674874</v>
      </c>
      <c r="Y23" s="593">
        <f>VLOOKUP($C23,'[2]Breakdown non-EU havens'!$F$4:$H$31,2,0)/TableB10!$E$229</f>
        <v>39916.420731118975</v>
      </c>
      <c r="Z23" s="431"/>
      <c r="AA23" s="232">
        <f>+TableB2!L24/TableB2!$L$91</f>
        <v>2.109084370193446E-2</v>
      </c>
      <c r="AB23" s="552"/>
      <c r="AC23" s="552">
        <f t="shared" si="10"/>
        <v>0</v>
      </c>
      <c r="AD23" s="552">
        <f t="shared" si="11"/>
        <v>0</v>
      </c>
      <c r="AE23" s="552">
        <f t="shared" si="12"/>
        <v>0</v>
      </c>
      <c r="AF23" s="552"/>
      <c r="AG23" s="552"/>
      <c r="AH23" s="552">
        <f t="shared" si="3"/>
        <v>0</v>
      </c>
      <c r="AI23" s="552"/>
      <c r="AJ23" s="552">
        <f>+AI23/$AB$90</f>
        <v>0</v>
      </c>
    </row>
    <row r="24" spans="1:36" x14ac:dyDescent="0.35">
      <c r="C24" s="95" t="s">
        <v>95</v>
      </c>
      <c r="D24" s="739">
        <f t="shared" si="5"/>
        <v>64.145428906199342</v>
      </c>
      <c r="E24" s="739">
        <f t="shared" si="6"/>
        <v>33.87753558509889</v>
      </c>
      <c r="F24" s="740">
        <f>AH24*'[2]Interest shifted to EU'!$AU$3</f>
        <v>13.306388875839717</v>
      </c>
      <c r="G24" s="740">
        <f>AH24*'[2]Interest shifted to EU'!$AU$4</f>
        <v>-0.24030159252125718</v>
      </c>
      <c r="H24" s="740">
        <f>AH24*'[2]Interest shifted to EU'!$AU$5</f>
        <v>-1.2555550335885755</v>
      </c>
      <c r="I24" s="740">
        <f>AH24*'[2]Interest shifted to EU'!$AU$6</f>
        <v>17.794790247568937</v>
      </c>
      <c r="J24" s="740">
        <f>AH24*'[2]Interest shifted to EU'!$AU$7</f>
        <v>-1.1657537464180019</v>
      </c>
      <c r="K24" s="740">
        <f>AH24*'[2]Interest shifted to EU'!$AU$8</f>
        <v>5.4379668342180683</v>
      </c>
      <c r="L24" s="739">
        <f>SUM(M24:N24)</f>
        <v>30.267893321100455</v>
      </c>
      <c r="M24" s="678">
        <f>AC24*'[2]Non-EU tax havens'!$K$8</f>
        <v>5.1669544958470688</v>
      </c>
      <c r="N24" s="1328">
        <f>AC24*'[2]Non-EU tax havens'!$K$13</f>
        <v>25.100938825253387</v>
      </c>
      <c r="O24" s="739">
        <f t="shared" si="8"/>
        <v>798.84084899718937</v>
      </c>
      <c r="P24" s="739">
        <f>SUM(Q24:V24)</f>
        <v>310.17031991356225</v>
      </c>
      <c r="Q24" s="740">
        <f>AJ24*'[2]Non EU income shifted to EU'!$AJ$4</f>
        <v>21.119932353079346</v>
      </c>
      <c r="R24" s="740">
        <f>AJ24*'[2]Non EU income shifted to EU'!$AJ$5</f>
        <v>7.6222999953022983</v>
      </c>
      <c r="S24" s="740">
        <f>AJ24*'[2]Non EU income shifted to EU'!$AJ$6</f>
        <v>171.43315168882407</v>
      </c>
      <c r="T24" s="740">
        <f>AJ24*'[2]Non EU income shifted to EU'!$AJ$7</f>
        <v>16.419500164419606</v>
      </c>
      <c r="U24" s="740">
        <f>AJ24*'[2]Non EU income shifted to EU'!$AJ$8</f>
        <v>30.66547658195142</v>
      </c>
      <c r="V24" s="740">
        <f>AJ24*'[2]Non EU income shifted to EU'!$AJ$9</f>
        <v>62.909959129985516</v>
      </c>
      <c r="W24" s="739">
        <f t="shared" si="9"/>
        <v>488.67052908362712</v>
      </c>
      <c r="X24" s="678">
        <f>AE24*'[2]Non-EU tax havens'!$I$8</f>
        <v>46.979369993393931</v>
      </c>
      <c r="Y24" s="593">
        <f>AE24*'[2]Non-EU tax havens'!$I$13</f>
        <v>441.69115909023316</v>
      </c>
      <c r="Z24" s="431"/>
      <c r="AA24" s="232">
        <f>+TableB2!L25/TableB2!$L$91</f>
        <v>5.8070446133108653E-4</v>
      </c>
      <c r="AB24" s="552">
        <f>+AA24</f>
        <v>5.8070446133108653E-4</v>
      </c>
      <c r="AC24" s="552">
        <f t="shared" si="10"/>
        <v>1.3742917237150876E-3</v>
      </c>
      <c r="AD24" s="552">
        <f t="shared" si="11"/>
        <v>5.8070446133108653E-4</v>
      </c>
      <c r="AE24" s="552">
        <f t="shared" si="12"/>
        <v>2.2683753122660719E-3</v>
      </c>
      <c r="AF24" s="552"/>
      <c r="AG24" s="552">
        <f>+AB24</f>
        <v>5.8070446133108653E-4</v>
      </c>
      <c r="AH24" s="552">
        <f t="shared" si="3"/>
        <v>8.3149339972753335E-3</v>
      </c>
      <c r="AI24" s="552">
        <f>+AD24</f>
        <v>5.8070446133108653E-4</v>
      </c>
      <c r="AJ24" s="552">
        <f>+AI24/$AI$90</f>
        <v>8.3149339972753335E-3</v>
      </c>
    </row>
    <row r="25" spans="1:36" x14ac:dyDescent="0.35">
      <c r="C25" s="95" t="s">
        <v>66</v>
      </c>
      <c r="D25" s="739">
        <f t="shared" si="5"/>
        <v>5370.6556469796224</v>
      </c>
      <c r="E25" s="739">
        <f t="shared" si="6"/>
        <v>5004.7745322788323</v>
      </c>
      <c r="F25" s="740">
        <f>VLOOKUP($C25,'[2]Breakdown EU havens'!$S$4:$Y$31,F$2,0)/TableB10!$E$229</f>
        <v>1072.3566226256266</v>
      </c>
      <c r="G25" s="740">
        <f>VLOOKUP($C25,'[2]Breakdown EU havens'!$S$4:$Y$31,G$2,0)/TableB10!$E$229</f>
        <v>5.5453336571808194</v>
      </c>
      <c r="H25" s="740">
        <f>VLOOKUP($C25,'[2]Breakdown EU havens'!$S$4:$Y$31,H$2,0)/TableB10!$E$229</f>
        <v>58.669630092973065</v>
      </c>
      <c r="I25" s="740">
        <f>VLOOKUP($C25,'[2]Breakdown EU havens'!$S$4:$Y$31,I$2,0)/TableB10!$E$229</f>
        <v>2729.302319391255</v>
      </c>
      <c r="J25" s="740">
        <f>VLOOKUP($C25,'[2]Breakdown EU havens'!$S$4:$Y$31,J$2,0)/TableB10!$E$229</f>
        <v>9.870693909781858</v>
      </c>
      <c r="K25" s="740">
        <f>VLOOKUP($C25,'[2]Breakdown EU havens'!$S$4:$Y$31,K$2,0)/TableB10!$E$229</f>
        <v>1129.0299326020147</v>
      </c>
      <c r="L25" s="739">
        <f t="shared" si="7"/>
        <v>365.88111470079042</v>
      </c>
      <c r="M25" s="678">
        <f>VLOOKUP($C25,'[2]Breakdown non-EU havens'!$K$4:$M$31,3,0)/TableB10!$E$229</f>
        <v>320.40937871190772</v>
      </c>
      <c r="N25" s="1328">
        <f>VLOOKUP($C25,'[2]Breakdown non-EU havens'!$K$4:$M$31,2,0)/TableB10!$E$229</f>
        <v>45.471735988882713</v>
      </c>
      <c r="O25" s="739">
        <f t="shared" si="8"/>
        <v>20998.514959646607</v>
      </c>
      <c r="P25" s="739">
        <f t="shared" si="2"/>
        <v>17636.379163297875</v>
      </c>
      <c r="Q25" s="740">
        <f>VLOOKUP($C25,'[2]Breakdown EU havens'!$J$4:$P$31,Q$2,0)/TableB10!$E$229</f>
        <v>1775.6158370292983</v>
      </c>
      <c r="R25" s="740">
        <f>VLOOKUP($C25,'[2]Breakdown EU havens'!$J$4:$P$31,R$2,0)/TableB10!$E$229</f>
        <v>16.636000971542458</v>
      </c>
      <c r="S25" s="740">
        <f>VLOOKUP($C25,'[2]Breakdown EU havens'!$J$4:$P$31,S$2,0)/TableB10!$E$229</f>
        <v>6398.2059736552292</v>
      </c>
      <c r="T25" s="740">
        <f>VLOOKUP($C25,'[2]Breakdown EU havens'!$J$4:$P$31,T$2,0)/TableB10!$E$229</f>
        <v>6990.4476082421406</v>
      </c>
      <c r="U25" s="740">
        <f>VLOOKUP($C25,'[2]Breakdown EU havens'!$J$4:$P$31,U$2,0)/TableB10!$E$229</f>
        <v>89.168965207467579</v>
      </c>
      <c r="V25" s="740">
        <f>VLOOKUP($C25,'[2]Breakdown EU havens'!$J$4:$P$31,V$2,0)/TableB10!$E$229</f>
        <v>2366.3047781921991</v>
      </c>
      <c r="W25" s="739">
        <f t="shared" si="9"/>
        <v>3362.1357963487308</v>
      </c>
      <c r="X25" s="678">
        <f>VLOOKUP($C25,'[2]Breakdown non-EU havens'!$F$4:$H$31,3,0)/TableB10!$E$229</f>
        <v>2227.7823434358224</v>
      </c>
      <c r="Y25" s="593">
        <f>VLOOKUP($C25,'[2]Breakdown non-EU havens'!$F$4:$H$31,2,0)/TableB10!$E$229</f>
        <v>1134.3534529129083</v>
      </c>
      <c r="Z25" s="431"/>
      <c r="AA25" s="232">
        <f>+TableB2!L26/TableB2!$L$91</f>
        <v>1.0039610832351697E-2</v>
      </c>
      <c r="AB25" s="552"/>
      <c r="AC25" s="552">
        <f t="shared" si="10"/>
        <v>0</v>
      </c>
      <c r="AD25" s="552">
        <f t="shared" si="11"/>
        <v>0</v>
      </c>
      <c r="AE25" s="552">
        <f t="shared" si="12"/>
        <v>0</v>
      </c>
      <c r="AF25" s="552"/>
      <c r="AG25" s="552"/>
      <c r="AH25" s="552">
        <f t="shared" si="3"/>
        <v>0</v>
      </c>
      <c r="AI25" s="552"/>
      <c r="AJ25" s="552">
        <f>+AI25/$AB$90</f>
        <v>0</v>
      </c>
    </row>
    <row r="26" spans="1:36" x14ac:dyDescent="0.35">
      <c r="C26" s="95" t="s">
        <v>67</v>
      </c>
      <c r="D26" s="739">
        <f t="shared" si="5"/>
        <v>626.61293732632748</v>
      </c>
      <c r="E26" s="739">
        <f t="shared" si="6"/>
        <v>325.28927233022688</v>
      </c>
      <c r="F26" s="740">
        <f>HLOOKUP($C26,'[2]Interest shifted to EU'!$L$2:$AT$8,F$2,0)/TableB10!$E$229</f>
        <v>18.632321088127554</v>
      </c>
      <c r="G26" s="740">
        <f>HLOOKUP($C26,'[2]Interest shifted to EU'!$L$2:$AT$8,G$2,0)/TableB10!$E$229</f>
        <v>0</v>
      </c>
      <c r="H26" s="740">
        <f>HLOOKUP($C26,'[2]Interest shifted to EU'!$L$2:$AT$8,H$2,0)/TableB10!$E$229</f>
        <v>8.6507205052020772</v>
      </c>
      <c r="I26" s="740">
        <f>HLOOKUP($C26,'[2]Interest shifted to EU'!$L$2:$AT$8,I$2,0)/TableB10!$E$229</f>
        <v>72.089337543350652</v>
      </c>
      <c r="J26" s="740">
        <f>HLOOKUP($C26,'[2]Interest shifted to EU'!$L$2:$AT$8,J$2,0)/TableB10!$E$229</f>
        <v>0.77634671200531458</v>
      </c>
      <c r="K26" s="740">
        <f>HLOOKUP($C26,'[2]Interest shifted to EU'!$L$2:$AT$8,K$2,0)/TableB10!$E$229</f>
        <v>225.14054648154126</v>
      </c>
      <c r="L26" s="739">
        <f t="shared" si="7"/>
        <v>301.32366499610055</v>
      </c>
      <c r="M26" s="678">
        <f>AC26*'[2]Non-EU tax havens'!$K$8</f>
        <v>51.438190594895104</v>
      </c>
      <c r="N26" s="1328">
        <f>AC26*'[2]Non-EU tax havens'!$K$13</f>
        <v>249.88547440120544</v>
      </c>
      <c r="O26" s="739">
        <f t="shared" si="8"/>
        <v>10430.454270225713</v>
      </c>
      <c r="P26" s="739">
        <f t="shared" si="2"/>
        <v>5565.6295783661017</v>
      </c>
      <c r="Q26" s="740">
        <f>HLOOKUP($C26,'[2]Non EU income shifted to EU'!$B$2:$AI$9,Q$2+1,0)/TableB10!$E$229</f>
        <v>687.62137349042155</v>
      </c>
      <c r="R26" s="740">
        <f>HLOOKUP($C26,'[2]Non EU income shifted to EU'!$B$2:$AI$9,R$2+1,0)/TableB10!$E$229</f>
        <v>94.381578845217533</v>
      </c>
      <c r="S26" s="740">
        <f>HLOOKUP($C26,'[2]Non EU income shifted to EU'!$B$2:$AI$9,S$2+1,0)/TableB10!$E$229</f>
        <v>2499.7255059839695</v>
      </c>
      <c r="T26" s="740">
        <f>HLOOKUP($C26,'[2]Non EU income shifted to EU'!$B$2:$AI$9,T$2+1,0)/TableB10!$E$229</f>
        <v>878.38085129744172</v>
      </c>
      <c r="U26" s="740">
        <f>HLOOKUP($C26,'[2]Non EU income shifted to EU'!$B$2:$AI$9,U$2+1,0)/TableB10!$E$229</f>
        <v>1.7745067702978621</v>
      </c>
      <c r="V26" s="740">
        <f>HLOOKUP($C26,'[2]Non EU income shifted to EU'!$B$2:$AI$9,V$2+1,0)/TableB10!$E$229</f>
        <v>1403.7457619787526</v>
      </c>
      <c r="W26" s="739">
        <f t="shared" si="9"/>
        <v>4864.8246918596105</v>
      </c>
      <c r="X26" s="678">
        <f>AE26*'[2]Non-EU tax havens'!$I$8</f>
        <v>467.69016249138218</v>
      </c>
      <c r="Y26" s="593">
        <f>AE26*'[2]Non-EU tax havens'!$I$13</f>
        <v>4397.134529368228</v>
      </c>
      <c r="Z26" s="431"/>
      <c r="AA26" s="232">
        <f>+TableB2!L27/TableB2!$L$91</f>
        <v>5.7810431241967775E-3</v>
      </c>
      <c r="AB26" s="552">
        <f>+AA26</f>
        <v>5.7810431241967775E-3</v>
      </c>
      <c r="AC26" s="552">
        <f t="shared" si="10"/>
        <v>1.3681382267690076E-2</v>
      </c>
      <c r="AD26" s="552">
        <f t="shared" si="11"/>
        <v>5.7810431241967775E-3</v>
      </c>
      <c r="AE26" s="552">
        <f t="shared" si="12"/>
        <v>2.2582184872516137E-2</v>
      </c>
      <c r="AF26" s="552"/>
      <c r="AG26" s="552"/>
      <c r="AH26" s="552">
        <f t="shared" si="3"/>
        <v>0</v>
      </c>
      <c r="AI26" s="552"/>
      <c r="AJ26" s="552">
        <f t="shared" ref="AJ26:AJ88" si="13">+AI26/$AB$90</f>
        <v>0</v>
      </c>
    </row>
    <row r="27" spans="1:36" x14ac:dyDescent="0.35">
      <c r="A27" s="746" t="s">
        <v>222</v>
      </c>
      <c r="B27" s="376" t="s">
        <v>536</v>
      </c>
      <c r="C27" s="95" t="s">
        <v>68</v>
      </c>
      <c r="D27" s="739">
        <f t="shared" si="5"/>
        <v>312.44671985142224</v>
      </c>
      <c r="E27" s="739">
        <f t="shared" si="6"/>
        <v>36.155575444818936</v>
      </c>
      <c r="F27" s="740">
        <f>HLOOKUP($B27,'[2]Interest shifted to EU'!$L$2:$AT$8,F$2,0)/TableB10!$E$229</f>
        <v>11.31248066064887</v>
      </c>
      <c r="G27" s="740">
        <f>HLOOKUP($B27,'[2]Interest shifted to EU'!$L$2:$AT$8,G$2,0)/TableB10!$E$229</f>
        <v>0</v>
      </c>
      <c r="H27" s="740">
        <f>HLOOKUP($B27,'[2]Interest shifted to EU'!$L$2:$AT$8,H$2,0)/TableB10!$E$229</f>
        <v>-5.1017069646063531</v>
      </c>
      <c r="I27" s="740">
        <f>HLOOKUP($B27,'[2]Interest shifted to EU'!$L$2:$AT$8,I$2,0)/TableB10!$E$229</f>
        <v>12.532454065228652</v>
      </c>
      <c r="J27" s="740">
        <f>HLOOKUP($B27,'[2]Interest shifted to EU'!$L$2:$AT$8,J$2,0)/TableB10!$E$229</f>
        <v>-0.33272001943084917</v>
      </c>
      <c r="K27" s="740">
        <f>HLOOKUP($B27,'[2]Interest shifted to EU'!$L$2:$AT$8,K$2,0)/TableB10!$E$229</f>
        <v>17.74506770297862</v>
      </c>
      <c r="L27" s="739">
        <f t="shared" si="7"/>
        <v>276.29114440660334</v>
      </c>
      <c r="M27" s="678">
        <f>AC27*'[2]Non-EU tax havens'!$K$8</f>
        <v>47.164953160424574</v>
      </c>
      <c r="N27" s="1328">
        <f>AC27*'[2]Non-EU tax havens'!$K$13</f>
        <v>229.12619124617876</v>
      </c>
      <c r="O27" s="739">
        <f t="shared" si="8"/>
        <v>6072.8178592061467</v>
      </c>
      <c r="P27" s="739">
        <f t="shared" si="2"/>
        <v>1612.1394008156078</v>
      </c>
      <c r="Q27" s="740">
        <f>HLOOKUP($B27,'[2]Non EU income shifted to EU'!$B$2:$AI$9,Q$2+1,0)/TableB10!$E$229</f>
        <v>260.18705519492403</v>
      </c>
      <c r="R27" s="740">
        <f>HLOOKUP($B27,'[2]Non EU income shifted to EU'!$B$2:$AI$9,R$2+1,0)/TableB10!$E$229</f>
        <v>37.597362195685953</v>
      </c>
      <c r="S27" s="740">
        <f>HLOOKUP($B27,'[2]Non EU income shifted to EU'!$B$2:$AI$9,S$2+1,0)/TableB10!$E$229</f>
        <v>319.96575201933325</v>
      </c>
      <c r="T27" s="740">
        <f>HLOOKUP($B27,'[2]Non EU income shifted to EU'!$B$2:$AI$9,T$2+1,0)/TableB10!$E$229</f>
        <v>266.50873556411017</v>
      </c>
      <c r="U27" s="740">
        <f>HLOOKUP($B27,'[2]Non EU income shifted to EU'!$B$2:$AI$9,U$2+1,0)/TableB10!$E$229</f>
        <v>0.11090667314361638</v>
      </c>
      <c r="V27" s="740">
        <f>HLOOKUP($B27,'[2]Non EU income shifted to EU'!$B$2:$AI$9,V$2+1,0)/TableB10!$E$229</f>
        <v>727.76958916841079</v>
      </c>
      <c r="W27" s="739">
        <f t="shared" si="9"/>
        <v>4460.6784583905392</v>
      </c>
      <c r="X27" s="678">
        <f>AE27*'[2]Non-EU tax havens'!$I$8</f>
        <v>428.83671358546133</v>
      </c>
      <c r="Y27" s="593">
        <f>AE27*'[2]Non-EU tax havens'!$I$13</f>
        <v>4031.8417448050782</v>
      </c>
      <c r="Z27" s="431"/>
      <c r="AA27" s="232">
        <f>+TableB2!L28/TableB2!$L$91</f>
        <v>5.3007818707797921E-3</v>
      </c>
      <c r="AB27" s="552">
        <f>+AA27</f>
        <v>5.3007818707797921E-3</v>
      </c>
      <c r="AC27" s="552">
        <f t="shared" si="10"/>
        <v>1.2544798842312032E-2</v>
      </c>
      <c r="AD27" s="552">
        <f t="shared" si="11"/>
        <v>5.3007818707797921E-3</v>
      </c>
      <c r="AE27" s="552">
        <f t="shared" si="12"/>
        <v>2.0706165583475537E-2</v>
      </c>
      <c r="AF27" s="552"/>
      <c r="AG27" s="552"/>
      <c r="AH27" s="552">
        <f t="shared" si="3"/>
        <v>0</v>
      </c>
      <c r="AI27" s="552"/>
      <c r="AJ27" s="552">
        <f t="shared" si="13"/>
        <v>0</v>
      </c>
    </row>
    <row r="28" spans="1:36" x14ac:dyDescent="0.35">
      <c r="C28" s="13" t="s">
        <v>69</v>
      </c>
      <c r="D28" s="739">
        <f t="shared" si="5"/>
        <v>18.521414414983937</v>
      </c>
      <c r="E28" s="739">
        <f t="shared" si="6"/>
        <v>14.750587528100979</v>
      </c>
      <c r="F28" s="740">
        <f>VLOOKUP($C28,'[2]Breakdown EU havens'!$S$4:$Y$31,F$2,0)/TableB10!$E$229</f>
        <v>0.77634671200531458</v>
      </c>
      <c r="G28" s="740">
        <f>VLOOKUP($C28,'[2]Breakdown EU havens'!$S$4:$Y$31,G$2,0)/TableB10!$E$229</f>
        <v>0</v>
      </c>
      <c r="H28" s="740">
        <f>VLOOKUP($C28,'[2]Breakdown EU havens'!$S$4:$Y$31,H$2,0)/TableB10!$E$229</f>
        <v>2.883573501734026</v>
      </c>
      <c r="I28" s="740">
        <f>VLOOKUP($C28,'[2]Breakdown EU havens'!$S$4:$Y$31,I$2,0)/TableB10!$E$229</f>
        <v>4.3253602526010386</v>
      </c>
      <c r="J28" s="740">
        <f>VLOOKUP($C28,'[2]Breakdown EU havens'!$S$4:$Y$31,J$2,0)/TableB10!$E$229</f>
        <v>0.11090667314361638</v>
      </c>
      <c r="K28" s="740">
        <f>VLOOKUP($C28,'[2]Breakdown EU havens'!$S$4:$Y$31,K$2,0)/TableB10!$E$229</f>
        <v>6.6544003886169829</v>
      </c>
      <c r="L28" s="739">
        <f t="shared" si="7"/>
        <v>3.7708268868829569</v>
      </c>
      <c r="M28" s="678">
        <f>VLOOKUP($C28,'[2]Breakdown non-EU havens'!$K$4:$M$31,3,0)/TableB10!$E$229</f>
        <v>0.22181334628723276</v>
      </c>
      <c r="N28" s="1328">
        <f>VLOOKUP($C28,'[2]Breakdown non-EU havens'!$K$4:$M$31,2,0)/TableB10!$E$229</f>
        <v>3.5490135405957242</v>
      </c>
      <c r="O28" s="739">
        <f t="shared" si="8"/>
        <v>216.71163932262641</v>
      </c>
      <c r="P28" s="739">
        <f t="shared" si="2"/>
        <v>150.16763543645658</v>
      </c>
      <c r="Q28" s="740">
        <f>VLOOKUP($C28,'[2]Breakdown EU havens'!$J$4:$P$31,Q$2,0)/TableB10!$E$229</f>
        <v>14.196054162382897</v>
      </c>
      <c r="R28" s="740">
        <f>VLOOKUP($C28,'[2]Breakdown EU havens'!$J$4:$P$31,R$2,0)/TableB10!$E$229</f>
        <v>1.3308800777233964</v>
      </c>
      <c r="S28" s="740">
        <f>VLOOKUP($C28,'[2]Breakdown EU havens'!$J$4:$P$31,S$2,0)/TableB10!$E$229</f>
        <v>49.908002914627367</v>
      </c>
      <c r="T28" s="740">
        <f>VLOOKUP($C28,'[2]Breakdown EU havens'!$J$4:$P$31,T$2,0)/TableB10!$E$229</f>
        <v>65.545843827877277</v>
      </c>
      <c r="U28" s="740">
        <f>VLOOKUP($C28,'[2]Breakdown EU havens'!$J$4:$P$31,U$2,0)/TableB10!$E$229</f>
        <v>2.4399468091595606</v>
      </c>
      <c r="V28" s="740">
        <f>VLOOKUP($C28,'[2]Breakdown EU havens'!$J$4:$P$31,V$2,0)/TableB10!$E$229</f>
        <v>16.746907644686072</v>
      </c>
      <c r="W28" s="739">
        <f t="shared" si="9"/>
        <v>66.544003886169833</v>
      </c>
      <c r="X28" s="678">
        <f>VLOOKUP($C28,'[2]Breakdown non-EU havens'!$F$4:$H$31,3,0)/TableB10!$E$229</f>
        <v>16.636000971542458</v>
      </c>
      <c r="Y28" s="593">
        <f>VLOOKUP($C28,'[2]Breakdown non-EU havens'!$F$4:$H$31,2,0)/TableB10!$E$229</f>
        <v>49.908002914627367</v>
      </c>
      <c r="Z28" s="431"/>
      <c r="AA28" s="232">
        <f>+TableB2!L29/TableB2!$L$91</f>
        <v>3.9009029227811333E-4</v>
      </c>
      <c r="AB28" s="552"/>
      <c r="AC28" s="552">
        <f t="shared" si="10"/>
        <v>0</v>
      </c>
      <c r="AD28" s="552">
        <f t="shared" si="11"/>
        <v>0</v>
      </c>
      <c r="AE28" s="552">
        <f t="shared" si="12"/>
        <v>0</v>
      </c>
      <c r="AF28" s="552"/>
      <c r="AG28" s="552"/>
      <c r="AH28" s="552">
        <f t="shared" si="3"/>
        <v>0</v>
      </c>
      <c r="AI28" s="552"/>
      <c r="AJ28" s="552">
        <f t="shared" si="13"/>
        <v>0</v>
      </c>
    </row>
    <row r="29" spans="1:36" x14ac:dyDescent="0.35">
      <c r="C29" s="13" t="s">
        <v>70</v>
      </c>
      <c r="D29" s="739">
        <f t="shared" si="5"/>
        <v>17887.582777968168</v>
      </c>
      <c r="E29" s="739">
        <f t="shared" si="6"/>
        <v>7105.2360149457836</v>
      </c>
      <c r="F29" s="740">
        <f>VLOOKUP($C29,'[2]Breakdown EU havens'!$S$4:$Y$31,F$2,0)/TableB10!$E$229</f>
        <v>1000.3781917554197</v>
      </c>
      <c r="G29" s="740">
        <f>VLOOKUP($C29,'[2]Breakdown EU havens'!$S$4:$Y$31,G$2,0)/TableB10!$E$229</f>
        <v>37.264642176255109</v>
      </c>
      <c r="H29" s="740">
        <f>VLOOKUP($C29,'[2]Breakdown EU havens'!$S$4:$Y$31,H$2,0)/TableB10!$E$229</f>
        <v>1067.033102314733</v>
      </c>
      <c r="I29" s="740">
        <f>VLOOKUP($C29,'[2]Breakdown EU havens'!$S$4:$Y$31,I$2,0)/TableB10!$E$229</f>
        <v>0</v>
      </c>
      <c r="J29" s="740">
        <f>VLOOKUP($C29,'[2]Breakdown EU havens'!$S$4:$Y$31,J$2,0)/TableB10!$E$229</f>
        <v>17.523254356691389</v>
      </c>
      <c r="K29" s="740">
        <f>VLOOKUP($C29,'[2]Breakdown EU havens'!$S$4:$Y$31,K$2,0)/TableB10!$E$229</f>
        <v>4983.0368243426838</v>
      </c>
      <c r="L29" s="739">
        <f t="shared" si="7"/>
        <v>10782.346763022384</v>
      </c>
      <c r="M29" s="678">
        <f>VLOOKUP($C29,'[2]Breakdown non-EU havens'!$K$4:$M$31,3,0)/TableB10!$E$229</f>
        <v>1360.8248794721731</v>
      </c>
      <c r="N29" s="1328">
        <f>VLOOKUP($C29,'[2]Breakdown non-EU havens'!$K$4:$M$31,2,0)/TableB10!$E$229</f>
        <v>9421.521883550211</v>
      </c>
      <c r="O29" s="739">
        <f t="shared" si="8"/>
        <v>19118.868663208596</v>
      </c>
      <c r="P29" s="739">
        <f t="shared" si="2"/>
        <v>5580.4910725673453</v>
      </c>
      <c r="Q29" s="740">
        <f>VLOOKUP($C29,'[2]Breakdown EU havens'!$J$4:$P$31,Q$2,0)/TableB10!$E$229</f>
        <v>2675.0689562240273</v>
      </c>
      <c r="R29" s="740">
        <f>VLOOKUP($C29,'[2]Breakdown EU havens'!$J$4:$P$31,R$2,0)/TableB10!$E$229</f>
        <v>57.671470034680517</v>
      </c>
      <c r="S29" s="740">
        <f>VLOOKUP($C29,'[2]Breakdown EU havens'!$J$4:$P$31,S$2,0)/TableB10!$E$229</f>
        <v>1638.0915623312139</v>
      </c>
      <c r="T29" s="740">
        <f>VLOOKUP($C29,'[2]Breakdown EU havens'!$J$4:$P$31,T$2,0)/TableB10!$E$229</f>
        <v>0</v>
      </c>
      <c r="U29" s="740">
        <f>VLOOKUP($C29,'[2]Breakdown EU havens'!$J$4:$P$31,U$2,0)/TableB10!$E$229</f>
        <v>37.70826886882957</v>
      </c>
      <c r="V29" s="740">
        <f>VLOOKUP($C29,'[2]Breakdown EU havens'!$J$4:$P$31,V$2,0)/TableB10!$E$229</f>
        <v>1171.9508151085943</v>
      </c>
      <c r="W29" s="739">
        <f t="shared" si="9"/>
        <v>13538.377590641252</v>
      </c>
      <c r="X29" s="678">
        <f>VLOOKUP($C29,'[2]Breakdown non-EU havens'!$F$4:$H$31,3,0)/TableB10!$E$229</f>
        <v>6672.1454563199613</v>
      </c>
      <c r="Y29" s="593">
        <f>VLOOKUP($C29,'[2]Breakdown non-EU havens'!$F$4:$H$31,2,0)/TableB10!$E$229</f>
        <v>6866.2321343212898</v>
      </c>
      <c r="Z29" s="431"/>
      <c r="AA29" s="232">
        <f>+TableB2!L30/TableB2!$L$91</f>
        <v>0.10976103536720654</v>
      </c>
      <c r="AB29" s="552"/>
      <c r="AC29" s="552">
        <f t="shared" si="10"/>
        <v>0</v>
      </c>
      <c r="AD29" s="552">
        <f t="shared" si="11"/>
        <v>0</v>
      </c>
      <c r="AE29" s="552">
        <f t="shared" si="12"/>
        <v>0</v>
      </c>
      <c r="AF29" s="552"/>
      <c r="AG29" s="552"/>
      <c r="AH29" s="552">
        <f t="shared" si="3"/>
        <v>0</v>
      </c>
      <c r="AI29" s="552"/>
      <c r="AJ29" s="552">
        <f t="shared" si="13"/>
        <v>0</v>
      </c>
    </row>
    <row r="30" spans="1:36" x14ac:dyDescent="0.35">
      <c r="C30" s="13" t="s">
        <v>71</v>
      </c>
      <c r="D30" s="739">
        <f t="shared" si="5"/>
        <v>3539.7741207496606</v>
      </c>
      <c r="E30" s="739">
        <f t="shared" si="6"/>
        <v>2859.17403364243</v>
      </c>
      <c r="F30" s="740">
        <f>HLOOKUP($C30,'[2]Interest shifted to EU'!$L$2:$AT$8,F$2,0)/TableB10!$E$229</f>
        <v>154.04936899648317</v>
      </c>
      <c r="G30" s="740">
        <f>HLOOKUP($C30,'[2]Interest shifted to EU'!$L$2:$AT$8,G$2,0)/TableB10!$E$229</f>
        <v>0</v>
      </c>
      <c r="H30" s="740">
        <f>HLOOKUP($C30,'[2]Interest shifted to EU'!$L$2:$AT$8,H$2,0)/TableB10!$E$229</f>
        <v>0</v>
      </c>
      <c r="I30" s="740">
        <f>HLOOKUP($C30,'[2]Interest shifted to EU'!$L$2:$AT$8,I$2,0)/TableB10!$E$229</f>
        <v>681.0778797749482</v>
      </c>
      <c r="J30" s="740">
        <f>HLOOKUP($C30,'[2]Interest shifted to EU'!$L$2:$AT$8,J$2,0)/TableB10!$E$229</f>
        <v>9.9816005829254735</v>
      </c>
      <c r="K30" s="740">
        <f>HLOOKUP($C30,'[2]Interest shifted to EU'!$L$2:$AT$8,K$2,0)/TableB10!$E$229</f>
        <v>2014.0651842880734</v>
      </c>
      <c r="L30" s="739">
        <f t="shared" si="7"/>
        <v>680.60008710723059</v>
      </c>
      <c r="M30" s="678">
        <f>AC30*'[2]Non-EU tax havens'!$K$8</f>
        <v>116.18349657328437</v>
      </c>
      <c r="N30" s="1328">
        <f>AC30*'[2]Non-EU tax havens'!$K$13</f>
        <v>564.41659053394619</v>
      </c>
      <c r="O30" s="739">
        <f t="shared" si="8"/>
        <v>13052.268872140454</v>
      </c>
      <c r="P30" s="739">
        <f t="shared" si="2"/>
        <v>2064.0840938758442</v>
      </c>
      <c r="Q30" s="740">
        <f>HLOOKUP($C30,'[2]Non EU income shifted to EU'!$B$2:$AI$9,Q$2+1,0)/TableB10!$E$229</f>
        <v>645.25502434956002</v>
      </c>
      <c r="R30" s="740">
        <f>HLOOKUP($C30,'[2]Non EU income shifted to EU'!$B$2:$AI$9,R$2+1,0)/TableB10!$E$229</f>
        <v>0</v>
      </c>
      <c r="S30" s="740">
        <f>HLOOKUP($C30,'[2]Non EU income shifted to EU'!$B$2:$AI$9,S$2+1,0)/TableB10!$E$229</f>
        <v>445.73391936419421</v>
      </c>
      <c r="T30" s="740">
        <f>HLOOKUP($C30,'[2]Non EU income shifted to EU'!$B$2:$AI$9,T$2+1,0)/TableB10!$E$229</f>
        <v>104.14136608185579</v>
      </c>
      <c r="U30" s="740">
        <f>HLOOKUP($C30,'[2]Non EU income shifted to EU'!$B$2:$AI$9,U$2+1,0)/TableB10!$E$229</f>
        <v>0</v>
      </c>
      <c r="V30" s="740">
        <f>HLOOKUP($C30,'[2]Non EU income shifted to EU'!$B$2:$AI$9,V$2+1,0)/TableB10!$E$229</f>
        <v>868.9537840802343</v>
      </c>
      <c r="W30" s="739">
        <f t="shared" si="9"/>
        <v>10988.184778264609</v>
      </c>
      <c r="X30" s="678">
        <f>AE30*'[2]Non-EU tax havens'!$I$8</f>
        <v>1056.3722744277281</v>
      </c>
      <c r="Y30" s="593">
        <f>AE30*'[2]Non-EU tax havens'!$I$13</f>
        <v>9931.8125038368817</v>
      </c>
      <c r="Z30" s="431"/>
      <c r="AA30" s="232">
        <f>+TableB2!L31/TableB2!$L$91</f>
        <v>1.3057648339535167E-2</v>
      </c>
      <c r="AB30" s="552">
        <f>+AA30</f>
        <v>1.3057648339535167E-2</v>
      </c>
      <c r="AC30" s="552">
        <f t="shared" si="10"/>
        <v>3.0902152883536999E-2</v>
      </c>
      <c r="AD30" s="552">
        <f t="shared" si="11"/>
        <v>1.3057648339535167E-2</v>
      </c>
      <c r="AE30" s="552">
        <f t="shared" si="12"/>
        <v>5.1006405326660835E-2</v>
      </c>
      <c r="AF30" s="552"/>
      <c r="AG30" s="552"/>
      <c r="AH30" s="552">
        <f t="shared" si="3"/>
        <v>0</v>
      </c>
      <c r="AI30" s="552"/>
      <c r="AJ30" s="552">
        <f t="shared" si="13"/>
        <v>0</v>
      </c>
    </row>
    <row r="31" spans="1:36" x14ac:dyDescent="0.35">
      <c r="C31" s="13" t="s">
        <v>72</v>
      </c>
      <c r="D31" s="739">
        <f t="shared" si="5"/>
        <v>12888.13176600023</v>
      </c>
      <c r="E31" s="739">
        <f t="shared" si="6"/>
        <v>5812.2860194375044</v>
      </c>
      <c r="F31" s="740">
        <f>VLOOKUP($C31,'[2]Breakdown EU havens'!$S$4:$Y$31,F$2,0)/TableB10!$E$229</f>
        <v>872.83551764026095</v>
      </c>
      <c r="G31" s="740">
        <f>VLOOKUP($C31,'[2]Breakdown EU havens'!$S$4:$Y$31,G$2,0)/TableB10!$E$229</f>
        <v>-20.51773453156903</v>
      </c>
      <c r="H31" s="740">
        <f>VLOOKUP($C31,'[2]Breakdown EU havens'!$S$4:$Y$31,H$2,0)/TableB10!$E$229</f>
        <v>3938.2959633298178</v>
      </c>
      <c r="I31" s="740">
        <f>VLOOKUP($C31,'[2]Breakdown EU havens'!$S$4:$Y$31,I$2,0)/TableB10!$E$229</f>
        <v>1026.3303532710261</v>
      </c>
      <c r="J31" s="740">
        <f>VLOOKUP($C31,'[2]Breakdown EU havens'!$S$4:$Y$31,J$2,0)/TableB10!$E$229</f>
        <v>-4.6580802720318868</v>
      </c>
      <c r="K31" s="740">
        <f>VLOOKUP($C31,'[2]Breakdown EU havens'!$S$4:$Y$31,K$2,0)/TableB10!$E$229</f>
        <v>0</v>
      </c>
      <c r="L31" s="739">
        <f t="shared" si="7"/>
        <v>7075.8457465627253</v>
      </c>
      <c r="M31" s="678">
        <f>VLOOKUP($C31,'[2]Breakdown non-EU havens'!$K$4:$M$31,3,0)/TableB10!$E$229</f>
        <v>4438.4850592075272</v>
      </c>
      <c r="N31" s="1328">
        <f>VLOOKUP($C31,'[2]Breakdown non-EU havens'!$K$4:$M$31,2,0)/TableB10!$E$229</f>
        <v>2637.3606873551976</v>
      </c>
      <c r="O31" s="739">
        <f t="shared" si="8"/>
        <v>53778.423993993296</v>
      </c>
      <c r="P31" s="739">
        <f t="shared" si="2"/>
        <v>14142.1535192351</v>
      </c>
      <c r="Q31" s="740">
        <f>VLOOKUP($C31,'[2]Breakdown EU havens'!$J$4:$P$31,Q$2,0)/TableB10!$E$229</f>
        <v>7609.30684438352</v>
      </c>
      <c r="R31" s="740">
        <f>VLOOKUP($C31,'[2]Breakdown EU havens'!$J$4:$P$31,R$2,0)/TableB10!$E$229</f>
        <v>46.580802720318879</v>
      </c>
      <c r="S31" s="740">
        <f>VLOOKUP($C31,'[2]Breakdown EU havens'!$J$4:$P$31,S$2,0)/TableB10!$E$229</f>
        <v>4358.6322545441235</v>
      </c>
      <c r="T31" s="740">
        <f>VLOOKUP($C31,'[2]Breakdown EU havens'!$J$4:$P$31,T$2,0)/TableB10!$E$229</f>
        <v>2093.4743622589026</v>
      </c>
      <c r="U31" s="740">
        <f>VLOOKUP($C31,'[2]Breakdown EU havens'!$J$4:$P$31,U$2,0)/TableB10!$E$229</f>
        <v>34.159255328233847</v>
      </c>
      <c r="V31" s="740">
        <f>VLOOKUP($C31,'[2]Breakdown EU havens'!$J$4:$P$31,V$2,0)/TableB10!$E$229</f>
        <v>0</v>
      </c>
      <c r="W31" s="739">
        <f t="shared" si="9"/>
        <v>39636.270474758196</v>
      </c>
      <c r="X31" s="678">
        <f>VLOOKUP($C31,'[2]Breakdown non-EU havens'!$F$4:$H$31,3,0)/TableB10!$E$229</f>
        <v>15052.031865705327</v>
      </c>
      <c r="Y31" s="593">
        <f>VLOOKUP($C31,'[2]Breakdown non-EU havens'!$F$4:$H$31,2,0)/TableB10!$E$229</f>
        <v>24584.238609052867</v>
      </c>
      <c r="Z31" s="431"/>
      <c r="AA31" s="232">
        <f>+TableB2!L32/TableB2!$L$91</f>
        <v>9.9513180149138972E-2</v>
      </c>
      <c r="AB31" s="552"/>
      <c r="AC31" s="552"/>
      <c r="AD31" s="552"/>
      <c r="AE31" s="552"/>
      <c r="AF31" s="552"/>
      <c r="AG31" s="552"/>
      <c r="AH31" s="552">
        <f t="shared" si="3"/>
        <v>0</v>
      </c>
      <c r="AI31" s="552"/>
      <c r="AJ31" s="552">
        <f t="shared" si="13"/>
        <v>0</v>
      </c>
    </row>
    <row r="32" spans="1:36" x14ac:dyDescent="0.35">
      <c r="C32" s="13" t="s">
        <v>73</v>
      </c>
      <c r="D32" s="739">
        <f t="shared" si="5"/>
        <v>133.40167037013202</v>
      </c>
      <c r="E32" s="739">
        <f t="shared" si="6"/>
        <v>56.562403303244352</v>
      </c>
      <c r="F32" s="740">
        <f>HLOOKUP($C32,'[2]Interest shifted to EU'!$L$2:$AT$8,F$2,0)/TableB10!$E$229</f>
        <v>13.308800777233966</v>
      </c>
      <c r="G32" s="740">
        <f>HLOOKUP($C32,'[2]Interest shifted to EU'!$L$2:$AT$8,G$2,0)/TableB10!$E$229</f>
        <v>0</v>
      </c>
      <c r="H32" s="740">
        <f>HLOOKUP($C32,'[2]Interest shifted to EU'!$L$2:$AT$8,H$2,0)/TableB10!$E$229</f>
        <v>0</v>
      </c>
      <c r="I32" s="740">
        <f>HLOOKUP($C32,'[2]Interest shifted to EU'!$L$2:$AT$8,I$2,0)/TableB10!$E$229</f>
        <v>21.072267897287112</v>
      </c>
      <c r="J32" s="740">
        <f>HLOOKUP($C32,'[2]Interest shifted to EU'!$L$2:$AT$8,J$2,0)/TableB10!$E$229</f>
        <v>0</v>
      </c>
      <c r="K32" s="740">
        <f>HLOOKUP($C32,'[2]Interest shifted to EU'!$L$2:$AT$8,K$2,0)/TableB10!$E$229</f>
        <v>22.181334628723278</v>
      </c>
      <c r="L32" s="739">
        <f t="shared" si="7"/>
        <v>76.839267066887686</v>
      </c>
      <c r="M32" s="678">
        <f>AC32*'[2]Non-EU tax havens'!$K$8</f>
        <v>13.117034351117972</v>
      </c>
      <c r="N32" s="1328">
        <f>AC32*'[2]Non-EU tax havens'!$K$13</f>
        <v>63.722232715769714</v>
      </c>
      <c r="O32" s="739">
        <f t="shared" si="8"/>
        <v>1827.2545681877227</v>
      </c>
      <c r="P32" s="739">
        <f t="shared" si="2"/>
        <v>586.69630092973057</v>
      </c>
      <c r="Q32" s="740">
        <f>HLOOKUP($C32,'[2]Non EU income shifted to EU'!$B$2:$AI$9,Q$2+1,0)/TableB10!$E$229</f>
        <v>68.762137349042149</v>
      </c>
      <c r="R32" s="740">
        <f>HLOOKUP($C32,'[2]Non EU income shifted to EU'!$B$2:$AI$9,R$2+1,0)/TableB10!$E$229</f>
        <v>0</v>
      </c>
      <c r="S32" s="740">
        <f>HLOOKUP($C32,'[2]Non EU income shifted to EU'!$B$2:$AI$9,S$2+1,0)/TableB10!$E$229</f>
        <v>247.32188111026451</v>
      </c>
      <c r="T32" s="740">
        <f>HLOOKUP($C32,'[2]Non EU income shifted to EU'!$B$2:$AI$9,T$2+1,0)/TableB10!$E$229</f>
        <v>105.36133948643555</v>
      </c>
      <c r="U32" s="740">
        <f>HLOOKUP($C32,'[2]Non EU income shifted to EU'!$B$2:$AI$9,U$2+1,0)/TableB10!$E$229</f>
        <v>9.3161605440637771</v>
      </c>
      <c r="V32" s="740">
        <f>HLOOKUP($C32,'[2]Non EU income shifted to EU'!$B$2:$AI$9,V$2+1,0)/TableB10!$E$229</f>
        <v>155.93478243992462</v>
      </c>
      <c r="W32" s="739">
        <f t="shared" si="9"/>
        <v>1240.5582672579922</v>
      </c>
      <c r="X32" s="678">
        <f>AE32*'[2]Non-EU tax havens'!$I$8</f>
        <v>119.26368047028924</v>
      </c>
      <c r="Y32" s="593">
        <f>AE32*'[2]Non-EU tax havens'!$I$13</f>
        <v>1121.2945867877029</v>
      </c>
      <c r="Z32" s="431"/>
      <c r="AA32" s="232">
        <f>+TableB2!L33/TableB2!$L$91</f>
        <v>1.4741992354005767E-3</v>
      </c>
      <c r="AB32" s="552">
        <f>+AA32</f>
        <v>1.4741992354005767E-3</v>
      </c>
      <c r="AC32" s="552">
        <f t="shared" si="10"/>
        <v>3.488831140842601E-3</v>
      </c>
      <c r="AD32" s="552">
        <f t="shared" si="11"/>
        <v>1.4741992354005767E-3</v>
      </c>
      <c r="AE32" s="552">
        <f t="shared" si="12"/>
        <v>5.7585869811969592E-3</v>
      </c>
      <c r="AF32" s="552"/>
      <c r="AG32" s="552"/>
      <c r="AH32" s="552">
        <f t="shared" si="3"/>
        <v>0</v>
      </c>
      <c r="AI32" s="552"/>
      <c r="AJ32" s="552">
        <f t="shared" si="13"/>
        <v>0</v>
      </c>
    </row>
    <row r="33" spans="1:36" x14ac:dyDescent="0.35">
      <c r="C33" s="13" t="s">
        <v>74</v>
      </c>
      <c r="D33" s="739">
        <f t="shared" si="5"/>
        <v>968.34265083574746</v>
      </c>
      <c r="E33" s="739">
        <f t="shared" si="6"/>
        <v>797.64079324888894</v>
      </c>
      <c r="F33" s="740">
        <f>HLOOKUP($C33,'[2]Interest shifted to EU'!$L$2:$AT$8,F$2,0)/TableB10!$E$229</f>
        <v>120.00102034139293</v>
      </c>
      <c r="G33" s="740">
        <f>HLOOKUP($C33,'[2]Interest shifted to EU'!$L$2:$AT$8,G$2,0)/TableB10!$E$229</f>
        <v>0</v>
      </c>
      <c r="H33" s="740">
        <f>HLOOKUP($C33,'[2]Interest shifted to EU'!$L$2:$AT$8,H$2,0)/TableB10!$E$229</f>
        <v>0</v>
      </c>
      <c r="I33" s="740">
        <f>HLOOKUP($C33,'[2]Interest shifted to EU'!$L$2:$AT$8,I$2,0)/TableB10!$E$229</f>
        <v>447.73023948077929</v>
      </c>
      <c r="J33" s="740">
        <f>HLOOKUP($C33,'[2]Interest shifted to EU'!$L$2:$AT$8,J$2,0)/TableB10!$E$229</f>
        <v>3.6599202137393405</v>
      </c>
      <c r="K33" s="740">
        <f>HLOOKUP($C33,'[2]Interest shifted to EU'!$L$2:$AT$8,K$2,0)/TableB10!$E$229</f>
        <v>226.24961321297741</v>
      </c>
      <c r="L33" s="739">
        <f t="shared" si="7"/>
        <v>170.70185758685855</v>
      </c>
      <c r="M33" s="678">
        <f>AC33*'[2]Non-EU tax havens'!$K$8</f>
        <v>29.140076620165566</v>
      </c>
      <c r="N33" s="1328">
        <f>AC33*'[2]Non-EU tax havens'!$K$13</f>
        <v>141.56178096669299</v>
      </c>
      <c r="O33" s="739">
        <f t="shared" si="8"/>
        <v>5688.6606576336235</v>
      </c>
      <c r="P33" s="739">
        <f t="shared" si="2"/>
        <v>2932.705157936648</v>
      </c>
      <c r="Q33" s="740">
        <f>HLOOKUP($C33,'[2]Non EU income shifted to EU'!$B$2:$AI$9,Q$2+1,0)/TableB10!$E$229</f>
        <v>370.42828829967868</v>
      </c>
      <c r="R33" s="740">
        <f>HLOOKUP($C33,'[2]Non EU income shifted to EU'!$B$2:$AI$9,R$2+1,0)/TableB10!$E$229</f>
        <v>2.2181334628723275</v>
      </c>
      <c r="S33" s="740">
        <f>HLOOKUP($C33,'[2]Non EU income shifted to EU'!$B$2:$AI$9,S$2+1,0)/TableB10!$E$229</f>
        <v>1315.3531434832903</v>
      </c>
      <c r="T33" s="740">
        <f>HLOOKUP($C33,'[2]Non EU income shifted to EU'!$B$2:$AI$9,T$2+1,0)/TableB10!$E$229</f>
        <v>319.41121865361515</v>
      </c>
      <c r="U33" s="740">
        <f>HLOOKUP($C33,'[2]Non EU income shifted to EU'!$B$2:$AI$9,U$2+1,0)/TableB10!$E$229</f>
        <v>33.382908616228534</v>
      </c>
      <c r="V33" s="740">
        <f>HLOOKUP($C33,'[2]Non EU income shifted to EU'!$B$2:$AI$9,V$2+1,0)/TableB10!$E$229</f>
        <v>891.91146542096294</v>
      </c>
      <c r="W33" s="739">
        <f t="shared" si="9"/>
        <v>2755.955499696975</v>
      </c>
      <c r="X33" s="678">
        <f>AE33*'[2]Non-EU tax havens'!$I$8</f>
        <v>264.94958341029013</v>
      </c>
      <c r="Y33" s="593">
        <f>AE33*'[2]Non-EU tax havens'!$I$13</f>
        <v>2491.0059162866851</v>
      </c>
      <c r="Z33" s="431"/>
      <c r="AA33" s="232">
        <f>+TableB2!L34/TableB2!$L$91</f>
        <v>3.2749993270621371E-3</v>
      </c>
      <c r="AB33" s="552">
        <f>+AA33</f>
        <v>3.2749993270621371E-3</v>
      </c>
      <c r="AC33" s="552">
        <f t="shared" si="10"/>
        <v>7.7505939252425667E-3</v>
      </c>
      <c r="AD33" s="552">
        <f t="shared" si="11"/>
        <v>3.2749993270621371E-3</v>
      </c>
      <c r="AE33" s="552">
        <f t="shared" si="12"/>
        <v>1.2792957719262596E-2</v>
      </c>
      <c r="AF33" s="552"/>
      <c r="AG33" s="552"/>
      <c r="AH33" s="552">
        <f t="shared" si="3"/>
        <v>0</v>
      </c>
      <c r="AI33" s="552"/>
      <c r="AJ33" s="552">
        <f t="shared" si="13"/>
        <v>0</v>
      </c>
    </row>
    <row r="34" spans="1:36" x14ac:dyDescent="0.35">
      <c r="C34" s="13" t="s">
        <v>75</v>
      </c>
      <c r="D34" s="739">
        <f t="shared" si="5"/>
        <v>462.70264035516755</v>
      </c>
      <c r="E34" s="739">
        <f t="shared" si="6"/>
        <v>398.26586325872643</v>
      </c>
      <c r="F34" s="740">
        <f>VLOOKUP($C34,'[2]Breakdown EU havens'!$S$4:$Y$31,F$2,0)/TableB10!$E$229</f>
        <v>110.90667314361637</v>
      </c>
      <c r="G34" s="740">
        <f>VLOOKUP($C34,'[2]Breakdown EU havens'!$S$4:$Y$31,G$2,0)/TableB10!$E$229</f>
        <v>4.5471735988882713</v>
      </c>
      <c r="H34" s="740">
        <f>VLOOKUP($C34,'[2]Breakdown EU havens'!$S$4:$Y$31,H$2,0)/TableB10!$E$229</f>
        <v>45.471735988882713</v>
      </c>
      <c r="I34" s="740">
        <f>VLOOKUP($C34,'[2]Breakdown EU havens'!$S$4:$Y$31,I$2,0)/TableB10!$E$229</f>
        <v>180.77787722409471</v>
      </c>
      <c r="J34" s="740">
        <f>VLOOKUP($C34,'[2]Breakdown EU havens'!$S$4:$Y$31,J$2,0)/TableB10!$E$229</f>
        <v>2.2181334628723275</v>
      </c>
      <c r="K34" s="740">
        <f>VLOOKUP($C34,'[2]Breakdown EU havens'!$S$4:$Y$31,K$2,0)/TableB10!$E$229</f>
        <v>54.344269840372029</v>
      </c>
      <c r="L34" s="739">
        <f t="shared" si="7"/>
        <v>64.436777096441119</v>
      </c>
      <c r="M34" s="678">
        <f>VLOOKUP($C34,'[2]Breakdown non-EU havens'!$K$4:$M$31,3,0)/TableB10!$E$229</f>
        <v>53.567923128366715</v>
      </c>
      <c r="N34" s="1328">
        <f>VLOOKUP($C34,'[2]Breakdown non-EU havens'!$K$4:$M$31,2,0)/TableB10!$E$229</f>
        <v>10.868853968074406</v>
      </c>
      <c r="O34" s="739">
        <f t="shared" si="8"/>
        <v>4227.2078468689378</v>
      </c>
      <c r="P34" s="739">
        <f t="shared" si="2"/>
        <v>2998.5837217839562</v>
      </c>
      <c r="Q34" s="740">
        <f>VLOOKUP($C34,'[2]Breakdown EU havens'!$J$4:$P$31,Q$2,0)/TableB10!$E$229</f>
        <v>586.69630092973068</v>
      </c>
      <c r="R34" s="740">
        <f>VLOOKUP($C34,'[2]Breakdown EU havens'!$J$4:$P$31,R$2,0)/TableB10!$E$229</f>
        <v>14.417867508670129</v>
      </c>
      <c r="S34" s="740">
        <f>VLOOKUP($C34,'[2]Breakdown EU havens'!$J$4:$P$31,S$2,0)/TableB10!$E$229</f>
        <v>897.23498573185657</v>
      </c>
      <c r="T34" s="740">
        <f>VLOOKUP($C34,'[2]Breakdown EU havens'!$J$4:$P$31,T$2,0)/TableB10!$E$229</f>
        <v>428.76519837322093</v>
      </c>
      <c r="U34" s="740">
        <f>VLOOKUP($C34,'[2]Breakdown EU havens'!$J$4:$P$31,U$2,0)/TableB10!$E$229</f>
        <v>18.632321088127554</v>
      </c>
      <c r="V34" s="740">
        <f>VLOOKUP($C34,'[2]Breakdown EU havens'!$J$4:$P$31,V$2,0)/TableB10!$E$229</f>
        <v>1052.8370481523502</v>
      </c>
      <c r="W34" s="739">
        <f t="shared" si="9"/>
        <v>1228.6241250849821</v>
      </c>
      <c r="X34" s="678">
        <f>VLOOKUP($C34,'[2]Breakdown non-EU havens'!$F$4:$H$31,3,0)/TableB10!$E$229</f>
        <v>1119.9355854042381</v>
      </c>
      <c r="Y34" s="593">
        <f>VLOOKUP($C34,'[2]Breakdown non-EU havens'!$F$4:$H$31,2,0)/TableB10!$E$229</f>
        <v>108.68853968074406</v>
      </c>
      <c r="Z34" s="431"/>
      <c r="AA34" s="232">
        <f>+TableB2!L35/TableB2!$L$91</f>
        <v>4.5646328096349172E-3</v>
      </c>
      <c r="AB34" s="552"/>
      <c r="AC34" s="552">
        <f t="shared" si="10"/>
        <v>0</v>
      </c>
      <c r="AD34" s="552">
        <f t="shared" si="11"/>
        <v>0</v>
      </c>
      <c r="AE34" s="552">
        <f t="shared" si="12"/>
        <v>0</v>
      </c>
      <c r="AF34" s="552"/>
      <c r="AG34" s="552"/>
      <c r="AH34" s="552">
        <f t="shared" si="3"/>
        <v>0</v>
      </c>
      <c r="AI34" s="552"/>
      <c r="AJ34" s="552">
        <f t="shared" si="13"/>
        <v>0</v>
      </c>
    </row>
    <row r="35" spans="1:36" x14ac:dyDescent="0.35">
      <c r="C35" s="13" t="s">
        <v>76</v>
      </c>
      <c r="D35" s="739">
        <f t="shared" si="5"/>
        <v>921.07992045773403</v>
      </c>
      <c r="E35" s="739">
        <f t="shared" si="6"/>
        <v>850.87599635782487</v>
      </c>
      <c r="F35" s="740">
        <f>VLOOKUP($C35,'[2]Breakdown EU havens'!$S$4:$Y$31,F$2,0)/TableB10!$E$229</f>
        <v>32.606561904223213</v>
      </c>
      <c r="G35" s="740">
        <f>VLOOKUP($C35,'[2]Breakdown EU havens'!$S$4:$Y$31,G$2,0)/TableB10!$E$229</f>
        <v>0</v>
      </c>
      <c r="H35" s="740">
        <f>VLOOKUP($C35,'[2]Breakdown EU havens'!$S$4:$Y$31,H$2,0)/TableB10!$E$229</f>
        <v>31.053868480212586</v>
      </c>
      <c r="I35" s="740">
        <f>VLOOKUP($C35,'[2]Breakdown EU havens'!$S$4:$Y$31,I$2,0)/TableB10!$E$229</f>
        <v>181.22150391666915</v>
      </c>
      <c r="J35" s="740">
        <f>VLOOKUP($C35,'[2]Breakdown EU havens'!$S$4:$Y$31,J$2,0)/TableB10!$E$229</f>
        <v>2.6617601554467929</v>
      </c>
      <c r="K35" s="740">
        <f>VLOOKUP($C35,'[2]Breakdown EU havens'!$S$4:$Y$31,K$2,0)/TableB10!$E$229</f>
        <v>603.33230190127313</v>
      </c>
      <c r="L35" s="739">
        <f t="shared" si="7"/>
        <v>70.203924099909159</v>
      </c>
      <c r="M35" s="678">
        <f>VLOOKUP($C35,'[2]Breakdown non-EU havens'!$K$4:$M$31,3,0)/TableB10!$E$229</f>
        <v>39.482775639127425</v>
      </c>
      <c r="N35" s="1328">
        <f>VLOOKUP($C35,'[2]Breakdown non-EU havens'!$K$4:$M$31,2,0)/TableB10!$E$229</f>
        <v>30.721148460781738</v>
      </c>
      <c r="O35" s="739">
        <f t="shared" si="8"/>
        <v>2200.6102085156363</v>
      </c>
      <c r="P35" s="739">
        <f t="shared" si="2"/>
        <v>1952.1792606739357</v>
      </c>
      <c r="Q35" s="740">
        <f>VLOOKUP($C35,'[2]Breakdown EU havens'!$J$4:$P$31,Q$2,0)/TableB10!$E$229</f>
        <v>510.17069646063533</v>
      </c>
      <c r="R35" s="740">
        <f>VLOOKUP($C35,'[2]Breakdown EU havens'!$J$4:$P$31,R$2,0)/TableB10!$E$229</f>
        <v>1.6636000971542457</v>
      </c>
      <c r="S35" s="740">
        <f>VLOOKUP($C35,'[2]Breakdown EU havens'!$J$4:$P$31,S$2,0)/TableB10!$E$229</f>
        <v>575.60563361536902</v>
      </c>
      <c r="T35" s="740">
        <f>VLOOKUP($C35,'[2]Breakdown EU havens'!$J$4:$P$31,T$2,0)/TableB10!$E$229</f>
        <v>604.99590199842737</v>
      </c>
      <c r="U35" s="740">
        <f>VLOOKUP($C35,'[2]Breakdown EU havens'!$J$4:$P$31,U$2,0)/TableB10!$E$229</f>
        <v>7.8743737931967628</v>
      </c>
      <c r="V35" s="740">
        <f>VLOOKUP($C35,'[2]Breakdown EU havens'!$J$4:$P$31,V$2,0)/TableB10!$E$229</f>
        <v>251.86905470915281</v>
      </c>
      <c r="W35" s="739">
        <f t="shared" si="9"/>
        <v>248.43094784170069</v>
      </c>
      <c r="X35" s="678">
        <f>VLOOKUP($C35,'[2]Breakdown non-EU havens'!$F$4:$H$31,3,0)/TableB10!$E$229</f>
        <v>217.37707936148811</v>
      </c>
      <c r="Y35" s="593">
        <f>VLOOKUP($C35,'[2]Breakdown non-EU havens'!$F$4:$H$31,2,0)/TableB10!$E$229</f>
        <v>31.053868480212586</v>
      </c>
      <c r="Z35" s="431"/>
      <c r="AA35" s="232">
        <f>+TableB2!L36/TableB2!$L$91</f>
        <v>3.4282296476492446E-3</v>
      </c>
      <c r="AB35" s="552"/>
      <c r="AC35" s="552">
        <f t="shared" si="10"/>
        <v>0</v>
      </c>
      <c r="AD35" s="552">
        <f t="shared" si="11"/>
        <v>0</v>
      </c>
      <c r="AE35" s="552">
        <f t="shared" si="12"/>
        <v>0</v>
      </c>
      <c r="AF35" s="552"/>
      <c r="AG35" s="552"/>
      <c r="AH35" s="552">
        <f t="shared" si="3"/>
        <v>0</v>
      </c>
      <c r="AI35" s="552"/>
      <c r="AJ35" s="552">
        <f t="shared" si="13"/>
        <v>0</v>
      </c>
    </row>
    <row r="36" spans="1:36" x14ac:dyDescent="0.35">
      <c r="C36" s="13" t="s">
        <v>96</v>
      </c>
      <c r="D36" s="739">
        <f t="shared" si="5"/>
        <v>132.42256773347796</v>
      </c>
      <c r="E36" s="739">
        <f t="shared" si="6"/>
        <v>118.55923359052591</v>
      </c>
      <c r="F36" s="740">
        <f>VLOOKUP($C36,'[2]Breakdown EU havens'!$S$4:$Y$31,F$2,0)/TableB10!$E$229</f>
        <v>10.979760641218022</v>
      </c>
      <c r="G36" s="740">
        <f>VLOOKUP($C36,'[2]Breakdown EU havens'!$S$4:$Y$31,G$2,0)/TableB10!$E$229</f>
        <v>0</v>
      </c>
      <c r="H36" s="740">
        <f>VLOOKUP($C36,'[2]Breakdown EU havens'!$S$4:$Y$31,H$2,0)/TableB10!$E$229</f>
        <v>9.5379738903510081</v>
      </c>
      <c r="I36" s="740">
        <f>VLOOKUP($C36,'[2]Breakdown EU havens'!$S$4:$Y$31,I$2,0)/TableB10!$E$229</f>
        <v>39.926402331701894</v>
      </c>
      <c r="J36" s="740">
        <f>VLOOKUP($C36,'[2]Breakdown EU havens'!$S$4:$Y$31,J$2,0)/TableB10!$E$229</f>
        <v>0.44362669257446552</v>
      </c>
      <c r="K36" s="740">
        <f>VLOOKUP($C36,'[2]Breakdown EU havens'!$S$4:$Y$31,K$2,0)/TableB10!$E$229</f>
        <v>57.671470034680517</v>
      </c>
      <c r="L36" s="739">
        <f t="shared" si="7"/>
        <v>13.863334142952047</v>
      </c>
      <c r="M36" s="678">
        <f>VLOOKUP($C36,'[2]Breakdown non-EU havens'!$K$4:$M$31,3,0)/TableB10!$E$229</f>
        <v>2.2181334628723275</v>
      </c>
      <c r="N36" s="1328">
        <f>VLOOKUP($C36,'[2]Breakdown non-EU havens'!$K$4:$M$31,2,0)/TableB10!$E$229</f>
        <v>11.64520068007972</v>
      </c>
      <c r="O36" s="739">
        <f t="shared" si="8"/>
        <v>656.67841168335258</v>
      </c>
      <c r="P36" s="739">
        <f t="shared" si="2"/>
        <v>555.30971243008719</v>
      </c>
      <c r="Q36" s="740">
        <f>VLOOKUP($C36,'[2]Breakdown EU havens'!$J$4:$P$31,Q$2,0)/TableB10!$E$229</f>
        <v>163.03280952111606</v>
      </c>
      <c r="R36" s="740">
        <f>VLOOKUP($C36,'[2]Breakdown EU havens'!$J$4:$P$31,R$2,0)/TableB10!$E$229</f>
        <v>0.88725338514893104</v>
      </c>
      <c r="S36" s="740">
        <f>VLOOKUP($C36,'[2]Breakdown EU havens'!$J$4:$P$31,S$2,0)/TableB10!$E$229</f>
        <v>100.92507256069091</v>
      </c>
      <c r="T36" s="740">
        <f>VLOOKUP($C36,'[2]Breakdown EU havens'!$J$4:$P$31,T$2,0)/TableB10!$E$229</f>
        <v>165.80547634970648</v>
      </c>
      <c r="U36" s="740">
        <f>VLOOKUP($C36,'[2]Breakdown EU havens'!$J$4:$P$31,U$2,0)/TableB10!$E$229</f>
        <v>5.5453336571808194</v>
      </c>
      <c r="V36" s="740">
        <f>VLOOKUP($C36,'[2]Breakdown EU havens'!$J$4:$P$31,V$2,0)/TableB10!$E$229</f>
        <v>119.11376695624399</v>
      </c>
      <c r="W36" s="739">
        <f t="shared" si="9"/>
        <v>101.36869925326538</v>
      </c>
      <c r="X36" s="678">
        <f>VLOOKUP($C36,'[2]Breakdown non-EU havens'!$F$4:$H$31,3,0)/TableB10!$E$229</f>
        <v>90.278031938903737</v>
      </c>
      <c r="Y36" s="593">
        <f>VLOOKUP($C36,'[2]Breakdown non-EU havens'!$F$4:$H$31,2,0)/TableB10!$E$229</f>
        <v>11.090667314361639</v>
      </c>
      <c r="Z36" s="431"/>
      <c r="AA36" s="232">
        <f>+TableB2!L37/TableB2!$L$91</f>
        <v>1.2829588931474523E-3</v>
      </c>
      <c r="AB36" s="552"/>
      <c r="AC36" s="552">
        <f t="shared" si="10"/>
        <v>0</v>
      </c>
      <c r="AD36" s="552">
        <f t="shared" si="11"/>
        <v>0</v>
      </c>
      <c r="AE36" s="552">
        <f t="shared" si="12"/>
        <v>0</v>
      </c>
      <c r="AF36" s="552"/>
      <c r="AG36" s="552"/>
      <c r="AH36" s="552">
        <f t="shared" si="3"/>
        <v>0</v>
      </c>
      <c r="AI36" s="552"/>
      <c r="AJ36" s="552">
        <f t="shared" si="13"/>
        <v>0</v>
      </c>
    </row>
    <row r="37" spans="1:36" x14ac:dyDescent="0.35">
      <c r="C37" s="13" t="s">
        <v>78</v>
      </c>
      <c r="D37" s="739">
        <f t="shared" si="5"/>
        <v>16.968720990973306</v>
      </c>
      <c r="E37" s="739">
        <f t="shared" si="6"/>
        <v>11.756107353223337</v>
      </c>
      <c r="F37" s="740">
        <f>VLOOKUP($C37,'[2]Breakdown EU havens'!$S$4:$Y$31,F$2,0)/TableB10!$E$229</f>
        <v>1.3308800777233964</v>
      </c>
      <c r="G37" s="740">
        <f>VLOOKUP($C37,'[2]Breakdown EU havens'!$S$4:$Y$31,G$2,0)/TableB10!$E$229</f>
        <v>0.33272001943084911</v>
      </c>
      <c r="H37" s="740">
        <f>VLOOKUP($C37,'[2]Breakdown EU havens'!$S$4:$Y$31,H$2,0)/TableB10!$E$229</f>
        <v>0</v>
      </c>
      <c r="I37" s="740">
        <f>VLOOKUP($C37,'[2]Breakdown EU havens'!$S$4:$Y$31,I$2,0)/TableB10!$E$229</f>
        <v>8.87253385148931</v>
      </c>
      <c r="J37" s="740">
        <f>VLOOKUP($C37,'[2]Breakdown EU havens'!$S$4:$Y$31,J$2,0)/TableB10!$E$229</f>
        <v>0.11090667314361638</v>
      </c>
      <c r="K37" s="740">
        <f>VLOOKUP($C37,'[2]Breakdown EU havens'!$S$4:$Y$31,K$2,0)/TableB10!$E$229</f>
        <v>1.1090667314361637</v>
      </c>
      <c r="L37" s="739">
        <f t="shared" si="7"/>
        <v>5.2126136377499694</v>
      </c>
      <c r="M37" s="678">
        <f>VLOOKUP($C37,'[2]Breakdown non-EU havens'!$K$4:$M$31,3,0)/TableB10!$E$229</f>
        <v>3.4381068674521078</v>
      </c>
      <c r="N37" s="1328">
        <f>VLOOKUP($C37,'[2]Breakdown non-EU havens'!$K$4:$M$31,2,0)/TableB10!$E$229</f>
        <v>1.7745067702978621</v>
      </c>
      <c r="O37" s="739">
        <f t="shared" si="8"/>
        <v>257.74710838576448</v>
      </c>
      <c r="P37" s="739">
        <f t="shared" si="2"/>
        <v>136.52611463979179</v>
      </c>
      <c r="Q37" s="740">
        <f>VLOOKUP($C37,'[2]Breakdown EU havens'!$J$4:$P$31,Q$2,0)/TableB10!$E$229</f>
        <v>40.702749043707215</v>
      </c>
      <c r="R37" s="740">
        <f>VLOOKUP($C37,'[2]Breakdown EU havens'!$J$4:$P$31,R$2,0)/TableB10!$E$229</f>
        <v>0</v>
      </c>
      <c r="S37" s="740">
        <f>VLOOKUP($C37,'[2]Breakdown EU havens'!$J$4:$P$31,S$2,0)/TableB10!$E$229</f>
        <v>45.693549335169955</v>
      </c>
      <c r="T37" s="740">
        <f>VLOOKUP($C37,'[2]Breakdown EU havens'!$J$4:$P$31,T$2,0)/TableB10!$E$229</f>
        <v>22.181334628723278</v>
      </c>
      <c r="U37" s="740">
        <f>VLOOKUP($C37,'[2]Breakdown EU havens'!$J$4:$P$31,U$2,0)/TableB10!$E$229</f>
        <v>0.11090667314361638</v>
      </c>
      <c r="V37" s="740">
        <f>VLOOKUP($C37,'[2]Breakdown EU havens'!$J$4:$P$31,V$2,0)/TableB10!$E$229</f>
        <v>27.837574959047714</v>
      </c>
      <c r="W37" s="739">
        <f t="shared" si="9"/>
        <v>121.22099374597269</v>
      </c>
      <c r="X37" s="678">
        <f>VLOOKUP($C37,'[2]Breakdown non-EU havens'!$F$4:$H$31,3,0)/TableB10!$E$229</f>
        <v>87.616271783456938</v>
      </c>
      <c r="Y37" s="593">
        <f>VLOOKUP($C37,'[2]Breakdown non-EU havens'!$F$4:$H$31,2,0)/TableB10!$E$229</f>
        <v>33.604721962515761</v>
      </c>
      <c r="Z37" s="431"/>
      <c r="AA37" s="232">
        <f>+TableB2!L38/TableB2!$L$91</f>
        <v>3.5018124427046114E-4</v>
      </c>
      <c r="AB37" s="552"/>
      <c r="AC37" s="552">
        <f t="shared" si="10"/>
        <v>0</v>
      </c>
      <c r="AD37" s="552">
        <f t="shared" si="11"/>
        <v>0</v>
      </c>
      <c r="AE37" s="552">
        <f t="shared" si="12"/>
        <v>0</v>
      </c>
      <c r="AF37" s="552"/>
      <c r="AG37" s="552"/>
      <c r="AH37" s="552">
        <f t="shared" si="3"/>
        <v>0</v>
      </c>
      <c r="AI37" s="552"/>
      <c r="AJ37" s="552">
        <f t="shared" si="13"/>
        <v>0</v>
      </c>
    </row>
    <row r="38" spans="1:36" x14ac:dyDescent="0.35">
      <c r="C38" s="13" t="s">
        <v>79</v>
      </c>
      <c r="D38" s="739">
        <f t="shared" si="5"/>
        <v>5890.8079440231841</v>
      </c>
      <c r="E38" s="739">
        <f t="shared" si="6"/>
        <v>5591.2490198622763</v>
      </c>
      <c r="F38" s="740">
        <f>VLOOKUP($C38,'[2]Breakdown EU havens'!$S$4:$Y$31,F$2,0)/TableB10!$E$229</f>
        <v>147.50587528100979</v>
      </c>
      <c r="G38" s="740">
        <f>VLOOKUP($C38,'[2]Breakdown EU havens'!$S$4:$Y$31,G$2,0)/TableB10!$E$229</f>
        <v>0</v>
      </c>
      <c r="H38" s="740">
        <f>VLOOKUP($C38,'[2]Breakdown EU havens'!$S$4:$Y$31,H$2,0)/TableB10!$E$229</f>
        <v>189.650411075584</v>
      </c>
      <c r="I38" s="740">
        <f>VLOOKUP($C38,'[2]Breakdown EU havens'!$S$4:$Y$31,I$2,0)/TableB10!$E$229</f>
        <v>988.40027105590912</v>
      </c>
      <c r="J38" s="740">
        <f>VLOOKUP($C38,'[2]Breakdown EU havens'!$S$4:$Y$31,J$2,0)/TableB10!$E$229</f>
        <v>6.8762137349042156</v>
      </c>
      <c r="K38" s="740">
        <f>VLOOKUP($C38,'[2]Breakdown EU havens'!$S$4:$Y$31,K$2,0)/TableB10!$E$229</f>
        <v>4258.8162487148693</v>
      </c>
      <c r="L38" s="739">
        <f t="shared" si="7"/>
        <v>299.55892416090785</v>
      </c>
      <c r="M38" s="678">
        <f>VLOOKUP($C38,'[2]Breakdown non-EU havens'!$K$4:$M$31,3,0)/TableB10!$E$229</f>
        <v>213.71715914774876</v>
      </c>
      <c r="N38" s="1328">
        <f>VLOOKUP($C38,'[2]Breakdown non-EU havens'!$K$4:$M$31,2,0)/TableB10!$E$229</f>
        <v>85.84176501315909</v>
      </c>
      <c r="O38" s="739">
        <f t="shared" si="8"/>
        <v>10955.250266453284</v>
      </c>
      <c r="P38" s="739">
        <f t="shared" si="2"/>
        <v>7732.302344899791</v>
      </c>
      <c r="Q38" s="740">
        <f>VLOOKUP($C38,'[2]Breakdown EU havens'!$J$4:$P$31,Q$2,0)/TableB10!$E$229</f>
        <v>1136.793399722068</v>
      </c>
      <c r="R38" s="740">
        <f>VLOOKUP($C38,'[2]Breakdown EU havens'!$J$4:$P$31,R$2,0)/TableB10!$E$229</f>
        <v>14.417867508670129</v>
      </c>
      <c r="S38" s="740">
        <f>VLOOKUP($C38,'[2]Breakdown EU havens'!$J$4:$P$31,S$2,0)/TableB10!$E$229</f>
        <v>2392.2569397078055</v>
      </c>
      <c r="T38" s="740">
        <f>VLOOKUP($C38,'[2]Breakdown EU havens'!$J$4:$P$31,T$2,0)/TableB10!$E$229</f>
        <v>2345.6761369874866</v>
      </c>
      <c r="U38" s="740">
        <f>VLOOKUP($C38,'[2]Breakdown EU havens'!$J$4:$P$31,U$2,0)/TableB10!$E$229</f>
        <v>14.861494201244595</v>
      </c>
      <c r="V38" s="740">
        <f>VLOOKUP($C38,'[2]Breakdown EU havens'!$J$4:$P$31,V$2,0)/TableB10!$E$229</f>
        <v>1828.2965067725161</v>
      </c>
      <c r="W38" s="739">
        <f t="shared" si="9"/>
        <v>3222.9479215534921</v>
      </c>
      <c r="X38" s="678">
        <f>VLOOKUP($C38,'[2]Breakdown non-EU havens'!$F$4:$H$31,3,0)/TableB10!$E$229</f>
        <v>1740.2366082964845</v>
      </c>
      <c r="Y38" s="593">
        <f>VLOOKUP($C38,'[2]Breakdown non-EU havens'!$F$4:$H$31,2,0)/TableB10!$E$229</f>
        <v>1482.7113132570075</v>
      </c>
      <c r="Z38" s="431"/>
      <c r="AA38" s="232">
        <f>+TableB2!L39/TableB2!$L$91</f>
        <v>1.4770745163787515E-2</v>
      </c>
      <c r="AB38" s="552"/>
      <c r="AC38" s="552">
        <f t="shared" si="10"/>
        <v>0</v>
      </c>
      <c r="AD38" s="552">
        <f t="shared" si="11"/>
        <v>0</v>
      </c>
      <c r="AE38" s="552">
        <f t="shared" si="12"/>
        <v>0</v>
      </c>
      <c r="AF38" s="552"/>
      <c r="AG38" s="552"/>
      <c r="AH38" s="552">
        <f t="shared" si="3"/>
        <v>0</v>
      </c>
      <c r="AI38" s="552"/>
      <c r="AJ38" s="552">
        <f t="shared" si="13"/>
        <v>0</v>
      </c>
    </row>
    <row r="39" spans="1:36" s="118" customFormat="1" x14ac:dyDescent="0.35">
      <c r="C39" s="15" t="s">
        <v>80</v>
      </c>
      <c r="D39" s="739">
        <f t="shared" si="5"/>
        <v>1708.4063931042667</v>
      </c>
      <c r="E39" s="739">
        <f t="shared" si="6"/>
        <v>1556.5751575706558</v>
      </c>
      <c r="F39" s="740">
        <f>VLOOKUP($C39,'[2]Breakdown EU havens'!$S$4:$Y$31,F$2,0)/TableB10!$E$229</f>
        <v>233.79126698674335</v>
      </c>
      <c r="G39" s="740">
        <f>VLOOKUP($C39,'[2]Breakdown EU havens'!$S$4:$Y$31,G$2,0)/TableB10!$E$229</f>
        <v>0</v>
      </c>
      <c r="H39" s="740">
        <f>VLOOKUP($C39,'[2]Breakdown EU havens'!$S$4:$Y$31,H$2,0)/TableB10!$E$229</f>
        <v>103.91955273556854</v>
      </c>
      <c r="I39" s="740">
        <f>VLOOKUP($C39,'[2]Breakdown EU havens'!$S$4:$Y$31,I$2,0)/TableB10!$E$229</f>
        <v>422.66533135032205</v>
      </c>
      <c r="J39" s="740">
        <f>VLOOKUP($C39,'[2]Breakdown EU havens'!$S$4:$Y$31,J$2,0)/TableB10!$E$229</f>
        <v>4.3253602526010386</v>
      </c>
      <c r="K39" s="740">
        <f>VLOOKUP($C39,'[2]Breakdown EU havens'!$S$4:$Y$31,K$2,0)/TableB10!$E$229</f>
        <v>791.8736462454209</v>
      </c>
      <c r="L39" s="739">
        <f t="shared" si="7"/>
        <v>151.83123553361082</v>
      </c>
      <c r="M39" s="678">
        <f>VLOOKUP($C39,'[2]Breakdown non-EU havens'!$K$4:$M$31,3,0)/TableB10!$E$229</f>
        <v>60.555043536414544</v>
      </c>
      <c r="N39" s="1328">
        <f>VLOOKUP($C39,'[2]Breakdown non-EU havens'!$K$4:$M$31,2,0)/TableB10!$E$229</f>
        <v>91.276191997196278</v>
      </c>
      <c r="O39" s="739">
        <f t="shared" si="8"/>
        <v>8300.5881380876817</v>
      </c>
      <c r="P39" s="739">
        <f t="shared" si="2"/>
        <v>6281.0885268155707</v>
      </c>
      <c r="Q39" s="740">
        <f>VLOOKUP($C39,'[2]Breakdown EU havens'!$J$4:$P$31,Q$2,0)/TableB10!$E$229</f>
        <v>1089.1035302703128</v>
      </c>
      <c r="R39" s="740">
        <f>VLOOKUP($C39,'[2]Breakdown EU havens'!$J$4:$P$31,R$2,0)/TableB10!$E$229</f>
        <v>5.5453336571808194</v>
      </c>
      <c r="S39" s="740">
        <f>VLOOKUP($C39,'[2]Breakdown EU havens'!$J$4:$P$31,S$2,0)/TableB10!$E$229</f>
        <v>2390.0388062449329</v>
      </c>
      <c r="T39" s="740">
        <f>VLOOKUP($C39,'[2]Breakdown EU havens'!$J$4:$P$31,T$2,0)/TableB10!$E$229</f>
        <v>2109.4449231915837</v>
      </c>
      <c r="U39" s="740">
        <f>VLOOKUP($C39,'[2]Breakdown EU havens'!$J$4:$P$31,U$2,0)/TableB10!$E$229</f>
        <v>133.19891444548327</v>
      </c>
      <c r="V39" s="740">
        <f>VLOOKUP($C39,'[2]Breakdown EU havens'!$J$4:$P$31,V$2,0)/TableB10!$E$229</f>
        <v>553.75701900607658</v>
      </c>
      <c r="W39" s="739">
        <f t="shared" si="9"/>
        <v>2019.499611272111</v>
      </c>
      <c r="X39" s="678">
        <f>VLOOKUP($C39,'[2]Breakdown non-EU havens'!$F$4:$H$31,3,0)/TableB10!$E$229</f>
        <v>711.46630821629913</v>
      </c>
      <c r="Y39" s="593">
        <f>VLOOKUP($C39,'[2]Breakdown non-EU havens'!$F$4:$H$31,2,0)/TableB10!$E$229</f>
        <v>1308.0333030558118</v>
      </c>
      <c r="Z39" s="431"/>
      <c r="AA39" s="232">
        <f>+TableB2!L40/TableB2!$L$91</f>
        <v>8.0149738798014902E-3</v>
      </c>
      <c r="AB39" s="1336"/>
      <c r="AC39" s="552">
        <f t="shared" si="10"/>
        <v>0</v>
      </c>
      <c r="AD39" s="552">
        <f t="shared" si="11"/>
        <v>0</v>
      </c>
      <c r="AE39" s="552">
        <f t="shared" si="12"/>
        <v>0</v>
      </c>
      <c r="AF39" s="1336"/>
      <c r="AG39" s="1336"/>
      <c r="AH39" s="552">
        <f t="shared" si="3"/>
        <v>0</v>
      </c>
      <c r="AI39" s="1336"/>
      <c r="AJ39" s="552">
        <f t="shared" si="13"/>
        <v>0</v>
      </c>
    </row>
    <row r="40" spans="1:36" x14ac:dyDescent="0.35">
      <c r="A40" s="118"/>
      <c r="B40" s="118"/>
      <c r="C40" s="15" t="s">
        <v>1</v>
      </c>
      <c r="D40" s="1708"/>
      <c r="E40" s="1708">
        <f t="shared" si="6"/>
        <v>3885.5043869134561</v>
      </c>
      <c r="F40" s="1709">
        <f>HLOOKUP($C40,'[2]Interest shifted to EU'!$L$2:$AT$8,F$2,0)/TableB10!$E$229</f>
        <v>110.90667314361637</v>
      </c>
      <c r="G40" s="1709">
        <f>HLOOKUP($C40,'[2]Interest shifted to EU'!$L$2:$AT$8,G$2,0)/TableB10!$E$229</f>
        <v>4.5471735988882713</v>
      </c>
      <c r="H40" s="1709">
        <f>HLOOKUP($C40,'[2]Interest shifted to EU'!$L$2:$AT$8,H$2,0)/TableB10!$E$229</f>
        <v>26.063068188749849</v>
      </c>
      <c r="I40" s="1709">
        <f>HLOOKUP($C40,'[2]Interest shifted to EU'!$L$2:$AT$8,I$2,0)/TableB10!$E$229</f>
        <v>1274.3176744201521</v>
      </c>
      <c r="J40" s="1709">
        <f>HLOOKUP($C40,'[2]Interest shifted to EU'!$L$2:$AT$8,J$2,0)/TableB10!$E$229</f>
        <v>5.3235203108935858</v>
      </c>
      <c r="K40" s="1709">
        <f>HLOOKUP($C40,'[2]Interest shifted to EU'!$L$2:$AT$8,K$2,0)/TableB10!$E$229</f>
        <v>2464.3462772511562</v>
      </c>
      <c r="L40" s="1708"/>
      <c r="M40" s="325">
        <v>0</v>
      </c>
      <c r="N40" s="1710"/>
      <c r="O40" s="1708"/>
      <c r="P40" s="1708">
        <f t="shared" si="2"/>
        <v>20825.944176235142</v>
      </c>
      <c r="Q40" s="1709">
        <f>HLOOKUP($C40,'[2]Non EU income shifted to EU'!$B$2:$AI$9,Q$2+1,0)/TableB10!$E$229</f>
        <v>3530.1594061613096</v>
      </c>
      <c r="R40" s="1709">
        <f>HLOOKUP($C40,'[2]Non EU income shifted to EU'!$B$2:$AI$9,R$2+1,0)/TableB10!$E$229</f>
        <v>9.9816005829254735</v>
      </c>
      <c r="S40" s="1709">
        <f>HLOOKUP($C40,'[2]Non EU income shifted to EU'!$B$2:$AI$9,S$2+1,0)/TableB10!$E$229</f>
        <v>3238.4748557935982</v>
      </c>
      <c r="T40" s="1709">
        <f>HLOOKUP($C40,'[2]Non EU income shifted to EU'!$B$2:$AI$9,T$2+1,0)/TableB10!$E$229</f>
        <v>6084.3400886587942</v>
      </c>
      <c r="U40" s="1709">
        <f>HLOOKUP($C40,'[2]Non EU income shifted to EU'!$B$2:$AI$9,U$2+1,0)/TableB10!$E$229</f>
        <v>34.381068674521075</v>
      </c>
      <c r="V40" s="1709">
        <f>HLOOKUP($C40,'[2]Non EU income shifted to EU'!$B$2:$AI$9,V$2+1,0)/TableB10!$E$229</f>
        <v>7928.6071563639907</v>
      </c>
      <c r="W40" s="1708"/>
      <c r="X40" s="325"/>
      <c r="Y40" s="1711"/>
      <c r="Z40" s="431"/>
      <c r="AA40" s="232">
        <f>+TableB2!L41/TableB2!$L$91</f>
        <v>2.836941179799185E-2</v>
      </c>
      <c r="AB40" s="552">
        <v>0</v>
      </c>
      <c r="AC40" s="552">
        <f t="shared" si="10"/>
        <v>0</v>
      </c>
      <c r="AD40" s="552">
        <f t="shared" si="11"/>
        <v>0</v>
      </c>
      <c r="AE40" s="552">
        <f t="shared" si="12"/>
        <v>0</v>
      </c>
      <c r="AF40" s="552"/>
      <c r="AG40" s="552"/>
      <c r="AH40" s="552">
        <f t="shared" si="3"/>
        <v>0</v>
      </c>
      <c r="AI40" s="552"/>
      <c r="AJ40" s="552">
        <f t="shared" si="13"/>
        <v>0</v>
      </c>
    </row>
    <row r="41" spans="1:36" x14ac:dyDescent="0.35">
      <c r="C41" s="13" t="s">
        <v>81</v>
      </c>
      <c r="D41" s="739">
        <f t="shared" si="5"/>
        <v>450.57170014861714</v>
      </c>
      <c r="E41" s="739">
        <f t="shared" si="6"/>
        <v>198.19022490764246</v>
      </c>
      <c r="F41" s="740">
        <f>HLOOKUP($C41,'[2]Interest shifted to EU'!$L$2:$AT$8,F$2,0)/TableB10!$E$229</f>
        <v>16.746907644686075</v>
      </c>
      <c r="G41" s="740">
        <f>HLOOKUP($C41,'[2]Interest shifted to EU'!$L$2:$AT$8,G$2,0)/TableB10!$E$229</f>
        <v>0</v>
      </c>
      <c r="H41" s="740">
        <f>HLOOKUP($C41,'[2]Interest shifted to EU'!$L$2:$AT$8,H$2,0)/TableB10!$E$229</f>
        <v>0</v>
      </c>
      <c r="I41" s="740">
        <f>HLOOKUP($C41,'[2]Interest shifted to EU'!$L$2:$AT$8,I$2,0)/TableB10!$E$229</f>
        <v>53.457016455223098</v>
      </c>
      <c r="J41" s="740">
        <f>HLOOKUP($C41,'[2]Interest shifted to EU'!$L$2:$AT$8,J$2,0)/TableB10!$E$229</f>
        <v>0.44362669257446552</v>
      </c>
      <c r="K41" s="740">
        <f>HLOOKUP($C41,'[2]Interest shifted to EU'!$L$2:$AT$8,K$2,0)/TableB10!$E$229</f>
        <v>127.54267411515883</v>
      </c>
      <c r="L41" s="739">
        <f t="shared" si="7"/>
        <v>252.38147524097468</v>
      </c>
      <c r="M41" s="678">
        <f>AC41*'[2]Non-EU tax havens'!$K$8</f>
        <v>43.083394814788463</v>
      </c>
      <c r="N41" s="1328">
        <f>AC41*'[2]Non-EU tax havens'!$K$13</f>
        <v>209.2980804261862</v>
      </c>
      <c r="O41" s="739">
        <f t="shared" si="8"/>
        <v>6095.7127948907346</v>
      </c>
      <c r="P41" s="739">
        <f t="shared" si="2"/>
        <v>2021.0523046961212</v>
      </c>
      <c r="Q41" s="740">
        <f>HLOOKUP($C41,'[2]Non EU income shifted to EU'!$B$2:$AI$9,Q$2+1,0)/TableB10!$E$229</f>
        <v>342.14708664805653</v>
      </c>
      <c r="R41" s="740">
        <f>HLOOKUP($C41,'[2]Non EU income shifted to EU'!$B$2:$AI$9,R$2+1,0)/TableB10!$E$229</f>
        <v>0</v>
      </c>
      <c r="S41" s="740">
        <f>HLOOKUP($C41,'[2]Non EU income shifted to EU'!$B$2:$AI$9,S$2+1,0)/TableB10!$E$229</f>
        <v>600.11600838010827</v>
      </c>
      <c r="T41" s="740">
        <f>HLOOKUP($C41,'[2]Non EU income shifted to EU'!$B$2:$AI$9,T$2+1,0)/TableB10!$E$229</f>
        <v>240.66748072164754</v>
      </c>
      <c r="U41" s="740">
        <f>HLOOKUP($C41,'[2]Non EU income shifted to EU'!$B$2:$AI$9,U$2+1,0)/TableB10!$E$229</f>
        <v>23.623121379590291</v>
      </c>
      <c r="V41" s="740">
        <f>HLOOKUP($C41,'[2]Non EU income shifted to EU'!$B$2:$AI$9,V$2+1,0)/TableB10!$E$229</f>
        <v>814.49860756671865</v>
      </c>
      <c r="W41" s="739">
        <f t="shared" si="9"/>
        <v>4074.660490194613</v>
      </c>
      <c r="X41" s="678">
        <f>AE41*'[2]Non-EU tax havens'!$I$8</f>
        <v>391.72606362262889</v>
      </c>
      <c r="Y41" s="593">
        <f>AE41*'[2]Non-EU tax havens'!$I$13</f>
        <v>3682.9344265719842</v>
      </c>
      <c r="Z41" s="431"/>
      <c r="AA41" s="232">
        <f>+TableB2!L42/TableB2!$L$91</f>
        <v>4.8420630757141404E-3</v>
      </c>
      <c r="AB41" s="552">
        <f>+AA41</f>
        <v>4.8420630757141404E-3</v>
      </c>
      <c r="AC41" s="552">
        <f t="shared" si="10"/>
        <v>1.1459197670717357E-2</v>
      </c>
      <c r="AD41" s="552">
        <f t="shared" si="11"/>
        <v>4.8420630757141404E-3</v>
      </c>
      <c r="AE41" s="552">
        <f t="shared" si="12"/>
        <v>1.8914296467102243E-2</v>
      </c>
      <c r="AF41" s="552"/>
      <c r="AG41" s="552"/>
      <c r="AH41" s="552">
        <f t="shared" si="3"/>
        <v>0</v>
      </c>
      <c r="AI41" s="552"/>
      <c r="AJ41" s="552">
        <f t="shared" si="13"/>
        <v>0</v>
      </c>
    </row>
    <row r="42" spans="1:36" x14ac:dyDescent="0.35">
      <c r="C42" s="13" t="s">
        <v>82</v>
      </c>
      <c r="D42" s="739">
        <f t="shared" si="5"/>
        <v>10849.112580254841</v>
      </c>
      <c r="E42" s="739">
        <f t="shared" si="6"/>
        <v>8568.9822870952321</v>
      </c>
      <c r="F42" s="740">
        <f>VLOOKUP($C42,'[2]Breakdown EU havens'!$S$4:$Y$31,F$2,0)/TableB10!$E$229</f>
        <v>746.40191025653826</v>
      </c>
      <c r="G42" s="740">
        <f>VLOOKUP($C42,'[2]Breakdown EU havens'!$S$4:$Y$31,G$2,0)/TableB10!$E$229</f>
        <v>55.453336571808187</v>
      </c>
      <c r="H42" s="740">
        <f>VLOOKUP($C42,'[2]Breakdown EU havens'!$S$4:$Y$31,H$2,0)/TableB10!$E$229</f>
        <v>457.37912004427392</v>
      </c>
      <c r="I42" s="740">
        <f>VLOOKUP($C42,'[2]Breakdown EU havens'!$S$4:$Y$31,I$2,0)/TableB10!$E$229</f>
        <v>3357.3668094035547</v>
      </c>
      <c r="J42" s="740">
        <f>VLOOKUP($C42,'[2]Breakdown EU havens'!$S$4:$Y$31,J$2,0)/TableB10!$E$229</f>
        <v>29.612081729345572</v>
      </c>
      <c r="K42" s="740">
        <f>VLOOKUP($C42,'[2]Breakdown EU havens'!$S$4:$Y$31,K$2,0)/TableB10!$E$229</f>
        <v>3922.7690290897112</v>
      </c>
      <c r="L42" s="739">
        <f t="shared" si="7"/>
        <v>2280.1302931596092</v>
      </c>
      <c r="M42" s="678">
        <f>VLOOKUP($C42,'[2]Breakdown non-EU havens'!$K$4:$M$31,3,0)/TableB10!$E$229</f>
        <v>247.87641447598261</v>
      </c>
      <c r="N42" s="1328">
        <f>VLOOKUP($C42,'[2]Breakdown non-EU havens'!$K$4:$M$31,2,0)/TableB10!$E$229</f>
        <v>2032.2538786836265</v>
      </c>
      <c r="O42" s="739">
        <f t="shared" si="8"/>
        <v>63746.272149448952</v>
      </c>
      <c r="P42" s="739">
        <f t="shared" si="2"/>
        <v>51054.556101586073</v>
      </c>
      <c r="Q42" s="740">
        <f>VLOOKUP($C42,'[2]Breakdown EU havens'!$J$4:$P$31,Q$2,0)/TableB10!$E$229</f>
        <v>6705.4174582630467</v>
      </c>
      <c r="R42" s="740">
        <f>VLOOKUP($C42,'[2]Breakdown EU havens'!$J$4:$P$31,R$2,0)/TableB10!$E$229</f>
        <v>732.76038945987352</v>
      </c>
      <c r="S42" s="740">
        <f>VLOOKUP($C42,'[2]Breakdown EU havens'!$J$4:$P$31,S$2,0)/TableB10!$E$229</f>
        <v>18778.717896677124</v>
      </c>
      <c r="T42" s="740">
        <f>VLOOKUP($C42,'[2]Breakdown EU havens'!$J$4:$P$31,T$2,0)/TableB10!$E$229</f>
        <v>13558.229885133958</v>
      </c>
      <c r="U42" s="740">
        <f>VLOOKUP($C42,'[2]Breakdown EU havens'!$J$4:$P$31,U$2,0)/TableB10!$E$229</f>
        <v>268.72686902698251</v>
      </c>
      <c r="V42" s="740">
        <f>VLOOKUP($C42,'[2]Breakdown EU havens'!$J$4:$P$31,V$2,0)/TableB10!$E$229</f>
        <v>11010.703603025089</v>
      </c>
      <c r="W42" s="739">
        <f t="shared" si="9"/>
        <v>12691.716047862883</v>
      </c>
      <c r="X42" s="678">
        <f>VLOOKUP($C42,'[2]Breakdown non-EU havens'!$F$4:$H$31,3,0)/TableB10!$E$229</f>
        <v>4073.8239179113166</v>
      </c>
      <c r="Y42" s="593">
        <f>VLOOKUP($C42,'[2]Breakdown non-EU havens'!$F$4:$H$31,2,0)/TableB10!$E$229</f>
        <v>8617.8921299515659</v>
      </c>
      <c r="Z42" s="431"/>
      <c r="AA42" s="232">
        <f>+TableB2!L43/TableB2!$L$91</f>
        <v>4.6915671169686653E-2</v>
      </c>
      <c r="AB42" s="552"/>
      <c r="AC42" s="552">
        <f t="shared" si="10"/>
        <v>0</v>
      </c>
      <c r="AD42" s="552">
        <f t="shared" si="11"/>
        <v>0</v>
      </c>
      <c r="AE42" s="552">
        <f t="shared" si="12"/>
        <v>0</v>
      </c>
      <c r="AF42" s="552"/>
      <c r="AG42" s="552"/>
      <c r="AH42" s="552">
        <f t="shared" si="3"/>
        <v>0</v>
      </c>
      <c r="AI42" s="552"/>
      <c r="AJ42" s="552">
        <f t="shared" si="13"/>
        <v>0</v>
      </c>
    </row>
    <row r="43" spans="1:36" x14ac:dyDescent="0.35">
      <c r="C43" s="13" t="s">
        <v>0</v>
      </c>
      <c r="D43" s="739">
        <f t="shared" si="5"/>
        <v>25374.495942423811</v>
      </c>
      <c r="E43" s="739">
        <f t="shared" si="6"/>
        <v>16693.561534903994</v>
      </c>
      <c r="F43" s="740">
        <f>HLOOKUP($C43,'[2]Interest shifted to EU'!$L$2:$AT$8,F$2,0)/TableB10!$E$229</f>
        <v>1857.1322417898564</v>
      </c>
      <c r="G43" s="740">
        <f>HLOOKUP($C43,'[2]Interest shifted to EU'!$L$2:$AT$8,G$2,0)/TableB10!$E$229</f>
        <v>181.33241058981278</v>
      </c>
      <c r="H43" s="740">
        <f>HLOOKUP($C43,'[2]Interest shifted to EU'!$L$2:$AT$8,H$2,0)/TableB10!$E$229</f>
        <v>1051.0625413820526</v>
      </c>
      <c r="I43" s="740">
        <f>HLOOKUP($C43,'[2]Interest shifted to EU'!$L$2:$AT$8,I$2,0)/TableB10!$E$229</f>
        <v>9928.476286489682</v>
      </c>
      <c r="J43" s="740">
        <f>HLOOKUP($C43,'[2]Interest shifted to EU'!$L$2:$AT$8,J$2,0)/TableB10!$E$229</f>
        <v>95.490645576653719</v>
      </c>
      <c r="K43" s="740">
        <f>HLOOKUP($C43,'[2]Interest shifted to EU'!$L$2:$AT$8,K$2,0)/TableB10!$E$229</f>
        <v>3580.0674090759367</v>
      </c>
      <c r="L43" s="739">
        <f t="shared" si="7"/>
        <v>8680.9344075198187</v>
      </c>
      <c r="M43" s="678">
        <f>AC43*'[2]Non-EU tax havens'!$K$8</f>
        <v>1481.9000645089254</v>
      </c>
      <c r="N43" s="1328">
        <f>AC43*'[2]Non-EU tax havens'!$K$13</f>
        <v>7199.0343430108933</v>
      </c>
      <c r="O43" s="739">
        <f t="shared" si="8"/>
        <v>149246.84163882458</v>
      </c>
      <c r="P43" s="739">
        <f t="shared" si="2"/>
        <v>40351.729423207667</v>
      </c>
      <c r="Q43" s="740">
        <f>HLOOKUP($C43,'[2]Non EU income shifted to EU'!$B$2:$AI$9,Q$2+1,0)/TableB10!$E$229</f>
        <v>8919.1146542096285</v>
      </c>
      <c r="R43" s="740">
        <f>HLOOKUP($C43,'[2]Non EU income shifted to EU'!$B$2:$AI$9,R$2+1,0)/TableB10!$E$229</f>
        <v>166.36000971542458</v>
      </c>
      <c r="S43" s="740">
        <f>HLOOKUP($C43,'[2]Non EU income shifted to EU'!$B$2:$AI$9,S$2+1,0)/TableB10!$E$229</f>
        <v>8470.9407880362742</v>
      </c>
      <c r="T43" s="740">
        <f>HLOOKUP($C43,'[2]Non EU income shifted to EU'!$B$2:$AI$9,T$2+1,0)/TableB10!$E$229</f>
        <v>5220.3771048700228</v>
      </c>
      <c r="U43" s="740">
        <f>HLOOKUP($C43,'[2]Non EU income shifted to EU'!$B$2:$AI$9,U$2+1,0)/TableB10!$E$229</f>
        <v>59.335070131834762</v>
      </c>
      <c r="V43" s="740">
        <f>HLOOKUP($C43,'[2]Non EU income shifted to EU'!$B$2:$AI$9,V$2+1,0)/TableB10!$E$229</f>
        <v>17515.601796244478</v>
      </c>
      <c r="W43" s="739">
        <f t="shared" si="9"/>
        <v>108895.11221561691</v>
      </c>
      <c r="X43" s="678">
        <f>+'[2]Non-EU tax havens'!$H$8</f>
        <v>17601</v>
      </c>
      <c r="Y43" s="593">
        <f>+'[2]Non-EU tax havens'!$H$13</f>
        <v>91294.112215616915</v>
      </c>
      <c r="Z43" s="431"/>
      <c r="AA43" s="232">
        <f>+TableB2!L44/TableB2!$L$91</f>
        <v>0.16654800799945507</v>
      </c>
      <c r="AB43" s="552">
        <f>+AA43</f>
        <v>0.16654800799945507</v>
      </c>
      <c r="AC43" s="552">
        <f t="shared" si="10"/>
        <v>0.39415152497749978</v>
      </c>
      <c r="AD43" s="552"/>
      <c r="AE43" s="552">
        <f t="shared" si="12"/>
        <v>0</v>
      </c>
      <c r="AF43" s="552"/>
      <c r="AG43" s="552"/>
      <c r="AH43" s="552">
        <f t="shared" si="3"/>
        <v>0</v>
      </c>
      <c r="AI43" s="552"/>
      <c r="AJ43" s="552">
        <f t="shared" si="13"/>
        <v>0</v>
      </c>
    </row>
    <row r="44" spans="1:36" ht="31" x14ac:dyDescent="0.35">
      <c r="C44" s="38" t="s">
        <v>99</v>
      </c>
      <c r="D44" s="651">
        <f t="shared" si="5"/>
        <v>14675.920163064318</v>
      </c>
      <c r="E44" s="651">
        <f>+SUM(E45:E51)</f>
        <v>8783.0862430353827</v>
      </c>
      <c r="F44" s="557">
        <f t="shared" ref="F44:K44" si="14">+SUM(F45:F51)</f>
        <v>534.10653821553854</v>
      </c>
      <c r="G44" s="557">
        <f t="shared" si="14"/>
        <v>19.427034071080644</v>
      </c>
      <c r="H44" s="557">
        <f t="shared" si="14"/>
        <v>29.952115339208834</v>
      </c>
      <c r="I44" s="557">
        <f t="shared" si="14"/>
        <v>4366.8562223314439</v>
      </c>
      <c r="J44" s="557">
        <f t="shared" si="14"/>
        <v>21.182473360580122</v>
      </c>
      <c r="K44" s="557">
        <f t="shared" si="14"/>
        <v>3811.5618597175303</v>
      </c>
      <c r="L44" s="651">
        <f>+SUM(L45:L51)</f>
        <v>5892.8339200289365</v>
      </c>
      <c r="M44" s="557">
        <f>+SUM(M45:M51)</f>
        <v>1005.9505758581356</v>
      </c>
      <c r="N44" s="1319">
        <f>+SUM(N45:N51)</f>
        <v>4886.8833441708002</v>
      </c>
      <c r="O44" s="651">
        <f t="shared" si="8"/>
        <v>115966.65660172787</v>
      </c>
      <c r="P44" s="651">
        <f t="shared" ref="P44:Y44" si="15">+SUM(P45:P51)</f>
        <v>20827.750204994591</v>
      </c>
      <c r="Q44" s="740">
        <f t="shared" si="15"/>
        <v>1851.9816941251784</v>
      </c>
      <c r="R44" s="740">
        <f t="shared" si="15"/>
        <v>611.37358616807273</v>
      </c>
      <c r="S44" s="740">
        <f t="shared" si="15"/>
        <v>9939.0263071812933</v>
      </c>
      <c r="T44" s="740">
        <f t="shared" si="15"/>
        <v>2049.1465669669583</v>
      </c>
      <c r="U44" s="740">
        <f t="shared" si="15"/>
        <v>121.74967324744678</v>
      </c>
      <c r="V44" s="740">
        <f t="shared" si="15"/>
        <v>6254.4723773056385</v>
      </c>
      <c r="W44" s="651">
        <f t="shared" si="15"/>
        <v>95138.906396733277</v>
      </c>
      <c r="X44" s="557">
        <f t="shared" si="15"/>
        <v>9146.3790393918371</v>
      </c>
      <c r="Y44" s="1320">
        <f t="shared" si="15"/>
        <v>85992.52735734146</v>
      </c>
      <c r="Z44" s="431"/>
      <c r="AA44" s="232"/>
      <c r="AB44" s="552"/>
      <c r="AC44" s="552">
        <f t="shared" si="10"/>
        <v>0</v>
      </c>
      <c r="AD44" s="552"/>
      <c r="AE44" s="552">
        <f t="shared" si="12"/>
        <v>0</v>
      </c>
      <c r="AF44" s="552"/>
      <c r="AG44" s="552"/>
      <c r="AH44" s="552">
        <f t="shared" si="3"/>
        <v>0</v>
      </c>
      <c r="AI44" s="552"/>
      <c r="AJ44" s="552">
        <f t="shared" si="13"/>
        <v>0</v>
      </c>
    </row>
    <row r="45" spans="1:36" x14ac:dyDescent="0.35">
      <c r="C45" s="95" t="s">
        <v>92</v>
      </c>
      <c r="D45" s="739">
        <f t="shared" si="5"/>
        <v>3910.8574105696666</v>
      </c>
      <c r="E45" s="739">
        <f t="shared" si="6"/>
        <v>3238.8075758130294</v>
      </c>
      <c r="F45" s="740">
        <f>HLOOKUP($C45,'[2]Interest shifted to EU'!$L$2:$AT$8,F$2,0)/TableB10!$E$229</f>
        <v>284.36470994023244</v>
      </c>
      <c r="G45" s="740">
        <f>HLOOKUP($C45,'[2]Interest shifted to EU'!$L$2:$AT$8,G$2,0)/TableB10!$E$229</f>
        <v>0</v>
      </c>
      <c r="H45" s="740">
        <f>HLOOKUP($C45,'[2]Interest shifted to EU'!$L$2:$AT$8,H$2,0)/TableB10!$E$229</f>
        <v>34.491975347664699</v>
      </c>
      <c r="I45" s="740">
        <f>HLOOKUP($C45,'[2]Interest shifted to EU'!$L$2:$AT$8,I$2,0)/TableB10!$E$229</f>
        <v>804.84972700322407</v>
      </c>
      <c r="J45" s="740">
        <f>HLOOKUP($C45,'[2]Interest shifted to EU'!$L$2:$AT$8,J$2,0)/TableB10!$E$229</f>
        <v>4.5471735988882713</v>
      </c>
      <c r="K45" s="740">
        <f>HLOOKUP($C45,'[2]Interest shifted to EU'!$L$2:$AT$8,K$2,0)/TableB10!$E$229</f>
        <v>2110.5539899230198</v>
      </c>
      <c r="L45" s="739">
        <f t="shared" si="7"/>
        <v>672.04983475663721</v>
      </c>
      <c r="M45" s="678">
        <f>AC45*'[2]Non-EU tax havens'!$K$8</f>
        <v>114.72390490779084</v>
      </c>
      <c r="N45" s="1328">
        <f>AC45*'[2]Non-EU tax havens'!$K$13</f>
        <v>557.32592984884639</v>
      </c>
      <c r="O45" s="739">
        <f t="shared" si="8"/>
        <v>13941.998489822339</v>
      </c>
      <c r="P45" s="739">
        <f t="shared" ref="P45:P51" si="16">SUM(Q45:V45)</f>
        <v>3091.8562338977372</v>
      </c>
      <c r="Q45" s="740">
        <f>HLOOKUP($C45,'[2]Non EU income shifted to EU'!$B$2:$AI$9,Q$2+1,0)/TableB10!$E$229</f>
        <v>201.85014512138181</v>
      </c>
      <c r="R45" s="740">
        <f>HLOOKUP($C45,'[2]Non EU income shifted to EU'!$B$2:$AI$9,R$2+1,0)/TableB10!$E$229</f>
        <v>0.11090667314361638</v>
      </c>
      <c r="S45" s="740">
        <f>HLOOKUP($C45,'[2]Non EU income shifted to EU'!$B$2:$AI$9,S$2+1,0)/TableB10!$E$229</f>
        <v>987.84573769019119</v>
      </c>
      <c r="T45" s="740">
        <f>HLOOKUP($C45,'[2]Non EU income shifted to EU'!$B$2:$AI$9,T$2+1,0)/TableB10!$E$229</f>
        <v>209.61361224143496</v>
      </c>
      <c r="U45" s="740">
        <f>HLOOKUP($C45,'[2]Non EU income shifted to EU'!$B$2:$AI$9,U$2+1,0)/TableB10!$E$229</f>
        <v>0</v>
      </c>
      <c r="V45" s="740">
        <f>HLOOKUP($C45,'[2]Non EU income shifted to EU'!$B$2:$AI$9,V$2+1,0)/TableB10!$E$229</f>
        <v>1692.4358321715858</v>
      </c>
      <c r="W45" s="739">
        <f t="shared" si="9"/>
        <v>10850.142255924602</v>
      </c>
      <c r="X45" s="678">
        <f>AE45*'[2]Non-EU tax havens'!$I$8</f>
        <v>1043.1012659550181</v>
      </c>
      <c r="Y45" s="593">
        <f>AE45*'[2]Non-EU tax havens'!$I$13</f>
        <v>9807.0409899695842</v>
      </c>
      <c r="Z45" s="431"/>
      <c r="AA45" s="232">
        <f>+TableB2!L46/TableB2!$L$91</f>
        <v>1.2893607531249549E-2</v>
      </c>
      <c r="AB45" s="552">
        <f>+AA45</f>
        <v>1.2893607531249549E-2</v>
      </c>
      <c r="AC45" s="552">
        <f t="shared" si="10"/>
        <v>3.0513934882487537E-2</v>
      </c>
      <c r="AD45" s="552">
        <f t="shared" ref="AD45:AD51" si="17">+AB45</f>
        <v>1.2893607531249549E-2</v>
      </c>
      <c r="AE45" s="552">
        <f t="shared" si="12"/>
        <v>5.0365621340144995E-2</v>
      </c>
      <c r="AF45" s="552"/>
      <c r="AG45" s="552">
        <f>+AF45</f>
        <v>0</v>
      </c>
      <c r="AH45" s="552">
        <f t="shared" si="3"/>
        <v>0</v>
      </c>
      <c r="AI45" s="552">
        <f>+AH45</f>
        <v>0</v>
      </c>
      <c r="AJ45" s="552">
        <f t="shared" si="13"/>
        <v>0</v>
      </c>
    </row>
    <row r="46" spans="1:36" x14ac:dyDescent="0.35">
      <c r="A46" t="s">
        <v>488</v>
      </c>
      <c r="B46" s="737" t="s">
        <v>537</v>
      </c>
      <c r="C46" s="31" t="s">
        <v>101</v>
      </c>
      <c r="D46" s="739">
        <f t="shared" si="5"/>
        <v>4505.8042213739163</v>
      </c>
      <c r="E46" s="739">
        <f t="shared" si="6"/>
        <v>418.78359779029546</v>
      </c>
      <c r="F46" s="740">
        <f>HLOOKUP($B46,'[2]Interest shifted to EU'!$L$2:$AT$8,F$2,0)/TableB10!$E$229</f>
        <v>60.000510170696465</v>
      </c>
      <c r="G46" s="740">
        <f>HLOOKUP($B46,'[2]Interest shifted to EU'!$L$2:$AT$8,G$2,0)/TableB10!$E$229</f>
        <v>0</v>
      </c>
      <c r="H46" s="740">
        <f>HLOOKUP($B46,'[2]Interest shifted to EU'!$L$2:$AT$8,H$2,0)/TableB10!$E$229</f>
        <v>0</v>
      </c>
      <c r="I46" s="740">
        <f>HLOOKUP($B46,'[2]Interest shifted to EU'!$L$2:$AT$8,I$2,0)/TableB10!$E$229</f>
        <v>237.56209387362628</v>
      </c>
      <c r="J46" s="740">
        <f>HLOOKUP($B46,'[2]Interest shifted to EU'!$L$2:$AT$8,J$2,0)/TableB10!$E$229</f>
        <v>2.5508534823031765</v>
      </c>
      <c r="K46" s="740">
        <f>HLOOKUP($B46,'[2]Interest shifted to EU'!$L$2:$AT$8,K$2,0)/TableB10!$E$229</f>
        <v>118.67014026366952</v>
      </c>
      <c r="L46" s="739">
        <f t="shared" si="7"/>
        <v>4087.0206235836213</v>
      </c>
      <c r="M46" s="678">
        <f>AC46*'[2]Non-EU tax havens'!$K$8</f>
        <v>697.68481610590368</v>
      </c>
      <c r="N46" s="1328">
        <f>AC46*'[2]Non-EU tax havens'!$K$13</f>
        <v>3389.3358074777175</v>
      </c>
      <c r="O46" s="739">
        <f t="shared" si="8"/>
        <v>73399.213124886432</v>
      </c>
      <c r="P46" s="739">
        <f t="shared" si="16"/>
        <v>7414.8874463627608</v>
      </c>
      <c r="Q46" s="740">
        <f>HLOOKUP($B46,'[2]Non EU income shifted to EU'!$B$2:$AI$9,Q$2+1,0)/TableB10!$E$229</f>
        <v>694.27577387903852</v>
      </c>
      <c r="R46" s="740">
        <f>HLOOKUP($B46,'[2]Non EU income shifted to EU'!$B$2:$AI$9,R$2+1,0)/TableB10!$E$229</f>
        <v>77.080137834813385</v>
      </c>
      <c r="S46" s="740">
        <f>HLOOKUP($B46,'[2]Non EU income shifted to EU'!$B$2:$AI$9,S$2+1,0)/TableB10!$E$229</f>
        <v>3542.359140207107</v>
      </c>
      <c r="T46" s="740">
        <f>HLOOKUP($B46,'[2]Non EU income shifted to EU'!$B$2:$AI$9,T$2+1,0)/TableB10!$E$229</f>
        <v>1212.2099374597271</v>
      </c>
      <c r="U46" s="740">
        <f>HLOOKUP($B46,'[2]Non EU income shifted to EU'!$B$2:$AI$9,U$2+1,0)/TableB10!$E$229</f>
        <v>0.88725338514893104</v>
      </c>
      <c r="V46" s="740">
        <f>HLOOKUP($B46,'[2]Non EU income shifted to EU'!$B$2:$AI$9,V$2+1,0)/TableB10!$E$229</f>
        <v>1888.0752035969253</v>
      </c>
      <c r="W46" s="739">
        <f t="shared" si="9"/>
        <v>65984.325678523674</v>
      </c>
      <c r="X46" s="678">
        <f>AE46*'[2]Non-EU tax havens'!$I$8</f>
        <v>6343.5420499554539</v>
      </c>
      <c r="Y46" s="593">
        <f>AE46*'[2]Non-EU tax havens'!$I$13</f>
        <v>59640.783628568213</v>
      </c>
      <c r="Z46" s="431"/>
      <c r="AA46" s="232">
        <f>+TableB2!L47/TableB2!$L$91</f>
        <v>7.8411506360525254E-2</v>
      </c>
      <c r="AB46" s="552">
        <f t="shared" ref="AB46:AB51" si="18">+AA46</f>
        <v>7.8411506360525254E-2</v>
      </c>
      <c r="AC46" s="552">
        <f t="shared" si="10"/>
        <v>0.1855682045016418</v>
      </c>
      <c r="AD46" s="552">
        <f t="shared" si="17"/>
        <v>7.8411506360525254E-2</v>
      </c>
      <c r="AE46" s="552">
        <f t="shared" si="12"/>
        <v>0.30629474555457137</v>
      </c>
      <c r="AF46" s="552"/>
      <c r="AG46" s="552">
        <f t="shared" ref="AG46:AG51" si="19">+AF46</f>
        <v>0</v>
      </c>
      <c r="AH46" s="552">
        <f t="shared" si="3"/>
        <v>0</v>
      </c>
      <c r="AI46" s="552">
        <f>+AH46</f>
        <v>0</v>
      </c>
      <c r="AJ46" s="552">
        <f t="shared" si="13"/>
        <v>0</v>
      </c>
    </row>
    <row r="47" spans="1:36" x14ac:dyDescent="0.35">
      <c r="C47" s="31" t="s">
        <v>93</v>
      </c>
      <c r="D47" s="739">
        <f t="shared" si="5"/>
        <v>132.27729689696474</v>
      </c>
      <c r="E47" s="739">
        <f>SUM(F47:K47)</f>
        <v>69.860454737633304</v>
      </c>
      <c r="F47" s="740">
        <f>AH47*'[2]Interest shifted to EU'!$AU$3</f>
        <v>27.439728472776821</v>
      </c>
      <c r="G47" s="740">
        <f>AH47*'[2]Interest shifted to EU'!$AU$4</f>
        <v>-0.49553718231784677</v>
      </c>
      <c r="H47" s="740">
        <f>AH47*'[2]Interest shifted to EU'!$AU$5</f>
        <v>-2.5891389110724861</v>
      </c>
      <c r="I47" s="740">
        <f>AH47*'[2]Interest shifted to EU'!$AU$6</f>
        <v>36.69547141447832</v>
      </c>
      <c r="J47" s="740">
        <f>AH47*'[2]Interest shifted to EU'!$AU$7</f>
        <v>-2.4039554657772357</v>
      </c>
      <c r="K47" s="740">
        <f>AH47*'[2]Interest shifted to EU'!$AU$8</f>
        <v>11.213886409545735</v>
      </c>
      <c r="L47" s="739">
        <f>SUM(M47:N47)</f>
        <v>62.416842159331445</v>
      </c>
      <c r="M47" s="678">
        <f>AC47*'[2]Non-EU tax havens'!$K$8</f>
        <v>10.655019158102712</v>
      </c>
      <c r="N47" s="1328">
        <f>AC47*'[2]Non-EU tax havens'!$K$13</f>
        <v>51.761823001228734</v>
      </c>
      <c r="O47" s="739">
        <f t="shared" si="8"/>
        <v>1647.3271744857298</v>
      </c>
      <c r="P47" s="739">
        <f t="shared" si="16"/>
        <v>639.61676140367365</v>
      </c>
      <c r="Q47" s="740">
        <f>AJ47*'[2]Non EU income shifted to EU'!$AJ$4</f>
        <v>43.552402874994137</v>
      </c>
      <c r="R47" s="740">
        <f>AJ47*'[2]Non EU income shifted to EU'!$AJ$5</f>
        <v>15.718302250199656</v>
      </c>
      <c r="S47" s="740">
        <f>AJ47*'[2]Non EU income shifted to EU'!$AJ$6</f>
        <v>353.5203410532248</v>
      </c>
      <c r="T47" s="740">
        <f>AJ47*'[2]Non EU income shifted to EU'!$AJ$7</f>
        <v>33.859421243012186</v>
      </c>
      <c r="U47" s="740">
        <f>AJ47*'[2]Non EU income shifted to EU'!$AJ$8</f>
        <v>63.236717245267052</v>
      </c>
      <c r="V47" s="740">
        <f>AJ47*'[2]Non EU income shifted to EU'!$AJ$9</f>
        <v>129.72957673697579</v>
      </c>
      <c r="W47" s="739">
        <f t="shared" si="9"/>
        <v>1007.710413082056</v>
      </c>
      <c r="X47" s="678">
        <f>AE47*'[2]Non-EU tax havens'!$I$8</f>
        <v>96.878361850784117</v>
      </c>
      <c r="Y47" s="593">
        <f>AE47*'[2]Non-EU tax havens'!$I$13</f>
        <v>910.83205123127186</v>
      </c>
      <c r="Z47" s="431"/>
      <c r="AA47" s="232">
        <f>+TableB2!L48/TableB2!$L$91</f>
        <v>1.1974979004850091E-3</v>
      </c>
      <c r="AB47" s="552">
        <f t="shared" si="18"/>
        <v>1.1974979004850091E-3</v>
      </c>
      <c r="AC47" s="552">
        <f t="shared" si="10"/>
        <v>2.8339914076610565E-3</v>
      </c>
      <c r="AD47" s="552">
        <f t="shared" si="17"/>
        <v>1.1974979004850091E-3</v>
      </c>
      <c r="AE47" s="552">
        <f t="shared" si="12"/>
        <v>4.6777231015656291E-3</v>
      </c>
      <c r="AF47" s="552"/>
      <c r="AG47" s="552">
        <f>+AB47</f>
        <v>1.1974979004850091E-3</v>
      </c>
      <c r="AH47" s="552">
        <f t="shared" si="3"/>
        <v>1.7146615305115801E-2</v>
      </c>
      <c r="AI47" s="552">
        <f>+AD47</f>
        <v>1.1974979004850091E-3</v>
      </c>
      <c r="AJ47" s="552">
        <f>+AI47/$AI$90</f>
        <v>1.7146615305115801E-2</v>
      </c>
    </row>
    <row r="48" spans="1:36" x14ac:dyDescent="0.35">
      <c r="C48" s="31" t="s">
        <v>94</v>
      </c>
      <c r="D48" s="739">
        <f t="shared" si="5"/>
        <v>99.660977114151521</v>
      </c>
      <c r="E48" s="739">
        <f>SUM(F48:K48)</f>
        <v>52.634589185888103</v>
      </c>
      <c r="F48" s="678">
        <f>AH48*'[2]Interest shifted to EU'!$AU$3</f>
        <v>20.673768027434591</v>
      </c>
      <c r="G48" s="678">
        <f>AH48*'[2]Interest shifted to EU'!$AU$4</f>
        <v>-0.37334993188330917</v>
      </c>
      <c r="H48" s="678">
        <f>AH48*'[2]Interest shifted to EU'!$AU$5</f>
        <v>-1.9507210973833797</v>
      </c>
      <c r="I48" s="678">
        <f>AH48*'[2]Interest shifted to EU'!$AU$6</f>
        <v>27.647272983511058</v>
      </c>
      <c r="J48" s="678">
        <f>AH48*'[2]Interest shifted to EU'!$AU$7</f>
        <v>-1.8111993235307939</v>
      </c>
      <c r="K48" s="678">
        <f>AH48*'[2]Interest shifted to EU'!$AU$8</f>
        <v>8.4488185277399364</v>
      </c>
      <c r="L48" s="739">
        <f t="shared" si="7"/>
        <v>47.026387928263418</v>
      </c>
      <c r="M48" s="678">
        <f>AC48*'[2]Non-EU tax havens'!$K$8</f>
        <v>8.0277541602143714</v>
      </c>
      <c r="N48" s="1328">
        <f>AC48*'[2]Non-EU tax havens'!$K$13</f>
        <v>38.998633768049046</v>
      </c>
      <c r="O48" s="739">
        <f t="shared" si="8"/>
        <v>1241.1369122837689</v>
      </c>
      <c r="P48" s="739">
        <f t="shared" si="16"/>
        <v>481.90303941372662</v>
      </c>
      <c r="Q48" s="740">
        <f>AJ48*'[2]Non EU income shifted to EU'!$AJ$4</f>
        <v>32.813454220885994</v>
      </c>
      <c r="R48" s="740">
        <f>AJ48*'[2]Non EU income shifted to EU'!$AJ$5</f>
        <v>11.842556489876452</v>
      </c>
      <c r="S48" s="740">
        <f>AJ48*'[2]Non EU income shifted to EU'!$AJ$6</f>
        <v>266.35094188941594</v>
      </c>
      <c r="T48" s="740">
        <f>AJ48*'[2]Non EU income shifted to EU'!$AJ$7</f>
        <v>25.510522854324247</v>
      </c>
      <c r="U48" s="740">
        <f>AJ48*'[2]Non EU income shifted to EU'!$AJ$8</f>
        <v>47.644102034105309</v>
      </c>
      <c r="V48" s="740">
        <f>AJ48*'[2]Non EU income shifted to EU'!$AJ$9</f>
        <v>97.741461925118742</v>
      </c>
      <c r="W48" s="739">
        <f t="shared" si="9"/>
        <v>759.23387287004221</v>
      </c>
      <c r="X48" s="678">
        <f>AE48*'[2]Non-EU tax havens'!$I$8</f>
        <v>72.990546599905841</v>
      </c>
      <c r="Y48" s="593">
        <f>AE48*'[2]Non-EU tax havens'!$I$13</f>
        <v>686.24332627013632</v>
      </c>
      <c r="Z48" s="431"/>
      <c r="AA48" s="232">
        <f>+TableB2!L49/TableB2!$L$91</f>
        <v>9.0222444557089721E-4</v>
      </c>
      <c r="AB48" s="552">
        <f t="shared" si="18"/>
        <v>9.0222444557089721E-4</v>
      </c>
      <c r="AC48" s="552">
        <f t="shared" si="10"/>
        <v>2.1351990057720286E-3</v>
      </c>
      <c r="AD48" s="552">
        <f t="shared" si="17"/>
        <v>9.0222444557089721E-4</v>
      </c>
      <c r="AE48" s="552">
        <f t="shared" si="12"/>
        <v>3.5243119258371179E-3</v>
      </c>
      <c r="AF48" s="552"/>
      <c r="AG48" s="552">
        <f>+AB48</f>
        <v>9.0222444557089721E-4</v>
      </c>
      <c r="AH48" s="552">
        <f t="shared" si="3"/>
        <v>1.2918682764128343E-2</v>
      </c>
      <c r="AI48" s="552">
        <f>+AD48</f>
        <v>9.0222444557089721E-4</v>
      </c>
      <c r="AJ48" s="552">
        <f>+AI48/$AI$90</f>
        <v>1.2918682764128343E-2</v>
      </c>
    </row>
    <row r="49" spans="2:36" x14ac:dyDescent="0.35">
      <c r="C49" s="31" t="s">
        <v>102</v>
      </c>
      <c r="D49" s="739">
        <f t="shared" si="5"/>
        <v>573.44883938033706</v>
      </c>
      <c r="E49" s="739">
        <f t="shared" si="6"/>
        <v>68.983950695329398</v>
      </c>
      <c r="F49" s="740">
        <f>HLOOKUP($C49,'[2]Interest shifted to EU'!$L$2:$AT$8,F$2,0)/TableB10!$E$229</f>
        <v>15.305120893819062</v>
      </c>
      <c r="G49" s="740">
        <f>HLOOKUP($C49,'[2]Interest shifted to EU'!$L$2:$AT$8,G$2,0)/TableB10!$E$229</f>
        <v>0</v>
      </c>
      <c r="H49" s="740">
        <f>HLOOKUP($C49,'[2]Interest shifted to EU'!$L$2:$AT$8,H$2,0)/TableB10!$E$229</f>
        <v>0</v>
      </c>
      <c r="I49" s="740">
        <f>HLOOKUP($C49,'[2]Interest shifted to EU'!$L$2:$AT$8,I$2,0)/TableB10!$E$229</f>
        <v>28.835735017340259</v>
      </c>
      <c r="J49" s="740">
        <f>HLOOKUP($C49,'[2]Interest shifted to EU'!$L$2:$AT$8,J$2,0)/TableB10!$E$229</f>
        <v>0.44362669257446552</v>
      </c>
      <c r="K49" s="740">
        <f>HLOOKUP($C49,'[2]Interest shifted to EU'!$L$2:$AT$8,K$2,0)/TableB10!$E$229</f>
        <v>24.399468091595605</v>
      </c>
      <c r="L49" s="739">
        <f t="shared" si="7"/>
        <v>504.46488868500762</v>
      </c>
      <c r="M49" s="678">
        <f>AC49*'[2]Non-EU tax havens'!$K$8</f>
        <v>86.11590826411782</v>
      </c>
      <c r="N49" s="1328">
        <f>AC49*'[2]Non-EU tax havens'!$K$13</f>
        <v>418.3489804208898</v>
      </c>
      <c r="O49" s="739">
        <f t="shared" si="8"/>
        <v>11523.835148746442</v>
      </c>
      <c r="P49" s="739">
        <f t="shared" si="16"/>
        <v>3379.3263306859913</v>
      </c>
      <c r="Q49" s="740">
        <f>HLOOKUP($C49,'[2]Non EU income shifted to EU'!$B$2:$AI$9,Q$2+1,0)/TableB10!$E$229</f>
        <v>167.46907644686073</v>
      </c>
      <c r="R49" s="740">
        <f>HLOOKUP($C49,'[2]Non EU income shifted to EU'!$B$2:$AI$9,R$2+1,0)/TableB10!$E$229</f>
        <v>9.9816005829254735</v>
      </c>
      <c r="S49" s="740">
        <f>HLOOKUP($C49,'[2]Non EU income shifted to EU'!$B$2:$AI$9,S$2+1,0)/TableB10!$E$229</f>
        <v>2363.4212046904649</v>
      </c>
      <c r="T49" s="740">
        <f>HLOOKUP($C49,'[2]Non EU income shifted to EU'!$B$2:$AI$9,T$2+1,0)/TableB10!$E$229</f>
        <v>121.11008707282909</v>
      </c>
      <c r="U49" s="740">
        <f>HLOOKUP($C49,'[2]Non EU income shifted to EU'!$B$2:$AI$9,U$2+1,0)/TableB10!$E$229</f>
        <v>2.1072267897287111</v>
      </c>
      <c r="V49" s="740">
        <f>HLOOKUP($C49,'[2]Non EU income shifted to EU'!$B$2:$AI$9,V$2+1,0)/TableB10!$E$229</f>
        <v>715.23713510318203</v>
      </c>
      <c r="W49" s="739">
        <f t="shared" si="9"/>
        <v>8144.5088180604516</v>
      </c>
      <c r="X49" s="678">
        <f>AE49*'[2]Non-EU tax havens'!$I$8</f>
        <v>782.98949988989898</v>
      </c>
      <c r="Y49" s="593">
        <f>AE49*'[2]Non-EU tax havens'!$I$13</f>
        <v>7361.5193181705527</v>
      </c>
      <c r="Z49" s="431"/>
      <c r="AA49" s="232">
        <f>+TableB2!L50/TableB2!$L$91</f>
        <v>9.6784076888514429E-3</v>
      </c>
      <c r="AB49" s="552">
        <f t="shared" si="18"/>
        <v>9.6784076888514429E-3</v>
      </c>
      <c r="AC49" s="552">
        <f t="shared" si="10"/>
        <v>2.2904862061918128E-2</v>
      </c>
      <c r="AD49" s="552">
        <f t="shared" si="17"/>
        <v>9.6784076888514429E-3</v>
      </c>
      <c r="AE49" s="552">
        <f t="shared" si="12"/>
        <v>3.7806255204434536E-2</v>
      </c>
      <c r="AF49" s="552"/>
      <c r="AG49" s="552">
        <f t="shared" si="19"/>
        <v>0</v>
      </c>
      <c r="AH49" s="552">
        <f t="shared" si="3"/>
        <v>0</v>
      </c>
      <c r="AI49" s="552">
        <f t="shared" ref="AI49:AI51" si="20">+AH49</f>
        <v>0</v>
      </c>
      <c r="AJ49" s="552">
        <f t="shared" si="13"/>
        <v>0</v>
      </c>
    </row>
    <row r="50" spans="2:36" x14ac:dyDescent="0.35">
      <c r="B50" s="376" t="s">
        <v>318</v>
      </c>
      <c r="C50" s="31" t="s">
        <v>103</v>
      </c>
      <c r="D50" s="739">
        <f t="shared" si="5"/>
        <v>4951.7815069379703</v>
      </c>
      <c r="E50" s="739">
        <f t="shared" si="6"/>
        <v>4608.0613624441175</v>
      </c>
      <c r="F50" s="740">
        <f>HLOOKUP($C50,'[2]Interest shifted to EU'!$L$2:$AT$8,F$2,0)/TableB10!$E$229</f>
        <v>106.9140329104462</v>
      </c>
      <c r="G50" s="740">
        <f>HLOOKUP($C50,'[2]Interest shifted to EU'!$L$2:$AT$8,G$2,0)/TableB10!$E$229</f>
        <v>20.295921185281799</v>
      </c>
      <c r="H50" s="740">
        <f>HLOOKUP($C50,'[2]Interest shifted to EU'!$L$2:$AT$8,H$2,0)/TableB10!$E$229</f>
        <v>0</v>
      </c>
      <c r="I50" s="740">
        <f>HLOOKUP($C50,'[2]Interest shifted to EU'!$L$2:$AT$8,I$2,0)/TableB10!$E$229</f>
        <v>3130.2299428054289</v>
      </c>
      <c r="J50" s="740">
        <f>HLOOKUP($C50,'[2]Interest shifted to EU'!$L$2:$AT$8,J$2,0)/TableB10!$E$229</f>
        <v>16.414187625255224</v>
      </c>
      <c r="K50" s="740">
        <f>HLOOKUP($C50,'[2]Interest shifted to EU'!$L$2:$AT$8,K$2,0)/TableB10!$E$229</f>
        <v>1334.2072779177051</v>
      </c>
      <c r="L50" s="739">
        <f t="shared" si="7"/>
        <v>343.72014449385262</v>
      </c>
      <c r="M50" s="678">
        <f>AC50*'[2]Non-EU tax havens'!$K$8</f>
        <v>58.675584952839593</v>
      </c>
      <c r="N50" s="1328">
        <f>AC50*'[2]Non-EU tax havens'!$K$13</f>
        <v>285.04455954101303</v>
      </c>
      <c r="O50" s="739">
        <f t="shared" si="8"/>
        <v>9575.44344652787</v>
      </c>
      <c r="P50" s="739">
        <f t="shared" si="16"/>
        <v>4026.1340484595621</v>
      </c>
      <c r="Q50" s="740">
        <f>HLOOKUP($C50,'[2]Non EU income shifted to EU'!$B$2:$AI$9,Q$2+1,0)/TableB10!$E$229</f>
        <v>605.55043536414541</v>
      </c>
      <c r="R50" s="740">
        <f>HLOOKUP($C50,'[2]Non EU income shifted to EU'!$B$2:$AI$9,R$2+1,0)/TableB10!$E$229</f>
        <v>487.76754848562484</v>
      </c>
      <c r="S50" s="740">
        <f>HLOOKUP($C50,'[2]Non EU income shifted to EU'!$B$2:$AI$9,S$2+1,0)/TableB10!$E$229</f>
        <v>1429.5870168212152</v>
      </c>
      <c r="T50" s="740">
        <f>HLOOKUP($C50,'[2]Non EU income shifted to EU'!$B$2:$AI$9,T$2+1,0)/TableB10!$E$229</f>
        <v>165.14003631084481</v>
      </c>
      <c r="U50" s="740">
        <f>HLOOKUP($C50,'[2]Non EU income shifted to EU'!$B$2:$AI$9,U$2+1,0)/TableB10!$E$229</f>
        <v>6.987120408047832</v>
      </c>
      <c r="V50" s="740">
        <f>HLOOKUP($C50,'[2]Non EU income shifted to EU'!$B$2:$AI$9,V$2+1,0)/TableB10!$E$229</f>
        <v>1331.1018910696839</v>
      </c>
      <c r="W50" s="739">
        <f t="shared" si="9"/>
        <v>5549.3093980683079</v>
      </c>
      <c r="X50" s="678">
        <f>AE50*'[2]Non-EU tax havens'!$I$8</f>
        <v>533.49454060294806</v>
      </c>
      <c r="Y50" s="593">
        <f>AE50*'[2]Non-EU tax havens'!$I$13</f>
        <v>5015.8148574653596</v>
      </c>
      <c r="Z50" s="431"/>
      <c r="AA50" s="232">
        <f>+TableB2!L51/TableB2!$L$91</f>
        <v>6.5944404930818306E-3</v>
      </c>
      <c r="AB50" s="552">
        <f t="shared" si="18"/>
        <v>6.5944404930818306E-3</v>
      </c>
      <c r="AC50" s="552">
        <f t="shared" si="10"/>
        <v>1.5606363642188283E-2</v>
      </c>
      <c r="AD50" s="552">
        <f t="shared" si="17"/>
        <v>6.5944404930818306E-3</v>
      </c>
      <c r="AE50" s="552">
        <f t="shared" si="12"/>
        <v>2.5759516257936751E-2</v>
      </c>
      <c r="AF50" s="552"/>
      <c r="AG50" s="552">
        <f t="shared" si="19"/>
        <v>0</v>
      </c>
      <c r="AH50" s="552">
        <f t="shared" si="3"/>
        <v>0</v>
      </c>
      <c r="AI50" s="552">
        <f t="shared" si="20"/>
        <v>0</v>
      </c>
      <c r="AJ50" s="552">
        <f t="shared" si="13"/>
        <v>0</v>
      </c>
    </row>
    <row r="51" spans="2:36" x14ac:dyDescent="0.35">
      <c r="C51" s="13" t="s">
        <v>97</v>
      </c>
      <c r="D51" s="739">
        <f t="shared" si="5"/>
        <v>502.08991079131147</v>
      </c>
      <c r="E51" s="739">
        <f t="shared" si="6"/>
        <v>325.9547123690885</v>
      </c>
      <c r="F51" s="740">
        <f>HLOOKUP($C51,'[2]Interest shifted to EU'!$L$2:$AT$8,F$2,0)/TableB10!$E$229</f>
        <v>19.408667800132868</v>
      </c>
      <c r="G51" s="740">
        <f>HLOOKUP($C51,'[2]Interest shifted to EU'!$L$2:$AT$8,G$2,0)/TableB10!$E$229</f>
        <v>0</v>
      </c>
      <c r="H51" s="740">
        <f>HLOOKUP($C51,'[2]Interest shifted to EU'!$L$2:$AT$8,H$2,0)/TableB10!$E$229</f>
        <v>0</v>
      </c>
      <c r="I51" s="740">
        <f>HLOOKUP($C51,'[2]Interest shifted to EU'!$L$2:$AT$8,I$2,0)/TableB10!$E$229</f>
        <v>101.03597923383451</v>
      </c>
      <c r="J51" s="740">
        <f>HLOOKUP($C51,'[2]Interest shifted to EU'!$L$2:$AT$8,J$2,0)/TableB10!$E$229</f>
        <v>1.441786750867013</v>
      </c>
      <c r="K51" s="740">
        <f>HLOOKUP($C51,'[2]Interest shifted to EU'!$L$2:$AT$8,K$2,0)/TableB10!$E$229</f>
        <v>204.06827858425413</v>
      </c>
      <c r="L51" s="739">
        <f t="shared" si="7"/>
        <v>176.135198422223</v>
      </c>
      <c r="M51" s="678">
        <f>AC51*'[2]Non-EU tax havens'!$K$8</f>
        <v>30.067588309166563</v>
      </c>
      <c r="N51" s="1328">
        <f>AC51*'[2]Non-EU tax havens'!$K$13</f>
        <v>146.06761011305645</v>
      </c>
      <c r="O51" s="739">
        <f t="shared" si="8"/>
        <v>4637.702304975297</v>
      </c>
      <c r="P51" s="739">
        <f t="shared" si="16"/>
        <v>1794.0263447711386</v>
      </c>
      <c r="Q51" s="740">
        <f>HLOOKUP($C51,'[2]Non EU income shifted to EU'!$B$2:$AI$9,Q$2+1,0)/TableB10!$E$229</f>
        <v>106.47040621787173</v>
      </c>
      <c r="R51" s="740">
        <f>HLOOKUP($C51,'[2]Non EU income shifted to EU'!$B$2:$AI$9,R$2+1,0)/TableB10!$E$229</f>
        <v>8.87253385148931</v>
      </c>
      <c r="S51" s="740">
        <f>HLOOKUP($C51,'[2]Non EU income shifted to EU'!$B$2:$AI$9,S$2+1,0)/TableB10!$E$229</f>
        <v>995.94192482967514</v>
      </c>
      <c r="T51" s="740">
        <f>HLOOKUP($C51,'[2]Non EU income shifted to EU'!$B$2:$AI$9,T$2+1,0)/TableB10!$E$229</f>
        <v>281.70294978478563</v>
      </c>
      <c r="U51" s="740">
        <f>HLOOKUP($C51,'[2]Non EU income shifted to EU'!$B$2:$AI$9,U$2+1,0)/TableB10!$E$229</f>
        <v>0.88725338514893104</v>
      </c>
      <c r="V51" s="740">
        <f>HLOOKUP($C51,'[2]Non EU income shifted to EU'!$B$2:$AI$9,V$2+1,0)/TableB10!$E$229</f>
        <v>400.15127670216793</v>
      </c>
      <c r="W51" s="739">
        <f t="shared" si="9"/>
        <v>2843.6759602041584</v>
      </c>
      <c r="X51" s="678">
        <f>AE51*'[2]Non-EU tax havens'!$I$8</f>
        <v>273.38277453782916</v>
      </c>
      <c r="Y51" s="593">
        <f>AE51*'[2]Non-EU tax havens'!$I$13</f>
        <v>2570.293185666329</v>
      </c>
      <c r="Z51" s="431"/>
      <c r="AA51" s="232">
        <f>+TableB2!L52/TableB2!$L$91</f>
        <v>3.3792406506837243E-3</v>
      </c>
      <c r="AB51" s="552">
        <f t="shared" si="18"/>
        <v>3.3792406506837243E-3</v>
      </c>
      <c r="AC51" s="552">
        <f t="shared" si="10"/>
        <v>7.9972908216188725E-3</v>
      </c>
      <c r="AD51" s="552">
        <f t="shared" si="17"/>
        <v>3.3792406506837243E-3</v>
      </c>
      <c r="AE51" s="552">
        <f t="shared" si="12"/>
        <v>1.3200150122226298E-2</v>
      </c>
      <c r="AF51" s="552"/>
      <c r="AG51" s="552">
        <f t="shared" si="19"/>
        <v>0</v>
      </c>
      <c r="AH51" s="552">
        <f t="shared" si="3"/>
        <v>0</v>
      </c>
      <c r="AI51" s="552">
        <f t="shared" si="20"/>
        <v>0</v>
      </c>
      <c r="AJ51" s="552">
        <f t="shared" si="13"/>
        <v>0</v>
      </c>
    </row>
    <row r="52" spans="2:36" ht="40" hidden="1" customHeight="1" x14ac:dyDescent="0.35">
      <c r="C52" s="38" t="s">
        <v>100</v>
      </c>
      <c r="D52" s="663"/>
      <c r="E52" s="306"/>
      <c r="F52" s="557"/>
      <c r="G52" s="557"/>
      <c r="H52" s="557"/>
      <c r="I52" s="53"/>
      <c r="J52" s="53"/>
      <c r="K52" s="53"/>
      <c r="L52" s="651"/>
      <c r="M52" s="53"/>
      <c r="N52" s="1329"/>
      <c r="O52" s="663"/>
      <c r="P52" s="306"/>
      <c r="Q52" s="557"/>
      <c r="R52" s="557"/>
      <c r="S52" s="557"/>
      <c r="T52" s="53"/>
      <c r="U52" s="53"/>
      <c r="V52" s="53"/>
      <c r="W52" s="651"/>
      <c r="X52" s="53"/>
      <c r="Y52" s="54"/>
      <c r="Z52" s="431"/>
      <c r="AB52" s="552"/>
      <c r="AC52" s="552">
        <f t="shared" si="10"/>
        <v>0</v>
      </c>
      <c r="AD52" s="552"/>
      <c r="AE52" s="552">
        <f t="shared" si="12"/>
        <v>0</v>
      </c>
      <c r="AF52" s="552"/>
      <c r="AG52" s="552"/>
      <c r="AH52" s="552">
        <f t="shared" si="3"/>
        <v>0</v>
      </c>
      <c r="AI52" s="552"/>
      <c r="AJ52" s="552">
        <f t="shared" si="13"/>
        <v>0</v>
      </c>
    </row>
    <row r="53" spans="2:36" ht="14.25" hidden="1" customHeight="1" x14ac:dyDescent="0.35">
      <c r="C53" s="264" t="s">
        <v>272</v>
      </c>
      <c r="D53" s="1330"/>
      <c r="E53" s="306"/>
      <c r="F53" s="8"/>
      <c r="G53" s="8"/>
      <c r="H53" s="8"/>
      <c r="I53" s="678"/>
      <c r="J53" s="678"/>
      <c r="K53" s="55"/>
      <c r="L53" s="664"/>
      <c r="M53" s="678"/>
      <c r="N53" s="1328"/>
      <c r="O53" s="1330"/>
      <c r="P53" s="306"/>
      <c r="Q53" s="8"/>
      <c r="R53" s="8"/>
      <c r="S53" s="8"/>
      <c r="T53" s="678"/>
      <c r="U53" s="678"/>
      <c r="V53" s="55"/>
      <c r="W53" s="1331"/>
      <c r="X53" s="678"/>
      <c r="Y53" s="593"/>
      <c r="Z53" s="431"/>
      <c r="AA53" s="232"/>
      <c r="AB53" s="552"/>
      <c r="AC53" s="552">
        <f t="shared" si="10"/>
        <v>0</v>
      </c>
      <c r="AD53" s="552"/>
      <c r="AE53" s="552">
        <f t="shared" si="12"/>
        <v>0</v>
      </c>
      <c r="AF53" s="552"/>
      <c r="AG53" s="552"/>
      <c r="AH53" s="552">
        <f t="shared" si="3"/>
        <v>0</v>
      </c>
      <c r="AI53" s="552"/>
      <c r="AJ53" s="552">
        <f t="shared" si="13"/>
        <v>0</v>
      </c>
    </row>
    <row r="54" spans="2:36" ht="14.25" hidden="1" customHeight="1" x14ac:dyDescent="0.35">
      <c r="C54" s="264" t="s">
        <v>273</v>
      </c>
      <c r="D54" s="1330"/>
      <c r="E54" s="306"/>
      <c r="F54" s="8"/>
      <c r="G54" s="8"/>
      <c r="H54" s="8"/>
      <c r="I54" s="678"/>
      <c r="J54" s="678"/>
      <c r="K54" s="55"/>
      <c r="L54" s="664"/>
      <c r="M54" s="678"/>
      <c r="N54" s="1328"/>
      <c r="O54" s="1330"/>
      <c r="P54" s="306"/>
      <c r="Q54" s="8"/>
      <c r="R54" s="8"/>
      <c r="S54" s="8"/>
      <c r="T54" s="678"/>
      <c r="U54" s="678"/>
      <c r="V54" s="55"/>
      <c r="W54" s="1331"/>
      <c r="X54" s="678"/>
      <c r="Y54" s="593"/>
      <c r="Z54" s="431"/>
      <c r="AB54" s="552"/>
      <c r="AC54" s="552">
        <f t="shared" si="10"/>
        <v>0</v>
      </c>
      <c r="AD54" s="552"/>
      <c r="AE54" s="552">
        <f t="shared" si="12"/>
        <v>0</v>
      </c>
      <c r="AF54" s="552"/>
      <c r="AG54" s="552"/>
      <c r="AH54" s="552">
        <f t="shared" si="3"/>
        <v>0</v>
      </c>
      <c r="AI54" s="552"/>
      <c r="AJ54" s="552">
        <f t="shared" si="13"/>
        <v>0</v>
      </c>
    </row>
    <row r="55" spans="2:36" ht="14.25" hidden="1" customHeight="1" x14ac:dyDescent="0.35">
      <c r="C55" s="289" t="str">
        <f>+TableA1!A56</f>
        <v>Antigua and Barbuda</v>
      </c>
      <c r="D55" s="1332"/>
      <c r="E55" s="306"/>
      <c r="F55" s="8"/>
      <c r="G55" s="8"/>
      <c r="H55" s="8"/>
      <c r="I55" s="678"/>
      <c r="J55" s="678"/>
      <c r="K55" s="55"/>
      <c r="L55" s="664"/>
      <c r="M55" s="678"/>
      <c r="N55" s="1328"/>
      <c r="O55" s="1332"/>
      <c r="P55" s="306"/>
      <c r="Q55" s="8"/>
      <c r="R55" s="8"/>
      <c r="S55" s="8"/>
      <c r="T55" s="678"/>
      <c r="U55" s="678"/>
      <c r="V55" s="55"/>
      <c r="W55" s="1331"/>
      <c r="X55" s="678"/>
      <c r="Y55" s="593"/>
      <c r="Z55" s="431"/>
      <c r="AB55" s="552"/>
      <c r="AC55" s="552">
        <f t="shared" si="10"/>
        <v>0</v>
      </c>
      <c r="AD55" s="552"/>
      <c r="AE55" s="552">
        <f t="shared" si="12"/>
        <v>0</v>
      </c>
      <c r="AF55" s="552"/>
      <c r="AG55" s="552"/>
      <c r="AH55" s="552">
        <f t="shared" si="3"/>
        <v>0</v>
      </c>
      <c r="AI55" s="552"/>
      <c r="AJ55" s="552">
        <f t="shared" si="13"/>
        <v>0</v>
      </c>
    </row>
    <row r="56" spans="2:36" ht="14.25" hidden="1" customHeight="1" x14ac:dyDescent="0.35">
      <c r="C56" s="264" t="s">
        <v>274</v>
      </c>
      <c r="D56" s="1330"/>
      <c r="E56" s="306"/>
      <c r="F56" s="8"/>
      <c r="G56" s="8"/>
      <c r="H56" s="8"/>
      <c r="I56" s="678"/>
      <c r="J56" s="678"/>
      <c r="K56" s="55"/>
      <c r="L56" s="664"/>
      <c r="M56" s="678"/>
      <c r="N56" s="1328"/>
      <c r="O56" s="1330"/>
      <c r="P56" s="306"/>
      <c r="Q56" s="8"/>
      <c r="R56" s="8"/>
      <c r="S56" s="8"/>
      <c r="T56" s="678"/>
      <c r="U56" s="678"/>
      <c r="V56" s="55"/>
      <c r="W56" s="1331"/>
      <c r="X56" s="678"/>
      <c r="Y56" s="593"/>
      <c r="Z56" s="431"/>
      <c r="AB56" s="552"/>
      <c r="AC56" s="552">
        <f t="shared" si="10"/>
        <v>0</v>
      </c>
      <c r="AD56" s="552"/>
      <c r="AE56" s="552">
        <f t="shared" si="12"/>
        <v>0</v>
      </c>
      <c r="AF56" s="552"/>
      <c r="AG56" s="552"/>
      <c r="AH56" s="552">
        <f t="shared" si="3"/>
        <v>0</v>
      </c>
      <c r="AI56" s="552"/>
      <c r="AJ56" s="552">
        <f t="shared" si="13"/>
        <v>0</v>
      </c>
    </row>
    <row r="57" spans="2:36" ht="14.25" hidden="1" customHeight="1" x14ac:dyDescent="0.35">
      <c r="C57" s="264" t="s">
        <v>275</v>
      </c>
      <c r="D57" s="1330"/>
      <c r="E57" s="306"/>
      <c r="F57" s="8"/>
      <c r="G57" s="8"/>
      <c r="H57" s="8"/>
      <c r="I57" s="678"/>
      <c r="J57" s="678"/>
      <c r="K57" s="55"/>
      <c r="L57" s="664"/>
      <c r="M57" s="678"/>
      <c r="N57" s="1328"/>
      <c r="O57" s="1330"/>
      <c r="P57" s="306"/>
      <c r="Q57" s="8"/>
      <c r="R57" s="8"/>
      <c r="S57" s="8"/>
      <c r="T57" s="678"/>
      <c r="U57" s="678"/>
      <c r="V57" s="55"/>
      <c r="W57" s="1331"/>
      <c r="X57" s="678"/>
      <c r="Y57" s="593"/>
      <c r="Z57" s="431"/>
      <c r="AB57" s="552"/>
      <c r="AC57" s="552">
        <f t="shared" si="10"/>
        <v>0</v>
      </c>
      <c r="AD57" s="552"/>
      <c r="AE57" s="552">
        <f t="shared" si="12"/>
        <v>0</v>
      </c>
      <c r="AF57" s="552"/>
      <c r="AG57" s="552"/>
      <c r="AH57" s="552">
        <f t="shared" si="3"/>
        <v>0</v>
      </c>
      <c r="AI57" s="552"/>
      <c r="AJ57" s="552">
        <f t="shared" si="13"/>
        <v>0</v>
      </c>
    </row>
    <row r="58" spans="2:36" ht="14.25" hidden="1" customHeight="1" x14ac:dyDescent="0.35">
      <c r="C58" s="264" t="s">
        <v>276</v>
      </c>
      <c r="D58" s="1330"/>
      <c r="E58" s="306"/>
      <c r="F58" s="8"/>
      <c r="G58" s="8"/>
      <c r="H58" s="8"/>
      <c r="I58" s="678"/>
      <c r="J58" s="678"/>
      <c r="K58" s="55"/>
      <c r="L58" s="664"/>
      <c r="M58" s="678"/>
      <c r="N58" s="1328"/>
      <c r="O58" s="1330"/>
      <c r="P58" s="306"/>
      <c r="Q58" s="8"/>
      <c r="R58" s="8"/>
      <c r="S58" s="8"/>
      <c r="T58" s="678"/>
      <c r="U58" s="678"/>
      <c r="V58" s="55"/>
      <c r="W58" s="1331"/>
      <c r="X58" s="678"/>
      <c r="Y58" s="593"/>
      <c r="Z58" s="431"/>
      <c r="AB58" s="552"/>
      <c r="AC58" s="552">
        <f t="shared" si="10"/>
        <v>0</v>
      </c>
      <c r="AD58" s="552"/>
      <c r="AE58" s="552">
        <f t="shared" si="12"/>
        <v>0</v>
      </c>
      <c r="AF58" s="552"/>
      <c r="AG58" s="552"/>
      <c r="AH58" s="552">
        <f t="shared" si="3"/>
        <v>0</v>
      </c>
      <c r="AI58" s="552"/>
      <c r="AJ58" s="552">
        <f t="shared" si="13"/>
        <v>0</v>
      </c>
    </row>
    <row r="59" spans="2:36" ht="14.25" hidden="1" customHeight="1" x14ac:dyDescent="0.35">
      <c r="C59" s="289" t="str">
        <f>+TableA1!A60</f>
        <v>Barbados</v>
      </c>
      <c r="D59" s="1332"/>
      <c r="E59" s="306"/>
      <c r="F59" s="8"/>
      <c r="G59" s="8"/>
      <c r="H59" s="8"/>
      <c r="I59" s="678"/>
      <c r="J59" s="678"/>
      <c r="K59" s="55"/>
      <c r="L59" s="664"/>
      <c r="M59" s="678"/>
      <c r="N59" s="1328"/>
      <c r="O59" s="1332"/>
      <c r="P59" s="306"/>
      <c r="Q59" s="8"/>
      <c r="R59" s="8"/>
      <c r="S59" s="8"/>
      <c r="T59" s="678"/>
      <c r="U59" s="678"/>
      <c r="V59" s="55"/>
      <c r="W59" s="1331"/>
      <c r="X59" s="678"/>
      <c r="Y59" s="593"/>
      <c r="Z59" s="431"/>
      <c r="AB59" s="552"/>
      <c r="AC59" s="552">
        <f t="shared" si="10"/>
        <v>0</v>
      </c>
      <c r="AD59" s="552"/>
      <c r="AE59" s="552">
        <f t="shared" si="12"/>
        <v>0</v>
      </c>
      <c r="AF59" s="552"/>
      <c r="AG59" s="552"/>
      <c r="AH59" s="552">
        <f t="shared" si="3"/>
        <v>0</v>
      </c>
      <c r="AI59" s="552"/>
      <c r="AJ59" s="552">
        <f t="shared" si="13"/>
        <v>0</v>
      </c>
    </row>
    <row r="60" spans="2:36" ht="14.25" hidden="1" customHeight="1" x14ac:dyDescent="0.35">
      <c r="C60" s="264" t="s">
        <v>277</v>
      </c>
      <c r="D60" s="1330"/>
      <c r="E60" s="306"/>
      <c r="F60" s="8"/>
      <c r="G60" s="8"/>
      <c r="H60" s="8"/>
      <c r="I60" s="678"/>
      <c r="J60" s="678"/>
      <c r="K60" s="55"/>
      <c r="L60" s="664"/>
      <c r="M60" s="678"/>
      <c r="N60" s="1328"/>
      <c r="O60" s="1330"/>
      <c r="P60" s="306"/>
      <c r="Q60" s="8"/>
      <c r="R60" s="8"/>
      <c r="S60" s="8"/>
      <c r="T60" s="678"/>
      <c r="U60" s="678"/>
      <c r="V60" s="55"/>
      <c r="W60" s="1331"/>
      <c r="X60" s="678"/>
      <c r="Y60" s="593"/>
      <c r="Z60" s="431"/>
      <c r="AB60" s="552"/>
      <c r="AC60" s="552">
        <f t="shared" si="10"/>
        <v>0</v>
      </c>
      <c r="AD60" s="552"/>
      <c r="AE60" s="552">
        <f t="shared" si="12"/>
        <v>0</v>
      </c>
      <c r="AF60" s="552"/>
      <c r="AG60" s="552"/>
      <c r="AH60" s="552">
        <f t="shared" si="3"/>
        <v>0</v>
      </c>
      <c r="AI60" s="552"/>
      <c r="AJ60" s="552">
        <f t="shared" si="13"/>
        <v>0</v>
      </c>
    </row>
    <row r="61" spans="2:36" ht="14.25" hidden="1" customHeight="1" x14ac:dyDescent="0.35">
      <c r="C61" s="264" t="s">
        <v>213</v>
      </c>
      <c r="D61" s="1330"/>
      <c r="E61" s="306"/>
      <c r="F61" s="8"/>
      <c r="G61" s="8"/>
      <c r="H61" s="8"/>
      <c r="I61" s="678"/>
      <c r="J61" s="678"/>
      <c r="K61" s="55"/>
      <c r="L61" s="664"/>
      <c r="M61" s="678"/>
      <c r="N61" s="1328"/>
      <c r="O61" s="1330"/>
      <c r="P61" s="306"/>
      <c r="Q61" s="8"/>
      <c r="R61" s="8"/>
      <c r="S61" s="8"/>
      <c r="T61" s="678"/>
      <c r="U61" s="678"/>
      <c r="V61" s="55"/>
      <c r="W61" s="1331"/>
      <c r="X61" s="678"/>
      <c r="Y61" s="593"/>
      <c r="Z61" s="431"/>
      <c r="AB61" s="552"/>
      <c r="AC61" s="552">
        <f t="shared" si="10"/>
        <v>0</v>
      </c>
      <c r="AD61" s="552"/>
      <c r="AE61" s="552">
        <f t="shared" si="12"/>
        <v>0</v>
      </c>
      <c r="AF61" s="552"/>
      <c r="AG61" s="552"/>
      <c r="AH61" s="552">
        <f t="shared" si="3"/>
        <v>0</v>
      </c>
      <c r="AI61" s="552"/>
      <c r="AJ61" s="552">
        <f t="shared" si="13"/>
        <v>0</v>
      </c>
    </row>
    <row r="62" spans="2:36" ht="14.25" hidden="1" customHeight="1" x14ac:dyDescent="0.35">
      <c r="C62" s="264" t="s">
        <v>278</v>
      </c>
      <c r="D62" s="1330"/>
      <c r="E62" s="306"/>
      <c r="F62" s="8"/>
      <c r="G62" s="8"/>
      <c r="H62" s="8"/>
      <c r="I62" s="678"/>
      <c r="J62" s="678"/>
      <c r="K62" s="55"/>
      <c r="L62" s="664"/>
      <c r="M62" s="678"/>
      <c r="N62" s="1328"/>
      <c r="O62" s="1330"/>
      <c r="P62" s="306"/>
      <c r="Q62" s="8"/>
      <c r="R62" s="8"/>
      <c r="S62" s="8"/>
      <c r="T62" s="678"/>
      <c r="U62" s="678"/>
      <c r="V62" s="55"/>
      <c r="W62" s="1331"/>
      <c r="X62" s="678"/>
      <c r="Y62" s="593"/>
      <c r="Z62" s="431"/>
      <c r="AB62" s="552"/>
      <c r="AC62" s="552">
        <f t="shared" si="10"/>
        <v>0</v>
      </c>
      <c r="AD62" s="552"/>
      <c r="AE62" s="552">
        <f t="shared" si="12"/>
        <v>0</v>
      </c>
      <c r="AF62" s="552"/>
      <c r="AG62" s="552"/>
      <c r="AH62" s="552">
        <f t="shared" si="3"/>
        <v>0</v>
      </c>
      <c r="AI62" s="552"/>
      <c r="AJ62" s="552">
        <f t="shared" si="13"/>
        <v>0</v>
      </c>
    </row>
    <row r="63" spans="2:36" ht="14.25" hidden="1" customHeight="1" x14ac:dyDescent="0.35">
      <c r="C63" s="264" t="s">
        <v>279</v>
      </c>
      <c r="D63" s="1330"/>
      <c r="E63" s="306"/>
      <c r="F63" s="8"/>
      <c r="G63" s="8"/>
      <c r="H63" s="8"/>
      <c r="I63" s="678"/>
      <c r="J63" s="678"/>
      <c r="K63" s="55"/>
      <c r="L63" s="664"/>
      <c r="M63" s="678"/>
      <c r="N63" s="1328"/>
      <c r="O63" s="1330"/>
      <c r="P63" s="306"/>
      <c r="Q63" s="8"/>
      <c r="R63" s="8"/>
      <c r="S63" s="8"/>
      <c r="T63" s="678"/>
      <c r="U63" s="678"/>
      <c r="V63" s="55"/>
      <c r="W63" s="1331"/>
      <c r="X63" s="678"/>
      <c r="Y63" s="593"/>
      <c r="Z63" s="431"/>
      <c r="AB63" s="552"/>
      <c r="AC63" s="552">
        <f t="shared" si="10"/>
        <v>0</v>
      </c>
      <c r="AD63" s="552"/>
      <c r="AE63" s="552">
        <f t="shared" si="12"/>
        <v>0</v>
      </c>
      <c r="AF63" s="552"/>
      <c r="AG63" s="552"/>
      <c r="AH63" s="552">
        <f t="shared" si="3"/>
        <v>0</v>
      </c>
      <c r="AI63" s="552"/>
      <c r="AJ63" s="552">
        <f t="shared" si="13"/>
        <v>0</v>
      </c>
    </row>
    <row r="64" spans="2:36" ht="14.25" hidden="1" customHeight="1" x14ac:dyDescent="0.35">
      <c r="C64" s="282" t="s">
        <v>291</v>
      </c>
      <c r="D64" s="1333"/>
      <c r="E64" s="306"/>
      <c r="F64" s="8"/>
      <c r="G64" s="8"/>
      <c r="H64" s="8"/>
      <c r="I64" s="678"/>
      <c r="J64" s="678"/>
      <c r="K64" s="55"/>
      <c r="L64" s="664"/>
      <c r="M64" s="678"/>
      <c r="N64" s="1328"/>
      <c r="O64" s="1333"/>
      <c r="P64" s="306"/>
      <c r="Q64" s="8"/>
      <c r="R64" s="8"/>
      <c r="S64" s="8"/>
      <c r="T64" s="678"/>
      <c r="U64" s="678"/>
      <c r="V64" s="55"/>
      <c r="W64" s="1331"/>
      <c r="X64" s="678"/>
      <c r="Y64" s="593"/>
      <c r="Z64" s="431"/>
      <c r="AB64" s="552"/>
      <c r="AC64" s="552">
        <f t="shared" si="10"/>
        <v>0</v>
      </c>
      <c r="AD64" s="552"/>
      <c r="AE64" s="552">
        <f t="shared" si="12"/>
        <v>0</v>
      </c>
      <c r="AF64" s="552"/>
      <c r="AG64" s="552"/>
      <c r="AH64" s="552">
        <f t="shared" si="3"/>
        <v>0</v>
      </c>
      <c r="AI64" s="552"/>
      <c r="AJ64" s="552">
        <f t="shared" si="13"/>
        <v>0</v>
      </c>
    </row>
    <row r="65" spans="3:36" ht="14.25" hidden="1" customHeight="1" x14ac:dyDescent="0.35">
      <c r="C65" s="264" t="s">
        <v>280</v>
      </c>
      <c r="D65" s="1330"/>
      <c r="E65" s="306"/>
      <c r="F65" s="8"/>
      <c r="G65" s="8"/>
      <c r="H65" s="8"/>
      <c r="I65" s="678"/>
      <c r="J65" s="678"/>
      <c r="K65" s="55"/>
      <c r="L65" s="664"/>
      <c r="M65" s="678"/>
      <c r="N65" s="1328"/>
      <c r="O65" s="1330"/>
      <c r="P65" s="306"/>
      <c r="Q65" s="8"/>
      <c r="R65" s="8"/>
      <c r="S65" s="8"/>
      <c r="T65" s="678"/>
      <c r="U65" s="678"/>
      <c r="V65" s="55"/>
      <c r="W65" s="1331"/>
      <c r="X65" s="678"/>
      <c r="Y65" s="593"/>
      <c r="Z65" s="431"/>
      <c r="AB65" s="552"/>
      <c r="AC65" s="552">
        <f t="shared" si="10"/>
        <v>0</v>
      </c>
      <c r="AD65" s="552"/>
      <c r="AE65" s="552">
        <f t="shared" si="12"/>
        <v>0</v>
      </c>
      <c r="AF65" s="552"/>
      <c r="AG65" s="552"/>
      <c r="AH65" s="552">
        <f t="shared" si="3"/>
        <v>0</v>
      </c>
      <c r="AI65" s="552"/>
      <c r="AJ65" s="552">
        <f t="shared" si="13"/>
        <v>0</v>
      </c>
    </row>
    <row r="66" spans="3:36" ht="14.25" hidden="1" customHeight="1" x14ac:dyDescent="0.35">
      <c r="C66" s="289" t="str">
        <f>+TableA1!A67</f>
        <v>Cyprus</v>
      </c>
      <c r="D66" s="1332"/>
      <c r="E66" s="306"/>
      <c r="F66" s="8"/>
      <c r="G66" s="8"/>
      <c r="H66" s="8"/>
      <c r="I66" s="678"/>
      <c r="J66" s="678"/>
      <c r="K66" s="55"/>
      <c r="L66" s="664"/>
      <c r="M66" s="678"/>
      <c r="N66" s="1328"/>
      <c r="O66" s="1332"/>
      <c r="P66" s="306"/>
      <c r="Q66" s="8"/>
      <c r="R66" s="8"/>
      <c r="S66" s="8"/>
      <c r="T66" s="678"/>
      <c r="U66" s="678"/>
      <c r="V66" s="55"/>
      <c r="W66" s="1331"/>
      <c r="X66" s="678"/>
      <c r="Y66" s="593"/>
      <c r="Z66" s="431"/>
      <c r="AB66" s="552"/>
      <c r="AC66" s="552">
        <f t="shared" si="10"/>
        <v>0</v>
      </c>
      <c r="AD66" s="552"/>
      <c r="AE66" s="552">
        <f t="shared" si="12"/>
        <v>0</v>
      </c>
      <c r="AF66" s="552"/>
      <c r="AG66" s="552"/>
      <c r="AH66" s="552">
        <f t="shared" si="3"/>
        <v>0</v>
      </c>
      <c r="AI66" s="552"/>
      <c r="AJ66" s="552">
        <f t="shared" si="13"/>
        <v>0</v>
      </c>
    </row>
    <row r="67" spans="3:36" ht="14.25" hidden="1" customHeight="1" x14ac:dyDescent="0.35">
      <c r="C67" s="264" t="s">
        <v>281</v>
      </c>
      <c r="D67" s="1330"/>
      <c r="E67" s="306"/>
      <c r="F67" s="8"/>
      <c r="G67" s="8"/>
      <c r="H67" s="8"/>
      <c r="I67" s="678"/>
      <c r="J67" s="678"/>
      <c r="K67" s="55"/>
      <c r="L67" s="664"/>
      <c r="M67" s="678"/>
      <c r="N67" s="1328"/>
      <c r="O67" s="1330"/>
      <c r="P67" s="306"/>
      <c r="Q67" s="8"/>
      <c r="R67" s="8"/>
      <c r="S67" s="8"/>
      <c r="T67" s="678"/>
      <c r="U67" s="678"/>
      <c r="V67" s="55"/>
      <c r="W67" s="1331"/>
      <c r="X67" s="678"/>
      <c r="Y67" s="593"/>
      <c r="Z67" s="431"/>
      <c r="AB67" s="552"/>
      <c r="AC67" s="552">
        <f t="shared" si="10"/>
        <v>0</v>
      </c>
      <c r="AD67" s="552"/>
      <c r="AE67" s="552">
        <f t="shared" si="12"/>
        <v>0</v>
      </c>
      <c r="AF67" s="552"/>
      <c r="AG67" s="552"/>
      <c r="AH67" s="552">
        <f t="shared" si="3"/>
        <v>0</v>
      </c>
      <c r="AI67" s="552"/>
      <c r="AJ67" s="552">
        <f t="shared" si="13"/>
        <v>0</v>
      </c>
    </row>
    <row r="68" spans="3:36" ht="14.25" hidden="1" customHeight="1" x14ac:dyDescent="0.35">
      <c r="C68" s="289" t="str">
        <f>+TableA1!A69</f>
        <v>Grenada</v>
      </c>
      <c r="D68" s="1332"/>
      <c r="E68" s="306"/>
      <c r="F68" s="8"/>
      <c r="G68" s="8"/>
      <c r="H68" s="8"/>
      <c r="I68" s="678"/>
      <c r="J68" s="678"/>
      <c r="K68" s="55"/>
      <c r="L68" s="664"/>
      <c r="M68" s="678"/>
      <c r="N68" s="1328"/>
      <c r="O68" s="1332"/>
      <c r="P68" s="306"/>
      <c r="Q68" s="8"/>
      <c r="R68" s="8"/>
      <c r="S68" s="8"/>
      <c r="T68" s="678"/>
      <c r="U68" s="678"/>
      <c r="V68" s="55"/>
      <c r="W68" s="1331"/>
      <c r="X68" s="678"/>
      <c r="Y68" s="593"/>
      <c r="Z68" s="431"/>
      <c r="AB68" s="552"/>
      <c r="AC68" s="552">
        <f t="shared" si="10"/>
        <v>0</v>
      </c>
      <c r="AD68" s="552"/>
      <c r="AE68" s="552">
        <f t="shared" si="12"/>
        <v>0</v>
      </c>
      <c r="AF68" s="552"/>
      <c r="AG68" s="552"/>
      <c r="AH68" s="552">
        <f t="shared" si="3"/>
        <v>0</v>
      </c>
      <c r="AI68" s="552"/>
      <c r="AJ68" s="552">
        <f t="shared" si="13"/>
        <v>0</v>
      </c>
    </row>
    <row r="69" spans="3:36" ht="14.25" hidden="1" customHeight="1" x14ac:dyDescent="0.35">
      <c r="C69" s="264" t="s">
        <v>282</v>
      </c>
      <c r="D69" s="1330"/>
      <c r="E69" s="306"/>
      <c r="F69" s="8"/>
      <c r="G69" s="8"/>
      <c r="H69" s="8"/>
      <c r="I69" s="678"/>
      <c r="J69" s="678"/>
      <c r="K69" s="55"/>
      <c r="L69" s="664"/>
      <c r="M69" s="678"/>
      <c r="N69" s="1328"/>
      <c r="O69" s="1330"/>
      <c r="P69" s="306"/>
      <c r="Q69" s="8"/>
      <c r="R69" s="8"/>
      <c r="S69" s="8"/>
      <c r="T69" s="678"/>
      <c r="U69" s="678"/>
      <c r="V69" s="55"/>
      <c r="W69" s="1331"/>
      <c r="X69" s="678"/>
      <c r="Y69" s="593"/>
      <c r="Z69" s="431"/>
      <c r="AB69" s="552"/>
      <c r="AC69" s="552">
        <f t="shared" si="10"/>
        <v>0</v>
      </c>
      <c r="AD69" s="552"/>
      <c r="AE69" s="552">
        <f t="shared" si="12"/>
        <v>0</v>
      </c>
      <c r="AF69" s="552"/>
      <c r="AG69" s="552"/>
      <c r="AH69" s="552">
        <f t="shared" si="3"/>
        <v>0</v>
      </c>
      <c r="AI69" s="552"/>
      <c r="AJ69" s="552">
        <f t="shared" si="13"/>
        <v>0</v>
      </c>
    </row>
    <row r="70" spans="3:36" ht="14.25" hidden="1" customHeight="1" x14ac:dyDescent="0.35">
      <c r="C70" s="264" t="s">
        <v>283</v>
      </c>
      <c r="D70" s="1330"/>
      <c r="E70" s="306"/>
      <c r="F70" s="8"/>
      <c r="G70" s="8"/>
      <c r="H70" s="8"/>
      <c r="I70" s="678"/>
      <c r="J70" s="678"/>
      <c r="K70" s="55"/>
      <c r="L70" s="664"/>
      <c r="M70" s="678"/>
      <c r="N70" s="1328"/>
      <c r="O70" s="1330"/>
      <c r="P70" s="306"/>
      <c r="Q70" s="8"/>
      <c r="R70" s="8"/>
      <c r="S70" s="8"/>
      <c r="T70" s="678"/>
      <c r="U70" s="678"/>
      <c r="V70" s="55"/>
      <c r="W70" s="1331"/>
      <c r="X70" s="678"/>
      <c r="Y70" s="593"/>
      <c r="Z70" s="431"/>
      <c r="AB70" s="552"/>
      <c r="AC70" s="552">
        <f t="shared" si="10"/>
        <v>0</v>
      </c>
      <c r="AD70" s="552"/>
      <c r="AE70" s="552">
        <f t="shared" si="12"/>
        <v>0</v>
      </c>
      <c r="AF70" s="552"/>
      <c r="AG70" s="552"/>
      <c r="AH70" s="552">
        <f t="shared" si="3"/>
        <v>0</v>
      </c>
      <c r="AI70" s="552"/>
      <c r="AJ70" s="552">
        <f t="shared" si="13"/>
        <v>0</v>
      </c>
    </row>
    <row r="71" spans="3:36" ht="14.25" hidden="1" customHeight="1" x14ac:dyDescent="0.35">
      <c r="C71" s="264" t="s">
        <v>220</v>
      </c>
      <c r="D71" s="1330"/>
      <c r="E71" s="306"/>
      <c r="F71" s="8"/>
      <c r="G71" s="8"/>
      <c r="H71" s="8"/>
      <c r="I71" s="678"/>
      <c r="J71" s="678"/>
      <c r="K71" s="55"/>
      <c r="L71" s="664"/>
      <c r="M71" s="678"/>
      <c r="N71" s="1328"/>
      <c r="O71" s="1330"/>
      <c r="P71" s="306"/>
      <c r="Q71" s="8"/>
      <c r="R71" s="8"/>
      <c r="S71" s="8"/>
      <c r="T71" s="678"/>
      <c r="U71" s="678"/>
      <c r="V71" s="55"/>
      <c r="W71" s="1331"/>
      <c r="X71" s="678"/>
      <c r="Y71" s="593"/>
      <c r="Z71" s="431"/>
      <c r="AB71" s="552"/>
      <c r="AC71" s="552">
        <f t="shared" si="10"/>
        <v>0</v>
      </c>
      <c r="AD71" s="552"/>
      <c r="AE71" s="552">
        <f t="shared" si="12"/>
        <v>0</v>
      </c>
      <c r="AF71" s="552"/>
      <c r="AG71" s="552"/>
      <c r="AH71" s="552">
        <f t="shared" si="3"/>
        <v>0</v>
      </c>
      <c r="AI71" s="552"/>
      <c r="AJ71" s="552">
        <f t="shared" si="13"/>
        <v>0</v>
      </c>
    </row>
    <row r="72" spans="3:36" ht="14.25" hidden="1" customHeight="1" x14ac:dyDescent="0.35">
      <c r="C72" s="264" t="s">
        <v>284</v>
      </c>
      <c r="D72" s="1330"/>
      <c r="E72" s="306"/>
      <c r="F72" s="8"/>
      <c r="G72" s="8"/>
      <c r="H72" s="8"/>
      <c r="I72" s="678"/>
      <c r="J72" s="678"/>
      <c r="K72" s="55"/>
      <c r="L72" s="664"/>
      <c r="M72" s="678"/>
      <c r="N72" s="1328"/>
      <c r="O72" s="1330"/>
      <c r="P72" s="306"/>
      <c r="Q72" s="8"/>
      <c r="R72" s="8"/>
      <c r="S72" s="8"/>
      <c r="T72" s="678"/>
      <c r="U72" s="678"/>
      <c r="V72" s="55"/>
      <c r="W72" s="1331"/>
      <c r="X72" s="678"/>
      <c r="Y72" s="593"/>
      <c r="Z72" s="431"/>
      <c r="AB72" s="552"/>
      <c r="AC72" s="552">
        <f t="shared" si="10"/>
        <v>0</v>
      </c>
      <c r="AD72" s="552"/>
      <c r="AE72" s="552">
        <f t="shared" si="12"/>
        <v>0</v>
      </c>
      <c r="AF72" s="552"/>
      <c r="AG72" s="552"/>
      <c r="AH72" s="552">
        <f t="shared" si="3"/>
        <v>0</v>
      </c>
      <c r="AI72" s="552"/>
      <c r="AJ72" s="552">
        <f t="shared" si="13"/>
        <v>0</v>
      </c>
    </row>
    <row r="73" spans="3:36" ht="14.25" hidden="1" customHeight="1" x14ac:dyDescent="0.35">
      <c r="C73" s="264" t="s">
        <v>285</v>
      </c>
      <c r="D73" s="1330"/>
      <c r="E73" s="306"/>
      <c r="F73" s="8"/>
      <c r="G73" s="8"/>
      <c r="H73" s="8"/>
      <c r="I73" s="678"/>
      <c r="J73" s="678"/>
      <c r="K73" s="55"/>
      <c r="L73" s="664"/>
      <c r="M73" s="678"/>
      <c r="N73" s="1328"/>
      <c r="O73" s="1330"/>
      <c r="P73" s="306"/>
      <c r="Q73" s="8"/>
      <c r="R73" s="8"/>
      <c r="S73" s="8"/>
      <c r="T73" s="678"/>
      <c r="U73" s="678"/>
      <c r="V73" s="55"/>
      <c r="W73" s="1331"/>
      <c r="X73" s="678"/>
      <c r="Y73" s="593"/>
      <c r="Z73" s="431"/>
      <c r="AB73" s="552"/>
      <c r="AC73" s="552">
        <f t="shared" si="10"/>
        <v>0</v>
      </c>
      <c r="AD73" s="552"/>
      <c r="AE73" s="552">
        <f t="shared" si="12"/>
        <v>0</v>
      </c>
      <c r="AF73" s="552"/>
      <c r="AG73" s="552"/>
      <c r="AH73" s="552">
        <f t="shared" ref="AH73:AH88" si="21">+AG73/$AG$90</f>
        <v>0</v>
      </c>
      <c r="AI73" s="552"/>
      <c r="AJ73" s="552">
        <f t="shared" si="13"/>
        <v>0</v>
      </c>
    </row>
    <row r="74" spans="3:36" ht="14.25" hidden="1" customHeight="1" x14ac:dyDescent="0.35">
      <c r="C74" s="264" t="s">
        <v>286</v>
      </c>
      <c r="D74" s="1330"/>
      <c r="E74" s="306"/>
      <c r="F74" s="8"/>
      <c r="G74" s="8"/>
      <c r="H74" s="8"/>
      <c r="I74" s="678"/>
      <c r="J74" s="678"/>
      <c r="K74" s="55"/>
      <c r="L74" s="664"/>
      <c r="M74" s="678"/>
      <c r="N74" s="1328"/>
      <c r="O74" s="1330"/>
      <c r="P74" s="306"/>
      <c r="Q74" s="8"/>
      <c r="R74" s="8"/>
      <c r="S74" s="8"/>
      <c r="T74" s="678"/>
      <c r="U74" s="678"/>
      <c r="V74" s="55"/>
      <c r="W74" s="1331"/>
      <c r="X74" s="678"/>
      <c r="Y74" s="593"/>
      <c r="Z74" s="431"/>
      <c r="AB74" s="552"/>
      <c r="AC74" s="552">
        <f t="shared" ref="AC74:AC90" si="22">+AB74/$AB$90</f>
        <v>0</v>
      </c>
      <c r="AD74" s="552"/>
      <c r="AE74" s="552">
        <f t="shared" ref="AE74:AE88" si="23">+AD74/$AD$90</f>
        <v>0</v>
      </c>
      <c r="AF74" s="552"/>
      <c r="AG74" s="552"/>
      <c r="AH74" s="552">
        <f t="shared" si="21"/>
        <v>0</v>
      </c>
      <c r="AI74" s="552"/>
      <c r="AJ74" s="552">
        <f t="shared" si="13"/>
        <v>0</v>
      </c>
    </row>
    <row r="75" spans="3:36" ht="14.25" hidden="1" customHeight="1" x14ac:dyDescent="0.35">
      <c r="C75" s="264" t="s">
        <v>287</v>
      </c>
      <c r="D75" s="1330"/>
      <c r="E75" s="306"/>
      <c r="F75" s="8"/>
      <c r="G75" s="8"/>
      <c r="H75" s="8"/>
      <c r="I75" s="678"/>
      <c r="J75" s="678"/>
      <c r="K75" s="55"/>
      <c r="L75" s="664"/>
      <c r="M75" s="678"/>
      <c r="N75" s="1328"/>
      <c r="O75" s="1330"/>
      <c r="P75" s="306"/>
      <c r="Q75" s="8"/>
      <c r="R75" s="8"/>
      <c r="S75" s="8"/>
      <c r="T75" s="678"/>
      <c r="U75" s="678"/>
      <c r="V75" s="55"/>
      <c r="W75" s="1331"/>
      <c r="X75" s="678"/>
      <c r="Y75" s="593"/>
      <c r="Z75" s="431"/>
      <c r="AB75" s="552"/>
      <c r="AC75" s="552">
        <f t="shared" si="22"/>
        <v>0</v>
      </c>
      <c r="AD75" s="552"/>
      <c r="AE75" s="552">
        <f t="shared" si="23"/>
        <v>0</v>
      </c>
      <c r="AF75" s="552"/>
      <c r="AG75" s="552"/>
      <c r="AH75" s="552">
        <f t="shared" si="21"/>
        <v>0</v>
      </c>
      <c r="AI75" s="552"/>
      <c r="AJ75" s="552">
        <f t="shared" si="13"/>
        <v>0</v>
      </c>
    </row>
    <row r="76" spans="3:36" ht="14.25" hidden="1" customHeight="1" x14ac:dyDescent="0.35">
      <c r="C76" s="289" t="s">
        <v>301</v>
      </c>
      <c r="D76" s="1332"/>
      <c r="E76" s="306"/>
      <c r="F76" s="8"/>
      <c r="G76" s="8"/>
      <c r="H76" s="8"/>
      <c r="I76" s="678"/>
      <c r="J76" s="678"/>
      <c r="K76" s="55"/>
      <c r="L76" s="664"/>
      <c r="M76" s="678"/>
      <c r="N76" s="1334"/>
      <c r="O76" s="1332"/>
      <c r="P76" s="306"/>
      <c r="Q76" s="8"/>
      <c r="R76" s="8"/>
      <c r="S76" s="8"/>
      <c r="T76" s="678"/>
      <c r="U76" s="678"/>
      <c r="V76" s="55"/>
      <c r="W76" s="1331"/>
      <c r="X76" s="678"/>
      <c r="Y76" s="1335"/>
      <c r="Z76" s="431"/>
      <c r="AB76" s="552"/>
      <c r="AC76" s="552">
        <f t="shared" si="22"/>
        <v>0</v>
      </c>
      <c r="AD76" s="552"/>
      <c r="AE76" s="552">
        <f t="shared" si="23"/>
        <v>0</v>
      </c>
      <c r="AF76" s="552"/>
      <c r="AG76" s="552"/>
      <c r="AH76" s="552">
        <f t="shared" si="21"/>
        <v>0</v>
      </c>
      <c r="AI76" s="552"/>
      <c r="AJ76" s="552">
        <f t="shared" si="13"/>
        <v>0</v>
      </c>
    </row>
    <row r="77" spans="3:36" ht="14.25" hidden="1" customHeight="1" x14ac:dyDescent="0.35">
      <c r="C77" s="289" t="s">
        <v>302</v>
      </c>
      <c r="D77" s="1332"/>
      <c r="E77" s="306"/>
      <c r="F77" s="8"/>
      <c r="G77" s="8"/>
      <c r="H77" s="8"/>
      <c r="I77" s="678"/>
      <c r="J77" s="678"/>
      <c r="K77" s="55"/>
      <c r="L77" s="664"/>
      <c r="M77" s="678"/>
      <c r="N77" s="1328"/>
      <c r="O77" s="1332"/>
      <c r="P77" s="306"/>
      <c r="Q77" s="8"/>
      <c r="R77" s="8"/>
      <c r="S77" s="8"/>
      <c r="T77" s="678"/>
      <c r="U77" s="678"/>
      <c r="V77" s="55"/>
      <c r="W77" s="1331"/>
      <c r="X77" s="678"/>
      <c r="Y77" s="593"/>
      <c r="Z77" s="431"/>
      <c r="AB77" s="552"/>
      <c r="AC77" s="552">
        <f t="shared" si="22"/>
        <v>0</v>
      </c>
      <c r="AD77" s="552"/>
      <c r="AE77" s="552">
        <f t="shared" si="23"/>
        <v>0</v>
      </c>
      <c r="AF77" s="552"/>
      <c r="AG77" s="552"/>
      <c r="AH77" s="552">
        <f t="shared" si="21"/>
        <v>0</v>
      </c>
      <c r="AI77" s="552"/>
      <c r="AJ77" s="552">
        <f t="shared" si="13"/>
        <v>0</v>
      </c>
    </row>
    <row r="78" spans="3:36" ht="14.25" hidden="1" customHeight="1" x14ac:dyDescent="0.35">
      <c r="C78" s="289" t="str">
        <f>+TableA1!A79</f>
        <v>Monaco</v>
      </c>
      <c r="D78" s="1332"/>
      <c r="E78" s="306"/>
      <c r="F78" s="8"/>
      <c r="G78" s="8"/>
      <c r="H78" s="8"/>
      <c r="I78" s="678"/>
      <c r="J78" s="678"/>
      <c r="K78" s="55"/>
      <c r="L78" s="664"/>
      <c r="M78" s="678"/>
      <c r="N78" s="1328"/>
      <c r="O78" s="1332"/>
      <c r="P78" s="306"/>
      <c r="Q78" s="8"/>
      <c r="R78" s="8"/>
      <c r="S78" s="8"/>
      <c r="T78" s="678"/>
      <c r="U78" s="678"/>
      <c r="V78" s="55"/>
      <c r="W78" s="1331"/>
      <c r="X78" s="678"/>
      <c r="Y78" s="593"/>
      <c r="Z78" s="431"/>
      <c r="AB78" s="552"/>
      <c r="AC78" s="552">
        <f t="shared" si="22"/>
        <v>0</v>
      </c>
      <c r="AD78" s="552"/>
      <c r="AE78" s="552">
        <f t="shared" si="23"/>
        <v>0</v>
      </c>
      <c r="AF78" s="552"/>
      <c r="AG78" s="552"/>
      <c r="AH78" s="552">
        <f t="shared" si="21"/>
        <v>0</v>
      </c>
      <c r="AI78" s="552"/>
      <c r="AJ78" s="552">
        <f t="shared" si="13"/>
        <v>0</v>
      </c>
    </row>
    <row r="79" spans="3:36" ht="14.25" hidden="1" customHeight="1" x14ac:dyDescent="0.35">
      <c r="C79" s="264" t="s">
        <v>288</v>
      </c>
      <c r="D79" s="1330"/>
      <c r="E79" s="306"/>
      <c r="F79" s="8"/>
      <c r="G79" s="8"/>
      <c r="H79" s="8"/>
      <c r="I79" s="678"/>
      <c r="J79" s="678"/>
      <c r="K79" s="55"/>
      <c r="L79" s="664"/>
      <c r="M79" s="678"/>
      <c r="N79" s="1328"/>
      <c r="O79" s="1330"/>
      <c r="P79" s="306"/>
      <c r="Q79" s="8"/>
      <c r="R79" s="8"/>
      <c r="S79" s="8"/>
      <c r="T79" s="678"/>
      <c r="U79" s="678"/>
      <c r="V79" s="55"/>
      <c r="W79" s="1331"/>
      <c r="X79" s="678"/>
      <c r="Y79" s="593"/>
      <c r="Z79" s="431"/>
      <c r="AB79" s="552"/>
      <c r="AC79" s="552">
        <f t="shared" si="22"/>
        <v>0</v>
      </c>
      <c r="AD79" s="552"/>
      <c r="AE79" s="552">
        <f t="shared" si="23"/>
        <v>0</v>
      </c>
      <c r="AF79" s="552"/>
      <c r="AG79" s="552"/>
      <c r="AH79" s="552">
        <f t="shared" si="21"/>
        <v>0</v>
      </c>
      <c r="AI79" s="552"/>
      <c r="AJ79" s="552">
        <f t="shared" si="13"/>
        <v>0</v>
      </c>
    </row>
    <row r="80" spans="3:36" ht="14.25" hidden="1" customHeight="1" x14ac:dyDescent="0.35">
      <c r="C80" s="264" t="s">
        <v>289</v>
      </c>
      <c r="D80" s="1330"/>
      <c r="E80" s="306"/>
      <c r="F80" s="8"/>
      <c r="G80" s="8"/>
      <c r="H80" s="8"/>
      <c r="I80" s="678"/>
      <c r="J80" s="678"/>
      <c r="K80" s="55"/>
      <c r="L80" s="664"/>
      <c r="M80" s="678"/>
      <c r="N80" s="1328"/>
      <c r="O80" s="1330"/>
      <c r="P80" s="306"/>
      <c r="Q80" s="8"/>
      <c r="R80" s="8"/>
      <c r="S80" s="8"/>
      <c r="T80" s="678"/>
      <c r="U80" s="678"/>
      <c r="V80" s="55"/>
      <c r="W80" s="1331"/>
      <c r="X80" s="678"/>
      <c r="Y80" s="593"/>
      <c r="Z80" s="431"/>
      <c r="AB80" s="552"/>
      <c r="AC80" s="552">
        <f t="shared" si="22"/>
        <v>0</v>
      </c>
      <c r="AD80" s="552"/>
      <c r="AE80" s="552">
        <f t="shared" si="23"/>
        <v>0</v>
      </c>
      <c r="AF80" s="552"/>
      <c r="AG80" s="552"/>
      <c r="AH80" s="552">
        <f t="shared" si="21"/>
        <v>0</v>
      </c>
      <c r="AI80" s="552"/>
      <c r="AJ80" s="552">
        <f t="shared" si="13"/>
        <v>0</v>
      </c>
    </row>
    <row r="81" spans="3:36" ht="14.25" hidden="1" customHeight="1" x14ac:dyDescent="0.35">
      <c r="C81" s="289" t="str">
        <f>+TableA1!A82</f>
        <v>Seychelles</v>
      </c>
      <c r="D81" s="1332"/>
      <c r="E81" s="306"/>
      <c r="F81" s="8"/>
      <c r="G81" s="8"/>
      <c r="H81" s="8"/>
      <c r="I81" s="678"/>
      <c r="J81" s="678"/>
      <c r="K81" s="55"/>
      <c r="L81" s="664"/>
      <c r="M81" s="678"/>
      <c r="N81" s="1328"/>
      <c r="O81" s="1332"/>
      <c r="P81" s="306"/>
      <c r="Q81" s="8"/>
      <c r="R81" s="8"/>
      <c r="S81" s="8"/>
      <c r="T81" s="678"/>
      <c r="U81" s="678"/>
      <c r="V81" s="55"/>
      <c r="W81" s="1331"/>
      <c r="X81" s="678"/>
      <c r="Y81" s="593"/>
      <c r="Z81" s="431"/>
      <c r="AB81" s="552"/>
      <c r="AC81" s="552">
        <f t="shared" si="22"/>
        <v>0</v>
      </c>
      <c r="AD81" s="552"/>
      <c r="AE81" s="552">
        <f t="shared" si="23"/>
        <v>0</v>
      </c>
      <c r="AF81" s="552"/>
      <c r="AG81" s="552"/>
      <c r="AH81" s="552">
        <f t="shared" si="21"/>
        <v>0</v>
      </c>
      <c r="AI81" s="552"/>
      <c r="AJ81" s="552">
        <f t="shared" si="13"/>
        <v>0</v>
      </c>
    </row>
    <row r="82" spans="3:36" hidden="1" x14ac:dyDescent="0.35">
      <c r="C82" s="264" t="s">
        <v>225</v>
      </c>
      <c r="D82" s="1330"/>
      <c r="E82" s="306"/>
      <c r="F82" s="8"/>
      <c r="G82" s="8"/>
      <c r="H82" s="8"/>
      <c r="I82" s="678"/>
      <c r="J82" s="678"/>
      <c r="K82" s="55"/>
      <c r="L82" s="664"/>
      <c r="M82" s="678"/>
      <c r="N82" s="1328"/>
      <c r="O82" s="1330"/>
      <c r="P82" s="306"/>
      <c r="Q82" s="8"/>
      <c r="R82" s="8"/>
      <c r="S82" s="8"/>
      <c r="T82" s="678"/>
      <c r="U82" s="678"/>
      <c r="V82" s="55"/>
      <c r="W82" s="1331"/>
      <c r="X82" s="678"/>
      <c r="Y82" s="593"/>
      <c r="Z82" s="431"/>
      <c r="AB82" s="552"/>
      <c r="AC82" s="552">
        <f t="shared" si="22"/>
        <v>0</v>
      </c>
      <c r="AD82" s="552"/>
      <c r="AE82" s="552">
        <f t="shared" si="23"/>
        <v>0</v>
      </c>
      <c r="AF82" s="552"/>
      <c r="AG82" s="552"/>
      <c r="AH82" s="552">
        <f t="shared" si="21"/>
        <v>0</v>
      </c>
      <c r="AI82" s="552"/>
      <c r="AJ82" s="552">
        <f t="shared" si="13"/>
        <v>0</v>
      </c>
    </row>
    <row r="83" spans="3:36" hidden="1" x14ac:dyDescent="0.35">
      <c r="C83" s="289" t="str">
        <f>+TableA1!A84</f>
        <v>St. Kitts and Nevis</v>
      </c>
      <c r="D83" s="1332"/>
      <c r="E83" s="306"/>
      <c r="F83" s="8"/>
      <c r="G83" s="8"/>
      <c r="H83" s="8"/>
      <c r="I83" s="678"/>
      <c r="J83" s="678"/>
      <c r="K83" s="55"/>
      <c r="L83" s="664"/>
      <c r="M83" s="678"/>
      <c r="N83" s="1328"/>
      <c r="O83" s="1332"/>
      <c r="P83" s="306"/>
      <c r="Q83" s="8"/>
      <c r="R83" s="8"/>
      <c r="S83" s="8"/>
      <c r="T83" s="678"/>
      <c r="U83" s="678"/>
      <c r="V83" s="55"/>
      <c r="W83" s="1331"/>
      <c r="X83" s="678"/>
      <c r="Y83" s="593"/>
      <c r="Z83" s="431"/>
      <c r="AB83" s="552"/>
      <c r="AC83" s="552">
        <f t="shared" si="22"/>
        <v>0</v>
      </c>
      <c r="AD83" s="552"/>
      <c r="AE83" s="552">
        <f t="shared" si="23"/>
        <v>0</v>
      </c>
      <c r="AF83" s="552"/>
      <c r="AG83" s="552"/>
      <c r="AH83" s="552">
        <f t="shared" si="21"/>
        <v>0</v>
      </c>
      <c r="AI83" s="552"/>
      <c r="AJ83" s="552">
        <f t="shared" si="13"/>
        <v>0</v>
      </c>
    </row>
    <row r="84" spans="3:36" hidden="1" x14ac:dyDescent="0.35">
      <c r="C84" s="289" t="str">
        <f>+TableA1!A85</f>
        <v>St. Lucia</v>
      </c>
      <c r="D84" s="1332"/>
      <c r="E84" s="306"/>
      <c r="F84" s="8"/>
      <c r="G84" s="8"/>
      <c r="H84" s="8"/>
      <c r="I84" s="678"/>
      <c r="J84" s="678"/>
      <c r="K84" s="55"/>
      <c r="L84" s="664"/>
      <c r="M84" s="678"/>
      <c r="N84" s="1328"/>
      <c r="O84" s="1332"/>
      <c r="P84" s="306"/>
      <c r="Q84" s="8"/>
      <c r="R84" s="8"/>
      <c r="S84" s="8"/>
      <c r="T84" s="678"/>
      <c r="U84" s="678"/>
      <c r="V84" s="55"/>
      <c r="W84" s="1331"/>
      <c r="X84" s="678"/>
      <c r="Y84" s="593"/>
      <c r="Z84" s="431"/>
      <c r="AB84" s="552"/>
      <c r="AC84" s="552">
        <f t="shared" si="22"/>
        <v>0</v>
      </c>
      <c r="AD84" s="552"/>
      <c r="AE84" s="552">
        <f t="shared" si="23"/>
        <v>0</v>
      </c>
      <c r="AF84" s="552"/>
      <c r="AG84" s="552"/>
      <c r="AH84" s="552">
        <f t="shared" si="21"/>
        <v>0</v>
      </c>
      <c r="AI84" s="552"/>
      <c r="AJ84" s="552">
        <f t="shared" si="13"/>
        <v>0</v>
      </c>
    </row>
    <row r="85" spans="3:36" hidden="1" x14ac:dyDescent="0.35">
      <c r="C85" s="289" t="str">
        <f>+TableA1!A86</f>
        <v>St. Vincent and the Grenadines</v>
      </c>
      <c r="D85" s="1332"/>
      <c r="E85" s="306"/>
      <c r="F85" s="8"/>
      <c r="G85" s="8"/>
      <c r="H85" s="8"/>
      <c r="I85" s="678"/>
      <c r="J85" s="678"/>
      <c r="K85" s="55"/>
      <c r="L85" s="664"/>
      <c r="M85" s="678"/>
      <c r="N85" s="1328"/>
      <c r="O85" s="1332"/>
      <c r="P85" s="306"/>
      <c r="Q85" s="8"/>
      <c r="R85" s="8"/>
      <c r="S85" s="8"/>
      <c r="T85" s="678"/>
      <c r="U85" s="678"/>
      <c r="V85" s="55"/>
      <c r="W85" s="1331"/>
      <c r="X85" s="678"/>
      <c r="Y85" s="593"/>
      <c r="Z85" s="431"/>
      <c r="AB85" s="552"/>
      <c r="AC85" s="552">
        <f t="shared" si="22"/>
        <v>0</v>
      </c>
      <c r="AD85" s="552"/>
      <c r="AE85" s="552">
        <f t="shared" si="23"/>
        <v>0</v>
      </c>
      <c r="AF85" s="552"/>
      <c r="AG85" s="552"/>
      <c r="AH85" s="552">
        <f t="shared" si="21"/>
        <v>0</v>
      </c>
      <c r="AI85" s="552"/>
      <c r="AJ85" s="552">
        <f t="shared" si="13"/>
        <v>0</v>
      </c>
    </row>
    <row r="86" spans="3:36" hidden="1" x14ac:dyDescent="0.35">
      <c r="C86" s="289" t="str">
        <f>+TableA1!A87</f>
        <v>Turks and Caicos</v>
      </c>
      <c r="D86" s="1332"/>
      <c r="E86" s="306"/>
      <c r="F86" s="8"/>
      <c r="G86" s="8"/>
      <c r="H86" s="8"/>
      <c r="I86" s="678"/>
      <c r="J86" s="678"/>
      <c r="K86" s="55"/>
      <c r="L86" s="664"/>
      <c r="M86" s="678"/>
      <c r="N86" s="1328"/>
      <c r="O86" s="1332"/>
      <c r="P86" s="306"/>
      <c r="Q86" s="8"/>
      <c r="R86" s="8"/>
      <c r="S86" s="8"/>
      <c r="T86" s="678"/>
      <c r="U86" s="678"/>
      <c r="V86" s="55"/>
      <c r="W86" s="1331"/>
      <c r="X86" s="678"/>
      <c r="Y86" s="593"/>
      <c r="Z86" s="431"/>
      <c r="AB86" s="552"/>
      <c r="AC86" s="552">
        <f t="shared" si="22"/>
        <v>0</v>
      </c>
      <c r="AD86" s="552"/>
      <c r="AE86" s="552">
        <f t="shared" si="23"/>
        <v>0</v>
      </c>
      <c r="AF86" s="552"/>
      <c r="AG86" s="552"/>
      <c r="AH86" s="552">
        <f t="shared" si="21"/>
        <v>0</v>
      </c>
      <c r="AI86" s="552"/>
      <c r="AJ86" s="552">
        <f t="shared" si="13"/>
        <v>0</v>
      </c>
    </row>
    <row r="87" spans="3:36" hidden="1" x14ac:dyDescent="0.35">
      <c r="C87" s="289" t="str">
        <f>+TableA1!A88</f>
        <v>Panama</v>
      </c>
      <c r="D87" s="1332"/>
      <c r="E87" s="306"/>
      <c r="F87" s="8"/>
      <c r="G87" s="8"/>
      <c r="H87" s="8"/>
      <c r="I87" s="678"/>
      <c r="J87" s="678"/>
      <c r="K87" s="55"/>
      <c r="L87" s="664"/>
      <c r="M87" s="678"/>
      <c r="N87" s="1328"/>
      <c r="O87" s="1332"/>
      <c r="P87" s="306"/>
      <c r="Q87" s="8"/>
      <c r="R87" s="8"/>
      <c r="S87" s="8"/>
      <c r="T87" s="678"/>
      <c r="U87" s="678"/>
      <c r="V87" s="55"/>
      <c r="W87" s="1331"/>
      <c r="X87" s="678"/>
      <c r="Y87" s="593"/>
      <c r="Z87" s="431"/>
      <c r="AB87" s="552"/>
      <c r="AC87" s="552">
        <f t="shared" si="22"/>
        <v>0</v>
      </c>
      <c r="AD87" s="552"/>
      <c r="AE87" s="552">
        <f t="shared" si="23"/>
        <v>0</v>
      </c>
      <c r="AF87" s="552"/>
      <c r="AG87" s="552"/>
      <c r="AH87" s="552">
        <f t="shared" si="21"/>
        <v>0</v>
      </c>
      <c r="AI87" s="552"/>
      <c r="AJ87" s="552">
        <f t="shared" si="13"/>
        <v>0</v>
      </c>
    </row>
    <row r="88" spans="3:36" hidden="1" x14ac:dyDescent="0.35">
      <c r="C88" s="264" t="s">
        <v>290</v>
      </c>
      <c r="D88" s="1330"/>
      <c r="E88" s="306"/>
      <c r="F88" s="8"/>
      <c r="G88" s="8"/>
      <c r="H88" s="8"/>
      <c r="I88" s="678"/>
      <c r="J88" s="678"/>
      <c r="K88" s="55"/>
      <c r="L88" s="664"/>
      <c r="M88" s="678"/>
      <c r="N88" s="1328"/>
      <c r="O88" s="1330"/>
      <c r="P88" s="306"/>
      <c r="Q88" s="8"/>
      <c r="R88" s="8"/>
      <c r="S88" s="8"/>
      <c r="T88" s="678"/>
      <c r="U88" s="678"/>
      <c r="V88" s="55"/>
      <c r="W88" s="1331"/>
      <c r="X88" s="678"/>
      <c r="Y88" s="593"/>
      <c r="Z88" s="431"/>
      <c r="AB88" s="552"/>
      <c r="AC88" s="552">
        <f t="shared" si="22"/>
        <v>0</v>
      </c>
      <c r="AD88" s="552"/>
      <c r="AE88" s="552">
        <f t="shared" si="23"/>
        <v>0</v>
      </c>
      <c r="AF88" s="552"/>
      <c r="AG88" s="552"/>
      <c r="AH88" s="552">
        <f t="shared" si="21"/>
        <v>0</v>
      </c>
      <c r="AI88" s="552"/>
      <c r="AJ88" s="552">
        <f t="shared" si="13"/>
        <v>0</v>
      </c>
    </row>
    <row r="89" spans="3:36" ht="40" customHeight="1" x14ac:dyDescent="0.35">
      <c r="C89" s="585" t="s">
        <v>498</v>
      </c>
      <c r="D89" s="748">
        <f>+E89+L89</f>
        <v>7418.4007328242969</v>
      </c>
      <c r="E89" s="906">
        <f>SUM(F89:K89)</f>
        <v>3917.9274204913795</v>
      </c>
      <c r="F89" s="644">
        <f>AH89*'[2]Interest shifted to EU'!$AU$3</f>
        <v>1538.8801146239491</v>
      </c>
      <c r="G89" s="644">
        <f>AH89*'[2]Interest shifted to EU'!$AU$4</f>
        <v>-27.790811293277596</v>
      </c>
      <c r="H89" s="644">
        <f>AH89*'[2]Interest shifted to EU'!$AU$5</f>
        <v>-145.20458495795557</v>
      </c>
      <c r="I89" s="936">
        <f>AH89*'[2]Interest shifted to EU'!$AU$6</f>
        <v>2057.9624653544411</v>
      </c>
      <c r="J89" s="936">
        <f>AH89*'[2]Interest shifted to EU'!$AU$7</f>
        <v>-134.81909146427398</v>
      </c>
      <c r="K89" s="936">
        <f>AH89*'[2]Interest shifted to EU'!$AU$8</f>
        <v>628.8993282284963</v>
      </c>
      <c r="L89" s="643">
        <f>SUM(M89:N89)</f>
        <v>3500.473312332917</v>
      </c>
      <c r="M89" s="937">
        <f>AC89*'[2]Non-EU tax havens'!$K$8</f>
        <v>597.55682785304793</v>
      </c>
      <c r="N89" s="938">
        <f>AC89*'[2]Non-EU tax havens'!$K$13</f>
        <v>2902.9164844798688</v>
      </c>
      <c r="O89" s="749">
        <f>+P89+W89</f>
        <v>92385.718525268167</v>
      </c>
      <c r="P89" s="906">
        <f>SUM(Q89:V89)</f>
        <v>35871.109879269032</v>
      </c>
      <c r="Q89" s="740">
        <f>AJ89*'[2]Non EU income shifted to EU'!$AJ$4</f>
        <v>2442.5142105510408</v>
      </c>
      <c r="R89" s="740">
        <f>AJ89*'[2]Non EU income shifted to EU'!$AJ$5</f>
        <v>881.51684126462169</v>
      </c>
      <c r="S89" s="740">
        <f>AJ89*'[2]Non EU income shifted to EU'!$AJ$6</f>
        <v>19826.195565368522</v>
      </c>
      <c r="T89" s="740">
        <f>AJ89*'[2]Non EU income shifted to EU'!$AJ$7</f>
        <v>1898.9105557382447</v>
      </c>
      <c r="U89" s="740">
        <f>AJ89*'[2]Non EU income shifted to EU'!$AJ$8</f>
        <v>3546.4537041386752</v>
      </c>
      <c r="V89" s="740">
        <f>AJ89*'[2]Non EU income shifted to EU'!$AJ$9</f>
        <v>7275.5190022079296</v>
      </c>
      <c r="W89" s="643">
        <f>SUM(X89:Y89)</f>
        <v>56514.608645999135</v>
      </c>
      <c r="X89" s="937">
        <f>AE89*'[2]Non-EU tax havens'!$I$8</f>
        <v>5433.1508687275364</v>
      </c>
      <c r="Y89" s="1317">
        <f>AE89*'[2]Non-EU tax havens'!$I$13</f>
        <v>51081.4577772716</v>
      </c>
      <c r="Z89" s="431"/>
      <c r="AA89" s="870">
        <f>+TableB2!L90/TableB2!$L$91</f>
        <v>6.7158306912131871E-2</v>
      </c>
      <c r="AB89" s="552">
        <f>+AA89</f>
        <v>6.7158306912131871E-2</v>
      </c>
      <c r="AC89" s="552">
        <f t="shared" si="22"/>
        <v>0.15893644962964881</v>
      </c>
      <c r="AD89" s="552">
        <f>+AB89</f>
        <v>6.7158306912131871E-2</v>
      </c>
      <c r="AE89" s="552">
        <f>+AD89/$AD$90</f>
        <v>0.26233696407958473</v>
      </c>
      <c r="AF89" s="552"/>
      <c r="AG89" s="552">
        <f>+AB89</f>
        <v>6.7158306912131871E-2</v>
      </c>
      <c r="AH89" s="552">
        <f>+AG89/$AG$90</f>
        <v>0.96161976793348058</v>
      </c>
      <c r="AI89" s="552">
        <f>+AD89</f>
        <v>6.7158306912131871E-2</v>
      </c>
      <c r="AJ89" s="552">
        <f>+AI89/$AI$90</f>
        <v>0.96161976793348058</v>
      </c>
    </row>
    <row r="90" spans="3:36" ht="40" customHeight="1" x14ac:dyDescent="0.35">
      <c r="C90" s="1318" t="s">
        <v>499</v>
      </c>
      <c r="D90" s="745">
        <f t="shared" ref="D90:O90" si="24">SUMIF(D9:D89,"&gt;-999999")-D44</f>
        <v>147343.94059958696</v>
      </c>
      <c r="E90" s="674">
        <f t="shared" si="24"/>
        <v>105372.01898245345</v>
      </c>
      <c r="F90" s="556">
        <f t="shared" si="24"/>
        <v>11407.444386070565</v>
      </c>
      <c r="G90" s="557">
        <f t="shared" si="24"/>
        <v>295.16929892564701</v>
      </c>
      <c r="H90" s="557">
        <f t="shared" si="24"/>
        <v>7655.7207225791572</v>
      </c>
      <c r="I90" s="557">
        <f t="shared" si="24"/>
        <v>38107.023193801651</v>
      </c>
      <c r="J90" s="557">
        <f t="shared" si="24"/>
        <v>155.03356390830689</v>
      </c>
      <c r="K90" s="557">
        <f t="shared" si="24"/>
        <v>47751.627817168104</v>
      </c>
      <c r="L90" s="674">
        <f t="shared" si="24"/>
        <v>45857.426004046953</v>
      </c>
      <c r="M90" s="556">
        <f t="shared" si="24"/>
        <v>11844.041883716764</v>
      </c>
      <c r="N90" s="1319">
        <f t="shared" si="24"/>
        <v>34013.3841203302</v>
      </c>
      <c r="O90" s="745">
        <f t="shared" si="24"/>
        <v>808950.11294280121</v>
      </c>
      <c r="P90" s="674">
        <f t="shared" ref="P90:Y90" si="25">SUMIF(P9:P89,"&gt;-999999")-P44</f>
        <v>352459.52776515292</v>
      </c>
      <c r="Q90" s="747">
        <f t="shared" si="25"/>
        <v>59554.347996304576</v>
      </c>
      <c r="R90" s="660">
        <f t="shared" si="25"/>
        <v>2941.1904115635734</v>
      </c>
      <c r="S90" s="660">
        <f t="shared" si="25"/>
        <v>110410.0934305541</v>
      </c>
      <c r="T90" s="660">
        <f t="shared" si="25"/>
        <v>74435.463991708632</v>
      </c>
      <c r="U90" s="660">
        <f t="shared" si="25"/>
        <v>4878.3613228504337</v>
      </c>
      <c r="V90" s="1327">
        <f t="shared" si="25"/>
        <v>100240.07061217159</v>
      </c>
      <c r="W90" s="557">
        <f t="shared" si="25"/>
        <v>477316.52935388347</v>
      </c>
      <c r="X90" s="747">
        <f t="shared" si="25"/>
        <v>96092.626541333113</v>
      </c>
      <c r="Y90" s="1320">
        <f t="shared" si="25"/>
        <v>381223.90281255031</v>
      </c>
      <c r="Z90" s="431"/>
      <c r="AA90" s="265">
        <f>+SUM(AA9:AA89)</f>
        <v>0.85846452450486399</v>
      </c>
      <c r="AB90" s="552">
        <f>+SUM(AB9:AB89)</f>
        <v>0.42254817613343626</v>
      </c>
      <c r="AC90" s="552">
        <f t="shared" si="22"/>
        <v>1</v>
      </c>
      <c r="AD90" s="552">
        <f>+SUM(AD9:AD89)</f>
        <v>0.25600016813398119</v>
      </c>
      <c r="AE90" s="552">
        <f>SUM(AE9:AE89)</f>
        <v>1</v>
      </c>
      <c r="AF90" s="552"/>
      <c r="AG90" s="552">
        <f>+SUM(AG9:AG89)</f>
        <v>6.9838733719518861E-2</v>
      </c>
      <c r="AH90" s="552">
        <f t="shared" ref="AH90" si="26">+AG90/$AB$90</f>
        <v>0.16527993176679698</v>
      </c>
      <c r="AI90" s="552">
        <f>+SUM(AI9:AI89)</f>
        <v>6.9838733719518861E-2</v>
      </c>
      <c r="AJ90" s="552">
        <f>+SUM(AJ9:AJ89)</f>
        <v>1</v>
      </c>
    </row>
    <row r="91" spans="3:36" ht="40" customHeight="1" thickBot="1" x14ac:dyDescent="0.4">
      <c r="C91" s="584" t="s">
        <v>540</v>
      </c>
      <c r="D91" s="1322">
        <f>+E91+L91</f>
        <v>105788.09742605902</v>
      </c>
      <c r="E91" s="729">
        <f>+E89+E44+E8</f>
        <v>78380.218312798941</v>
      </c>
      <c r="F91" s="1323">
        <f t="shared" ref="F91:Y91" si="27">+F89+F44+F8</f>
        <v>9088.4967573106878</v>
      </c>
      <c r="G91" s="1324">
        <f t="shared" si="27"/>
        <v>273.87521768207267</v>
      </c>
      <c r="H91" s="1324">
        <f t="shared" si="27"/>
        <v>2453.643218777831</v>
      </c>
      <c r="I91" s="1324">
        <f t="shared" si="27"/>
        <v>32121.057324221249</v>
      </c>
      <c r="J91" s="1324">
        <f t="shared" si="27"/>
        <v>103.46196089652524</v>
      </c>
      <c r="K91" s="1324">
        <f t="shared" si="27"/>
        <v>34339.683833910589</v>
      </c>
      <c r="L91" s="729">
        <f t="shared" si="27"/>
        <v>27407.879113260082</v>
      </c>
      <c r="M91" s="1323">
        <f t="shared" si="27"/>
        <v>5769.2397689483214</v>
      </c>
      <c r="N91" s="1325">
        <f t="shared" si="27"/>
        <v>21638.639344311763</v>
      </c>
      <c r="O91" s="1322">
        <f>+P91+W91</f>
        <v>657166.45637196908</v>
      </c>
      <c r="P91" s="729">
        <f t="shared" si="27"/>
        <v>281941.0723402084</v>
      </c>
      <c r="Q91" s="1323">
        <f t="shared" si="27"/>
        <v>43532.769993977752</v>
      </c>
      <c r="R91" s="1324">
        <f t="shared" si="27"/>
        <v>2809.2114705226704</v>
      </c>
      <c r="S91" s="1324">
        <f t="shared" si="27"/>
        <v>99047.039326951752</v>
      </c>
      <c r="T91" s="1324">
        <f t="shared" si="27"/>
        <v>61135.31393497988</v>
      </c>
      <c r="U91" s="1324">
        <f t="shared" si="27"/>
        <v>4761.4656893570627</v>
      </c>
      <c r="V91" s="1325">
        <f t="shared" si="27"/>
        <v>70655.271924419358</v>
      </c>
      <c r="W91" s="1324">
        <f t="shared" si="27"/>
        <v>375225.38403176062</v>
      </c>
      <c r="X91" s="1323">
        <f t="shared" si="27"/>
        <v>66460.803424167985</v>
      </c>
      <c r="Y91" s="1326">
        <f t="shared" si="27"/>
        <v>308764.58060759259</v>
      </c>
    </row>
    <row r="92" spans="3:36" s="2" customFormat="1" ht="16" thickTop="1" x14ac:dyDescent="0.35">
      <c r="E92" s="738"/>
      <c r="F92" s="1"/>
      <c r="G92" s="1"/>
      <c r="H92" s="1"/>
      <c r="I92" s="1"/>
      <c r="J92" s="1"/>
      <c r="K92" s="1"/>
      <c r="L92" s="1"/>
      <c r="N92" s="1"/>
      <c r="O92" s="1"/>
      <c r="P92" s="1"/>
      <c r="Q92" s="1"/>
      <c r="R92" s="1"/>
      <c r="S92" s="1"/>
      <c r="T92" s="1"/>
      <c r="U92" s="1"/>
      <c r="V92" s="1"/>
      <c r="W92" s="1"/>
      <c r="X92" s="1"/>
      <c r="Y92" s="1"/>
    </row>
    <row r="94" spans="3:36" s="2" customFormat="1" x14ac:dyDescent="0.35">
      <c r="C94" s="1"/>
      <c r="D94" s="1"/>
      <c r="E94" s="738"/>
      <c r="F94" s="1"/>
      <c r="G94" s="1"/>
      <c r="H94" s="1"/>
      <c r="I94" s="1"/>
      <c r="J94" s="1"/>
      <c r="K94" s="1"/>
      <c r="L94" s="1"/>
      <c r="N94" s="1"/>
      <c r="O94" s="1"/>
      <c r="P94" s="1"/>
      <c r="Q94" s="1"/>
      <c r="R94" s="1"/>
      <c r="S94" s="1"/>
      <c r="T94" s="1"/>
      <c r="U94" s="1"/>
      <c r="V94" s="1"/>
      <c r="W94" s="1"/>
      <c r="X94" s="1"/>
      <c r="Y94" s="1"/>
    </row>
    <row r="100" spans="13:13" x14ac:dyDescent="0.35">
      <c r="M100" s="82">
        <f>+M9+M13+M22++M12+M24+M26+M27+M30+M32+M33+M41+M43+M44+M89</f>
        <v>3759.7217582591365</v>
      </c>
    </row>
    <row r="101" spans="13:13" x14ac:dyDescent="0.35">
      <c r="M101" s="1019">
        <f>+M90-M100</f>
        <v>8084.320125457627</v>
      </c>
    </row>
  </sheetData>
  <mergeCells count="14">
    <mergeCell ref="C3:Y3"/>
    <mergeCell ref="P6:P7"/>
    <mergeCell ref="E6:E7"/>
    <mergeCell ref="L6:L7"/>
    <mergeCell ref="D5:N5"/>
    <mergeCell ref="D6:D7"/>
    <mergeCell ref="O6:O7"/>
    <mergeCell ref="O5:Y5"/>
    <mergeCell ref="AI8:AJ8"/>
    <mergeCell ref="AB8:AC8"/>
    <mergeCell ref="AG8:AH8"/>
    <mergeCell ref="AD8:AE8"/>
    <mergeCell ref="W6:W7"/>
    <mergeCell ref="AA6:AJ6"/>
  </mergeCells>
  <phoneticPr fontId="62" type="noConversion"/>
  <pageMargins left="0.7" right="0.7" top="0.75" bottom="0.75" header="0.3" footer="0.3"/>
  <pageSetup scale="31" fitToHeight="0" orientation="landscape" horizontalDpi="4294967292" verticalDpi="4294967292"/>
  <extLst>
    <ext xmlns:mx="http://schemas.microsoft.com/office/mac/excel/2008/main" uri="{64002731-A6B0-56B0-2670-7721B7C09600}">
      <mx:PLV Mode="0" OnePage="0" WScale="10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J100"/>
  <sheetViews>
    <sheetView topLeftCell="C1" zoomScale="70" zoomScaleNormal="70" zoomScalePageLayoutView="70" workbookViewId="0">
      <pane xSplit="1" ySplit="7" topLeftCell="D8" activePane="bottomRight" state="frozen"/>
      <selection activeCell="C1" sqref="C1"/>
      <selection pane="topRight" activeCell="D1" sqref="D1"/>
      <selection pane="bottomLeft" activeCell="C8" sqref="C8"/>
      <selection pane="bottomRight" activeCell="AA26" sqref="AA26"/>
    </sheetView>
  </sheetViews>
  <sheetFormatPr baseColWidth="10" defaultColWidth="10.81640625" defaultRowHeight="15.5" x14ac:dyDescent="0.35"/>
  <cols>
    <col min="1" max="2" width="10.81640625" style="1" hidden="1" customWidth="1"/>
    <col min="3" max="3" width="19" style="1" customWidth="1"/>
    <col min="4" max="25" width="11" style="1" customWidth="1"/>
    <col min="26" max="34" width="10.81640625" style="1"/>
    <col min="35" max="35" width="16" style="1" customWidth="1"/>
    <col min="36" max="16384" width="10.81640625" style="1"/>
  </cols>
  <sheetData>
    <row r="1" spans="3:36" ht="16" thickBot="1" x14ac:dyDescent="0.4">
      <c r="C1" s="27"/>
      <c r="D1" s="27"/>
      <c r="F1" s="27"/>
      <c r="G1" s="27"/>
      <c r="H1" s="27"/>
      <c r="I1" s="27"/>
      <c r="J1" s="27"/>
      <c r="K1" s="27"/>
      <c r="L1" s="27"/>
      <c r="M1" s="27"/>
      <c r="N1" s="92"/>
      <c r="O1" s="92"/>
      <c r="Q1" s="27"/>
      <c r="R1" s="27"/>
      <c r="S1" s="27"/>
      <c r="T1" s="27"/>
      <c r="U1" s="27"/>
      <c r="V1" s="27"/>
      <c r="W1" s="27"/>
      <c r="X1" s="27"/>
      <c r="Y1" s="92"/>
    </row>
    <row r="2" spans="3:36" ht="16" hidden="1" thickBot="1" x14ac:dyDescent="0.4">
      <c r="F2" s="1">
        <v>2</v>
      </c>
      <c r="G2" s="1">
        <v>3</v>
      </c>
      <c r="H2" s="1">
        <v>4</v>
      </c>
      <c r="I2" s="1">
        <v>5</v>
      </c>
      <c r="J2" s="1">
        <v>6</v>
      </c>
      <c r="K2" s="1">
        <v>7</v>
      </c>
      <c r="Q2" s="1">
        <v>2</v>
      </c>
      <c r="R2" s="1">
        <v>3</v>
      </c>
      <c r="S2" s="1">
        <v>4</v>
      </c>
      <c r="T2" s="1">
        <v>5</v>
      </c>
      <c r="U2" s="1">
        <v>6</v>
      </c>
      <c r="V2" s="1">
        <v>7</v>
      </c>
    </row>
    <row r="3" spans="3:36" ht="32.25" customHeight="1" thickTop="1" x14ac:dyDescent="0.35">
      <c r="C3" s="2048" t="s">
        <v>538</v>
      </c>
      <c r="D3" s="2049"/>
      <c r="E3" s="2049"/>
      <c r="F3" s="2049"/>
      <c r="G3" s="2049"/>
      <c r="H3" s="2049"/>
      <c r="I3" s="2049"/>
      <c r="J3" s="2049"/>
      <c r="K3" s="2049"/>
      <c r="L3" s="2049"/>
      <c r="M3" s="2049"/>
      <c r="N3" s="2049"/>
      <c r="O3" s="2049"/>
      <c r="P3" s="2049"/>
      <c r="Q3" s="2049"/>
      <c r="R3" s="2049"/>
      <c r="S3" s="2049"/>
      <c r="T3" s="2049"/>
      <c r="U3" s="2049"/>
      <c r="V3" s="2049"/>
      <c r="W3" s="2049"/>
      <c r="X3" s="2049"/>
      <c r="Y3" s="2050"/>
    </row>
    <row r="4" spans="3:36" ht="32.25" customHeight="1" x14ac:dyDescent="0.35">
      <c r="C4" s="11"/>
      <c r="D4" s="409" t="s">
        <v>20</v>
      </c>
      <c r="E4" s="409" t="s">
        <v>21</v>
      </c>
      <c r="F4" s="409" t="s">
        <v>22</v>
      </c>
      <c r="G4" s="409" t="s">
        <v>23</v>
      </c>
      <c r="H4" s="409" t="s">
        <v>24</v>
      </c>
      <c r="I4" s="409" t="s">
        <v>25</v>
      </c>
      <c r="J4" s="409" t="s">
        <v>26</v>
      </c>
      <c r="K4" s="409" t="s">
        <v>33</v>
      </c>
      <c r="L4" s="409" t="s">
        <v>34</v>
      </c>
      <c r="M4" s="409" t="s">
        <v>37</v>
      </c>
      <c r="N4" s="409" t="s">
        <v>105</v>
      </c>
      <c r="O4" s="409" t="s">
        <v>138</v>
      </c>
      <c r="P4" s="409" t="s">
        <v>139</v>
      </c>
      <c r="Q4" s="409" t="s">
        <v>140</v>
      </c>
      <c r="R4" s="409" t="s">
        <v>141</v>
      </c>
      <c r="S4" s="409" t="s">
        <v>255</v>
      </c>
      <c r="T4" s="409" t="s">
        <v>655</v>
      </c>
      <c r="U4" s="409" t="s">
        <v>656</v>
      </c>
      <c r="V4" s="409" t="s">
        <v>657</v>
      </c>
      <c r="W4" s="409" t="s">
        <v>658</v>
      </c>
      <c r="X4" s="409" t="s">
        <v>659</v>
      </c>
      <c r="Y4" s="14" t="s">
        <v>660</v>
      </c>
    </row>
    <row r="5" spans="3:36" ht="21" customHeight="1" x14ac:dyDescent="0.35">
      <c r="C5" s="13"/>
      <c r="D5" s="2230" t="s">
        <v>544</v>
      </c>
      <c r="E5" s="2231"/>
      <c r="F5" s="2231"/>
      <c r="G5" s="2231"/>
      <c r="H5" s="2231"/>
      <c r="I5" s="2231"/>
      <c r="J5" s="2231"/>
      <c r="K5" s="2231"/>
      <c r="L5" s="2231"/>
      <c r="M5" s="2231"/>
      <c r="N5" s="2232"/>
      <c r="O5" s="2230" t="s">
        <v>545</v>
      </c>
      <c r="P5" s="2231"/>
      <c r="Q5" s="2231"/>
      <c r="R5" s="2231"/>
      <c r="S5" s="2231"/>
      <c r="T5" s="2231"/>
      <c r="U5" s="2231"/>
      <c r="V5" s="2231"/>
      <c r="W5" s="2231"/>
      <c r="X5" s="2231"/>
      <c r="Y5" s="2315"/>
    </row>
    <row r="6" spans="3:36" ht="85" customHeight="1" x14ac:dyDescent="0.35">
      <c r="C6" s="13"/>
      <c r="D6" s="2153" t="s">
        <v>542</v>
      </c>
      <c r="E6" s="2153" t="s">
        <v>533</v>
      </c>
      <c r="F6" s="736" t="s">
        <v>2</v>
      </c>
      <c r="G6" s="736" t="s">
        <v>116</v>
      </c>
      <c r="H6" s="736" t="s">
        <v>19</v>
      </c>
      <c r="I6" s="1305" t="s">
        <v>70</v>
      </c>
      <c r="J6" s="1304" t="s">
        <v>301</v>
      </c>
      <c r="K6" s="1305" t="s">
        <v>72</v>
      </c>
      <c r="L6" s="2153" t="s">
        <v>487</v>
      </c>
      <c r="M6" s="1305" t="s">
        <v>1</v>
      </c>
      <c r="N6" s="1313" t="s">
        <v>534</v>
      </c>
      <c r="O6" s="2153" t="s">
        <v>542</v>
      </c>
      <c r="P6" s="2153" t="s">
        <v>533</v>
      </c>
      <c r="Q6" s="736" t="s">
        <v>2</v>
      </c>
      <c r="R6" s="736" t="s">
        <v>116</v>
      </c>
      <c r="S6" s="736" t="s">
        <v>19</v>
      </c>
      <c r="T6" s="1305" t="s">
        <v>70</v>
      </c>
      <c r="U6" s="1304" t="s">
        <v>301</v>
      </c>
      <c r="V6" s="1304" t="s">
        <v>72</v>
      </c>
      <c r="W6" s="2152" t="s">
        <v>487</v>
      </c>
      <c r="X6" s="1305" t="s">
        <v>1</v>
      </c>
      <c r="Y6" s="1314" t="s">
        <v>534</v>
      </c>
      <c r="Z6" s="431"/>
    </row>
    <row r="7" spans="3:36" ht="13.5" customHeight="1" x14ac:dyDescent="0.35">
      <c r="C7" s="13"/>
      <c r="D7" s="2153"/>
      <c r="E7" s="2153"/>
      <c r="F7" s="1304"/>
      <c r="G7" s="1304"/>
      <c r="H7" s="1304"/>
      <c r="I7" s="1308"/>
      <c r="J7" s="1308"/>
      <c r="K7" s="1308"/>
      <c r="L7" s="2177"/>
      <c r="M7" s="1308"/>
      <c r="N7" s="1315"/>
      <c r="O7" s="2153"/>
      <c r="P7" s="2153"/>
      <c r="Q7" s="1304"/>
      <c r="R7" s="1304"/>
      <c r="S7" s="1304"/>
      <c r="T7" s="1308"/>
      <c r="U7" s="1308"/>
      <c r="V7" s="1308"/>
      <c r="W7" s="2177"/>
      <c r="X7" s="1308"/>
      <c r="Y7" s="576"/>
      <c r="Z7" s="431"/>
    </row>
    <row r="8" spans="3:36" ht="40" customHeight="1" x14ac:dyDescent="0.35">
      <c r="C8" s="39" t="s">
        <v>98</v>
      </c>
      <c r="D8" s="587">
        <f>+E8+L8</f>
        <v>80504.674146517849</v>
      </c>
      <c r="E8" s="587">
        <f>SUMIF(E9:E43,"&gt;-999999999")-(E11+E23+E29+E31+E40)</f>
        <v>64268.796992313684</v>
      </c>
      <c r="F8" s="571">
        <f t="shared" ref="F8:K8" si="0">SUMIF(F9:F43,"&gt;-999999999")-(F11+F23+F29+F31+F40)</f>
        <v>6427.3659625994533</v>
      </c>
      <c r="G8" s="571">
        <f t="shared" si="0"/>
        <v>267.14124917339745</v>
      </c>
      <c r="H8" s="571">
        <f t="shared" si="0"/>
        <v>2390.5398538206928</v>
      </c>
      <c r="I8" s="571">
        <f t="shared" si="0"/>
        <v>25667.077679209913</v>
      </c>
      <c r="J8" s="571">
        <f t="shared" si="0"/>
        <v>209.56453811970039</v>
      </c>
      <c r="K8" s="571">
        <f t="shared" si="0"/>
        <v>29307.107709390548</v>
      </c>
      <c r="L8" s="587">
        <f>SUMIF(L9:L43,"&gt;-999999999")-(L11+L23+L29+L31)</f>
        <v>16235.877154204158</v>
      </c>
      <c r="M8" s="571">
        <f>SUMIF(M9:M43,"&gt;-999999999")-(M11+M23+M29+M31)</f>
        <v>3659.9212943551083</v>
      </c>
      <c r="N8" s="572">
        <f>SUMIF(N9:N43,"&gt;-999999999")-(N11+N23+N29+N31)</f>
        <v>12575.955859849048</v>
      </c>
      <c r="O8" s="587">
        <f>+P8+W8</f>
        <v>375674.88726064516</v>
      </c>
      <c r="P8" s="587">
        <f>SUMIF(P9:P43,"&gt;-999999999")-(P11+P23+P29+P31)-P40</f>
        <v>181874.36086934345</v>
      </c>
      <c r="Q8" s="571">
        <f t="shared" ref="Q8:V8" si="1">SUMIF(Q9:Q43,"&gt;-999999999")-(Q11+Q23+Q29+Q31)-Q40</f>
        <v>25016.5835469679</v>
      </c>
      <c r="R8" s="571">
        <f t="shared" si="1"/>
        <v>910.87393789792588</v>
      </c>
      <c r="S8" s="571">
        <f t="shared" si="1"/>
        <v>63742.947043034037</v>
      </c>
      <c r="T8" s="571">
        <f t="shared" si="1"/>
        <v>56087.792108036978</v>
      </c>
      <c r="U8" s="571">
        <f t="shared" si="1"/>
        <v>913.14680707665866</v>
      </c>
      <c r="V8" s="571">
        <f t="shared" si="1"/>
        <v>35203.01742632997</v>
      </c>
      <c r="W8" s="587">
        <f>SUMIF(W9:W43,"&gt;-999999999")-(W11+W23+W29+W31)</f>
        <v>193800.52639130171</v>
      </c>
      <c r="X8" s="571">
        <f>SUMIF(X9:X43,"&gt;-999999999")-(X11+X23+X29+X31)</f>
        <v>38104.840718718573</v>
      </c>
      <c r="Y8" s="1316">
        <f>SUMIF(Y9:Y43,"&gt;-999999999")-(Y11+Y23+Y29+Y31)</f>
        <v>155695.68567258315</v>
      </c>
      <c r="Z8" s="431"/>
      <c r="AA8" s="232"/>
      <c r="AB8" s="2417" t="s">
        <v>573</v>
      </c>
      <c r="AC8" s="2417"/>
      <c r="AD8" s="2417" t="s">
        <v>574</v>
      </c>
      <c r="AE8" s="2417"/>
      <c r="AG8" s="2417" t="s">
        <v>599</v>
      </c>
      <c r="AH8" s="2417"/>
      <c r="AI8" s="2417" t="s">
        <v>600</v>
      </c>
      <c r="AJ8" s="2417"/>
    </row>
    <row r="9" spans="3:36" ht="14.25" customHeight="1" x14ac:dyDescent="0.35">
      <c r="C9" s="95" t="s">
        <v>54</v>
      </c>
      <c r="D9" s="739">
        <f>+E9+L9</f>
        <v>1459.0515691491571</v>
      </c>
      <c r="E9" s="739">
        <f>SUM(F9:K9)</f>
        <v>869.19616120130422</v>
      </c>
      <c r="F9" s="740">
        <f>HLOOKUP($C9,'[2]Interest shifted to EU'!$L$12:$AT$18,F$2,0)/TableB10!$E$229</f>
        <v>64.56824754436731</v>
      </c>
      <c r="G9" s="740">
        <f>HLOOKUP($C9,'[2]Interest shifted to EU'!$L$12:$AT$18,G$2,0)/TableB10!$E$229</f>
        <v>0</v>
      </c>
      <c r="H9" s="740">
        <f>HLOOKUP($C9,'[2]Interest shifted to EU'!$L$12:$AT$18,H$2,0)/TableB10!$E$229</f>
        <v>0</v>
      </c>
      <c r="I9" s="740">
        <f>HLOOKUP($C9,'[2]Interest shifted to EU'!$L$12:$AT$18,I$2,0)/TableB10!$E$229</f>
        <v>371.31554168482768</v>
      </c>
      <c r="J9" s="740">
        <f>HLOOKUP($C9,'[2]Interest shifted to EU'!$L$12:$AT$18,J$2,0)/TableB10!$E$229</f>
        <v>5.2126136377499703</v>
      </c>
      <c r="K9" s="740">
        <f>HLOOKUP($C9,'[2]Interest shifted to EU'!$L$12:$AT$18,K$2,0)/TableB10!$E$229</f>
        <v>428.09975833435925</v>
      </c>
      <c r="L9" s="739">
        <f>SUM(M9:N9)</f>
        <v>589.85540794785288</v>
      </c>
      <c r="M9" s="678">
        <f>AC9*'[2]Non-EU tax havens'!$M$8</f>
        <v>92.467201553970966</v>
      </c>
      <c r="N9" s="1328">
        <f>AC9*'[2]Non-EU tax havens'!$M$13</f>
        <v>497.38820639388194</v>
      </c>
      <c r="O9" s="739">
        <f>+P9+W9</f>
        <v>12126.498755961245</v>
      </c>
      <c r="P9" s="739">
        <f>SUM(Q9:V9)</f>
        <v>3444.6200337756745</v>
      </c>
      <c r="Q9" s="740">
        <f>HLOOKUP($C9,'[2]Non EU income shifted to EU'!$A$2:$AI$18,Q$2+10,0)/TableB10!$E$229</f>
        <v>209.28599850100952</v>
      </c>
      <c r="R9" s="740">
        <f>HLOOKUP($C9,'[2]Non EU income shifted to EU'!$A$2:$AI$18,R$2+10,0)/TableB10!$E$229</f>
        <v>1.7670350798107419</v>
      </c>
      <c r="S9" s="740">
        <f>HLOOKUP($C9,'[2]Non EU income shifted to EU'!$A$2:$AI$18,S$2+10,0)/TableB10!$E$229</f>
        <v>1950.0565934065048</v>
      </c>
      <c r="T9" s="740">
        <f>HLOOKUP($C9,'[2]Non EU income shifted to EU'!$A$2:$AI$18,T$2+10,0)/TableB10!$E$229</f>
        <v>300.21103293341281</v>
      </c>
      <c r="U9" s="740">
        <f>HLOOKUP($C9,'[2]Non EU income shifted to EU'!$A$2:$AI$18,U$2+10,0)/TableB10!$E$229</f>
        <v>5.9289140095961335</v>
      </c>
      <c r="V9" s="740">
        <f>HLOOKUP($C9,'[2]Non EU income shifted to EU'!$A$2:$AI$18,V$2+10,0)/TableB10!$E$229</f>
        <v>977.37045984534063</v>
      </c>
      <c r="W9" s="739">
        <f>SUM(X9:Y9)</f>
        <v>8681.878722185571</v>
      </c>
      <c r="X9" s="678">
        <f>AE9*'[2]Non-EU tax havens'!$O$8</f>
        <v>668.73786585925529</v>
      </c>
      <c r="Y9" s="593">
        <f>AE9*'[2]Non-EU tax havens'!$O$13</f>
        <v>8013.1408563263158</v>
      </c>
      <c r="Z9" s="431"/>
      <c r="AA9" s="552">
        <f>+TableB2!L10/TableB2!$L$91</f>
        <v>1.2748824469055224E-2</v>
      </c>
      <c r="AB9" s="552">
        <f>+AA9</f>
        <v>1.2748824469055224E-2</v>
      </c>
      <c r="AC9" s="552">
        <f>+AB9/$AB$90</f>
        <v>3.0171292148778037E-2</v>
      </c>
      <c r="AD9" s="552">
        <f>+AB9</f>
        <v>1.2748824469055224E-2</v>
      </c>
      <c r="AE9" s="552">
        <f>+AD9/$AD$90</f>
        <v>4.9800062874892144E-2</v>
      </c>
      <c r="AF9" s="552"/>
      <c r="AG9" s="552"/>
      <c r="AH9" s="552">
        <f t="shared" ref="AH9:AH72" si="2">+AG9/$AG$90</f>
        <v>0</v>
      </c>
      <c r="AI9" s="552"/>
      <c r="AJ9" s="552">
        <f t="shared" ref="AJ9:AJ21" si="3">+AI9/$AB$90</f>
        <v>0</v>
      </c>
    </row>
    <row r="10" spans="3:36" ht="14.25" customHeight="1" x14ac:dyDescent="0.35">
      <c r="C10" s="95" t="s">
        <v>55</v>
      </c>
      <c r="D10" s="739">
        <f t="shared" ref="D10:D51" si="4">+E10+L10</f>
        <v>420.24534010867956</v>
      </c>
      <c r="E10" s="739">
        <f t="shared" ref="E10:E51" si="5">SUM(F10:K10)</f>
        <v>298.15867990353695</v>
      </c>
      <c r="F10" s="740">
        <f>VLOOKUP($C10,'[2]Breakdown EU havens'!$S$68:$Y$98,F$2,0)/TableB10!$E$229</f>
        <v>21.438968345726671</v>
      </c>
      <c r="G10" s="740">
        <f>VLOOKUP($C10,'[2]Breakdown EU havens'!$S$68:$Y$98,G$2,0)/TableB10!$E$229</f>
        <v>0</v>
      </c>
      <c r="H10" s="740">
        <f>VLOOKUP($C10,'[2]Breakdown EU havens'!$S$68:$Y$98,H$2,0)/TableB10!$E$229</f>
        <v>51.473913460068566</v>
      </c>
      <c r="I10" s="740">
        <f>VLOOKUP($C10,'[2]Breakdown EU havens'!$S$68:$Y$98,I$2,0)/TableB10!$E$229</f>
        <v>122.61535895281465</v>
      </c>
      <c r="J10" s="740">
        <f>VLOOKUP($C10,'[2]Breakdown EU havens'!$S$68:$Y$98,J$2,0)/TableB10!$E$229</f>
        <v>1.1234955818956067</v>
      </c>
      <c r="K10" s="740">
        <f>VLOOKUP($C10,'[2]Breakdown EU havens'!$S$68:$Y$98,K$2,0)/TableB10!$E$229</f>
        <v>101.50694356303143</v>
      </c>
      <c r="L10" s="739">
        <f t="shared" ref="L10:L51" si="6">SUM(M10:N10)</f>
        <v>122.08666020514262</v>
      </c>
      <c r="M10" s="678">
        <f>VLOOKUP($C10,'[2]Breakdown non-EU havens'!$K$59:$M$86,3,0)/TableB10!$E$229</f>
        <v>57.853472223653952</v>
      </c>
      <c r="N10" s="1328">
        <f>VLOOKUP($C10,'[2]Breakdown non-EU havens'!$K$59:$M$86,2,0)/TableB10!$E$229</f>
        <v>64.233187981488669</v>
      </c>
      <c r="O10" s="739">
        <f t="shared" ref="O10:O51" si="7">+P10+W10</f>
        <v>3342.7105495280571</v>
      </c>
      <c r="P10" s="739">
        <f t="shared" ref="P10:P51" si="8">SUM(Q10:V10)</f>
        <v>1877.8107582937084</v>
      </c>
      <c r="Q10" s="740">
        <f>VLOOKUP($C10,'[2]Breakdown EU havens'!$J$68:$P$95,Q$2,0)/TableB10!$E$229</f>
        <v>314.26971054328214</v>
      </c>
      <c r="R10" s="740">
        <f>VLOOKUP($C10,'[2]Breakdown EU havens'!$J$68:$P$95,R$2,0)/TableB10!$E$229</f>
        <v>8.0443966277535228</v>
      </c>
      <c r="S10" s="740">
        <f>VLOOKUP($C10,'[2]Breakdown EU havens'!$J$68:$P$95,S$2,0)/TableB10!$E$229</f>
        <v>736.17199666970953</v>
      </c>
      <c r="T10" s="740">
        <f>VLOOKUP($C10,'[2]Breakdown EU havens'!$J$68:$P$95,T$2,0)/TableB10!$E$229</f>
        <v>537.27666517469504</v>
      </c>
      <c r="U10" s="740">
        <f>VLOOKUP($C10,'[2]Breakdown EU havens'!$J$68:$P$95,U$2,0)/TableB10!$E$229</f>
        <v>36.326764288223615</v>
      </c>
      <c r="V10" s="740">
        <f>VLOOKUP($C10,'[2]Breakdown EU havens'!$J$68:$P$95,V$2,0)/TableB10!$E$229</f>
        <v>245.72122499004436</v>
      </c>
      <c r="W10" s="739">
        <f t="shared" ref="W10:W51" si="9">SUM(X10:Y10)</f>
        <v>1464.8997912343486</v>
      </c>
      <c r="X10" s="678">
        <f>VLOOKUP($C10,'[2]Breakdown non-EU havens'!$F$59:$H$86,3,0)/TableB10!$E$229</f>
        <v>1175.0125594652318</v>
      </c>
      <c r="Y10" s="593">
        <f>VLOOKUP($C10,'[2]Breakdown non-EU havens'!$F$59:$H$86,2,0)/TableB10!$E$229</f>
        <v>289.88723176911691</v>
      </c>
      <c r="Z10" s="431"/>
      <c r="AA10" s="552">
        <f>+TableB2!L11/TableB2!$L$91</f>
        <v>7.732296120374859E-3</v>
      </c>
      <c r="AB10" s="552"/>
      <c r="AC10" s="552">
        <f t="shared" ref="AC10:AC73" si="10">+AB10/$AB$90</f>
        <v>0</v>
      </c>
      <c r="AD10" s="552">
        <f t="shared" ref="AD10:AD42" si="11">+AB10</f>
        <v>0</v>
      </c>
      <c r="AE10" s="552">
        <f t="shared" ref="AE10:AE73" si="12">+AD10/$AD$90</f>
        <v>0</v>
      </c>
      <c r="AF10" s="552"/>
      <c r="AG10" s="552"/>
      <c r="AH10" s="552">
        <f t="shared" si="2"/>
        <v>0</v>
      </c>
      <c r="AI10" s="552"/>
      <c r="AJ10" s="552">
        <f t="shared" si="3"/>
        <v>0</v>
      </c>
    </row>
    <row r="11" spans="3:36" ht="14.25" customHeight="1" x14ac:dyDescent="0.35">
      <c r="C11" s="95" t="s">
        <v>2</v>
      </c>
      <c r="D11" s="739">
        <f t="shared" si="4"/>
        <v>4343.4119980320602</v>
      </c>
      <c r="E11" s="739">
        <f t="shared" si="5"/>
        <v>4255.5401739424415</v>
      </c>
      <c r="F11" s="740">
        <f>VLOOKUP($C11,'[2]Breakdown EU havens'!$S$68:$Y$98,F$2,0)/TableB10!$E$229</f>
        <v>0</v>
      </c>
      <c r="G11" s="740">
        <f>VLOOKUP($C11,'[2]Breakdown EU havens'!$S$68:$Y$98,G$2,0)/TableB10!$E$229</f>
        <v>0</v>
      </c>
      <c r="H11" s="740">
        <f>VLOOKUP($C11,'[2]Breakdown EU havens'!$S$68:$Y$98,H$2,0)/TableB10!$E$229</f>
        <v>149.75113953694805</v>
      </c>
      <c r="I11" s="740">
        <f>VLOOKUP($C11,'[2]Breakdown EU havens'!$S$68:$Y$98,I$2,0)/TableB10!$E$229</f>
        <v>2580.6770494401062</v>
      </c>
      <c r="J11" s="740">
        <f>VLOOKUP($C11,'[2]Breakdown EU havens'!$S$68:$Y$98,J$2,0)/TableB10!$E$229</f>
        <v>16.546025842462569</v>
      </c>
      <c r="K11" s="740">
        <f>VLOOKUP($C11,'[2]Breakdown EU havens'!$S$68:$Y$98,K$2,0)/TableB10!$E$229</f>
        <v>1508.5659591229244</v>
      </c>
      <c r="L11" s="739">
        <f t="shared" si="6"/>
        <v>87.871824089618727</v>
      </c>
      <c r="M11" s="678">
        <f>VLOOKUP($C11,'[2]Breakdown non-EU havens'!$K$59:$M$86,3,0)/TableB10!$E$229</f>
        <v>55.648530451064609</v>
      </c>
      <c r="N11" s="1328">
        <f>VLOOKUP($C11,'[2]Breakdown non-EU havens'!$K$59:$M$86,2,0)/TableB10!$E$229</f>
        <v>32.223293638554118</v>
      </c>
      <c r="O11" s="739">
        <f t="shared" si="7"/>
        <v>12648.305346175452</v>
      </c>
      <c r="P11" s="739">
        <f t="shared" si="8"/>
        <v>7546.8687287957928</v>
      </c>
      <c r="Q11" s="740">
        <f>VLOOKUP($C11,'[2]Breakdown EU havens'!$J$68:$P$95,Q$2,0)/TableB10!$E$229</f>
        <v>0</v>
      </c>
      <c r="R11" s="740">
        <f>VLOOKUP($C11,'[2]Breakdown EU havens'!$J$68:$P$95,R$2,0)/TableB10!$E$229</f>
        <v>8.7757054120947515</v>
      </c>
      <c r="S11" s="740">
        <f>VLOOKUP($C11,'[2]Breakdown EU havens'!$J$68:$P$95,S$2,0)/TableB10!$E$229</f>
        <v>1964.4222431300482</v>
      </c>
      <c r="T11" s="740">
        <f>VLOOKUP($C11,'[2]Breakdown EU havens'!$J$68:$P$95,T$2,0)/TableB10!$E$229</f>
        <v>4098.622152909038</v>
      </c>
      <c r="U11" s="740">
        <f>VLOOKUP($C11,'[2]Breakdown EU havens'!$J$68:$P$95,U$2,0)/TableB10!$E$229</f>
        <v>5.3684873332350165</v>
      </c>
      <c r="V11" s="740">
        <f>VLOOKUP($C11,'[2]Breakdown EU havens'!$J$68:$P$95,V$2,0)/TableB10!$E$229</f>
        <v>1469.6801400113766</v>
      </c>
      <c r="W11" s="739">
        <f t="shared" si="9"/>
        <v>5101.4366173796589</v>
      </c>
      <c r="X11" s="678">
        <f>VLOOKUP($C11,'[2]Breakdown non-EU havens'!$F$59:$H$86,3,0)/TableB10!$E$229</f>
        <v>4133.5080638454892</v>
      </c>
      <c r="Y11" s="593">
        <f>VLOOKUP($C11,'[2]Breakdown non-EU havens'!$F$59:$H$86,2,0)/TableB10!$E$229</f>
        <v>967.92855353417008</v>
      </c>
      <c r="Z11" s="431"/>
      <c r="AA11" s="552">
        <f>+TableB2!L12/TableB2!$L$91</f>
        <v>2.307033494060028E-2</v>
      </c>
      <c r="AB11" s="552"/>
      <c r="AC11" s="552">
        <f t="shared" si="10"/>
        <v>0</v>
      </c>
      <c r="AD11" s="552">
        <f t="shared" si="11"/>
        <v>0</v>
      </c>
      <c r="AE11" s="552">
        <f t="shared" si="12"/>
        <v>0</v>
      </c>
      <c r="AF11" s="552"/>
      <c r="AG11" s="552"/>
      <c r="AH11" s="552">
        <f t="shared" si="2"/>
        <v>0</v>
      </c>
      <c r="AI11" s="552"/>
      <c r="AJ11" s="552">
        <f t="shared" si="3"/>
        <v>0</v>
      </c>
    </row>
    <row r="12" spans="3:36" ht="14.25" customHeight="1" x14ac:dyDescent="0.35">
      <c r="C12" s="95" t="s">
        <v>56</v>
      </c>
      <c r="D12" s="739">
        <f t="shared" si="4"/>
        <v>2283.9205579816144</v>
      </c>
      <c r="E12" s="739">
        <f t="shared" si="5"/>
        <v>1244.8951011342494</v>
      </c>
      <c r="F12" s="740">
        <f>HLOOKUP($C12,'[2]Interest shifted to EU'!$L$12:$AT$18,F$2,0)/TableB10!$E$229</f>
        <v>143.03730345242059</v>
      </c>
      <c r="G12" s="740">
        <f>HLOOKUP($C12,'[2]Interest shifted to EU'!$L$12:$AT$18,G$2,0)/TableB10!$E$229</f>
        <v>0</v>
      </c>
      <c r="H12" s="740">
        <f>HLOOKUP($C12,'[2]Interest shifted to EU'!$L$12:$AT$18,H$2,0)/TableB10!$E$229</f>
        <v>57.116936668962438</v>
      </c>
      <c r="I12" s="740">
        <f>HLOOKUP($C12,'[2]Interest shifted to EU'!$L$12:$AT$18,I$2,0)/TableB10!$E$229</f>
        <v>564.84768632043824</v>
      </c>
      <c r="J12" s="740">
        <f>HLOOKUP($C12,'[2]Interest shifted to EU'!$L$12:$AT$18,J$2,0)/TableB10!$E$229</f>
        <v>5.2126136377499703</v>
      </c>
      <c r="K12" s="740">
        <f>HLOOKUP($C12,'[2]Interest shifted to EU'!$L$12:$AT$18,K$2,0)/TableB10!$E$229</f>
        <v>474.68056105467809</v>
      </c>
      <c r="L12" s="739">
        <f t="shared" si="6"/>
        <v>1039.0254568473651</v>
      </c>
      <c r="M12" s="678">
        <f>AC12*'[2]Non-EU tax havens'!$M$8</f>
        <v>162.88021614019991</v>
      </c>
      <c r="N12" s="1328">
        <f>AC12*'[2]Non-EU tax havens'!$M$13</f>
        <v>876.14524070716527</v>
      </c>
      <c r="O12" s="739">
        <f t="shared" si="7"/>
        <v>17546.581021146125</v>
      </c>
      <c r="P12" s="739">
        <f t="shared" si="8"/>
        <v>2253.5229529054918</v>
      </c>
      <c r="Q12" s="740">
        <f>HLOOKUP($C12,'[2]Non EU income shifted to EU'!$A$2:$AI$18,Q$2+10,0)/TableB10!$E$229</f>
        <v>121.41048213577601</v>
      </c>
      <c r="R12" s="740">
        <f>HLOOKUP($C12,'[2]Non EU income shifted to EU'!$A$2:$AI$18,R$2+10,0)/TableB10!$E$229</f>
        <v>1.7670350798107419</v>
      </c>
      <c r="S12" s="740">
        <f>HLOOKUP($C12,'[2]Non EU income shifted to EU'!$A$2:$AI$18,S$2+10,0)/TableB10!$E$229</f>
        <v>584.51204363733041</v>
      </c>
      <c r="T12" s="740">
        <f>HLOOKUP($C12,'[2]Non EU income shifted to EU'!$A$2:$AI$18,T$2+10,0)/TableB10!$E$229</f>
        <v>580.47797626635418</v>
      </c>
      <c r="U12" s="740">
        <f>HLOOKUP($C12,'[2]Non EU income shifted to EU'!$A$2:$AI$18,U$2+10,0)/TableB10!$E$229</f>
        <v>7.622889440909316</v>
      </c>
      <c r="V12" s="740">
        <f>HLOOKUP($C12,'[2]Non EU income shifted to EU'!$A$2:$AI$18,V$2+10,0)/TableB10!$E$229</f>
        <v>957.73252634531104</v>
      </c>
      <c r="W12" s="739">
        <f t="shared" si="9"/>
        <v>15293.058068240633</v>
      </c>
      <c r="X12" s="678">
        <f>AE12*'[2]Non-EU tax havens'!$O$8</f>
        <v>1177.9762586273903</v>
      </c>
      <c r="Y12" s="593">
        <f>AE12*'[2]Non-EU tax havens'!$O$13</f>
        <v>14115.081809613243</v>
      </c>
      <c r="Z12" s="431"/>
      <c r="AA12" s="552">
        <f>+TableB2!L13/TableB2!$L$91</f>
        <v>2.2456949601109763E-2</v>
      </c>
      <c r="AB12" s="552">
        <f>+AA12</f>
        <v>2.2456949601109763E-2</v>
      </c>
      <c r="AC12" s="552">
        <f t="shared" si="10"/>
        <v>5.3146483334998697E-2</v>
      </c>
      <c r="AD12" s="552">
        <f t="shared" si="11"/>
        <v>2.2456949601109763E-2</v>
      </c>
      <c r="AE12" s="552">
        <f t="shared" si="12"/>
        <v>8.7722401765598104E-2</v>
      </c>
      <c r="AF12" s="552"/>
      <c r="AG12" s="552"/>
      <c r="AH12" s="552">
        <f t="shared" si="2"/>
        <v>0</v>
      </c>
      <c r="AI12" s="552"/>
      <c r="AJ12" s="552">
        <f t="shared" si="3"/>
        <v>0</v>
      </c>
    </row>
    <row r="13" spans="3:36" ht="14.25" customHeight="1" x14ac:dyDescent="0.35">
      <c r="C13" s="95" t="s">
        <v>57</v>
      </c>
      <c r="D13" s="739">
        <f t="shared" si="4"/>
        <v>710.26963317488435</v>
      </c>
      <c r="E13" s="739">
        <f t="shared" si="5"/>
        <v>431.90496559550559</v>
      </c>
      <c r="F13" s="740">
        <f>HLOOKUP($C13,'[2]Interest shifted to EU'!$L$12:$AT$18,F$2,0)/TableB10!$E$229</f>
        <v>17.224914711523891</v>
      </c>
      <c r="G13" s="740">
        <f>HLOOKUP($C13,'[2]Interest shifted to EU'!$L$12:$AT$18,G$2,0)/TableB10!$E$229</f>
        <v>0</v>
      </c>
      <c r="H13" s="740">
        <f>HLOOKUP($C13,'[2]Interest shifted to EU'!$L$12:$AT$18,H$2,0)/TableB10!$E$229</f>
        <v>0</v>
      </c>
      <c r="I13" s="740">
        <f>HLOOKUP($C13,'[2]Interest shifted to EU'!$L$12:$AT$18,I$2,0)/TableB10!$E$229</f>
        <v>124.32638059399397</v>
      </c>
      <c r="J13" s="740">
        <f>HLOOKUP($C13,'[2]Interest shifted to EU'!$L$12:$AT$18,J$2,0)/TableB10!$E$229</f>
        <v>1.9963201165850948</v>
      </c>
      <c r="K13" s="740">
        <f>HLOOKUP($C13,'[2]Interest shifted to EU'!$L$12:$AT$18,K$2,0)/TableB10!$E$229</f>
        <v>288.35735017340261</v>
      </c>
      <c r="L13" s="739">
        <f t="shared" si="6"/>
        <v>278.3646675793787</v>
      </c>
      <c r="M13" s="678">
        <f>AC13*'[2]Non-EU tax havens'!$M$8</f>
        <v>43.637137976095467</v>
      </c>
      <c r="N13" s="1328">
        <f>AC13*'[2]Non-EU tax havens'!$M$13</f>
        <v>234.72752960328322</v>
      </c>
      <c r="O13" s="739">
        <f t="shared" si="7"/>
        <v>4722.143705084889</v>
      </c>
      <c r="P13" s="739">
        <f t="shared" si="8"/>
        <v>624.98997570970164</v>
      </c>
      <c r="Q13" s="740">
        <f>HLOOKUP($C13,'[2]Non EU income shifted to EU'!$A$2:$AI$18,Q$2+10,0)/TableB10!$E$229</f>
        <v>27.65163844237718</v>
      </c>
      <c r="R13" s="740">
        <f>HLOOKUP($C13,'[2]Non EU income shifted to EU'!$A$2:$AI$18,R$2+10,0)/TableB10!$E$229</f>
        <v>0</v>
      </c>
      <c r="S13" s="740">
        <f>HLOOKUP($C13,'[2]Non EU income shifted to EU'!$A$2:$AI$18,S$2+10,0)/TableB10!$E$229</f>
        <v>260.54614246446312</v>
      </c>
      <c r="T13" s="740">
        <f>HLOOKUP($C13,'[2]Non EU income shifted to EU'!$A$2:$AI$18,T$2+10,0)/TableB10!$E$229</f>
        <v>155.35396109840946</v>
      </c>
      <c r="U13" s="740">
        <f>HLOOKUP($C13,'[2]Non EU income shifted to EU'!$A$2:$AI$18,U$2+10,0)/TableB10!$E$229</f>
        <v>36.526345237690464</v>
      </c>
      <c r="V13" s="740">
        <f>HLOOKUP($C13,'[2]Non EU income shifted to EU'!$A$2:$AI$18,V$2+10,0)/TableB10!$E$229</f>
        <v>144.91188846676135</v>
      </c>
      <c r="W13" s="739">
        <f t="shared" si="9"/>
        <v>4097.1537293751871</v>
      </c>
      <c r="X13" s="678">
        <f>AE13*'[2]Non-EU tax havens'!$O$8</f>
        <v>315.59089095290943</v>
      </c>
      <c r="Y13" s="593">
        <f>AE13*'[2]Non-EU tax havens'!$O$13</f>
        <v>3781.5628384222773</v>
      </c>
      <c r="Z13" s="431"/>
      <c r="AA13" s="552">
        <f>+TableB2!L14/TableB2!$L$91</f>
        <v>6.0164274795801243E-3</v>
      </c>
      <c r="AB13" s="552">
        <f>+AA13</f>
        <v>6.0164274795801243E-3</v>
      </c>
      <c r="AC13" s="552">
        <f t="shared" si="10"/>
        <v>1.4238441482895431E-2</v>
      </c>
      <c r="AD13" s="552">
        <f t="shared" si="11"/>
        <v>6.0164274795801243E-3</v>
      </c>
      <c r="AE13" s="552">
        <f t="shared" si="12"/>
        <v>2.3501654406849235E-2</v>
      </c>
      <c r="AF13" s="552"/>
      <c r="AG13" s="552"/>
      <c r="AH13" s="552">
        <f t="shared" si="2"/>
        <v>0</v>
      </c>
      <c r="AI13" s="552"/>
      <c r="AJ13" s="552">
        <f t="shared" si="3"/>
        <v>0</v>
      </c>
    </row>
    <row r="14" spans="3:36" ht="14.25" customHeight="1" x14ac:dyDescent="0.35">
      <c r="C14" s="95" t="s">
        <v>58</v>
      </c>
      <c r="D14" s="739">
        <f t="shared" si="4"/>
        <v>172.84660200291393</v>
      </c>
      <c r="E14" s="739">
        <f t="shared" si="5"/>
        <v>141.65050856105915</v>
      </c>
      <c r="F14" s="740">
        <f>VLOOKUP($C14,'[2]Breakdown EU havens'!$S$68:$Y$98,F$2,0)/TableB10!$E$229</f>
        <v>8.8818583146581904</v>
      </c>
      <c r="G14" s="740">
        <f>VLOOKUP($C14,'[2]Breakdown EU havens'!$S$68:$Y$98,G$2,0)/TableB10!$E$229</f>
        <v>2.0757468024937831</v>
      </c>
      <c r="H14" s="740">
        <f>VLOOKUP($C14,'[2]Breakdown EU havens'!$S$68:$Y$98,H$2,0)/TableB10!$E$229</f>
        <v>2.1406920531597518</v>
      </c>
      <c r="I14" s="740">
        <f>VLOOKUP($C14,'[2]Breakdown EU havens'!$S$68:$Y$98,I$2,0)/TableB10!$E$229</f>
        <v>71.378074480654732</v>
      </c>
      <c r="J14" s="740">
        <f>VLOOKUP($C14,'[2]Breakdown EU havens'!$S$68:$Y$98,J$2,0)/TableB10!$E$229</f>
        <v>1.0213596199050967</v>
      </c>
      <c r="K14" s="740">
        <f>VLOOKUP($C14,'[2]Breakdown EU havens'!$S$68:$Y$98,K$2,0)/TableB10!$E$229</f>
        <v>56.152777290187601</v>
      </c>
      <c r="L14" s="739">
        <f t="shared" si="6"/>
        <v>31.196093441854771</v>
      </c>
      <c r="M14" s="678">
        <f>VLOOKUP($C14,'[2]Breakdown non-EU havens'!$K$59:$M$86,3,0)/TableB10!$E$229</f>
        <v>30.449195907186297</v>
      </c>
      <c r="N14" s="1328">
        <f>VLOOKUP($C14,'[2]Breakdown non-EU havens'!$K$59:$M$86,2,0)/TableB10!$E$229</f>
        <v>0.74689753466847286</v>
      </c>
      <c r="O14" s="739">
        <f t="shared" si="7"/>
        <v>1672.8924464815741</v>
      </c>
      <c r="P14" s="739">
        <f t="shared" si="8"/>
        <v>1335.739516194988</v>
      </c>
      <c r="Q14" s="740">
        <f>VLOOKUP($C14,'[2]Breakdown EU havens'!$J$68:$P$95,Q$2,0)/TableB10!$E$229</f>
        <v>278.21882105452659</v>
      </c>
      <c r="R14" s="740">
        <f>VLOOKUP($C14,'[2]Breakdown EU havens'!$J$68:$P$95,R$2,0)/TableB10!$E$229</f>
        <v>14.114259537785728</v>
      </c>
      <c r="S14" s="740">
        <f>VLOOKUP($C14,'[2]Breakdown EU havens'!$J$68:$P$95,S$2,0)/TableB10!$E$229</f>
        <v>276.44845493855576</v>
      </c>
      <c r="T14" s="740">
        <f>VLOOKUP($C14,'[2]Breakdown EU havens'!$J$68:$P$95,T$2,0)/TableB10!$E$229</f>
        <v>293.9155035965847</v>
      </c>
      <c r="U14" s="740">
        <f>VLOOKUP($C14,'[2]Breakdown EU havens'!$J$68:$P$95,U$2,0)/TableB10!$E$229</f>
        <v>4.3842646554752633</v>
      </c>
      <c r="V14" s="740">
        <f>VLOOKUP($C14,'[2]Breakdown EU havens'!$J$68:$P$95,V$2,0)/TableB10!$E$229</f>
        <v>468.65821241205992</v>
      </c>
      <c r="W14" s="739">
        <f t="shared" si="9"/>
        <v>337.15293028658618</v>
      </c>
      <c r="X14" s="678">
        <f>VLOOKUP($C14,'[2]Breakdown non-EU havens'!$F$59:$H$86,3,0)/TableB10!$E$229</f>
        <v>301.6785944667044</v>
      </c>
      <c r="Y14" s="593">
        <f>VLOOKUP($C14,'[2]Breakdown non-EU havens'!$F$59:$H$86,2,0)/TableB10!$E$229</f>
        <v>35.474335819881766</v>
      </c>
      <c r="Z14" s="431"/>
      <c r="AA14" s="552">
        <f>+TableB2!L15/TableB2!$L$91</f>
        <v>3.5917694478059007E-3</v>
      </c>
      <c r="AB14" s="552"/>
      <c r="AC14" s="552">
        <f t="shared" si="10"/>
        <v>0</v>
      </c>
      <c r="AD14" s="552">
        <f t="shared" si="11"/>
        <v>0</v>
      </c>
      <c r="AE14" s="552">
        <f t="shared" si="12"/>
        <v>0</v>
      </c>
      <c r="AF14" s="552"/>
      <c r="AG14" s="552"/>
      <c r="AH14" s="552">
        <f t="shared" si="2"/>
        <v>0</v>
      </c>
      <c r="AI14" s="552"/>
      <c r="AJ14" s="552">
        <f t="shared" si="3"/>
        <v>0</v>
      </c>
    </row>
    <row r="15" spans="3:36" ht="14.25" customHeight="1" x14ac:dyDescent="0.35">
      <c r="C15" s="95" t="s">
        <v>59</v>
      </c>
      <c r="D15" s="739">
        <f t="shared" si="4"/>
        <v>285.99189464829203</v>
      </c>
      <c r="E15" s="739">
        <f t="shared" si="5"/>
        <v>239.90777355527123</v>
      </c>
      <c r="F15" s="740">
        <f>VLOOKUP($C15,'[2]Breakdown EU havens'!$S$68:$Y$98,F$2,0)/TableB10!$E$229</f>
        <v>11.127845474686701</v>
      </c>
      <c r="G15" s="740">
        <f>VLOOKUP($C15,'[2]Breakdown EU havens'!$S$68:$Y$98,G$2,0)/TableB10!$E$229</f>
        <v>0</v>
      </c>
      <c r="H15" s="740">
        <f>VLOOKUP($C15,'[2]Breakdown EU havens'!$S$68:$Y$98,H$2,0)/TableB10!$E$229</f>
        <v>121.43562192469862</v>
      </c>
      <c r="I15" s="740">
        <f>VLOOKUP($C15,'[2]Breakdown EU havens'!$S$68:$Y$98,I$2,0)/TableB10!$E$229</f>
        <v>77.575240637114675</v>
      </c>
      <c r="J15" s="740">
        <f>VLOOKUP($C15,'[2]Breakdown EU havens'!$S$68:$Y$98,J$2,0)/TableB10!$E$229</f>
        <v>0.61281577194305803</v>
      </c>
      <c r="K15" s="740">
        <f>VLOOKUP($C15,'[2]Breakdown EU havens'!$S$68:$Y$98,K$2,0)/TableB10!$E$229</f>
        <v>29.156249746828173</v>
      </c>
      <c r="L15" s="739">
        <f t="shared" si="6"/>
        <v>46.084121093020769</v>
      </c>
      <c r="M15" s="678">
        <f>VLOOKUP($C15,'[2]Breakdown non-EU havens'!$K$59:$M$86,3,0)/TableB10!$E$229</f>
        <v>40.108940815672987</v>
      </c>
      <c r="N15" s="1328">
        <f>VLOOKUP($C15,'[2]Breakdown non-EU havens'!$K$59:$M$86,2,0)/TableB10!$E$229</f>
        <v>5.9751802773477829</v>
      </c>
      <c r="O15" s="739">
        <f t="shared" si="7"/>
        <v>2818.9490395511948</v>
      </c>
      <c r="P15" s="739">
        <f t="shared" si="8"/>
        <v>2204.3925260140882</v>
      </c>
      <c r="Q15" s="740">
        <f>VLOOKUP($C15,'[2]Breakdown EU havens'!$J$68:$P$95,Q$2,0)/TableB10!$E$229</f>
        <v>315.05342553216809</v>
      </c>
      <c r="R15" s="740">
        <f>VLOOKUP($C15,'[2]Breakdown EU havens'!$J$68:$P$95,R$2,0)/TableB10!$E$229</f>
        <v>0.73130878434122937</v>
      </c>
      <c r="S15" s="740">
        <f>VLOOKUP($C15,'[2]Breakdown EU havens'!$J$68:$P$95,S$2,0)/TableB10!$E$229</f>
        <v>1103.7460534213446</v>
      </c>
      <c r="T15" s="740">
        <f>VLOOKUP($C15,'[2]Breakdown EU havens'!$J$68:$P$95,T$2,0)/TableB10!$E$229</f>
        <v>396.9938373225649</v>
      </c>
      <c r="U15" s="740">
        <f>VLOOKUP($C15,'[2]Breakdown EU havens'!$J$68:$P$95,U$2,0)/TableB10!$E$229</f>
        <v>12.34752086644054</v>
      </c>
      <c r="V15" s="740">
        <f>VLOOKUP($C15,'[2]Breakdown EU havens'!$J$68:$P$95,V$2,0)/TableB10!$E$229</f>
        <v>375.52038008722826</v>
      </c>
      <c r="W15" s="739">
        <f t="shared" si="9"/>
        <v>614.55651353710687</v>
      </c>
      <c r="X15" s="678">
        <f>VLOOKUP($C15,'[2]Breakdown non-EU havens'!$F$59:$H$86,3,0)/TableB10!$E$229</f>
        <v>344.32265341335381</v>
      </c>
      <c r="Y15" s="593">
        <f>VLOOKUP($C15,'[2]Breakdown non-EU havens'!$F$59:$H$86,2,0)/TableB10!$E$229</f>
        <v>270.23386012375306</v>
      </c>
      <c r="Z15" s="431"/>
      <c r="AA15" s="552">
        <f>+TableB2!L16/TableB2!$L$91</f>
        <v>3.2805903994461813E-3</v>
      </c>
      <c r="AB15" s="552"/>
      <c r="AC15" s="552">
        <f t="shared" si="10"/>
        <v>0</v>
      </c>
      <c r="AD15" s="552">
        <f t="shared" si="11"/>
        <v>0</v>
      </c>
      <c r="AE15" s="552">
        <f t="shared" si="12"/>
        <v>0</v>
      </c>
      <c r="AF15" s="552"/>
      <c r="AG15" s="552"/>
      <c r="AH15" s="552">
        <f t="shared" si="2"/>
        <v>0</v>
      </c>
      <c r="AI15" s="552"/>
      <c r="AJ15" s="552">
        <f t="shared" si="3"/>
        <v>0</v>
      </c>
    </row>
    <row r="16" spans="3:36" ht="14.25" customHeight="1" x14ac:dyDescent="0.35">
      <c r="C16" s="455" t="s">
        <v>60</v>
      </c>
      <c r="D16" s="739">
        <f t="shared" si="4"/>
        <v>32.292965550434353</v>
      </c>
      <c r="E16" s="739">
        <f t="shared" si="5"/>
        <v>25.201971445662124</v>
      </c>
      <c r="F16" s="740">
        <f>VLOOKUP($C16,'[2]Breakdown EU havens'!$S$68:$Y$98,F$2,0)/TableB10!$E$229</f>
        <v>0.91881292910257151</v>
      </c>
      <c r="G16" s="740">
        <f>VLOOKUP($C16,'[2]Breakdown EU havens'!$S$68:$Y$98,G$2,0)/TableB10!$E$229</f>
        <v>0</v>
      </c>
      <c r="H16" s="740">
        <f>VLOOKUP($C16,'[2]Breakdown EU havens'!$S$68:$Y$98,H$2,0)/TableB10!$E$229</f>
        <v>3.6975590009122983</v>
      </c>
      <c r="I16" s="740">
        <f>VLOOKUP($C16,'[2]Breakdown EU havens'!$S$68:$Y$98,I$2,0)/TableB10!$E$229</f>
        <v>7.5251303328442205</v>
      </c>
      <c r="J16" s="740">
        <f>VLOOKUP($C16,'[2]Breakdown EU havens'!$S$68:$Y$98,J$2,0)/TableB10!$E$229</f>
        <v>0.10213596199050969</v>
      </c>
      <c r="K16" s="740">
        <f>VLOOKUP($C16,'[2]Breakdown EU havens'!$S$68:$Y$98,K$2,0)/TableB10!$E$229</f>
        <v>12.958333220812523</v>
      </c>
      <c r="L16" s="739">
        <f t="shared" si="6"/>
        <v>7.0909941047722294</v>
      </c>
      <c r="M16" s="678">
        <f>VLOOKUP($C16,'[2]Breakdown non-EU havens'!$K$59:$M$86,3,0)/TableB10!$E$229</f>
        <v>3.5699057270494281</v>
      </c>
      <c r="N16" s="1328">
        <f>VLOOKUP($C16,'[2]Breakdown non-EU havens'!$K$59:$M$86,2,0)/TableB10!$E$229</f>
        <v>3.5210883777228013</v>
      </c>
      <c r="O16" s="739">
        <f t="shared" si="7"/>
        <v>223.18092054627817</v>
      </c>
      <c r="P16" s="739">
        <f t="shared" si="8"/>
        <v>157.98744614477172</v>
      </c>
      <c r="Q16" s="740">
        <f>VLOOKUP($C16,'[2]Breakdown EU havens'!$J$68:$P$95,Q$2,0)/TableB10!$E$229</f>
        <v>30.564884566553623</v>
      </c>
      <c r="R16" s="740">
        <f>VLOOKUP($C16,'[2]Breakdown EU havens'!$J$68:$P$95,R$2,0)/TableB10!$E$229</f>
        <v>1.023832298077721</v>
      </c>
      <c r="S16" s="740">
        <f>VLOOKUP($C16,'[2]Breakdown EU havens'!$J$68:$P$95,S$2,0)/TableB10!$E$229</f>
        <v>10.238831664390952</v>
      </c>
      <c r="T16" s="740">
        <f>VLOOKUP($C16,'[2]Breakdown EU havens'!$J$68:$P$95,T$2,0)/TableB10!$E$229</f>
        <v>105.04798341501166</v>
      </c>
      <c r="U16" s="740">
        <f>VLOOKUP($C16,'[2]Breakdown EU havens'!$J$68:$P$95,U$2,0)/TableB10!$E$229</f>
        <v>0.26842436666175085</v>
      </c>
      <c r="V16" s="740">
        <f>VLOOKUP($C16,'[2]Breakdown EU havens'!$J$68:$P$95,V$2,0)/TableB10!$E$229</f>
        <v>10.843489834076033</v>
      </c>
      <c r="W16" s="739">
        <f t="shared" si="9"/>
        <v>65.19347440150645</v>
      </c>
      <c r="X16" s="678">
        <f>VLOOKUP($C16,'[2]Breakdown non-EU havens'!$F$59:$H$86,3,0)/TableB10!$E$229</f>
        <v>41.314627852389357</v>
      </c>
      <c r="Y16" s="593">
        <f>VLOOKUP($C16,'[2]Breakdown non-EU havens'!$F$59:$H$86,2,0)/TableB10!$E$229</f>
        <v>23.878846549117089</v>
      </c>
      <c r="Z16" s="431"/>
      <c r="AA16" s="552">
        <f>+TableB2!L17/TableB2!$L$91</f>
        <v>5.929502460818286E-4</v>
      </c>
      <c r="AB16" s="552"/>
      <c r="AC16" s="552">
        <f t="shared" si="10"/>
        <v>0</v>
      </c>
      <c r="AD16" s="552">
        <f t="shared" si="11"/>
        <v>0</v>
      </c>
      <c r="AE16" s="552">
        <f t="shared" si="12"/>
        <v>0</v>
      </c>
      <c r="AF16" s="552"/>
      <c r="AG16" s="552"/>
      <c r="AH16" s="552">
        <f t="shared" si="2"/>
        <v>0</v>
      </c>
      <c r="AI16" s="552"/>
      <c r="AJ16" s="552">
        <f t="shared" si="3"/>
        <v>0</v>
      </c>
    </row>
    <row r="17" spans="1:36" ht="14.25" customHeight="1" x14ac:dyDescent="0.35">
      <c r="C17" s="95" t="s">
        <v>61</v>
      </c>
      <c r="D17" s="739">
        <f t="shared" si="4"/>
        <v>339.59945949398292</v>
      </c>
      <c r="E17" s="739">
        <f t="shared" si="5"/>
        <v>242.80172151263542</v>
      </c>
      <c r="F17" s="740">
        <f>VLOOKUP($C17,'[2]Breakdown EU havens'!$S$68:$Y$98,F$2,0)/TableB10!$E$229</f>
        <v>9.9027615692166044</v>
      </c>
      <c r="G17" s="740">
        <f>VLOOKUP($C17,'[2]Breakdown EU havens'!$S$68:$Y$98,G$2,0)/TableB10!$E$229</f>
        <v>0</v>
      </c>
      <c r="H17" s="740">
        <f>VLOOKUP($C17,'[2]Breakdown EU havens'!$S$68:$Y$98,H$2,0)/TableB10!$E$229</f>
        <v>36.586373272184836</v>
      </c>
      <c r="I17" s="740">
        <f>VLOOKUP($C17,'[2]Breakdown EU havens'!$S$68:$Y$98,I$2,0)/TableB10!$E$229</f>
        <v>87.202980915900696</v>
      </c>
      <c r="J17" s="740">
        <f>VLOOKUP($C17,'[2]Breakdown EU havens'!$S$68:$Y$98,J$2,0)/TableB10!$E$229</f>
        <v>1.1234955818956067</v>
      </c>
      <c r="K17" s="740">
        <f>VLOOKUP($C17,'[2]Breakdown EU havens'!$S$68:$Y$98,K$2,0)/TableB10!$E$229</f>
        <v>107.98611017343769</v>
      </c>
      <c r="L17" s="739">
        <f t="shared" si="6"/>
        <v>96.797737981347495</v>
      </c>
      <c r="M17" s="678">
        <f>VLOOKUP($C17,'[2]Breakdown non-EU havens'!$K$59:$M$86,3,0)/TableB10!$E$229</f>
        <v>71.08312285919007</v>
      </c>
      <c r="N17" s="1328">
        <f>VLOOKUP($C17,'[2]Breakdown non-EU havens'!$K$59:$M$86,2,0)/TableB10!$E$229</f>
        <v>25.714615122157426</v>
      </c>
      <c r="O17" s="739">
        <f t="shared" si="7"/>
        <v>2506.509427583429</v>
      </c>
      <c r="P17" s="739">
        <f t="shared" si="8"/>
        <v>1586.266735013724</v>
      </c>
      <c r="Q17" s="740">
        <f>VLOOKUP($C17,'[2]Breakdown EU havens'!$J$68:$P$95,Q$2,0)/TableB10!$E$229</f>
        <v>206.19541357590407</v>
      </c>
      <c r="R17" s="740">
        <f>VLOOKUP($C17,'[2]Breakdown EU havens'!$J$68:$P$95,R$2,0)/TableB10!$E$229</f>
        <v>0.73130878434122937</v>
      </c>
      <c r="S17" s="740">
        <f>VLOOKUP($C17,'[2]Breakdown EU havens'!$J$68:$P$95,S$2,0)/TableB10!$E$229</f>
        <v>788.49242647474739</v>
      </c>
      <c r="T17" s="740">
        <f>VLOOKUP($C17,'[2]Breakdown EU havens'!$J$68:$P$95,T$2,0)/TableB10!$E$229</f>
        <v>438.02820584405379</v>
      </c>
      <c r="U17" s="740">
        <f>VLOOKUP($C17,'[2]Breakdown EU havens'!$J$68:$P$95,U$2,0)/TableB10!$E$229</f>
        <v>2.236869722181257</v>
      </c>
      <c r="V17" s="740">
        <f>VLOOKUP($C17,'[2]Breakdown EU havens'!$J$68:$P$95,V$2,0)/TableB10!$E$229</f>
        <v>150.58251061249632</v>
      </c>
      <c r="W17" s="739">
        <f t="shared" si="9"/>
        <v>920.24269256970524</v>
      </c>
      <c r="X17" s="678">
        <f>VLOOKUP($C17,'[2]Breakdown non-EU havens'!$F$59:$H$86,3,0)/TableB10!$E$229</f>
        <v>358.84413151988673</v>
      </c>
      <c r="Y17" s="593">
        <f>VLOOKUP($C17,'[2]Breakdown non-EU havens'!$F$59:$H$86,2,0)/TableB10!$E$229</f>
        <v>561.39856104981857</v>
      </c>
      <c r="Z17" s="431"/>
      <c r="AA17" s="552">
        <f>+TableB2!L18/TableB2!$L$91</f>
        <v>2.1673389492316785E-3</v>
      </c>
      <c r="AB17" s="552"/>
      <c r="AC17" s="552">
        <f t="shared" si="10"/>
        <v>0</v>
      </c>
      <c r="AD17" s="552">
        <f t="shared" si="11"/>
        <v>0</v>
      </c>
      <c r="AE17" s="552">
        <f t="shared" si="12"/>
        <v>0</v>
      </c>
      <c r="AF17" s="552"/>
      <c r="AG17" s="552"/>
      <c r="AH17" s="552">
        <f t="shared" si="2"/>
        <v>0</v>
      </c>
      <c r="AI17" s="552"/>
      <c r="AJ17" s="552">
        <f t="shared" si="3"/>
        <v>0</v>
      </c>
    </row>
    <row r="18" spans="1:36" ht="14.25" customHeight="1" x14ac:dyDescent="0.35">
      <c r="C18" s="455" t="s">
        <v>48</v>
      </c>
      <c r="D18" s="739">
        <f t="shared" si="4"/>
        <v>6202.508420881526</v>
      </c>
      <c r="E18" s="739">
        <f t="shared" si="5"/>
        <v>5904.0043312833968</v>
      </c>
      <c r="F18" s="740">
        <f>VLOOKUP($C18,'[2]Breakdown EU havens'!$S$68:$Y$98,F$2,0)/TableB10!$E$229</f>
        <v>1059.6975782316326</v>
      </c>
      <c r="G18" s="740">
        <f>VLOOKUP($C18,'[2]Breakdown EU havens'!$S$68:$Y$98,G$2,0)/TableB10!$E$229</f>
        <v>0</v>
      </c>
      <c r="H18" s="740">
        <f>VLOOKUP($C18,'[2]Breakdown EU havens'!$S$68:$Y$98,H$2,0)/TableB10!$E$229</f>
        <v>140.11802529772916</v>
      </c>
      <c r="I18" s="740">
        <f>VLOOKUP($C18,'[2]Breakdown EU havens'!$S$68:$Y$98,I$2,0)/TableB10!$E$229</f>
        <v>3044.911192767775</v>
      </c>
      <c r="J18" s="740">
        <f>VLOOKUP($C18,'[2]Breakdown EU havens'!$S$68:$Y$98,J$2,0)/TableB10!$E$229</f>
        <v>15.728938146538491</v>
      </c>
      <c r="K18" s="740">
        <f>VLOOKUP($C18,'[2]Breakdown EU havens'!$S$68:$Y$98,K$2,0)/TableB10!$E$229</f>
        <v>1643.5485968397218</v>
      </c>
      <c r="L18" s="739">
        <f t="shared" si="6"/>
        <v>298.50408959812955</v>
      </c>
      <c r="M18" s="678">
        <f>VLOOKUP($C18,'[2]Breakdown non-EU havens'!$K$59:$M$86,3,0)/TableB10!$E$229</f>
        <v>213.14437135030408</v>
      </c>
      <c r="N18" s="1328">
        <f>VLOOKUP($C18,'[2]Breakdown non-EU havens'!$K$59:$M$86,2,0)/TableB10!$E$229</f>
        <v>85.359718247825484</v>
      </c>
      <c r="O18" s="739">
        <f t="shared" si="7"/>
        <v>27432.600642793856</v>
      </c>
      <c r="P18" s="739">
        <f t="shared" si="8"/>
        <v>19461.497768223173</v>
      </c>
      <c r="Q18" s="740">
        <f>VLOOKUP($C18,'[2]Breakdown EU havens'!$J$68:$P$95,Q$2,0)/TableB10!$E$229</f>
        <v>5436.6308779021147</v>
      </c>
      <c r="R18" s="740">
        <f>VLOOKUP($C18,'[2]Breakdown EU havens'!$J$68:$P$95,R$2,0)/TableB10!$E$229</f>
        <v>15.869400620204678</v>
      </c>
      <c r="S18" s="740">
        <f>VLOOKUP($C18,'[2]Breakdown EU havens'!$J$68:$P$95,S$2,0)/TableB10!$E$229</f>
        <v>5394.8404039675934</v>
      </c>
      <c r="T18" s="740">
        <f>VLOOKUP($C18,'[2]Breakdown EU havens'!$J$68:$P$95,T$2,0)/TableB10!$E$229</f>
        <v>6259.7655617074552</v>
      </c>
      <c r="U18" s="740">
        <f>VLOOKUP($C18,'[2]Breakdown EU havens'!$J$68:$P$95,U$2,0)/TableB10!$E$229</f>
        <v>49.569033043536649</v>
      </c>
      <c r="V18" s="740">
        <f>VLOOKUP($C18,'[2]Breakdown EU havens'!$J$68:$P$95,V$2,0)/TableB10!$E$229</f>
        <v>2304.8224909822679</v>
      </c>
      <c r="W18" s="739">
        <f t="shared" si="9"/>
        <v>7971.1028745706808</v>
      </c>
      <c r="X18" s="678">
        <f>VLOOKUP($C18,'[3]FDI DIRE EQ in non-OECD'!$A$5:$D$208,4,0)*'[2]Non-EU tax havens'!$O$8</f>
        <v>613.98903341776418</v>
      </c>
      <c r="Y18" s="593">
        <f>VLOOKUP($C18,'[3]FDI DIRE EQ in non-OECD'!$A$5:$D$208,4,0)*'[2]Non-EU tax havens'!$O$13</f>
        <v>7357.1138411529164</v>
      </c>
      <c r="Z18" s="431"/>
      <c r="AA18" s="552">
        <f>+TableB2!L19/TableB2!$L$91</f>
        <v>2.05890434097546E-2</v>
      </c>
      <c r="AB18" s="552"/>
      <c r="AC18" s="552">
        <f t="shared" si="10"/>
        <v>0</v>
      </c>
      <c r="AD18" s="552">
        <f t="shared" si="11"/>
        <v>0</v>
      </c>
      <c r="AE18" s="552">
        <f t="shared" si="12"/>
        <v>0</v>
      </c>
      <c r="AF18" s="552"/>
      <c r="AG18" s="552"/>
      <c r="AH18" s="552">
        <f t="shared" si="2"/>
        <v>0</v>
      </c>
      <c r="AI18" s="552"/>
      <c r="AJ18" s="552">
        <f t="shared" si="3"/>
        <v>0</v>
      </c>
    </row>
    <row r="19" spans="1:36" ht="14.25" customHeight="1" x14ac:dyDescent="0.35">
      <c r="B19" s="1" t="str">
        <f>+TableC1!B19</f>
        <v>Germany (until 1990 former territory of the FRG)</v>
      </c>
      <c r="C19" s="95" t="s">
        <v>62</v>
      </c>
      <c r="D19" s="739">
        <f t="shared" si="4"/>
        <v>13127.039456704984</v>
      </c>
      <c r="E19" s="739">
        <f t="shared" si="5"/>
        <v>12087.566906770004</v>
      </c>
      <c r="F19" s="740">
        <f>VLOOKUP($B19,'[2]Breakdown EU havens'!$S$68:$Y$98,F$2,0)/TableB10!$E$229</f>
        <v>846.02252705255682</v>
      </c>
      <c r="G19" s="740">
        <f>VLOOKUP($B19,'[2]Breakdown EU havens'!$S$68:$Y$98,G$2,0)/TableB10!$E$229</f>
        <v>26.984708432419179</v>
      </c>
      <c r="H19" s="740">
        <f>VLOOKUP($B19,'[2]Breakdown EU havens'!$S$68:$Y$98,H$2,0)/TableB10!$E$229</f>
        <v>123.57631397785838</v>
      </c>
      <c r="I19" s="740">
        <f>VLOOKUP($B19,'[2]Breakdown EU havens'!$S$68:$Y$98,I$2,0)/TableB10!$E$229</f>
        <v>1837.3491017090087</v>
      </c>
      <c r="J19" s="740">
        <f>VLOOKUP($B19,'[2]Breakdown EU havens'!$S$68:$Y$98,J$2,0)/TableB10!$E$229</f>
        <v>15.422530260566964</v>
      </c>
      <c r="K19" s="740">
        <f>VLOOKUP($B19,'[2]Breakdown EU havens'!$S$68:$Y$98,K$2,0)/TableB10!$E$229</f>
        <v>9238.2117253375945</v>
      </c>
      <c r="L19" s="739">
        <f t="shared" si="6"/>
        <v>1039.4725499349804</v>
      </c>
      <c r="M19" s="678">
        <f>VLOOKUP($B19,'[2]Breakdown non-EU havens'!$K$59:$M$86,3,0)/TableB10!$E$229</f>
        <v>519.7362749674902</v>
      </c>
      <c r="N19" s="1328">
        <f>VLOOKUP($B19,'[2]Breakdown non-EU havens'!$K$59:$M$86,3,0)/TableB10!$E$229</f>
        <v>519.7362749674902</v>
      </c>
      <c r="O19" s="739">
        <f t="shared" si="7"/>
        <v>44431.430198237256</v>
      </c>
      <c r="P19" s="739">
        <f t="shared" si="8"/>
        <v>31507.307834851257</v>
      </c>
      <c r="Q19" s="740">
        <f>VLOOKUP($B19,'[2]Breakdown EU havens'!$J$68:$P$95,Q$2,0)/TableB10!$E$229</f>
        <v>3738.320496986174</v>
      </c>
      <c r="R19" s="740">
        <f>VLOOKUP($B19,'[2]Breakdown EU havens'!$J$68:$P$95,R$2,0)/TableB10!$E$229</f>
        <v>59.236011531639576</v>
      </c>
      <c r="S19" s="740">
        <f>VLOOKUP($B19,'[2]Breakdown EU havens'!$J$68:$P$95,S$2,0)/TableB10!$E$229</f>
        <v>9475.2195988606763</v>
      </c>
      <c r="T19" s="740">
        <f>VLOOKUP($B19,'[2]Breakdown EU havens'!$J$68:$P$95,T$2,0)/TableB10!$E$229</f>
        <v>13718.610084104179</v>
      </c>
      <c r="U19" s="740">
        <f>VLOOKUP($B19,'[2]Breakdown EU havens'!$J$68:$P$95,U$2,0)/TableB10!$E$229</f>
        <v>160.51777126372698</v>
      </c>
      <c r="V19" s="740">
        <f>VLOOKUP($B19,'[2]Breakdown EU havens'!$J$68:$P$95,V$2,0)/TableB10!$E$229</f>
        <v>4355.4038721048601</v>
      </c>
      <c r="W19" s="739">
        <f>SUM(X19:Y19)</f>
        <v>12924.122363385997</v>
      </c>
      <c r="X19" s="678">
        <f>VLOOKUP($B19,'[2]Breakdown non-EU havens'!$F$59:$H$86,3,0)/TableB10!$E$229</f>
        <v>8273.1519635106397</v>
      </c>
      <c r="Y19" s="593">
        <f>VLOOKUP($B19,'[2]Breakdown non-EU havens'!$F$59:$H$86,2,0)/TableB10!$E$229</f>
        <v>4650.9703998753575</v>
      </c>
      <c r="Z19" s="431"/>
      <c r="AA19" s="552">
        <f>+TableB2!L20/TableB2!$L$91</f>
        <v>1.9280661865832386E-2</v>
      </c>
      <c r="AB19" s="552"/>
      <c r="AC19" s="552">
        <f t="shared" si="10"/>
        <v>0</v>
      </c>
      <c r="AD19" s="552">
        <f t="shared" si="11"/>
        <v>0</v>
      </c>
      <c r="AE19" s="552">
        <f t="shared" si="12"/>
        <v>0</v>
      </c>
      <c r="AF19" s="552"/>
      <c r="AG19" s="552"/>
      <c r="AH19" s="552">
        <f t="shared" si="2"/>
        <v>0</v>
      </c>
      <c r="AI19" s="552"/>
      <c r="AJ19" s="552">
        <f t="shared" si="3"/>
        <v>0</v>
      </c>
    </row>
    <row r="20" spans="1:36" ht="14.25" customHeight="1" x14ac:dyDescent="0.35">
      <c r="C20" s="95" t="s">
        <v>63</v>
      </c>
      <c r="D20" s="739">
        <f t="shared" si="4"/>
        <v>63.86842642323883</v>
      </c>
      <c r="E20" s="739">
        <f t="shared" si="5"/>
        <v>55.036742389076068</v>
      </c>
      <c r="F20" s="740">
        <f>VLOOKUP($C20,'[2]Breakdown EU havens'!$S$68:$Y$98,F$2,0)/TableB10!$E$229</f>
        <v>4.2877936691453344</v>
      </c>
      <c r="G20" s="740">
        <f>VLOOKUP($C20,'[2]Breakdown EU havens'!$S$68:$Y$98,G$2,0)/TableB10!$E$229</f>
        <v>0</v>
      </c>
      <c r="H20" s="740">
        <f>VLOOKUP($C20,'[2]Breakdown EU havens'!$S$68:$Y$98,H$2,0)/TableB10!$E$229</f>
        <v>0</v>
      </c>
      <c r="I20" s="740">
        <f>VLOOKUP($C20,'[2]Breakdown EU havens'!$S$68:$Y$98,I$2,0)/TableB10!$E$229</f>
        <v>18.148843743918412</v>
      </c>
      <c r="J20" s="740">
        <f>VLOOKUP($C20,'[2]Breakdown EU havens'!$S$68:$Y$98,J$2,0)/TableB10!$E$229</f>
        <v>0.20427192398101937</v>
      </c>
      <c r="K20" s="740">
        <f>VLOOKUP($C20,'[2]Breakdown EU havens'!$S$68:$Y$98,K$2,0)/TableB10!$E$229</f>
        <v>32.395833052031307</v>
      </c>
      <c r="L20" s="739">
        <f t="shared" si="6"/>
        <v>8.831684034162766</v>
      </c>
      <c r="M20" s="678">
        <f>VLOOKUP($C20,'[2]Breakdown non-EU havens'!$K$59:$M$86,3,0)/TableB10!$E$229</f>
        <v>8.0847864994942924</v>
      </c>
      <c r="N20" s="1328">
        <f>VLOOKUP($C20,'[2]Breakdown non-EU havens'!$K$59:$M$86,2,0)/TableB10!$E$229</f>
        <v>0.74689753466847286</v>
      </c>
      <c r="O20" s="739">
        <f t="shared" si="7"/>
        <v>1033.2335008740968</v>
      </c>
      <c r="P20" s="739">
        <f t="shared" si="8"/>
        <v>902.92422241425868</v>
      </c>
      <c r="Q20" s="740">
        <f>VLOOKUP($C20,'[2]Breakdown EU havens'!$J$68:$P$95,Q$2,0)/TableB10!$E$229</f>
        <v>191.22645728818165</v>
      </c>
      <c r="R20" s="740">
        <f>VLOOKUP($C20,'[2]Breakdown EU havens'!$J$68:$P$95,R$2,0)/TableB10!$E$229</f>
        <v>42.415909491791304</v>
      </c>
      <c r="S20" s="740">
        <f>VLOOKUP($C20,'[2]Breakdown EU havens'!$J$68:$P$95,S$2,0)/TableB10!$E$229</f>
        <v>279.52010443787304</v>
      </c>
      <c r="T20" s="740">
        <f>VLOOKUP($C20,'[2]Breakdown EU havens'!$J$68:$P$95,T$2,0)/TableB10!$E$229</f>
        <v>203.53046786658507</v>
      </c>
      <c r="U20" s="740">
        <f>VLOOKUP($C20,'[2]Breakdown EU havens'!$J$68:$P$95,U$2,0)/TableB10!$E$229</f>
        <v>4.473739444362514</v>
      </c>
      <c r="V20" s="740">
        <f>VLOOKUP($C20,'[2]Breakdown EU havens'!$J$68:$P$95,V$2,0)/TableB10!$E$229</f>
        <v>181.75754388546497</v>
      </c>
      <c r="W20" s="739">
        <f t="shared" si="9"/>
        <v>130.30927845983803</v>
      </c>
      <c r="X20" s="678">
        <f>VLOOKUP($C20,'[2]Breakdown non-EU havens'!$F$59:$H$86,3,0)/TableB10!$E$229</f>
        <v>108.29750221703051</v>
      </c>
      <c r="Y20" s="593">
        <f>VLOOKUP($C20,'[2]Breakdown non-EU havens'!$F$59:$H$86,2,0)/TableB10!$E$229</f>
        <v>22.011776242807521</v>
      </c>
      <c r="Z20" s="431"/>
      <c r="AA20" s="552">
        <f>+TableB2!L21/TableB2!$L$91</f>
        <v>6.4152078461630685E-4</v>
      </c>
      <c r="AB20" s="552"/>
      <c r="AC20" s="552">
        <f t="shared" si="10"/>
        <v>0</v>
      </c>
      <c r="AD20" s="552">
        <f t="shared" si="11"/>
        <v>0</v>
      </c>
      <c r="AE20" s="552">
        <f t="shared" si="12"/>
        <v>0</v>
      </c>
      <c r="AF20" s="552"/>
      <c r="AG20" s="552"/>
      <c r="AH20" s="552">
        <f t="shared" si="2"/>
        <v>0</v>
      </c>
      <c r="AI20" s="552"/>
      <c r="AJ20" s="552">
        <f t="shared" si="3"/>
        <v>0</v>
      </c>
    </row>
    <row r="21" spans="1:36" ht="14.25" customHeight="1" x14ac:dyDescent="0.35">
      <c r="C21" s="95" t="s">
        <v>64</v>
      </c>
      <c r="D21" s="739">
        <f t="shared" si="4"/>
        <v>556.36101489965631</v>
      </c>
      <c r="E21" s="739">
        <f t="shared" si="5"/>
        <v>298.59551604050012</v>
      </c>
      <c r="F21" s="740">
        <f>VLOOKUP($C21,'[2]Breakdown EU havens'!$S$68:$Y$98,F$2,0)/TableB10!$E$229</f>
        <v>39.611046276866418</v>
      </c>
      <c r="G21" s="740">
        <f>VLOOKUP($C21,'[2]Breakdown EU havens'!$S$68:$Y$98,G$2,0)/TableB10!$E$229</f>
        <v>0.94352127386081042</v>
      </c>
      <c r="H21" s="740">
        <f>VLOOKUP($C21,'[2]Breakdown EU havens'!$S$68:$Y$98,H$2,0)/TableB10!$E$229</f>
        <v>8.4654640284044707</v>
      </c>
      <c r="I21" s="740">
        <f>VLOOKUP($C21,'[2]Breakdown EU havens'!$S$68:$Y$98,I$2,0)/TableB10!$E$229</f>
        <v>118.29947537956576</v>
      </c>
      <c r="J21" s="740">
        <f>VLOOKUP($C21,'[2]Breakdown EU havens'!$S$68:$Y$98,J$2,0)/TableB10!$E$229</f>
        <v>0.61281577194305825</v>
      </c>
      <c r="K21" s="740">
        <f>VLOOKUP($C21,'[2]Breakdown EU havens'!$S$68:$Y$98,K$2,0)/TableB10!$E$229</f>
        <v>130.66319330985959</v>
      </c>
      <c r="L21" s="739">
        <f t="shared" si="6"/>
        <v>257.7654988591562</v>
      </c>
      <c r="M21" s="678">
        <f>VLOOKUP($C21,'[2]Breakdown non-EU havens'!$K$59:$M$86,3,0)/TableB10!$E$229</f>
        <v>67.093228223076011</v>
      </c>
      <c r="N21" s="1328">
        <f>VLOOKUP($C21,'[2]Breakdown non-EU havens'!$K$59:$M$86,2,0)/TableB10!$E$229</f>
        <v>190.67227063608019</v>
      </c>
      <c r="O21" s="739">
        <f t="shared" si="7"/>
        <v>1954.2993897600038</v>
      </c>
      <c r="P21" s="739">
        <f t="shared" si="8"/>
        <v>1472.5365000658378</v>
      </c>
      <c r="Q21" s="740">
        <f>VLOOKUP($C21,'[2]Breakdown EU havens'!$J$68:$P$95,Q$2,0)/TableB10!$E$229</f>
        <v>184.95673737709373</v>
      </c>
      <c r="R21" s="740">
        <f>VLOOKUP($C21,'[2]Breakdown EU havens'!$J$68:$P$95,R$2,0)/TableB10!$E$229</f>
        <v>0.29252351373649171</v>
      </c>
      <c r="S21" s="740">
        <f>VLOOKUP($C21,'[2]Breakdown EU havens'!$J$68:$P$95,S$2,0)/TableB10!$E$229</f>
        <v>800.67663615537253</v>
      </c>
      <c r="T21" s="740">
        <f>VLOOKUP($C21,'[2]Breakdown EU havens'!$J$68:$P$95,T$2,0)/TableB10!$E$229</f>
        <v>292.71182878662103</v>
      </c>
      <c r="U21" s="740">
        <f>VLOOKUP($C21,'[2]Breakdown EU havens'!$J$68:$P$95,U$2,0)/TableB10!$E$229</f>
        <v>5.8158612776712681</v>
      </c>
      <c r="V21" s="740">
        <f>VLOOKUP($C21,'[2]Breakdown EU havens'!$J$68:$P$95,V$2,0)/TableB10!$E$229</f>
        <v>188.08291295534261</v>
      </c>
      <c r="W21" s="739">
        <f t="shared" si="9"/>
        <v>481.76288969416601</v>
      </c>
      <c r="X21" s="678">
        <f>VLOOKUP($C21,'[2]Breakdown non-EU havens'!$F$59:$H$86,3,0)/TableB10!$E$229</f>
        <v>247.88776711433613</v>
      </c>
      <c r="Y21" s="593">
        <f>VLOOKUP($C21,'[2]Breakdown non-EU havens'!$F$59:$H$86,2,0)/TableB10!$E$229</f>
        <v>233.87512257982991</v>
      </c>
      <c r="Z21" s="431"/>
      <c r="AA21" s="552">
        <f>+TableB2!L22/TableB2!$L$91</f>
        <v>6.4782772588043071E-3</v>
      </c>
      <c r="AB21" s="552"/>
      <c r="AC21" s="552">
        <f t="shared" si="10"/>
        <v>0</v>
      </c>
      <c r="AD21" s="552">
        <f t="shared" si="11"/>
        <v>0</v>
      </c>
      <c r="AE21" s="552">
        <f t="shared" si="12"/>
        <v>0</v>
      </c>
      <c r="AF21" s="552"/>
      <c r="AG21" s="552"/>
      <c r="AH21" s="552">
        <f t="shared" si="2"/>
        <v>0</v>
      </c>
      <c r="AI21" s="552"/>
      <c r="AJ21" s="552">
        <f t="shared" si="3"/>
        <v>0</v>
      </c>
    </row>
    <row r="22" spans="1:36" ht="14.25" customHeight="1" x14ac:dyDescent="0.35">
      <c r="C22" s="95" t="s">
        <v>65</v>
      </c>
      <c r="D22" s="739">
        <f t="shared" si="4"/>
        <v>140.72843291877749</v>
      </c>
      <c r="E22" s="739">
        <f t="shared" si="5"/>
        <v>130.14709240126379</v>
      </c>
      <c r="F22" s="740">
        <f>HLOOKUP($C22,'[2]Interest shifted to EU'!$L$12:$AT$18,F$2,0)/TableB10!$E$229</f>
        <v>29.111113167429259</v>
      </c>
      <c r="G22" s="740">
        <f>HLOOKUP($C22,'[2]Interest shifted to EU'!$L$12:$AT$18,G$2,0)/TableB10!$E$229</f>
        <v>0</v>
      </c>
      <c r="H22" s="740">
        <f>HLOOKUP($C22,'[2]Interest shifted to EU'!$L$12:$AT$18,H$2,0)/TableB10!$E$229</f>
        <v>4.2144535794574223</v>
      </c>
      <c r="I22" s="740">
        <f>HLOOKUP($C22,'[2]Interest shifted to EU'!$L$12:$AT$18,I$2,0)/TableB10!$E$229</f>
        <v>91.830725362914364</v>
      </c>
      <c r="J22" s="740">
        <f>HLOOKUP($C22,'[2]Interest shifted to EU'!$L$12:$AT$18,J$2,0)/TableB10!$E$229</f>
        <v>0.55453336571808187</v>
      </c>
      <c r="K22" s="740">
        <f>HLOOKUP($C22,'[2]Interest shifted to EU'!$L$12:$AT$18,K$2,0)/TableB10!$E$229</f>
        <v>4.436266925744655</v>
      </c>
      <c r="L22" s="739">
        <f t="shared" si="6"/>
        <v>10.581340517513683</v>
      </c>
      <c r="M22" s="678">
        <f>VLOOKUP($C22,'[3]FDI DIRE EQ in non-OECD'!$A$5:$D$208,4,0)*'[2]Non-EU tax havens'!$M$8</f>
        <v>1.6587572702743387</v>
      </c>
      <c r="N22" s="1328">
        <f>VLOOKUP($C22,'[3]FDI DIRE EQ in non-OECD'!$A$5:$D$208,4,0)*'[2]Non-EU tax havens'!$M$13</f>
        <v>8.9225832472393432</v>
      </c>
      <c r="O22" s="739">
        <f t="shared" si="7"/>
        <v>318.17944892795748</v>
      </c>
      <c r="P22" s="739">
        <f t="shared" si="8"/>
        <v>223.82272384818725</v>
      </c>
      <c r="Q22" s="740">
        <f>HLOOKUP($C22,'[2]Non EU income shifted to EU'!$A$2:$AI$18,Q$2+10,0)/TableB10!$E$229</f>
        <v>11.23180671740659</v>
      </c>
      <c r="R22" s="740">
        <f>HLOOKUP($C22,'[2]Non EU income shifted to EU'!$A$2:$AI$18,R$2+10,0)/TableB10!$E$229</f>
        <v>0</v>
      </c>
      <c r="S22" s="740">
        <f>HLOOKUP($C22,'[2]Non EU income shifted to EU'!$A$2:$AI$18,S$2+10,0)/TableB10!$E$229</f>
        <v>71.094761354644206</v>
      </c>
      <c r="T22" s="740">
        <f>HLOOKUP($C22,'[2]Non EU income shifted to EU'!$A$2:$AI$18,T$2+10,0)/TableB10!$E$229</f>
        <v>97.6210701496762</v>
      </c>
      <c r="U22" s="740">
        <f>HLOOKUP($C22,'[2]Non EU income shifted to EU'!$A$2:$AI$18,U$2+10,0)/TableB10!$E$229</f>
        <v>0</v>
      </c>
      <c r="V22" s="740">
        <f>HLOOKUP($C22,'[2]Non EU income shifted to EU'!$A$2:$AI$18,V$2+10,0)/TableB10!$E$229</f>
        <v>43.87508562646024</v>
      </c>
      <c r="W22" s="739">
        <f t="shared" si="9"/>
        <v>94.356725079770243</v>
      </c>
      <c r="X22" s="678">
        <f>VLOOKUP($C22,'[3]FDI DIRE EQ in non-OECD'!$A$5:$D$208,4,0)*'[2]Non-EU tax havens'!$O$8</f>
        <v>7.2680023504669835</v>
      </c>
      <c r="Y22" s="593">
        <f>VLOOKUP($C22,'[3]FDI DIRE EQ in non-OECD'!$A$5:$D$208,4,0)*'[2]Non-EU tax havens'!$O$13</f>
        <v>87.088722729303257</v>
      </c>
      <c r="Z22" s="431"/>
      <c r="AA22" s="552">
        <f>+TableB2!L23/TableB2!$L$91</f>
        <v>2.5129516763681151E-4</v>
      </c>
      <c r="AB22" s="552">
        <f>+AA22</f>
        <v>2.5129516763681151E-4</v>
      </c>
      <c r="AC22" s="552">
        <f t="shared" si="10"/>
        <v>5.9471364883481386E-4</v>
      </c>
      <c r="AD22" s="552">
        <f t="shared" si="11"/>
        <v>2.5129516763681151E-4</v>
      </c>
      <c r="AE22" s="552">
        <f t="shared" si="12"/>
        <v>9.8162110387870036E-4</v>
      </c>
      <c r="AF22" s="552"/>
      <c r="AG22" s="552">
        <v>0</v>
      </c>
      <c r="AH22" s="552">
        <f t="shared" si="2"/>
        <v>0</v>
      </c>
      <c r="AI22" s="552">
        <v>0</v>
      </c>
      <c r="AJ22" s="552">
        <f>+AI22/$AI$90</f>
        <v>0</v>
      </c>
    </row>
    <row r="23" spans="1:36" ht="14.25" customHeight="1" x14ac:dyDescent="0.35">
      <c r="C23" s="95" t="s">
        <v>19</v>
      </c>
      <c r="D23" s="739">
        <f t="shared" si="4"/>
        <v>6194.7229413235154</v>
      </c>
      <c r="E23" s="739">
        <f t="shared" si="5"/>
        <v>5717.901055921735</v>
      </c>
      <c r="F23" s="740">
        <f>VLOOKUP($C23,'[2]Breakdown EU havens'!$S$68:$Y$98,F$2,0)/TableB10!$E$229</f>
        <v>308.21069255118482</v>
      </c>
      <c r="G23" s="740">
        <f>VLOOKUP($C23,'[2]Breakdown EU havens'!$S$68:$Y$98,G$2,0)/TableB10!$E$229</f>
        <v>0</v>
      </c>
      <c r="H23" s="740">
        <f>VLOOKUP($C23,'[2]Breakdown EU havens'!$S$68:$Y$98,H$2,0)/TableB10!$E$229</f>
        <v>0</v>
      </c>
      <c r="I23" s="740">
        <f>VLOOKUP($C23,'[2]Breakdown EU havens'!$S$68:$Y$98,I$2,0)/TableB10!$E$229</f>
        <v>1096.5664186493143</v>
      </c>
      <c r="J23" s="740">
        <f>VLOOKUP($C23,'[2]Breakdown EU havens'!$S$68:$Y$98,J$2,0)/TableB10!$E$229</f>
        <v>14.196898716680845</v>
      </c>
      <c r="K23" s="740">
        <f>VLOOKUP($C23,'[2]Breakdown EU havens'!$S$68:$Y$98,K$2,0)/TableB10!$E$229</f>
        <v>4298.9270460045545</v>
      </c>
      <c r="L23" s="739">
        <f t="shared" si="6"/>
        <v>476.82188540178049</v>
      </c>
      <c r="M23" s="678">
        <f>VLOOKUP($C23,'[2]Breakdown non-EU havens'!$K$59:$M$86,3,0)/TableB10!$E$229</f>
        <v>205.16458207807594</v>
      </c>
      <c r="N23" s="1328">
        <f>VLOOKUP($C23,'[2]Breakdown non-EU havens'!$K$59:$M$86,2,0)/TableB10!$E$229</f>
        <v>271.65730332370458</v>
      </c>
      <c r="O23" s="739">
        <f t="shared" si="7"/>
        <v>51497.729497607492</v>
      </c>
      <c r="P23" s="739">
        <f t="shared" si="8"/>
        <v>12972.594384673688</v>
      </c>
      <c r="Q23" s="740">
        <f>VLOOKUP($C23,'[2]Breakdown EU havens'!$J$68:$P$95,Q$2,0)/TableB10!$E$229</f>
        <v>1559.5928278831207</v>
      </c>
      <c r="R23" s="740">
        <f>VLOOKUP($C23,'[2]Breakdown EU havens'!$J$68:$P$95,R$2,0)/TableB10!$E$229</f>
        <v>2.9252351373649175</v>
      </c>
      <c r="S23" s="740">
        <f>VLOOKUP($C23,'[2]Breakdown EU havens'!$J$68:$P$95,S$2,0)/TableB10!$E$229</f>
        <v>0</v>
      </c>
      <c r="T23" s="740">
        <f>VLOOKUP($C23,'[2]Breakdown EU havens'!$J$68:$P$95,T$2,0)/TableB10!$E$229</f>
        <v>955.28009918026225</v>
      </c>
      <c r="U23" s="740">
        <f>VLOOKUP($C23,'[2]Breakdown EU havens'!$J$68:$P$95,U$2,0)/TableB10!$E$229</f>
        <v>3.2210923999410097</v>
      </c>
      <c r="V23" s="740">
        <f>VLOOKUP($C23,'[2]Breakdown EU havens'!$J$68:$P$95,V$2,0)/TableB10!$E$229</f>
        <v>10451.575130072999</v>
      </c>
      <c r="W23" s="739">
        <f t="shared" si="9"/>
        <v>38525.1351129338</v>
      </c>
      <c r="X23" s="678">
        <f>VLOOKUP($C23,'[2]Breakdown non-EU havens'!$F$59:$H$86,3,0)/TableB10!$E$229</f>
        <v>3157.9101685192654</v>
      </c>
      <c r="Y23" s="593">
        <f>VLOOKUP($C23,'[2]Breakdown non-EU havens'!$F$59:$H$86,2,0)/TableB10!$E$229</f>
        <v>35367.224944414535</v>
      </c>
      <c r="Z23" s="431"/>
      <c r="AA23" s="552">
        <f>+TableB2!L24/TableB2!$L$91</f>
        <v>2.109084370193446E-2</v>
      </c>
      <c r="AB23" s="552"/>
      <c r="AC23" s="552">
        <f t="shared" si="10"/>
        <v>0</v>
      </c>
      <c r="AD23" s="552">
        <f t="shared" si="11"/>
        <v>0</v>
      </c>
      <c r="AE23" s="552">
        <f t="shared" si="12"/>
        <v>0</v>
      </c>
      <c r="AF23" s="552"/>
      <c r="AG23" s="552"/>
      <c r="AH23" s="552">
        <f t="shared" si="2"/>
        <v>0</v>
      </c>
      <c r="AI23" s="552"/>
      <c r="AJ23" s="552">
        <f>+AI23/$AB$90</f>
        <v>0</v>
      </c>
    </row>
    <row r="24" spans="1:36" ht="14.25" customHeight="1" x14ac:dyDescent="0.35">
      <c r="C24" s="95" t="s">
        <v>95</v>
      </c>
      <c r="D24" s="739">
        <f t="shared" si="4"/>
        <v>59.524321498763051</v>
      </c>
      <c r="E24" s="739">
        <f t="shared" si="5"/>
        <v>32.656615557168095</v>
      </c>
      <c r="F24" s="740">
        <f>AH24*'[2]Interest shifted to EU'!$AU$13</f>
        <v>12.085468847908924</v>
      </c>
      <c r="G24" s="740">
        <f>AH24*'[2]Interest shifted to EU'!$AU$14</f>
        <v>-0.24030159252125718</v>
      </c>
      <c r="H24" s="740">
        <f>AH24*'[2]Interest shifted to EU'!$AU$15</f>
        <v>-1.2555550335885755</v>
      </c>
      <c r="I24" s="740">
        <f>AH24*'[2]Interest shifted to EU'!$AU$16</f>
        <v>17.794790247568937</v>
      </c>
      <c r="J24" s="740">
        <f>AH24*'[2]Interest shifted to EU'!$AU$17</f>
        <v>-1.1657537464180019</v>
      </c>
      <c r="K24" s="740">
        <f>AH24*'[2]Interest shifted to EU'!$AU$18</f>
        <v>5.4379668342180683</v>
      </c>
      <c r="L24" s="739">
        <f t="shared" si="6"/>
        <v>26.867705941594956</v>
      </c>
      <c r="M24" s="678">
        <f>AC24*'[2]Non-EU tax havens'!$M$8</f>
        <v>4.2118484413622932</v>
      </c>
      <c r="N24" s="1328">
        <f>AC24*'[2]Non-EU tax havens'!$M$13</f>
        <v>22.655857500232663</v>
      </c>
      <c r="O24" s="739">
        <f t="shared" si="7"/>
        <v>654.0377077141643</v>
      </c>
      <c r="P24" s="739">
        <f t="shared" si="8"/>
        <v>258.58119178629136</v>
      </c>
      <c r="Q24" s="740">
        <f>AH24*'[2]Non EU income shifted to EU'!$AJ$13</f>
        <v>10.185097045183149</v>
      </c>
      <c r="R24" s="740">
        <f>AH24*'[2]Non EU income shifted to EU'!$AJ$14</f>
        <v>6.0721645951362957</v>
      </c>
      <c r="S24" s="740">
        <f>AH24*'[2]Non EU income shifted to EU'!$AJ$15</f>
        <v>156.0997016645729</v>
      </c>
      <c r="T24" s="740">
        <f>AH24*'[2]Non EU income shifted to EU'!$AJ$16</f>
        <v>15.540424223455346</v>
      </c>
      <c r="U24" s="740">
        <f>AH24*'[2]Non EU income shifted to EU'!$AJ$17</f>
        <v>29.273804298090038</v>
      </c>
      <c r="V24" s="740">
        <f>AH24*'[2]Non EU income shifted to EU'!$AJ$18</f>
        <v>41.4099999598536</v>
      </c>
      <c r="W24" s="739">
        <f t="shared" si="9"/>
        <v>395.456515927873</v>
      </c>
      <c r="X24" s="678">
        <f>AE24*'[2]Non-EU tax havens'!$O$8</f>
        <v>30.460774097886521</v>
      </c>
      <c r="Y24" s="593">
        <f>AE24*'[2]Non-EU tax havens'!$O$13</f>
        <v>364.99574182998646</v>
      </c>
      <c r="Z24" s="431"/>
      <c r="AA24" s="552">
        <f>+TableB2!L25/TableB2!$L$91</f>
        <v>5.8070446133108653E-4</v>
      </c>
      <c r="AB24" s="552">
        <f>+AA24</f>
        <v>5.8070446133108653E-4</v>
      </c>
      <c r="AC24" s="552">
        <f t="shared" si="10"/>
        <v>1.3742917237150876E-3</v>
      </c>
      <c r="AD24" s="552">
        <f t="shared" si="11"/>
        <v>5.8070446133108653E-4</v>
      </c>
      <c r="AE24" s="552">
        <f t="shared" si="12"/>
        <v>2.2683753122660719E-3</v>
      </c>
      <c r="AF24" s="552"/>
      <c r="AG24" s="552">
        <f>+AB24</f>
        <v>5.8070446133108653E-4</v>
      </c>
      <c r="AH24" s="552">
        <f t="shared" si="2"/>
        <v>8.3149339972753335E-3</v>
      </c>
      <c r="AI24" s="552">
        <f>+AD24</f>
        <v>5.8070446133108653E-4</v>
      </c>
      <c r="AJ24" s="552">
        <f>+AI24/$AI$90</f>
        <v>8.3149339972753335E-3</v>
      </c>
    </row>
    <row r="25" spans="1:36" ht="14.25" customHeight="1" x14ac:dyDescent="0.35">
      <c r="C25" s="95" t="s">
        <v>66</v>
      </c>
      <c r="D25" s="739">
        <f t="shared" si="4"/>
        <v>5222.0979587386482</v>
      </c>
      <c r="E25" s="739">
        <f t="shared" si="5"/>
        <v>4875.0141135647027</v>
      </c>
      <c r="F25" s="740">
        <f>VLOOKUP($C25,'[2]Breakdown EU havens'!$S$68:$Y$98,F$2,0)/TableB10!$E$229</f>
        <v>987.1113568325294</v>
      </c>
      <c r="G25" s="740">
        <f>VLOOKUP($C25,'[2]Breakdown EU havens'!$S$68:$Y$98,G$2,0)/TableB10!$E$229</f>
        <v>4.7176063693040513</v>
      </c>
      <c r="H25" s="740">
        <f>VLOOKUP($C25,'[2]Breakdown EU havens'!$S$68:$Y$98,H$2,0)/TableB10!$E$229</f>
        <v>51.473913460068566</v>
      </c>
      <c r="I25" s="740">
        <f>VLOOKUP($C25,'[2]Breakdown EU havens'!$S$68:$Y$98,I$2,0)/TableB10!$E$229</f>
        <v>2723.32253472005</v>
      </c>
      <c r="J25" s="740">
        <f>VLOOKUP($C25,'[2]Breakdown EU havens'!$S$68:$Y$98,J$2,0)/TableB10!$E$229</f>
        <v>9.0901006171553629</v>
      </c>
      <c r="K25" s="740">
        <f>VLOOKUP($C25,'[2]Breakdown EU havens'!$S$68:$Y$98,K$2,0)/TableB10!$E$229</f>
        <v>1099.2986015655956</v>
      </c>
      <c r="L25" s="739">
        <f t="shared" si="6"/>
        <v>347.08384517394569</v>
      </c>
      <c r="M25" s="678">
        <f>VLOOKUP($C25,'[2]Breakdown non-EU havens'!$K$59:$M$86,3,0)/TableB10!$E$229</f>
        <v>303.33698957193513</v>
      </c>
      <c r="N25" s="1328">
        <f>VLOOKUP($C25,'[2]Breakdown non-EU havens'!$K$59:$M$86,2,0)/TableB10!$E$229</f>
        <v>43.746855602010555</v>
      </c>
      <c r="O25" s="739">
        <f t="shared" si="7"/>
        <v>18577.84591087994</v>
      </c>
      <c r="P25" s="739">
        <f t="shared" si="8"/>
        <v>15518.596916443594</v>
      </c>
      <c r="Q25" s="740">
        <f>VLOOKUP($C25,'[2]Breakdown EU havens'!$J$68:$P$95,Q$2,0)/TableB10!$E$229</f>
        <v>1254.7276972064706</v>
      </c>
      <c r="R25" s="740">
        <f>VLOOKUP($C25,'[2]Breakdown EU havens'!$J$68:$P$95,R$2,0)/TableB10!$E$229</f>
        <v>10.969631765118441</v>
      </c>
      <c r="S25" s="740">
        <f>VLOOKUP($C25,'[2]Breakdown EU havens'!$J$68:$P$95,S$2,0)/TableB10!$E$229</f>
        <v>5906.7819871871416</v>
      </c>
      <c r="T25" s="740">
        <f>VLOOKUP($C25,'[2]Breakdown EU havens'!$J$68:$P$95,T$2,0)/TableB10!$E$229</f>
        <v>6897.0566610918586</v>
      </c>
      <c r="U25" s="740">
        <f>VLOOKUP($C25,'[2]Breakdown EU havens'!$J$68:$P$95,U$2,0)/TableB10!$E$229</f>
        <v>71.937730265349231</v>
      </c>
      <c r="V25" s="740">
        <f>VLOOKUP($C25,'[2]Breakdown EU havens'!$J$68:$P$95,V$2,0)/TableB10!$E$229</f>
        <v>1377.1232089276559</v>
      </c>
      <c r="W25" s="739">
        <f t="shared" si="9"/>
        <v>3059.2489944363456</v>
      </c>
      <c r="X25" s="678">
        <f>VLOOKUP($C25,'[2]Breakdown non-EU havens'!$F$59:$H$86,3,0)/TableB10!$E$229</f>
        <v>2054.1755684924378</v>
      </c>
      <c r="Y25" s="593">
        <f>VLOOKUP($C25,'[2]Breakdown non-EU havens'!$F$59:$H$86,2,0)/TableB10!$E$229</f>
        <v>1005.0734259439078</v>
      </c>
      <c r="Z25" s="431"/>
      <c r="AA25" s="552">
        <f>+TableB2!L26/TableB2!$L$91</f>
        <v>1.0039610832351697E-2</v>
      </c>
      <c r="AB25" s="552"/>
      <c r="AC25" s="552">
        <f t="shared" si="10"/>
        <v>0</v>
      </c>
      <c r="AD25" s="552">
        <f t="shared" si="11"/>
        <v>0</v>
      </c>
      <c r="AE25" s="552">
        <f t="shared" si="12"/>
        <v>0</v>
      </c>
      <c r="AF25" s="552"/>
      <c r="AG25" s="552"/>
      <c r="AH25" s="552">
        <f t="shared" si="2"/>
        <v>0</v>
      </c>
      <c r="AI25" s="552"/>
      <c r="AJ25" s="552">
        <f>+AI25/$AB$90</f>
        <v>0</v>
      </c>
    </row>
    <row r="26" spans="1:36" ht="14.25" customHeight="1" x14ac:dyDescent="0.35">
      <c r="C26" s="95" t="s">
        <v>67</v>
      </c>
      <c r="D26" s="739">
        <f t="shared" si="4"/>
        <v>591.05371167489784</v>
      </c>
      <c r="E26" s="739">
        <f t="shared" si="5"/>
        <v>323.57967446745613</v>
      </c>
      <c r="F26" s="740">
        <f>HLOOKUP($C26,'[2]Interest shifted to EU'!$L$12:$AT$18,F$2,0)/TableB10!$E$229</f>
        <v>16.922723225356801</v>
      </c>
      <c r="G26" s="740">
        <f>HLOOKUP($C26,'[2]Interest shifted to EU'!$L$12:$AT$18,G$2,0)/TableB10!$E$229</f>
        <v>0</v>
      </c>
      <c r="H26" s="740">
        <f>HLOOKUP($C26,'[2]Interest shifted to EU'!$L$12:$AT$18,H$2,0)/TableB10!$E$229</f>
        <v>8.6507205052020772</v>
      </c>
      <c r="I26" s="740">
        <f>HLOOKUP($C26,'[2]Interest shifted to EU'!$L$12:$AT$18,I$2,0)/TableB10!$E$229</f>
        <v>72.089337543350652</v>
      </c>
      <c r="J26" s="740">
        <f>HLOOKUP($C26,'[2]Interest shifted to EU'!$L$12:$AT$18,J$2,0)/TableB10!$E$229</f>
        <v>0.77634671200531458</v>
      </c>
      <c r="K26" s="740">
        <f>HLOOKUP($C26,'[2]Interest shifted to EU'!$L$12:$AT$18,K$2,0)/TableB10!$E$229</f>
        <v>225.14054648154126</v>
      </c>
      <c r="L26" s="739">
        <f t="shared" si="6"/>
        <v>267.47403720744171</v>
      </c>
      <c r="M26" s="678">
        <f>AC26*'[2]Non-EU tax havens'!$M$8</f>
        <v>41.929895658600728</v>
      </c>
      <c r="N26" s="1328">
        <f>AC26*'[2]Non-EU tax havens'!$M$13</f>
        <v>225.54414154884097</v>
      </c>
      <c r="O26" s="739">
        <f t="shared" si="7"/>
        <v>8376.8471014220413</v>
      </c>
      <c r="P26" s="739">
        <f t="shared" si="8"/>
        <v>4439.9888119517927</v>
      </c>
      <c r="Q26" s="740">
        <f>HLOOKUP($C26,'[2]Non EU income shifted to EU'!$A$2:$AI$18,Q$2+10,0)/TableB10!$E$229</f>
        <v>331.60572213295649</v>
      </c>
      <c r="R26" s="740">
        <f>HLOOKUP($C26,'[2]Non EU income shifted to EU'!$A$2:$AI$18,R$2+10,0)/TableB10!$E$229</f>
        <v>75.187342645947069</v>
      </c>
      <c r="S26" s="740">
        <f>HLOOKUP($C26,'[2]Non EU income shifted to EU'!$A$2:$AI$18,S$2+10,0)/TableB10!$E$229</f>
        <v>2276.1432189947805</v>
      </c>
      <c r="T26" s="740">
        <f>HLOOKUP($C26,'[2]Non EU income shifted to EU'!$A$2:$AI$18,T$2+10,0)/TableB10!$E$229</f>
        <v>831.35362966175853</v>
      </c>
      <c r="U26" s="740">
        <f>HLOOKUP($C26,'[2]Non EU income shifted to EU'!$A$2:$AI$18,U$2+10,0)/TableB10!$E$229</f>
        <v>1.6939754313131812</v>
      </c>
      <c r="V26" s="740">
        <f>HLOOKUP($C26,'[2]Non EU income shifted to EU'!$A$2:$AI$18,V$2+10,0)/TableB10!$E$229</f>
        <v>924.00492308503703</v>
      </c>
      <c r="W26" s="739">
        <f t="shared" si="9"/>
        <v>3936.858289470249</v>
      </c>
      <c r="X26" s="678">
        <f>AE26*'[2]Non-EU tax havens'!$O$8</f>
        <v>303.2438363787569</v>
      </c>
      <c r="Y26" s="593">
        <f>AE26*'[2]Non-EU tax havens'!$O$13</f>
        <v>3633.6144530914921</v>
      </c>
      <c r="Z26" s="431"/>
      <c r="AA26" s="552">
        <f>+TableB2!L27/TableB2!$L$91</f>
        <v>5.7810431241967775E-3</v>
      </c>
      <c r="AB26" s="552">
        <f>+AA26</f>
        <v>5.7810431241967775E-3</v>
      </c>
      <c r="AC26" s="552">
        <f t="shared" si="10"/>
        <v>1.3681382267690076E-2</v>
      </c>
      <c r="AD26" s="552">
        <f t="shared" si="11"/>
        <v>5.7810431241967775E-3</v>
      </c>
      <c r="AE26" s="552">
        <f t="shared" si="12"/>
        <v>2.2582184872516137E-2</v>
      </c>
      <c r="AF26" s="552"/>
      <c r="AG26" s="552"/>
      <c r="AH26" s="552">
        <f t="shared" si="2"/>
        <v>0</v>
      </c>
      <c r="AI26" s="552"/>
      <c r="AJ26" s="552">
        <f t="shared" ref="AJ26:AJ88" si="13">+AI26/$AB$90</f>
        <v>0</v>
      </c>
    </row>
    <row r="27" spans="1:36" ht="14.25" customHeight="1" x14ac:dyDescent="0.35">
      <c r="A27" s="1" t="str">
        <f>+TableC1!A27</f>
        <v>Korea, Republic of</v>
      </c>
      <c r="B27" s="1" t="str">
        <f>+TableC1!B27</f>
        <v>South Korea</v>
      </c>
      <c r="C27" s="95" t="s">
        <v>68</v>
      </c>
      <c r="D27" s="739">
        <f t="shared" si="4"/>
        <v>280.37118617698968</v>
      </c>
      <c r="E27" s="739">
        <f t="shared" si="5"/>
        <v>35.117605313850987</v>
      </c>
      <c r="F27" s="740">
        <f>HLOOKUP($B27,'[2]Interest shifted to EU'!$L$12:$AT$18,F$2,0)/TableB10!$E$229</f>
        <v>10.274510529680915</v>
      </c>
      <c r="G27" s="740">
        <f>HLOOKUP($B27,'[2]Interest shifted to EU'!$L$12:$AT$18,G$2,0)/TableB10!$E$229</f>
        <v>0</v>
      </c>
      <c r="H27" s="740">
        <f>HLOOKUP($B27,'[2]Interest shifted to EU'!$L$12:$AT$18,H$2,0)/TableB10!$E$229</f>
        <v>-5.1017069646063531</v>
      </c>
      <c r="I27" s="740">
        <f>HLOOKUP($B27,'[2]Interest shifted to EU'!$L$12:$AT$18,I$2,0)/TableB10!$E$229</f>
        <v>12.532454065228652</v>
      </c>
      <c r="J27" s="740">
        <f>HLOOKUP($B27,'[2]Interest shifted to EU'!$L$12:$AT$18,J$2,0)/TableB10!$E$229</f>
        <v>-0.33272001943084917</v>
      </c>
      <c r="K27" s="740">
        <f>HLOOKUP($B27,'[2]Interest shifted to EU'!$L$12:$AT$18,K$2,0)/TableB10!$E$229</f>
        <v>17.74506770297862</v>
      </c>
      <c r="L27" s="739">
        <f t="shared" si="6"/>
        <v>245.25358086313872</v>
      </c>
      <c r="M27" s="678">
        <f>AC27*'[2]Non-EU tax havens'!$M$8</f>
        <v>38.446561628387819</v>
      </c>
      <c r="N27" s="1328">
        <f>AC27*'[2]Non-EU tax havens'!$M$13</f>
        <v>206.8070192347509</v>
      </c>
      <c r="O27" s="739">
        <f t="shared" si="7"/>
        <v>4787.971646101314</v>
      </c>
      <c r="P27" s="739">
        <f t="shared" si="8"/>
        <v>1178.1686053131493</v>
      </c>
      <c r="Q27" s="740">
        <f>HLOOKUP($B27,'[2]Non EU income shifted to EU'!$A$2:$AI$18,Q$2+10,0)/TableB10!$E$229</f>
        <v>125.47532647159935</v>
      </c>
      <c r="R27" s="740">
        <f>HLOOKUP($B27,'[2]Non EU income shifted to EU'!$A$2:$AI$18,R$2+10,0)/TableB10!$E$229</f>
        <v>29.951244602792077</v>
      </c>
      <c r="S27" s="740">
        <f>HLOOKUP($B27,'[2]Non EU income shifted to EU'!$A$2:$AI$18,S$2+10,0)/TableB10!$E$229</f>
        <v>291.34713992634727</v>
      </c>
      <c r="T27" s="740">
        <f>HLOOKUP($B27,'[2]Non EU income shifted to EU'!$A$2:$AI$18,T$2+10,0)/TableB10!$E$229</f>
        <v>252.24024899964724</v>
      </c>
      <c r="U27" s="740">
        <f>HLOOKUP($B27,'[2]Non EU income shifted to EU'!$A$2:$AI$18,U$2+10,0)/TableB10!$E$229</f>
        <v>0.10587346445707382</v>
      </c>
      <c r="V27" s="740">
        <f>HLOOKUP($B27,'[2]Non EU income shifted to EU'!$A$2:$AI$18,V$2+10,0)/TableB10!$E$229</f>
        <v>479.04877184830633</v>
      </c>
      <c r="W27" s="739">
        <f t="shared" si="9"/>
        <v>3609.8030407881643</v>
      </c>
      <c r="X27" s="678">
        <f>AE27*'[2]Non-EU tax havens'!$O$8</f>
        <v>278.05179718765129</v>
      </c>
      <c r="Y27" s="593">
        <f>AE27*'[2]Non-EU tax havens'!$O$13</f>
        <v>3331.7512436005131</v>
      </c>
      <c r="Z27" s="431"/>
      <c r="AA27" s="552">
        <f>+TableB2!L28/TableB2!$L$91</f>
        <v>5.3007818707797921E-3</v>
      </c>
      <c r="AB27" s="552">
        <f>+AA27</f>
        <v>5.3007818707797921E-3</v>
      </c>
      <c r="AC27" s="552">
        <f t="shared" si="10"/>
        <v>1.2544798842312032E-2</v>
      </c>
      <c r="AD27" s="552">
        <f t="shared" si="11"/>
        <v>5.3007818707797921E-3</v>
      </c>
      <c r="AE27" s="552">
        <f t="shared" si="12"/>
        <v>2.0706165583475537E-2</v>
      </c>
      <c r="AF27" s="552"/>
      <c r="AG27" s="552"/>
      <c r="AH27" s="552">
        <f t="shared" si="2"/>
        <v>0</v>
      </c>
      <c r="AI27" s="552"/>
      <c r="AJ27" s="552">
        <f t="shared" si="13"/>
        <v>0</v>
      </c>
    </row>
    <row r="28" spans="1:36" ht="14.25" customHeight="1" x14ac:dyDescent="0.35">
      <c r="C28" s="13" t="s">
        <v>69</v>
      </c>
      <c r="D28" s="739">
        <f t="shared" si="4"/>
        <v>17.76611039837978</v>
      </c>
      <c r="E28" s="739">
        <f t="shared" si="5"/>
        <v>14.141727213934441</v>
      </c>
      <c r="F28" s="740">
        <f>VLOOKUP($C28,'[2]Breakdown EU havens'!$S$68:$Y$98,F$2,0)/TableB10!$E$229</f>
        <v>0.71463227819088904</v>
      </c>
      <c r="G28" s="740">
        <f>VLOOKUP($C28,'[2]Breakdown EU havens'!$S$68:$Y$98,G$2,0)/TableB10!$E$229</f>
        <v>0</v>
      </c>
      <c r="H28" s="740">
        <f>VLOOKUP($C28,'[2]Breakdown EU havens'!$S$68:$Y$98,H$2,0)/TableB10!$E$229</f>
        <v>2.5299087900978883</v>
      </c>
      <c r="I28" s="740">
        <f>VLOOKUP($C28,'[2]Breakdown EU havens'!$S$68:$Y$98,I$2,0)/TableB10!$E$229</f>
        <v>4.3158835732488914</v>
      </c>
      <c r="J28" s="740">
        <f>VLOOKUP($C28,'[2]Breakdown EU havens'!$S$68:$Y$98,J$2,0)/TableB10!$E$229</f>
        <v>0.10213596199050969</v>
      </c>
      <c r="K28" s="740">
        <f>VLOOKUP($C28,'[2]Breakdown EU havens'!$S$68:$Y$98,K$2,0)/TableB10!$E$229</f>
        <v>6.4791666104062617</v>
      </c>
      <c r="L28" s="739">
        <f t="shared" si="6"/>
        <v>3.6243831844453385</v>
      </c>
      <c r="M28" s="678">
        <f>VLOOKUP($C28,'[2]Breakdown non-EU havens'!$K$59:$M$86,3,0)/TableB10!$E$229</f>
        <v>0.2099944545323193</v>
      </c>
      <c r="N28" s="1328">
        <f>VLOOKUP($C28,'[2]Breakdown non-EU havens'!$K$59:$M$86,2,0)/TableB10!$E$229</f>
        <v>3.4143887299130191</v>
      </c>
      <c r="O28" s="739">
        <f t="shared" si="7"/>
        <v>192.92838271951794</v>
      </c>
      <c r="P28" s="739">
        <f t="shared" si="8"/>
        <v>133.36870696829479</v>
      </c>
      <c r="Q28" s="740">
        <f>VLOOKUP($C28,'[2]Breakdown EU havens'!$J$68:$P$95,Q$2,0)/TableB10!$E$229</f>
        <v>10.031551857740677</v>
      </c>
      <c r="R28" s="740">
        <f>VLOOKUP($C28,'[2]Breakdown EU havens'!$J$68:$P$95,R$2,0)/TableB10!$E$229</f>
        <v>0.8775705412094752</v>
      </c>
      <c r="S28" s="740">
        <f>VLOOKUP($C28,'[2]Breakdown EU havens'!$J$68:$P$95,S$2,0)/TableB10!$E$229</f>
        <v>46.074742489759288</v>
      </c>
      <c r="T28" s="740">
        <f>VLOOKUP($C28,'[2]Breakdown EU havens'!$J$68:$P$95,T$2,0)/TableB10!$E$229</f>
        <v>64.670164789866547</v>
      </c>
      <c r="U28" s="740">
        <f>VLOOKUP($C28,'[2]Breakdown EU havens'!$J$68:$P$95,U$2,0)/TableB10!$E$229</f>
        <v>1.9684453555195063</v>
      </c>
      <c r="V28" s="740">
        <f>VLOOKUP($C28,'[2]Breakdown EU havens'!$J$68:$P$95,V$2,0)/TableB10!$E$229</f>
        <v>9.7462319341992902</v>
      </c>
      <c r="W28" s="739">
        <f t="shared" si="9"/>
        <v>59.559675751223146</v>
      </c>
      <c r="X28" s="678">
        <f>VLOOKUP($C28,'[2]Breakdown non-EU havens'!$F$59:$H$86,3,0)/TableB10!$E$229</f>
        <v>15.339589549154462</v>
      </c>
      <c r="Y28" s="593">
        <f>VLOOKUP($C28,'[2]Breakdown non-EU havens'!$F$59:$H$86,2,0)/TableB10!$E$229</f>
        <v>44.220086202068686</v>
      </c>
      <c r="Z28" s="431"/>
      <c r="AA28" s="552">
        <f>+TableB2!L29/TableB2!$L$91</f>
        <v>3.9009029227811333E-4</v>
      </c>
      <c r="AB28" s="552"/>
      <c r="AC28" s="552">
        <f t="shared" si="10"/>
        <v>0</v>
      </c>
      <c r="AD28" s="552">
        <f t="shared" si="11"/>
        <v>0</v>
      </c>
      <c r="AE28" s="552">
        <f t="shared" si="12"/>
        <v>0</v>
      </c>
      <c r="AF28" s="552"/>
      <c r="AG28" s="552"/>
      <c r="AH28" s="552">
        <f t="shared" si="2"/>
        <v>0</v>
      </c>
      <c r="AI28" s="552"/>
      <c r="AJ28" s="552">
        <f t="shared" si="13"/>
        <v>0</v>
      </c>
    </row>
    <row r="29" spans="1:36" ht="14.25" customHeight="1" x14ac:dyDescent="0.35">
      <c r="C29" s="13" t="s">
        <v>70</v>
      </c>
      <c r="D29" s="739">
        <f t="shared" si="4"/>
        <v>17109.125079017667</v>
      </c>
      <c r="E29" s="739">
        <f t="shared" si="5"/>
        <v>6756.6740190209202</v>
      </c>
      <c r="F29" s="740">
        <f>VLOOKUP($C29,'[2]Breakdown EU havens'!$S$68:$Y$98,F$2,0)/TableB10!$E$229</f>
        <v>920.8547356116884</v>
      </c>
      <c r="G29" s="740">
        <f>VLOOKUP($C29,'[2]Breakdown EU havens'!$S$68:$Y$98,G$2,0)/TableB10!$E$229</f>
        <v>31.702314801723229</v>
      </c>
      <c r="H29" s="740">
        <f>VLOOKUP($C29,'[2]Breakdown EU havens'!$S$68:$Y$98,H$2,0)/TableB10!$E$229</f>
        <v>936.16355652045297</v>
      </c>
      <c r="I29" s="740">
        <f>VLOOKUP($C29,'[2]Breakdown EU havens'!$S$68:$Y$98,I$2,0)/TableB10!$E$229</f>
        <v>0</v>
      </c>
      <c r="J29" s="740">
        <f>VLOOKUP($C29,'[2]Breakdown EU havens'!$S$68:$Y$98,J$2,0)/TableB10!$E$229</f>
        <v>16.137481994500529</v>
      </c>
      <c r="K29" s="740">
        <f>VLOOKUP($C29,'[2]Breakdown EU havens'!$S$68:$Y$98,K$2,0)/TableB10!$E$229</f>
        <v>4851.8159300925554</v>
      </c>
      <c r="L29" s="739">
        <f t="shared" si="6"/>
        <v>10352.451059996747</v>
      </c>
      <c r="M29" s="678">
        <f>VLOOKUP($C29,'[2]Breakdown non-EU havens'!$K$59:$M$86,3,0)/TableB10!$E$229</f>
        <v>1288.3159785557789</v>
      </c>
      <c r="N29" s="1328">
        <f>VLOOKUP($C29,'[2]Breakdown non-EU havens'!$K$59:$M$86,2,0)/TableB10!$E$229</f>
        <v>9064.1350814409689</v>
      </c>
      <c r="O29" s="739">
        <f t="shared" si="7"/>
        <v>16388.987318014475</v>
      </c>
      <c r="P29" s="739">
        <f t="shared" si="8"/>
        <v>4153.0880766778746</v>
      </c>
      <c r="Q29" s="740">
        <f>VLOOKUP($C29,'[2]Breakdown EU havens'!$J$68:$P$95,Q$2,0)/TableB10!$E$229</f>
        <v>1890.3205531930087</v>
      </c>
      <c r="R29" s="740">
        <f>VLOOKUP($C29,'[2]Breakdown EU havens'!$J$68:$P$95,R$2,0)/TableB10!$E$229</f>
        <v>38.028056785743921</v>
      </c>
      <c r="S29" s="740">
        <f>VLOOKUP($C29,'[2]Breakdown EU havens'!$J$68:$P$95,S$2,0)/TableB10!$E$229</f>
        <v>1512.2754368305439</v>
      </c>
      <c r="T29" s="740">
        <f>VLOOKUP($C29,'[2]Breakdown EU havens'!$J$68:$P$95,T$2,0)/TableB10!$E$229</f>
        <v>0</v>
      </c>
      <c r="U29" s="740">
        <f>VLOOKUP($C29,'[2]Breakdown EU havens'!$J$68:$P$95,U$2,0)/TableB10!$E$229</f>
        <v>30.421428221665092</v>
      </c>
      <c r="V29" s="740">
        <f>VLOOKUP($C29,'[2]Breakdown EU havens'!$J$68:$P$95,V$2,0)/TableB10!$E$229</f>
        <v>682.04260164691323</v>
      </c>
      <c r="W29" s="739">
        <f t="shared" si="9"/>
        <v>12235.8992413366</v>
      </c>
      <c r="X29" s="678">
        <f>VLOOKUP($C29,'[2]Breakdown non-EU havens'!$F$59:$H$86,3,0)/TableB10!$E$229</f>
        <v>6152.1980485142167</v>
      </c>
      <c r="Y29" s="593">
        <f>VLOOKUP($C29,'[2]Breakdown non-EU havens'!$F$59:$H$86,2,0)/TableB10!$E$229</f>
        <v>6083.7011928223819</v>
      </c>
      <c r="Z29" s="431"/>
      <c r="AA29" s="552">
        <f>+TableB2!L30/TableB2!$L$91</f>
        <v>0.10976103536720654</v>
      </c>
      <c r="AB29" s="552"/>
      <c r="AC29" s="552">
        <f t="shared" si="10"/>
        <v>0</v>
      </c>
      <c r="AD29" s="552">
        <f t="shared" si="11"/>
        <v>0</v>
      </c>
      <c r="AE29" s="552">
        <f t="shared" si="12"/>
        <v>0</v>
      </c>
      <c r="AF29" s="552"/>
      <c r="AG29" s="552"/>
      <c r="AH29" s="552">
        <f t="shared" si="2"/>
        <v>0</v>
      </c>
      <c r="AI29" s="552"/>
      <c r="AJ29" s="552">
        <f t="shared" si="13"/>
        <v>0</v>
      </c>
    </row>
    <row r="30" spans="1:36" ht="14.25" customHeight="1" x14ac:dyDescent="0.35">
      <c r="C30" s="13" t="s">
        <v>71</v>
      </c>
      <c r="D30" s="739">
        <f t="shared" si="4"/>
        <v>3449.1832190551381</v>
      </c>
      <c r="E30" s="739">
        <f t="shared" si="5"/>
        <v>2845.0393227413078</v>
      </c>
      <c r="F30" s="740">
        <f>HLOOKUP($C30,'[2]Interest shifted to EU'!$L$12:$AT$18,F$2,0)/TableB10!$E$229</f>
        <v>139.91465809536072</v>
      </c>
      <c r="G30" s="740">
        <f>HLOOKUP($C30,'[2]Interest shifted to EU'!$L$12:$AT$18,G$2,0)/TableB10!$E$229</f>
        <v>0</v>
      </c>
      <c r="H30" s="740">
        <f>HLOOKUP($C30,'[2]Interest shifted to EU'!$L$12:$AT$18,H$2,0)/TableB10!$E$229</f>
        <v>0</v>
      </c>
      <c r="I30" s="740">
        <f>HLOOKUP($C30,'[2]Interest shifted to EU'!$L$12:$AT$18,I$2,0)/TableB10!$E$229</f>
        <v>681.0778797749482</v>
      </c>
      <c r="J30" s="740">
        <f>HLOOKUP($C30,'[2]Interest shifted to EU'!$L$12:$AT$18,J$2,0)/TableB10!$E$229</f>
        <v>9.9816005829254735</v>
      </c>
      <c r="K30" s="740">
        <f>HLOOKUP($C30,'[2]Interest shifted to EU'!$L$12:$AT$18,K$2,0)/TableB10!$E$229</f>
        <v>2014.0651842880734</v>
      </c>
      <c r="L30" s="739">
        <f t="shared" si="6"/>
        <v>604.14389631383017</v>
      </c>
      <c r="M30" s="678">
        <f>AC30*'[2]Non-EU tax havens'!$M$8</f>
        <v>94.707100545886604</v>
      </c>
      <c r="N30" s="1328">
        <f>AC30*'[2]Non-EU tax havens'!$M$13</f>
        <v>509.43679576794352</v>
      </c>
      <c r="O30" s="739">
        <f t="shared" si="7"/>
        <v>10279.774833264411</v>
      </c>
      <c r="P30" s="739">
        <f t="shared" si="8"/>
        <v>1387.5887688975499</v>
      </c>
      <c r="Q30" s="740">
        <f>HLOOKUP($C30,'[2]Non EU income shifted to EU'!$A$2:$AI$18,Q$2+10,0)/TableB10!$E$229</f>
        <v>311.17453086605497</v>
      </c>
      <c r="R30" s="740">
        <f>HLOOKUP($C30,'[2]Non EU income shifted to EU'!$A$2:$AI$18,R$2+10,0)/TableB10!$E$229</f>
        <v>0</v>
      </c>
      <c r="S30" s="740">
        <f>HLOOKUP($C30,'[2]Non EU income shifted to EU'!$A$2:$AI$18,S$2+10,0)/TableB10!$E$229</f>
        <v>405.86625835840192</v>
      </c>
      <c r="T30" s="740">
        <f>HLOOKUP($C30,'[2]Non EU income shifted to EU'!$A$2:$AI$18,T$2+10,0)/TableB10!$E$229</f>
        <v>98.565790183382745</v>
      </c>
      <c r="U30" s="740">
        <f>HLOOKUP($C30,'[2]Non EU income shifted to EU'!$A$2:$AI$18,U$2+10,0)/TableB10!$E$229</f>
        <v>0</v>
      </c>
      <c r="V30" s="740">
        <f>HLOOKUP($C30,'[2]Non EU income shifted to EU'!$A$2:$AI$18,V$2+10,0)/TableB10!$E$229</f>
        <v>571.98218948971044</v>
      </c>
      <c r="W30" s="739">
        <f t="shared" si="9"/>
        <v>8892.1860643668624</v>
      </c>
      <c r="X30" s="678">
        <f>AE30*'[2]Non-EU tax havens'!$O$8</f>
        <v>684.93718028016031</v>
      </c>
      <c r="Y30" s="593">
        <f>AE30*'[2]Non-EU tax havens'!$O$13</f>
        <v>8207.2488840867027</v>
      </c>
      <c r="Z30" s="431"/>
      <c r="AA30" s="552">
        <f>+TableB2!L31/TableB2!$L$91</f>
        <v>1.3057648339535167E-2</v>
      </c>
      <c r="AB30" s="552">
        <f>+AA30</f>
        <v>1.3057648339535167E-2</v>
      </c>
      <c r="AC30" s="552">
        <f t="shared" si="10"/>
        <v>3.0902152883536999E-2</v>
      </c>
      <c r="AD30" s="552">
        <f t="shared" si="11"/>
        <v>1.3057648339535167E-2</v>
      </c>
      <c r="AE30" s="552">
        <f t="shared" si="12"/>
        <v>5.1006405326660835E-2</v>
      </c>
      <c r="AF30" s="552"/>
      <c r="AG30" s="552"/>
      <c r="AH30" s="552">
        <f t="shared" si="2"/>
        <v>0</v>
      </c>
      <c r="AI30" s="552"/>
      <c r="AJ30" s="552">
        <f t="shared" si="13"/>
        <v>0</v>
      </c>
    </row>
    <row r="31" spans="1:36" ht="14.25" customHeight="1" x14ac:dyDescent="0.35">
      <c r="C31" s="13" t="s">
        <v>72</v>
      </c>
      <c r="D31" s="739">
        <f t="shared" si="4"/>
        <v>12000.36595699908</v>
      </c>
      <c r="E31" s="739">
        <f t="shared" si="5"/>
        <v>5261.0592968907586</v>
      </c>
      <c r="F31" s="740">
        <f>VLOOKUP($C31,'[2]Breakdown EU havens'!$S$68:$Y$98,F$2,0)/TableB10!$E$229</f>
        <v>803.450861337471</v>
      </c>
      <c r="G31" s="740">
        <f>VLOOKUP($C31,'[2]Breakdown EU havens'!$S$68:$Y$98,G$2,0)/TableB10!$E$229</f>
        <v>-17.455143566424994</v>
      </c>
      <c r="H31" s="740">
        <f>VLOOKUP($C31,'[2]Breakdown EU havens'!$S$68:$Y$98,H$2,0)/TableB10!$E$229</f>
        <v>3455.2715821683078</v>
      </c>
      <c r="I31" s="740">
        <f>VLOOKUP($C31,'[2]Breakdown EU havens'!$S$68:$Y$98,I$2,0)/TableB10!$E$229</f>
        <v>1024.0817073550061</v>
      </c>
      <c r="J31" s="740">
        <f>VLOOKUP($C31,'[2]Breakdown EU havens'!$S$68:$Y$98,J$2,0)/TableB10!$E$229</f>
        <v>-4.289710403601406</v>
      </c>
      <c r="K31" s="740">
        <f>VLOOKUP($C31,'[2]Breakdown EU havens'!$S$68:$Y$98,K$2,0)/TableB10!$E$229</f>
        <v>0</v>
      </c>
      <c r="L31" s="739">
        <f t="shared" si="6"/>
        <v>6739.306660108321</v>
      </c>
      <c r="M31" s="678">
        <f>VLOOKUP($C31,'[2]Breakdown non-EU havens'!$K$59:$M$86,3,0)/TableB10!$E$229</f>
        <v>4201.9890351917084</v>
      </c>
      <c r="N31" s="1328">
        <f>VLOOKUP($C31,'[2]Breakdown non-EU havens'!$K$59:$M$86,2,0)/TableB10!$E$229</f>
        <v>2537.3176249166122</v>
      </c>
      <c r="O31" s="739">
        <f t="shared" si="7"/>
        <v>47186.186052590128</v>
      </c>
      <c r="P31" s="739">
        <f t="shared" si="8"/>
        <v>11524.708560669696</v>
      </c>
      <c r="Q31" s="740">
        <f>VLOOKUP($C31,'[2]Breakdown EU havens'!$J$68:$P$95,Q$2,0)/TableB10!$E$229</f>
        <v>5377.0685387467802</v>
      </c>
      <c r="R31" s="740">
        <f>VLOOKUP($C31,'[2]Breakdown EU havens'!$J$68:$P$95,R$2,0)/TableB10!$E$229</f>
        <v>30.714968942331634</v>
      </c>
      <c r="S31" s="740">
        <f>VLOOKUP($C31,'[2]Breakdown EU havens'!$J$68:$P$95,S$2,0)/TableB10!$E$229</f>
        <v>4023.8608441056449</v>
      </c>
      <c r="T31" s="740">
        <f>VLOOKUP($C31,'[2]Breakdown EU havens'!$J$68:$P$95,T$2,0)/TableB10!$E$229</f>
        <v>2065.5059738976665</v>
      </c>
      <c r="U31" s="740">
        <f>VLOOKUP($C31,'[2]Breakdown EU havens'!$J$68:$P$95,U$2,0)/TableB10!$E$229</f>
        <v>27.558234977273084</v>
      </c>
      <c r="V31" s="740">
        <f>VLOOKUP($C31,'[2]Breakdown EU havens'!$J$68:$P$95,V$2,0)/TableB10!$E$229</f>
        <v>0</v>
      </c>
      <c r="W31" s="739">
        <f t="shared" si="9"/>
        <v>35661.477491920428</v>
      </c>
      <c r="X31" s="678">
        <f>VLOOKUP($C31,'[2]Breakdown non-EU havens'!$F$59:$H$86,3,0)/TableB10!$E$229</f>
        <v>13879.056096214303</v>
      </c>
      <c r="Y31" s="593">
        <f>VLOOKUP($C31,'[2]Breakdown non-EU havens'!$F$59:$H$86,2,0)/TableB10!$E$229</f>
        <v>21782.421395706126</v>
      </c>
      <c r="Z31" s="431"/>
      <c r="AA31" s="552">
        <f>+TableB2!L32/TableB2!$L$91</f>
        <v>9.9513180149138972E-2</v>
      </c>
      <c r="AB31" s="552"/>
      <c r="AC31" s="552"/>
      <c r="AD31" s="552"/>
      <c r="AE31" s="552"/>
      <c r="AF31" s="552"/>
      <c r="AG31" s="552"/>
      <c r="AH31" s="552">
        <f t="shared" si="2"/>
        <v>0</v>
      </c>
      <c r="AI31" s="552"/>
      <c r="AJ31" s="552">
        <f t="shared" si="13"/>
        <v>0</v>
      </c>
    </row>
    <row r="32" spans="1:36" ht="14.25" customHeight="1" x14ac:dyDescent="0.35">
      <c r="C32" s="13" t="s">
        <v>73</v>
      </c>
      <c r="D32" s="739">
        <f t="shared" si="4"/>
        <v>123.54867933139094</v>
      </c>
      <c r="E32" s="739">
        <f t="shared" si="5"/>
        <v>55.341261972693815</v>
      </c>
      <c r="F32" s="740">
        <f>HLOOKUP($C32,'[2]Interest shifted to EU'!$L$12:$AT$18,F$2,0)/TableB10!$E$229</f>
        <v>12.087659446683428</v>
      </c>
      <c r="G32" s="740">
        <f>HLOOKUP($C32,'[2]Interest shifted to EU'!$L$12:$AT$18,G$2,0)/TableB10!$E$229</f>
        <v>0</v>
      </c>
      <c r="H32" s="740">
        <f>HLOOKUP($C32,'[2]Interest shifted to EU'!$L$12:$AT$18,H$2,0)/TableB10!$E$229</f>
        <v>0</v>
      </c>
      <c r="I32" s="740">
        <f>HLOOKUP($C32,'[2]Interest shifted to EU'!$L$12:$AT$18,I$2,0)/TableB10!$E$229</f>
        <v>21.072267897287112</v>
      </c>
      <c r="J32" s="740">
        <f>HLOOKUP($C32,'[2]Interest shifted to EU'!$L$12:$AT$18,J$2,0)/TableB10!$E$229</f>
        <v>0</v>
      </c>
      <c r="K32" s="740">
        <f>HLOOKUP($C32,'[2]Interest shifted to EU'!$L$12:$AT$18,K$2,0)/TableB10!$E$229</f>
        <v>22.181334628723278</v>
      </c>
      <c r="L32" s="739">
        <f t="shared" si="6"/>
        <v>68.207417358697128</v>
      </c>
      <c r="M32" s="678">
        <f>AC32*'[2]Non-EU tax havens'!$M$8</f>
        <v>10.692364473396573</v>
      </c>
      <c r="N32" s="1328">
        <f>AC32*'[2]Non-EU tax havens'!$M$13</f>
        <v>57.515052885300555</v>
      </c>
      <c r="O32" s="739">
        <f t="shared" si="7"/>
        <v>1473.5395051629434</v>
      </c>
      <c r="P32" s="739">
        <f t="shared" si="8"/>
        <v>469.61800595706507</v>
      </c>
      <c r="Q32" s="740">
        <f>HLOOKUP($C32,'[2]Non EU income shifted to EU'!$A$2:$AI$18,Q$2+10,0)/TableB10!$E$229</f>
        <v>33.160572213295652</v>
      </c>
      <c r="R32" s="740">
        <f>HLOOKUP($C32,'[2]Non EU income shifted to EU'!$A$2:$AI$18,R$2+10,0)/TableB10!$E$229</f>
        <v>0</v>
      </c>
      <c r="S32" s="740">
        <f>HLOOKUP($C32,'[2]Non EU income shifted to EU'!$A$2:$AI$18,S$2+10,0)/TableB10!$E$229</f>
        <v>225.20073554098943</v>
      </c>
      <c r="T32" s="740">
        <f>HLOOKUP($C32,'[2]Non EU income shifted to EU'!$A$2:$AI$18,T$2+10,0)/TableB10!$E$229</f>
        <v>99.720448002357415</v>
      </c>
      <c r="U32" s="740">
        <f>HLOOKUP($C32,'[2]Non EU income shifted to EU'!$A$2:$AI$18,U$2+10,0)/TableB10!$E$229</f>
        <v>8.8933710143942015</v>
      </c>
      <c r="V32" s="740">
        <f>HLOOKUP($C32,'[2]Non EU income shifted to EU'!$A$2:$AI$18,V$2+10,0)/TableB10!$E$229</f>
        <v>102.64287918602845</v>
      </c>
      <c r="W32" s="739">
        <f t="shared" si="9"/>
        <v>1003.9214992058783</v>
      </c>
      <c r="X32" s="678">
        <f>AE32*'[2]Non-EU tax havens'!$O$8</f>
        <v>77.328921809697334</v>
      </c>
      <c r="Y32" s="593">
        <f>AE32*'[2]Non-EU tax havens'!$O$13</f>
        <v>926.5925773961809</v>
      </c>
      <c r="Z32" s="431"/>
      <c r="AA32" s="552">
        <f>+TableB2!L33/TableB2!$L$91</f>
        <v>1.4741992354005767E-3</v>
      </c>
      <c r="AB32" s="552">
        <f>+AA32</f>
        <v>1.4741992354005767E-3</v>
      </c>
      <c r="AC32" s="552">
        <f t="shared" si="10"/>
        <v>3.488831140842601E-3</v>
      </c>
      <c r="AD32" s="552">
        <f t="shared" si="11"/>
        <v>1.4741992354005767E-3</v>
      </c>
      <c r="AE32" s="552">
        <f t="shared" si="12"/>
        <v>5.7585869811969592E-3</v>
      </c>
      <c r="AF32" s="552"/>
      <c r="AG32" s="552"/>
      <c r="AH32" s="552">
        <f t="shared" si="2"/>
        <v>0</v>
      </c>
      <c r="AI32" s="552"/>
      <c r="AJ32" s="552">
        <f t="shared" si="13"/>
        <v>0</v>
      </c>
    </row>
    <row r="33" spans="2:36" ht="14.25" customHeight="1" x14ac:dyDescent="0.35">
      <c r="C33" s="13" t="s">
        <v>74</v>
      </c>
      <c r="D33" s="739">
        <f t="shared" si="4"/>
        <v>938.15598753661311</v>
      </c>
      <c r="E33" s="739">
        <f t="shared" si="5"/>
        <v>786.63016891842494</v>
      </c>
      <c r="F33" s="740">
        <f>HLOOKUP($C33,'[2]Interest shifted to EU'!$L$12:$AT$18,F$2,0)/TableB10!$E$229</f>
        <v>108.99039601092892</v>
      </c>
      <c r="G33" s="740">
        <f>HLOOKUP($C33,'[2]Interest shifted to EU'!$L$12:$AT$18,G$2,0)/TableB10!$E$229</f>
        <v>0</v>
      </c>
      <c r="H33" s="740">
        <f>HLOOKUP($C33,'[2]Interest shifted to EU'!$L$12:$AT$18,H$2,0)/TableB10!$E$229</f>
        <v>0</v>
      </c>
      <c r="I33" s="740">
        <f>HLOOKUP($C33,'[2]Interest shifted to EU'!$L$12:$AT$18,I$2,0)/TableB10!$E$229</f>
        <v>447.73023948077929</v>
      </c>
      <c r="J33" s="740">
        <f>HLOOKUP($C33,'[2]Interest shifted to EU'!$L$12:$AT$18,J$2,0)/TableB10!$E$229</f>
        <v>3.6599202137393405</v>
      </c>
      <c r="K33" s="740">
        <f>HLOOKUP($C33,'[2]Interest shifted to EU'!$L$12:$AT$18,K$2,0)/TableB10!$E$229</f>
        <v>226.24961321297741</v>
      </c>
      <c r="L33" s="739">
        <f t="shared" si="6"/>
        <v>151.52581861818814</v>
      </c>
      <c r="M33" s="678">
        <f>AC33*'[2]Non-EU tax havens'!$M$8</f>
        <v>23.753564385455508</v>
      </c>
      <c r="N33" s="1328">
        <f>AC33*'[2]Non-EU tax havens'!$M$13</f>
        <v>127.77225423273264</v>
      </c>
      <c r="O33" s="739">
        <f t="shared" si="7"/>
        <v>4529.6392076910888</v>
      </c>
      <c r="P33" s="739">
        <f t="shared" si="8"/>
        <v>2299.3828384228773</v>
      </c>
      <c r="Q33" s="740">
        <f>HLOOKUP($C33,'[2]Non EU income shifted to EU'!$A$2:$AI$18,Q$2+10,0)/TableB10!$E$229</f>
        <v>178.63921160065723</v>
      </c>
      <c r="R33" s="740">
        <f>HLOOKUP($C33,'[2]Non EU income shifted to EU'!$A$2:$AI$18,R$2+10,0)/TableB10!$E$229</f>
        <v>1.7670350798107419</v>
      </c>
      <c r="S33" s="740">
        <f>HLOOKUP($C33,'[2]Non EU income shifted to EU'!$A$2:$AI$18,S$2+10,0)/TableB10!$E$229</f>
        <v>1197.7043603211366</v>
      </c>
      <c r="T33" s="740">
        <f>HLOOKUP($C33,'[2]Non EU income shifted to EU'!$A$2:$AI$18,T$2+10,0)/TableB10!$E$229</f>
        <v>302.31041078609405</v>
      </c>
      <c r="U33" s="740">
        <f>HLOOKUP($C33,'[2]Non EU income shifted to EU'!$A$2:$AI$18,U$2+10,0)/TableB10!$E$229</f>
        <v>31.867912801579223</v>
      </c>
      <c r="V33" s="740">
        <f>HLOOKUP($C33,'[2]Non EU income shifted to EU'!$A$2:$AI$18,V$2+10,0)/TableB10!$E$229</f>
        <v>587.09390783359947</v>
      </c>
      <c r="W33" s="739">
        <f t="shared" si="9"/>
        <v>2230.2563692682111</v>
      </c>
      <c r="X33" s="678">
        <f>AE33*'[2]Non-EU tax havens'!$O$8</f>
        <v>171.78964742875101</v>
      </c>
      <c r="Y33" s="593">
        <f>AE33*'[2]Non-EU tax havens'!$O$13</f>
        <v>2058.4667218394602</v>
      </c>
      <c r="Z33" s="431"/>
      <c r="AA33" s="552">
        <f>+TableB2!L34/TableB2!$L$91</f>
        <v>3.2749993270621371E-3</v>
      </c>
      <c r="AB33" s="552">
        <f>+AA33</f>
        <v>3.2749993270621371E-3</v>
      </c>
      <c r="AC33" s="552">
        <f t="shared" si="10"/>
        <v>7.7505939252425667E-3</v>
      </c>
      <c r="AD33" s="552">
        <f t="shared" si="11"/>
        <v>3.2749993270621371E-3</v>
      </c>
      <c r="AE33" s="552">
        <f t="shared" si="12"/>
        <v>1.2792957719262596E-2</v>
      </c>
      <c r="AF33" s="552"/>
      <c r="AG33" s="552"/>
      <c r="AH33" s="552">
        <f t="shared" si="2"/>
        <v>0</v>
      </c>
      <c r="AI33" s="552"/>
      <c r="AJ33" s="552">
        <f t="shared" si="13"/>
        <v>0</v>
      </c>
    </row>
    <row r="34" spans="2:36" ht="14.25" customHeight="1" x14ac:dyDescent="0.35">
      <c r="C34" s="13" t="s">
        <v>75</v>
      </c>
      <c r="D34" s="739">
        <f t="shared" si="4"/>
        <v>442.36141832006865</v>
      </c>
      <c r="E34" s="739">
        <f t="shared" si="5"/>
        <v>381.19119206515495</v>
      </c>
      <c r="F34" s="740">
        <f>VLOOKUP($C34,'[2]Breakdown EU havens'!$S$68:$Y$98,F$2,0)/TableB10!$E$229</f>
        <v>102.0903254558413</v>
      </c>
      <c r="G34" s="740">
        <f>VLOOKUP($C34,'[2]Breakdown EU havens'!$S$68:$Y$98,G$2,0)/TableB10!$E$229</f>
        <v>3.8684372228293222</v>
      </c>
      <c r="H34" s="740">
        <f>VLOOKUP($C34,'[2]Breakdown EU havens'!$S$68:$Y$98,H$2,0)/TableB10!$E$229</f>
        <v>39.894715536159005</v>
      </c>
      <c r="I34" s="740">
        <f>VLOOKUP($C34,'[2]Breakdown EU havens'!$S$68:$Y$98,I$2,0)/TableB10!$E$229</f>
        <v>180.38180062553059</v>
      </c>
      <c r="J34" s="740">
        <f>VLOOKUP($C34,'[2]Breakdown EU havens'!$S$68:$Y$98,J$2,0)/TableB10!$E$229</f>
        <v>2.0427192398101934</v>
      </c>
      <c r="K34" s="740">
        <f>VLOOKUP($C34,'[2]Breakdown EU havens'!$S$68:$Y$98,K$2,0)/TableB10!$E$229</f>
        <v>52.913193984984474</v>
      </c>
      <c r="L34" s="739">
        <f t="shared" si="6"/>
        <v>61.170226254913729</v>
      </c>
      <c r="M34" s="678">
        <f>VLOOKUP($C34,'[2]Breakdown non-EU havens'!$K$59:$M$86,3,0)/TableB10!$E$229</f>
        <v>50.713660769555112</v>
      </c>
      <c r="N34" s="1328">
        <f>VLOOKUP($C34,'[2]Breakdown non-EU havens'!$K$59:$M$86,2,0)/TableB10!$E$229</f>
        <v>10.45656548535862</v>
      </c>
      <c r="O34" s="739">
        <f t="shared" si="7"/>
        <v>3432.1668824292838</v>
      </c>
      <c r="P34" s="739">
        <f t="shared" si="8"/>
        <v>2303.2041929179222</v>
      </c>
      <c r="Q34" s="740">
        <f>VLOOKUP($C34,'[2]Breakdown EU havens'!$J$68:$P$95,Q$2,0)/TableB10!$E$229</f>
        <v>414.58522912068889</v>
      </c>
      <c r="R34" s="740">
        <f>VLOOKUP($C34,'[2]Breakdown EU havens'!$J$68:$P$95,R$2,0)/TableB10!$E$229</f>
        <v>9.5070141964359802</v>
      </c>
      <c r="S34" s="740">
        <f>VLOOKUP($C34,'[2]Breakdown EU havens'!$J$68:$P$95,S$2,0)/TableB10!$E$229</f>
        <v>828.32148164922808</v>
      </c>
      <c r="T34" s="740">
        <f>VLOOKUP($C34,'[2]Breakdown EU havens'!$J$68:$P$95,T$2,0)/TableB10!$E$229</f>
        <v>423.03698321086983</v>
      </c>
      <c r="U34" s="740">
        <f>VLOOKUP($C34,'[2]Breakdown EU havens'!$J$68:$P$95,U$2,0)/TableB10!$E$229</f>
        <v>15.031764533058048</v>
      </c>
      <c r="V34" s="740">
        <f>VLOOKUP($C34,'[2]Breakdown EU havens'!$J$68:$P$95,V$2,0)/TableB10!$E$229</f>
        <v>612.7217202076414</v>
      </c>
      <c r="W34" s="739">
        <f t="shared" si="9"/>
        <v>1128.9626895113613</v>
      </c>
      <c r="X34" s="678">
        <f>VLOOKUP($C34,'[2]Breakdown non-EU havens'!$F$59:$H$86,3,0)/TableB10!$E$229</f>
        <v>1032.6611684490783</v>
      </c>
      <c r="Y34" s="593">
        <f>VLOOKUP($C34,'[2]Breakdown non-EU havens'!$F$59:$H$86,2,0)/TableB10!$E$229</f>
        <v>96.301521062282916</v>
      </c>
      <c r="Z34" s="431"/>
      <c r="AA34" s="552">
        <f>+TableB2!L35/TableB2!$L$91</f>
        <v>4.5646328096349172E-3</v>
      </c>
      <c r="AB34" s="552"/>
      <c r="AC34" s="552">
        <f t="shared" si="10"/>
        <v>0</v>
      </c>
      <c r="AD34" s="552">
        <f t="shared" si="11"/>
        <v>0</v>
      </c>
      <c r="AE34" s="552">
        <f t="shared" si="12"/>
        <v>0</v>
      </c>
      <c r="AF34" s="552"/>
      <c r="AG34" s="552"/>
      <c r="AH34" s="552">
        <f t="shared" si="2"/>
        <v>0</v>
      </c>
      <c r="AI34" s="552"/>
      <c r="AJ34" s="552">
        <f t="shared" si="13"/>
        <v>0</v>
      </c>
    </row>
    <row r="35" spans="2:36" ht="14.25" customHeight="1" x14ac:dyDescent="0.35">
      <c r="C35" s="13" t="s">
        <v>76</v>
      </c>
      <c r="D35" s="739">
        <f t="shared" si="4"/>
        <v>894.91470040201455</v>
      </c>
      <c r="E35" s="739">
        <f t="shared" si="5"/>
        <v>827.97988505195212</v>
      </c>
      <c r="F35" s="740">
        <f>VLOOKUP($C35,'[2]Breakdown EU havens'!$S$68:$Y$98,F$2,0)/TableB10!$E$229</f>
        <v>30.014555684017335</v>
      </c>
      <c r="G35" s="740">
        <f>VLOOKUP($C35,'[2]Breakdown EU havens'!$S$68:$Y$98,G$2,0)/TableB10!$E$229</f>
        <v>0</v>
      </c>
      <c r="H35" s="740">
        <f>VLOOKUP($C35,'[2]Breakdown EU havens'!$S$68:$Y$98,H$2,0)/TableB10!$E$229</f>
        <v>27.24517158566956</v>
      </c>
      <c r="I35" s="740">
        <f>VLOOKUP($C35,'[2]Breakdown EU havens'!$S$68:$Y$98,I$2,0)/TableB10!$E$229</f>
        <v>180.824455350992</v>
      </c>
      <c r="J35" s="740">
        <f>VLOOKUP($C35,'[2]Breakdown EU havens'!$S$68:$Y$98,J$2,0)/TableB10!$E$229</f>
        <v>2.4512630877722321</v>
      </c>
      <c r="K35" s="740">
        <f>VLOOKUP($C35,'[2]Breakdown EU havens'!$S$68:$Y$98,K$2,0)/TableB10!$E$229</f>
        <v>587.44443934350102</v>
      </c>
      <c r="L35" s="739">
        <f t="shared" si="6"/>
        <v>66.934815350062394</v>
      </c>
      <c r="M35" s="678">
        <f>VLOOKUP($C35,'[2]Breakdown non-EU havens'!$K$59:$M$86,3,0)/TableB10!$E$229</f>
        <v>37.37901290675282</v>
      </c>
      <c r="N35" s="1328">
        <f>VLOOKUP($C35,'[2]Breakdown non-EU havens'!$K$59:$M$86,2,0)/TableB10!$E$229</f>
        <v>29.55580244330957</v>
      </c>
      <c r="O35" s="739">
        <f t="shared" si="7"/>
        <v>1870.7999824690694</v>
      </c>
      <c r="P35" s="739">
        <f t="shared" si="8"/>
        <v>1642.847958723275</v>
      </c>
      <c r="Q35" s="740">
        <f>VLOOKUP($C35,'[2]Breakdown EU havens'!$J$68:$P$95,Q$2,0)/TableB10!$E$229</f>
        <v>360.50889488755553</v>
      </c>
      <c r="R35" s="740">
        <f>VLOOKUP($C35,'[2]Breakdown EU havens'!$J$68:$P$95,R$2,0)/TableB10!$E$229</f>
        <v>1.0969631765118439</v>
      </c>
      <c r="S35" s="740">
        <f>VLOOKUP($C35,'[2]Breakdown EU havens'!$J$68:$P$95,S$2,0)/TableB10!$E$229</f>
        <v>531.39536338189043</v>
      </c>
      <c r="T35" s="740">
        <f>VLOOKUP($C35,'[2]Breakdown EU havens'!$J$68:$P$95,T$2,0)/TableB10!$E$229</f>
        <v>596.9132807592589</v>
      </c>
      <c r="U35" s="740">
        <f>VLOOKUP($C35,'[2]Breakdown EU havens'!$J$68:$P$95,U$2,0)/TableB10!$E$229</f>
        <v>6.3527100109947687</v>
      </c>
      <c r="V35" s="740">
        <f>VLOOKUP($C35,'[2]Breakdown EU havens'!$J$68:$P$95,V$2,0)/TableB10!$E$229</f>
        <v>146.58074650706351</v>
      </c>
      <c r="W35" s="739">
        <f t="shared" si="9"/>
        <v>227.95202374579438</v>
      </c>
      <c r="X35" s="678">
        <f>VLOOKUP($C35,'[2]Breakdown non-EU havens'!$F$59:$H$86,3,0)/TableB10!$E$229</f>
        <v>200.43730344228499</v>
      </c>
      <c r="Y35" s="593">
        <f>VLOOKUP($C35,'[2]Breakdown non-EU havens'!$F$59:$H$86,2,0)/TableB10!$E$229</f>
        <v>27.514720303509403</v>
      </c>
      <c r="Z35" s="431"/>
      <c r="AA35" s="552">
        <f>+TableB2!L36/TableB2!$L$91</f>
        <v>3.4282296476492446E-3</v>
      </c>
      <c r="AB35" s="552"/>
      <c r="AC35" s="552">
        <f t="shared" si="10"/>
        <v>0</v>
      </c>
      <c r="AD35" s="552">
        <f t="shared" si="11"/>
        <v>0</v>
      </c>
      <c r="AE35" s="552">
        <f t="shared" si="12"/>
        <v>0</v>
      </c>
      <c r="AF35" s="552"/>
      <c r="AG35" s="552"/>
      <c r="AH35" s="552">
        <f t="shared" si="2"/>
        <v>0</v>
      </c>
      <c r="AI35" s="552"/>
      <c r="AJ35" s="552">
        <f t="shared" si="13"/>
        <v>0</v>
      </c>
    </row>
    <row r="36" spans="2:36" ht="14.25" customHeight="1" x14ac:dyDescent="0.35">
      <c r="C36" s="13" t="s">
        <v>96</v>
      </c>
      <c r="D36" s="739">
        <f t="shared" si="4"/>
        <v>128.17875605932639</v>
      </c>
      <c r="E36" s="739">
        <f t="shared" si="5"/>
        <v>114.87534849397609</v>
      </c>
      <c r="F36" s="740">
        <f>VLOOKUP($C36,'[2]Breakdown EU havens'!$S$68:$Y$98,F$2,0)/TableB10!$E$229</f>
        <v>10.106942220128287</v>
      </c>
      <c r="G36" s="740">
        <f>VLOOKUP($C36,'[2]Breakdown EU havens'!$S$68:$Y$98,G$2,0)/TableB10!$E$229</f>
        <v>0</v>
      </c>
      <c r="H36" s="740">
        <f>VLOOKUP($C36,'[2]Breakdown EU havens'!$S$68:$Y$98,H$2,0)/TableB10!$E$229</f>
        <v>8.3681598441699379</v>
      </c>
      <c r="I36" s="740">
        <f>VLOOKUP($C36,'[2]Breakdown EU havens'!$S$68:$Y$98,I$2,0)/TableB10!$E$229</f>
        <v>39.838925291528227</v>
      </c>
      <c r="J36" s="740">
        <f>VLOOKUP($C36,'[2]Breakdown EU havens'!$S$68:$Y$98,J$2,0)/TableB10!$E$229</f>
        <v>0.40854384796203874</v>
      </c>
      <c r="K36" s="740">
        <f>VLOOKUP($C36,'[2]Breakdown EU havens'!$S$68:$Y$98,K$2,0)/TableB10!$E$229</f>
        <v>56.152777290187601</v>
      </c>
      <c r="L36" s="739">
        <f t="shared" si="6"/>
        <v>13.303407565350287</v>
      </c>
      <c r="M36" s="678">
        <f>VLOOKUP($C36,'[2]Breakdown non-EU havens'!$K$59:$M$86,3,0)/TableB10!$E$229</f>
        <v>2.0999445453231926</v>
      </c>
      <c r="N36" s="1328">
        <f>VLOOKUP($C36,'[2]Breakdown non-EU havens'!$K$59:$M$86,2,0)/TableB10!$E$229</f>
        <v>11.203463020027094</v>
      </c>
      <c r="O36" s="739">
        <f t="shared" si="7"/>
        <v>539.41901370506821</v>
      </c>
      <c r="P36" s="739">
        <f t="shared" si="8"/>
        <v>446.34948859564139</v>
      </c>
      <c r="Q36" s="740">
        <f>VLOOKUP($C36,'[2]Breakdown EU havens'!$J$68:$P$95,Q$2,0)/TableB10!$E$229</f>
        <v>115.20610336624058</v>
      </c>
      <c r="R36" s="740">
        <f>VLOOKUP($C36,'[2]Breakdown EU havens'!$J$68:$P$95,R$2,0)/TableB10!$E$229</f>
        <v>0.58504702747298343</v>
      </c>
      <c r="S36" s="740">
        <f>VLOOKUP($C36,'[2]Breakdown EU havens'!$J$68:$P$95,S$2,0)/TableB10!$E$229</f>
        <v>93.173368145957667</v>
      </c>
      <c r="T36" s="740">
        <f>VLOOKUP($C36,'[2]Breakdown EU havens'!$J$68:$P$95,T$2,0)/TableB10!$E$229</f>
        <v>163.59034917233583</v>
      </c>
      <c r="U36" s="740">
        <f>VLOOKUP($C36,'[2]Breakdown EU havens'!$J$68:$P$95,U$2,0)/TableB10!$E$229</f>
        <v>4.473739444362514</v>
      </c>
      <c r="V36" s="740">
        <f>VLOOKUP($C36,'[2]Breakdown EU havens'!$J$68:$P$95,V$2,0)/TableB10!$E$229</f>
        <v>69.320881439271787</v>
      </c>
      <c r="W36" s="739">
        <f t="shared" si="9"/>
        <v>93.06952510942682</v>
      </c>
      <c r="X36" s="678">
        <f>VLOOKUP($C36,'[2]Breakdown non-EU havens'!$F$59:$H$86,3,0)/TableB10!$E$229</f>
        <v>83.242839286744896</v>
      </c>
      <c r="Y36" s="593">
        <f>VLOOKUP($C36,'[2]Breakdown non-EU havens'!$F$59:$H$86,2,0)/TableB10!$E$229</f>
        <v>9.8266858226819291</v>
      </c>
      <c r="Z36" s="431"/>
      <c r="AA36" s="552">
        <f>+TableB2!L37/TableB2!$L$91</f>
        <v>1.2829588931474523E-3</v>
      </c>
      <c r="AB36" s="552"/>
      <c r="AC36" s="552">
        <f t="shared" si="10"/>
        <v>0</v>
      </c>
      <c r="AD36" s="552">
        <f t="shared" si="11"/>
        <v>0</v>
      </c>
      <c r="AE36" s="552">
        <f t="shared" si="12"/>
        <v>0</v>
      </c>
      <c r="AF36" s="552"/>
      <c r="AG36" s="552"/>
      <c r="AH36" s="552">
        <f t="shared" si="2"/>
        <v>0</v>
      </c>
      <c r="AI36" s="552"/>
      <c r="AJ36" s="552">
        <f t="shared" si="13"/>
        <v>0</v>
      </c>
    </row>
    <row r="37" spans="2:36" ht="14.25" customHeight="1" x14ac:dyDescent="0.35">
      <c r="C37" s="13" t="s">
        <v>78</v>
      </c>
      <c r="D37" s="739">
        <f t="shared" si="4"/>
        <v>16.505340270789176</v>
      </c>
      <c r="E37" s="739">
        <f t="shared" si="5"/>
        <v>11.543231860581718</v>
      </c>
      <c r="F37" s="740">
        <f>VLOOKUP($C37,'[2]Breakdown EU havens'!$S$68:$Y$98,F$2,0)/TableB10!$E$229</f>
        <v>1.2250839054700955</v>
      </c>
      <c r="G37" s="740">
        <f>VLOOKUP($C37,'[2]Breakdown EU havens'!$S$68:$Y$98,G$2,0)/TableB10!$E$229</f>
        <v>0.28305638215824308</v>
      </c>
      <c r="H37" s="740">
        <f>VLOOKUP($C37,'[2]Breakdown EU havens'!$S$68:$Y$98,H$2,0)/TableB10!$E$229</f>
        <v>0</v>
      </c>
      <c r="I37" s="740">
        <f>VLOOKUP($C37,'[2]Breakdown EU havens'!$S$68:$Y$98,I$2,0)/TableB10!$E$229</f>
        <v>8.8530945092284945</v>
      </c>
      <c r="J37" s="740">
        <f>VLOOKUP($C37,'[2]Breakdown EU havens'!$S$68:$Y$98,J$2,0)/TableB10!$E$229</f>
        <v>0.10213596199050969</v>
      </c>
      <c r="K37" s="740">
        <f>VLOOKUP($C37,'[2]Breakdown EU havens'!$S$68:$Y$98,K$2,0)/TableB10!$E$229</f>
        <v>1.0798611017343769</v>
      </c>
      <c r="L37" s="739">
        <f t="shared" si="6"/>
        <v>4.9621084102074589</v>
      </c>
      <c r="M37" s="678">
        <f>VLOOKUP($C37,'[2]Breakdown non-EU havens'!$K$59:$M$86,3,0)/TableB10!$E$229</f>
        <v>3.2549140452509491</v>
      </c>
      <c r="N37" s="1328">
        <f>VLOOKUP($C37,'[2]Breakdown non-EU havens'!$K$59:$M$86,2,0)/TableB10!$E$229</f>
        <v>1.7071943649565096</v>
      </c>
      <c r="O37" s="739">
        <f t="shared" si="7"/>
        <v>219.68485105346269</v>
      </c>
      <c r="P37" s="739">
        <f t="shared" si="8"/>
        <v>109.12148805185628</v>
      </c>
      <c r="Q37" s="740">
        <f>VLOOKUP($C37,'[2]Breakdown EU havens'!$J$68:$P$95,Q$2,0)/TableB10!$E$229</f>
        <v>28.762340092115846</v>
      </c>
      <c r="R37" s="740">
        <f>VLOOKUP($C37,'[2]Breakdown EU havens'!$J$68:$P$95,R$2,0)/TableB10!$E$229</f>
        <v>0</v>
      </c>
      <c r="S37" s="740">
        <f>VLOOKUP($C37,'[2]Breakdown EU havens'!$J$68:$P$95,S$2,0)/TableB10!$E$229</f>
        <v>42.183986457290729</v>
      </c>
      <c r="T37" s="740">
        <f>VLOOKUP($C37,'[2]Breakdown EU havens'!$J$68:$P$95,T$2,0)/TableB10!$E$229</f>
        <v>21.884996544794095</v>
      </c>
      <c r="U37" s="740">
        <f>VLOOKUP($C37,'[2]Breakdown EU havens'!$J$68:$P$95,U$2,0)/TableB10!$E$229</f>
        <v>8.9474788887250273E-2</v>
      </c>
      <c r="V37" s="740">
        <f>VLOOKUP($C37,'[2]Breakdown EU havens'!$J$68:$P$95,V$2,0)/TableB10!$E$229</f>
        <v>16.200690168768357</v>
      </c>
      <c r="W37" s="739">
        <f t="shared" si="9"/>
        <v>110.56336300160642</v>
      </c>
      <c r="X37" s="678">
        <f>VLOOKUP($C37,'[2]Breakdown non-EU havens'!$F$59:$H$86,3,0)/TableB10!$E$229</f>
        <v>80.788504958880168</v>
      </c>
      <c r="Y37" s="593">
        <f>VLOOKUP($C37,'[2]Breakdown non-EU havens'!$F$59:$H$86,2,0)/TableB10!$E$229</f>
        <v>29.774858042726247</v>
      </c>
      <c r="Z37" s="431"/>
      <c r="AA37" s="552">
        <f>+TableB2!L38/TableB2!$L$91</f>
        <v>3.5018124427046114E-4</v>
      </c>
      <c r="AB37" s="552"/>
      <c r="AC37" s="552">
        <f t="shared" si="10"/>
        <v>0</v>
      </c>
      <c r="AD37" s="552">
        <f t="shared" si="11"/>
        <v>0</v>
      </c>
      <c r="AE37" s="552">
        <f t="shared" si="12"/>
        <v>0</v>
      </c>
      <c r="AF37" s="552"/>
      <c r="AG37" s="552"/>
      <c r="AH37" s="552">
        <f t="shared" si="2"/>
        <v>0</v>
      </c>
      <c r="AI37" s="552"/>
      <c r="AJ37" s="552">
        <f t="shared" si="13"/>
        <v>0</v>
      </c>
    </row>
    <row r="38" spans="2:36" ht="14.25" customHeight="1" x14ac:dyDescent="0.35">
      <c r="C38" s="13" t="s">
        <v>79</v>
      </c>
      <c r="D38" s="739">
        <f t="shared" si="4"/>
        <v>5726.3192608754562</v>
      </c>
      <c r="E38" s="739">
        <f t="shared" si="5"/>
        <v>5441.4040765287955</v>
      </c>
      <c r="F38" s="740">
        <f>VLOOKUP($C38,'[2]Breakdown EU havens'!$S$68:$Y$98,F$2,0)/TableB10!$E$229</f>
        <v>135.78013285626892</v>
      </c>
      <c r="G38" s="740">
        <f>VLOOKUP($C38,'[2]Breakdown EU havens'!$S$68:$Y$98,G$2,0)/TableB10!$E$229</f>
        <v>0</v>
      </c>
      <c r="H38" s="740">
        <f>VLOOKUP($C38,'[2]Breakdown EU havens'!$S$68:$Y$98,H$2,0)/TableB10!$E$229</f>
        <v>166.39015504105339</v>
      </c>
      <c r="I38" s="740">
        <f>VLOOKUP($C38,'[2]Breakdown EU havens'!$S$68:$Y$98,I$2,0)/TableB10!$E$229</f>
        <v>986.23472832805419</v>
      </c>
      <c r="J38" s="740">
        <f>VLOOKUP($C38,'[2]Breakdown EU havens'!$S$68:$Y$98,J$2,0)/TableB10!$E$229</f>
        <v>6.3324296434115999</v>
      </c>
      <c r="K38" s="740">
        <f>VLOOKUP($C38,'[2]Breakdown EU havens'!$S$68:$Y$98,K$2,0)/TableB10!$E$229</f>
        <v>4146.6666306600073</v>
      </c>
      <c r="L38" s="739">
        <f t="shared" si="6"/>
        <v>284.91518434666074</v>
      </c>
      <c r="M38" s="678">
        <f>VLOOKUP($C38,'[2]Breakdown non-EU havens'!$K$59:$M$86,3,0)/TableB10!$E$229</f>
        <v>202.3296569418896</v>
      </c>
      <c r="N38" s="1328">
        <f>VLOOKUP($C38,'[2]Breakdown non-EU havens'!$K$59:$M$86,2,0)/TableB10!$E$229</f>
        <v>82.585527404771156</v>
      </c>
      <c r="O38" s="739">
        <f t="shared" si="7"/>
        <v>9330.0292725115141</v>
      </c>
      <c r="P38" s="739">
        <f t="shared" si="8"/>
        <v>6411.6763141052816</v>
      </c>
      <c r="Q38" s="740">
        <f>VLOOKUP($C38,'[2]Breakdown EU havens'!$J$68:$P$95,Q$2,0)/TableB10!$E$229</f>
        <v>803.30786360814011</v>
      </c>
      <c r="R38" s="740">
        <f>VLOOKUP($C38,'[2]Breakdown EU havens'!$J$68:$P$95,R$2,0)/TableB10!$E$229</f>
        <v>9.5070141964359802</v>
      </c>
      <c r="S38" s="740">
        <f>VLOOKUP($C38,'[2]Breakdown EU havens'!$J$68:$P$95,S$2,0)/TableB10!$E$229</f>
        <v>2208.5159900091285</v>
      </c>
      <c r="T38" s="740">
        <f>VLOOKUP($C38,'[2]Breakdown EU havens'!$J$68:$P$95,T$2,0)/TableB10!$E$229</f>
        <v>2314.3383846119755</v>
      </c>
      <c r="U38" s="740">
        <f>VLOOKUP($C38,'[2]Breakdown EU havens'!$J$68:$P$95,U$2,0)/TableB10!$E$229</f>
        <v>11.989621710891537</v>
      </c>
      <c r="V38" s="740">
        <f>VLOOKUP($C38,'[2]Breakdown EU havens'!$J$68:$P$95,V$2,0)/TableB10!$E$229</f>
        <v>1064.0174399687107</v>
      </c>
      <c r="W38" s="739">
        <f t="shared" si="9"/>
        <v>2918.3529584062317</v>
      </c>
      <c r="X38" s="678">
        <f>VLOOKUP($C38,'[2]Breakdown non-EU havens'!$F$59:$H$86,3,0)/TableB10!$E$229</f>
        <v>1604.6233307718844</v>
      </c>
      <c r="Y38" s="593">
        <f>VLOOKUP($C38,'[2]Breakdown non-EU havens'!$F$59:$H$86,2,0)/TableB10!$E$229</f>
        <v>1313.7296276343473</v>
      </c>
      <c r="Z38" s="431"/>
      <c r="AA38" s="552">
        <f>+TableB2!L39/TableB2!$L$91</f>
        <v>1.4770745163787515E-2</v>
      </c>
      <c r="AB38" s="552"/>
      <c r="AC38" s="552">
        <f t="shared" si="10"/>
        <v>0</v>
      </c>
      <c r="AD38" s="552">
        <f t="shared" si="11"/>
        <v>0</v>
      </c>
      <c r="AE38" s="552">
        <f t="shared" si="12"/>
        <v>0</v>
      </c>
      <c r="AF38" s="552"/>
      <c r="AG38" s="552"/>
      <c r="AH38" s="552">
        <f t="shared" si="2"/>
        <v>0</v>
      </c>
      <c r="AI38" s="552"/>
      <c r="AJ38" s="552">
        <f t="shared" si="13"/>
        <v>0</v>
      </c>
    </row>
    <row r="39" spans="2:36" s="118" customFormat="1" ht="14.25" customHeight="1" x14ac:dyDescent="0.35">
      <c r="C39" s="15" t="s">
        <v>80</v>
      </c>
      <c r="D39" s="739">
        <f t="shared" si="4"/>
        <v>1648.266141762793</v>
      </c>
      <c r="E39" s="739">
        <f t="shared" si="5"/>
        <v>1503.1238455280195</v>
      </c>
      <c r="F39" s="740">
        <f>VLOOKUP($C39,'[2]Breakdown EU havens'!$S$68:$Y$98,F$2,0)/TableB10!$E$229</f>
        <v>215.20640606091345</v>
      </c>
      <c r="G39" s="740">
        <f>VLOOKUP($C39,'[2]Breakdown EU havens'!$S$68:$Y$98,G$2,0)/TableB10!$E$229</f>
        <v>0</v>
      </c>
      <c r="H39" s="740">
        <f>VLOOKUP($C39,'[2]Breakdown EU havens'!$S$68:$Y$98,H$2,0)/TableB10!$E$229</f>
        <v>91.174020627758509</v>
      </c>
      <c r="I39" s="740">
        <f>VLOOKUP($C39,'[2]Breakdown EU havens'!$S$68:$Y$98,I$2,0)/TableB10!$E$229</f>
        <v>421.73928968337242</v>
      </c>
      <c r="J39" s="740">
        <f>VLOOKUP($C39,'[2]Breakdown EU havens'!$S$68:$Y$98,J$2,0)/TableB10!$E$229</f>
        <v>3.9833025176298773</v>
      </c>
      <c r="K39" s="740">
        <f>VLOOKUP($C39,'[2]Breakdown EU havens'!$S$68:$Y$98,K$2,0)/TableB10!$E$229</f>
        <v>771.02082663834506</v>
      </c>
      <c r="L39" s="739">
        <f t="shared" si="6"/>
        <v>145.14229623477362</v>
      </c>
      <c r="M39" s="678">
        <f>VLOOKUP($C39,'[2]Breakdown non-EU havens'!$K$59:$M$86,3,0)/TableB10!$E$229</f>
        <v>57.328486087323164</v>
      </c>
      <c r="N39" s="1328">
        <f>VLOOKUP($C39,'[2]Breakdown non-EU havens'!$K$59:$M$86,2,0)/TableB10!$E$229</f>
        <v>87.813810147450454</v>
      </c>
      <c r="O39" s="739">
        <f t="shared" si="7"/>
        <v>7305.7088181788185</v>
      </c>
      <c r="P39" s="739">
        <f t="shared" si="8"/>
        <v>5490.7263791995392</v>
      </c>
      <c r="Q39" s="740">
        <f>VLOOKUP($C39,'[2]Breakdown EU havens'!$J$68:$P$95,Q$2,0)/TableB10!$E$229</f>
        <v>769.60811908604251</v>
      </c>
      <c r="R39" s="740">
        <f>VLOOKUP($C39,'[2]Breakdown EU havens'!$J$68:$P$95,R$2,0)/TableB10!$E$229</f>
        <v>3.6565439217061466</v>
      </c>
      <c r="S39" s="740">
        <f>VLOOKUP($C39,'[2]Breakdown EU havens'!$J$68:$P$95,S$2,0)/TableB10!$E$229</f>
        <v>2206.4682236762505</v>
      </c>
      <c r="T39" s="740">
        <f>VLOOKUP($C39,'[2]Breakdown EU havens'!$J$68:$P$95,T$2,0)/TableB10!$E$229</f>
        <v>2081.2631714099184</v>
      </c>
      <c r="U39" s="740">
        <f>VLOOKUP($C39,'[2]Breakdown EU havens'!$J$68:$P$95,U$2,0)/TableB10!$E$229</f>
        <v>107.45922145358757</v>
      </c>
      <c r="V39" s="740">
        <f>VLOOKUP($C39,'[2]Breakdown EU havens'!$J$68:$P$95,V$2,0)/TableB10!$E$229</f>
        <v>322.27109965203351</v>
      </c>
      <c r="W39" s="739">
        <f t="shared" si="9"/>
        <v>1814.9824389792793</v>
      </c>
      <c r="X39" s="678">
        <f>VLOOKUP($C39,'[2]Breakdown non-EU havens'!$F$59:$H$86,3,0)/TableB10!$E$229</f>
        <v>656.02311305217256</v>
      </c>
      <c r="Y39" s="593">
        <f>VLOOKUP($C39,'[2]Breakdown non-EU havens'!$F$59:$H$86,2,0)/TableB10!$E$229</f>
        <v>1158.9593259271069</v>
      </c>
      <c r="Z39" s="598"/>
      <c r="AA39" s="552">
        <f>+TableB2!L40/TableB2!$L$91</f>
        <v>8.0149738798014902E-3</v>
      </c>
      <c r="AB39" s="1336"/>
      <c r="AC39" s="552">
        <f t="shared" si="10"/>
        <v>0</v>
      </c>
      <c r="AD39" s="552">
        <f t="shared" si="11"/>
        <v>0</v>
      </c>
      <c r="AE39" s="552">
        <f t="shared" si="12"/>
        <v>0</v>
      </c>
      <c r="AF39" s="1336"/>
      <c r="AG39" s="1336"/>
      <c r="AH39" s="552">
        <f t="shared" si="2"/>
        <v>0</v>
      </c>
      <c r="AI39" s="1336"/>
      <c r="AJ39" s="552">
        <f t="shared" si="13"/>
        <v>0</v>
      </c>
    </row>
    <row r="40" spans="2:36" ht="14.25" customHeight="1" x14ac:dyDescent="0.35">
      <c r="C40" s="15" t="s">
        <v>1</v>
      </c>
      <c r="D40" s="1708"/>
      <c r="E40" s="1708">
        <f t="shared" si="5"/>
        <v>3875.3282091588685</v>
      </c>
      <c r="F40" s="1709">
        <f>HLOOKUP($C40,'[2]Interest shifted to EU'!$L$12:$AT$18,F$2,0)/TableB10!$E$229</f>
        <v>100.73049538902858</v>
      </c>
      <c r="G40" s="1709">
        <f>HLOOKUP($C40,'[2]Interest shifted to EU'!$L$12:$AT$18,G$2,0)/TableB10!$E$229</f>
        <v>4.5471735988882713</v>
      </c>
      <c r="H40" s="1709">
        <f>HLOOKUP($C40,'[2]Interest shifted to EU'!$L$12:$AT$18,H$2,0)/TableB10!$E$229</f>
        <v>26.063068188749849</v>
      </c>
      <c r="I40" s="1709">
        <f>HLOOKUP($C40,'[2]Interest shifted to EU'!$L$12:$AT$18,I$2,0)/TableB10!$E$229</f>
        <v>1274.3176744201521</v>
      </c>
      <c r="J40" s="1709">
        <f>HLOOKUP($C40,'[2]Interest shifted to EU'!$L$12:$AT$18,J$2,0)/TableB10!$E$229</f>
        <v>5.3235203108935858</v>
      </c>
      <c r="K40" s="1709">
        <f>HLOOKUP($C40,'[2]Interest shifted to EU'!$L$12:$AT$18,K$2,0)/TableB10!$E$229</f>
        <v>2464.3462772511562</v>
      </c>
      <c r="L40" s="1708"/>
      <c r="M40" s="325"/>
      <c r="N40" s="1710"/>
      <c r="O40" s="1708"/>
      <c r="P40" s="1708">
        <f t="shared" si="8"/>
        <v>15669.548762968787</v>
      </c>
      <c r="Q40" s="1709">
        <f>HLOOKUP($C40,'[2]Non EU income shifted to EU'!$A$2:$AI$18,Q$2+10,0)/TableB10!$E$229</f>
        <v>1702.4209895954848</v>
      </c>
      <c r="R40" s="1709">
        <f>HLOOKUP($C40,'[2]Non EU income shifted to EU'!$A$2:$AI$18,R$2+10,0)/TableB10!$E$229</f>
        <v>7.9516578591483382</v>
      </c>
      <c r="S40" s="1709">
        <f>HLOOKUP($C40,'[2]Non EU income shifted to EU'!$A$2:$AI$18,S$2+10,0)/TableB10!$E$229</f>
        <v>2948.8168061869465</v>
      </c>
      <c r="T40" s="1709">
        <f>HLOOKUP($C40,'[2]Non EU income shifted to EU'!$A$2:$AI$18,T$2+10,0)/TableB10!$E$229</f>
        <v>5758.5934499045552</v>
      </c>
      <c r="U40" s="1709">
        <f>HLOOKUP($C40,'[2]Non EU income shifted to EU'!$A$2:$AI$18,U$2+10,0)/TableB10!$E$229</f>
        <v>32.820773981692888</v>
      </c>
      <c r="V40" s="1709">
        <f>HLOOKUP($C40,'[2]Non EU income shifted to EU'!$A$2:$AI$18,V$2+10,0)/TableB10!$E$229</f>
        <v>5218.9450854409588</v>
      </c>
      <c r="W40" s="1708"/>
      <c r="X40" s="325"/>
      <c r="Y40" s="1711"/>
      <c r="Z40" s="431"/>
      <c r="AA40" s="552">
        <f>+TableB2!L41/TableB2!$L$91</f>
        <v>2.836941179799185E-2</v>
      </c>
      <c r="AB40" s="552">
        <v>0</v>
      </c>
      <c r="AC40" s="552">
        <f t="shared" si="10"/>
        <v>0</v>
      </c>
      <c r="AD40" s="552">
        <f t="shared" si="11"/>
        <v>0</v>
      </c>
      <c r="AE40" s="552">
        <f t="shared" si="12"/>
        <v>0</v>
      </c>
      <c r="AF40" s="552"/>
      <c r="AG40" s="552"/>
      <c r="AH40" s="552">
        <f t="shared" si="2"/>
        <v>0</v>
      </c>
      <c r="AI40" s="552"/>
      <c r="AJ40" s="552">
        <f t="shared" si="13"/>
        <v>0</v>
      </c>
    </row>
    <row r="41" spans="2:36" ht="14.25" customHeight="1" x14ac:dyDescent="0.35">
      <c r="C41" s="13" t="s">
        <v>81</v>
      </c>
      <c r="D41" s="739">
        <f t="shared" si="4"/>
        <v>420.68346087788996</v>
      </c>
      <c r="E41" s="739">
        <f t="shared" si="5"/>
        <v>196.65362206669971</v>
      </c>
      <c r="F41" s="740">
        <f>HLOOKUP($C41,'[2]Interest shifted to EU'!$L$12:$AT$18,F$2,0)/TableB10!$E$229</f>
        <v>15.210304803743316</v>
      </c>
      <c r="G41" s="740">
        <f>HLOOKUP($C41,'[2]Interest shifted to EU'!$L$12:$AT$18,G$2,0)/TableB10!$E$229</f>
        <v>0</v>
      </c>
      <c r="H41" s="740">
        <f>HLOOKUP($C41,'[2]Interest shifted to EU'!$L$12:$AT$18,H$2,0)/TableB10!$E$229</f>
        <v>0</v>
      </c>
      <c r="I41" s="740">
        <f>HLOOKUP($C41,'[2]Interest shifted to EU'!$L$12:$AT$18,I$2,0)/TableB10!$E$229</f>
        <v>53.457016455223098</v>
      </c>
      <c r="J41" s="740">
        <f>HLOOKUP($C41,'[2]Interest shifted to EU'!$L$12:$AT$18,J$2,0)/TableB10!$E$229</f>
        <v>0.44362669257446552</v>
      </c>
      <c r="K41" s="740">
        <f>HLOOKUP($C41,'[2]Interest shifted to EU'!$L$12:$AT$18,K$2,0)/TableB10!$E$229</f>
        <v>127.54267411515883</v>
      </c>
      <c r="L41" s="739">
        <f t="shared" si="6"/>
        <v>224.02983881119022</v>
      </c>
      <c r="M41" s="678">
        <f>AC41*'[2]Non-EU tax havens'!$M$8</f>
        <v>35.119475010881537</v>
      </c>
      <c r="N41" s="1328">
        <f>AC41*'[2]Non-EU tax havens'!$M$13</f>
        <v>188.91036380030869</v>
      </c>
      <c r="O41" s="739">
        <f t="shared" si="7"/>
        <v>4795.3296974397426</v>
      </c>
      <c r="P41" s="739">
        <f t="shared" si="8"/>
        <v>1497.9116107321497</v>
      </c>
      <c r="Q41" s="740">
        <f>HLOOKUP($C41,'[2]Non EU income shifted to EU'!$A$2:$AI$18,Q$2+10,0)/TableB10!$E$229</f>
        <v>165.00058915809205</v>
      </c>
      <c r="R41" s="740">
        <f>HLOOKUP($C41,'[2]Non EU income shifted to EU'!$A$2:$AI$18,R$2+10,0)/TableB10!$E$229</f>
        <v>0</v>
      </c>
      <c r="S41" s="740">
        <f>HLOOKUP($C41,'[2]Non EU income shifted to EU'!$A$2:$AI$18,S$2+10,0)/TableB10!$E$229</f>
        <v>546.43999103690305</v>
      </c>
      <c r="T41" s="740">
        <f>HLOOKUP($C41,'[2]Non EU income shifted to EU'!$A$2:$AI$18,T$2+10,0)/TableB10!$E$229</f>
        <v>227.78249701591113</v>
      </c>
      <c r="U41" s="740">
        <f>HLOOKUP($C41,'[2]Non EU income shifted to EU'!$A$2:$AI$18,U$2+10,0)/TableB10!$E$229</f>
        <v>22.551047929356724</v>
      </c>
      <c r="V41" s="740">
        <f>HLOOKUP($C41,'[2]Non EU income shifted to EU'!$A$2:$AI$18,V$2+10,0)/TableB10!$E$229</f>
        <v>536.13748559188684</v>
      </c>
      <c r="W41" s="739">
        <f t="shared" si="9"/>
        <v>3297.4180867075929</v>
      </c>
      <c r="X41" s="678">
        <f>AE41*'[2]Non-EU tax havens'!$O$8</f>
        <v>253.98976474016348</v>
      </c>
      <c r="Y41" s="593">
        <f>AE41*'[2]Non-EU tax havens'!$O$13</f>
        <v>3043.4283219674294</v>
      </c>
      <c r="Z41" s="431"/>
      <c r="AA41" s="552">
        <f>+TableB2!L42/TableB2!$L$91</f>
        <v>4.8420630757141404E-3</v>
      </c>
      <c r="AB41" s="552">
        <f>+AA41</f>
        <v>4.8420630757141404E-3</v>
      </c>
      <c r="AC41" s="552">
        <f t="shared" si="10"/>
        <v>1.1459197670717357E-2</v>
      </c>
      <c r="AD41" s="552">
        <f t="shared" si="11"/>
        <v>4.8420630757141404E-3</v>
      </c>
      <c r="AE41" s="552">
        <f t="shared" si="12"/>
        <v>1.8914296467102243E-2</v>
      </c>
      <c r="AF41" s="552"/>
      <c r="AG41" s="552"/>
      <c r="AH41" s="552">
        <f t="shared" si="2"/>
        <v>0</v>
      </c>
      <c r="AI41" s="552"/>
      <c r="AJ41" s="552">
        <f t="shared" si="13"/>
        <v>0</v>
      </c>
    </row>
    <row r="42" spans="2:36" ht="14.25" customHeight="1" x14ac:dyDescent="0.35">
      <c r="C42" s="13" t="s">
        <v>82</v>
      </c>
      <c r="D42" s="739">
        <f t="shared" si="4"/>
        <v>10522.1095401784</v>
      </c>
      <c r="E42" s="739">
        <f t="shared" si="5"/>
        <v>8332.276390772091</v>
      </c>
      <c r="F42" s="740">
        <f>VLOOKUP($C42,'[2]Breakdown EU havens'!$S$68:$Y$98,F$2,0)/TableB10!$E$229</f>
        <v>687.06789031781193</v>
      </c>
      <c r="G42" s="740">
        <f>VLOOKUP($C42,'[2]Breakdown EU havens'!$S$68:$Y$98,G$2,0)/TableB10!$E$229</f>
        <v>47.176063693040518</v>
      </c>
      <c r="H42" s="740">
        <f>VLOOKUP($C42,'[2]Breakdown EU havens'!$S$68:$Y$98,H$2,0)/TableB10!$E$229</f>
        <v>401.28245578321884</v>
      </c>
      <c r="I42" s="740">
        <f>VLOOKUP($C42,'[2]Breakdown EU havens'!$S$68:$Y$98,I$2,0)/TableB10!$E$229</f>
        <v>3350.0109622920618</v>
      </c>
      <c r="J42" s="740">
        <f>VLOOKUP($C42,'[2]Breakdown EU havens'!$S$68:$Y$98,J$2,0)/TableB10!$E$229</f>
        <v>27.270301851466083</v>
      </c>
      <c r="K42" s="740">
        <f>VLOOKUP($C42,'[2]Breakdown EU havens'!$S$68:$Y$98,K$2,0)/TableB10!$E$229</f>
        <v>3819.4687168344908</v>
      </c>
      <c r="L42" s="739">
        <f t="shared" si="6"/>
        <v>2189.8331494063091</v>
      </c>
      <c r="M42" s="678">
        <f>VLOOKUP($C42,'[2]Breakdown non-EU havens'!$K$59:$M$86,3,0)/TableB10!$E$229</f>
        <v>234.66880293986679</v>
      </c>
      <c r="N42" s="1328">
        <f>VLOOKUP($C42,'[2]Breakdown non-EU havens'!$K$59:$M$86,2,0)/TableB10!$E$229</f>
        <v>1955.1643464664423</v>
      </c>
      <c r="O42" s="739">
        <f t="shared" si="7"/>
        <v>53951.806668413716</v>
      </c>
      <c r="P42" s="739">
        <f t="shared" si="8"/>
        <v>42559.720027960007</v>
      </c>
      <c r="Q42" s="740">
        <f>VLOOKUP($C42,'[2]Breakdown EU havens'!$J$68:$P$95,Q$2,0)/TableB10!$E$229</f>
        <v>4738.3408228046974</v>
      </c>
      <c r="R42" s="740">
        <f>VLOOKUP($C42,'[2]Breakdown EU havens'!$J$68:$P$95,R$2,0)/TableB10!$E$229</f>
        <v>483.17571381425029</v>
      </c>
      <c r="S42" s="740">
        <f>VLOOKUP($C42,'[2]Breakdown EU havens'!$J$68:$P$95,S$2,0)/TableB10!$E$229</f>
        <v>17336.389774146763</v>
      </c>
      <c r="T42" s="740">
        <f>VLOOKUP($C42,'[2]Breakdown EU havens'!$J$68:$P$95,T$2,0)/TableB10!$E$229</f>
        <v>13377.094713022665</v>
      </c>
      <c r="U42" s="740">
        <f>VLOOKUP($C42,'[2]Breakdown EU havens'!$J$68:$P$95,U$2,0)/TableB10!$E$229</f>
        <v>216.79741347380741</v>
      </c>
      <c r="V42" s="740">
        <f>VLOOKUP($C42,'[2]Breakdown EU havens'!$J$68:$P$95,V$2,0)/TableB10!$E$229</f>
        <v>6407.9215906978234</v>
      </c>
      <c r="W42" s="739">
        <f t="shared" si="9"/>
        <v>11392.086640453712</v>
      </c>
      <c r="X42" s="678">
        <f>VLOOKUP($C42,'[2]Breakdown non-EU havens'!$F$59:$H$86,3,0)/TableB10!$E$229</f>
        <v>3756.3586887969445</v>
      </c>
      <c r="Y42" s="593">
        <f>VLOOKUP($C42,'[2]Breakdown non-EU havens'!$F$59:$H$86,2,0)/TableB10!$E$229</f>
        <v>7635.7279516567669</v>
      </c>
      <c r="Z42" s="431"/>
      <c r="AA42" s="552">
        <f>+TableB2!L43/TableB2!$L$91</f>
        <v>4.6915671169686653E-2</v>
      </c>
      <c r="AB42" s="552"/>
      <c r="AC42" s="552">
        <f t="shared" si="10"/>
        <v>0</v>
      </c>
      <c r="AD42" s="552">
        <f t="shared" si="11"/>
        <v>0</v>
      </c>
      <c r="AE42" s="552">
        <f t="shared" si="12"/>
        <v>0</v>
      </c>
      <c r="AF42" s="552"/>
      <c r="AG42" s="552"/>
      <c r="AH42" s="552">
        <f t="shared" si="2"/>
        <v>0</v>
      </c>
      <c r="AI42" s="552"/>
      <c r="AJ42" s="552">
        <f t="shared" si="13"/>
        <v>0</v>
      </c>
    </row>
    <row r="43" spans="2:36" ht="14.25" customHeight="1" x14ac:dyDescent="0.35">
      <c r="C43" s="13" t="s">
        <v>0</v>
      </c>
      <c r="D43" s="739">
        <f t="shared" si="4"/>
        <v>24228.91057942215</v>
      </c>
      <c r="E43" s="739">
        <f t="shared" si="5"/>
        <v>16523.161438403422</v>
      </c>
      <c r="F43" s="740">
        <f>HLOOKUP($C43,'[2]Interest shifted to EU'!$L$12:$AT$18,F$2,0)/TableB10!$E$229</f>
        <v>1686.7321452892836</v>
      </c>
      <c r="G43" s="740">
        <f>HLOOKUP($C43,'[2]Interest shifted to EU'!$L$12:$AT$18,G$2,0)/TableB10!$E$229</f>
        <v>181.33241058981278</v>
      </c>
      <c r="H43" s="740">
        <f>HLOOKUP($C43,'[2]Interest shifted to EU'!$L$12:$AT$18,H$2,0)/TableB10!$E$229</f>
        <v>1051.0625413820526</v>
      </c>
      <c r="I43" s="740">
        <f>HLOOKUP($C43,'[2]Interest shifted to EU'!$L$12:$AT$18,I$2,0)/TableB10!$E$229</f>
        <v>9928.476286489682</v>
      </c>
      <c r="J43" s="740">
        <f>HLOOKUP($C43,'[2]Interest shifted to EU'!$L$12:$AT$18,J$2,0)/TableB10!$E$229</f>
        <v>95.490645576653719</v>
      </c>
      <c r="K43" s="740">
        <f>HLOOKUP($C43,'[2]Interest shifted to EU'!$L$12:$AT$18,K$2,0)/TableB10!$E$229</f>
        <v>3580.0674090759367</v>
      </c>
      <c r="L43" s="739">
        <f t="shared" si="6"/>
        <v>7705.7491410187286</v>
      </c>
      <c r="M43" s="678">
        <f>AC43*'[2]Non-EU tax havens'!$M$8</f>
        <v>1207.9724104350496</v>
      </c>
      <c r="N43" s="1328">
        <f>AC43*'[2]Non-EU tax havens'!$M$13</f>
        <v>6497.7767305836787</v>
      </c>
      <c r="O43" s="739">
        <f t="shared" si="7"/>
        <v>125228.14873301311</v>
      </c>
      <c r="P43" s="739">
        <f t="shared" si="8"/>
        <v>28674.090569862317</v>
      </c>
      <c r="Q43" s="740">
        <f>HLOOKUP($C43,'[2]Non EU income shifted to EU'!$A$2:$AI$18,Q$2+10,0)/TableB10!$E$229</f>
        <v>4301.2471248278007</v>
      </c>
      <c r="R43" s="740">
        <f>HLOOKUP($C43,'[2]Non EU income shifted to EU'!$A$2:$AI$18,R$2+10,0)/TableB10!$E$229</f>
        <v>132.52763098580564</v>
      </c>
      <c r="S43" s="740">
        <f>HLOOKUP($C43,'[2]Non EU income shifted to EU'!$A$2:$AI$18,S$2+10,0)/TableB10!$E$229</f>
        <v>7713.2766725942729</v>
      </c>
      <c r="T43" s="740">
        <f>HLOOKUP($C43,'[2]Non EU income shifted to EU'!$A$2:$AI$18,T$2+10,0)/TableB10!$E$229</f>
        <v>4940.8857762852249</v>
      </c>
      <c r="U43" s="740">
        <f>HLOOKUP($C43,'[2]Non EU income shifted to EU'!$A$2:$AI$18,U$2+10,0)/TableB10!$E$229</f>
        <v>56.642303484534494</v>
      </c>
      <c r="V43" s="740">
        <f>HLOOKUP($C43,'[2]Non EU income shifted to EU'!$A$2:$AI$18,V$2+10,0)/TableB10!$E$229</f>
        <v>11529.51106168468</v>
      </c>
      <c r="W43" s="739">
        <f t="shared" si="9"/>
        <v>96554.058163150796</v>
      </c>
      <c r="X43" s="678">
        <f>+TableC1!X43*(1-'[2]Non-EU tax havens'!$Q$8/'[2]Non-EU tax havens'!$R$8)</f>
        <v>13187.316839228566</v>
      </c>
      <c r="Y43" s="593">
        <f>+TableC1!Y43*(1-'[2]Non-EU tax havens'!$Q$13/'[2]Non-EU tax havens'!$R$13)</f>
        <v>83366.741323922237</v>
      </c>
      <c r="Z43" s="431"/>
      <c r="AA43" s="552">
        <f>+TableB2!L44/TableB2!$L$91</f>
        <v>0.16654800799945507</v>
      </c>
      <c r="AB43" s="552">
        <f>+AA43</f>
        <v>0.16654800799945507</v>
      </c>
      <c r="AC43" s="552">
        <f t="shared" si="10"/>
        <v>0.39415152497749978</v>
      </c>
      <c r="AD43" s="552"/>
      <c r="AE43" s="552">
        <f t="shared" si="12"/>
        <v>0</v>
      </c>
      <c r="AF43" s="552"/>
      <c r="AG43" s="552"/>
      <c r="AH43" s="552">
        <f t="shared" si="2"/>
        <v>0</v>
      </c>
      <c r="AI43" s="552"/>
      <c r="AJ43" s="552">
        <f t="shared" si="13"/>
        <v>0</v>
      </c>
    </row>
    <row r="44" spans="2:36" ht="40" customHeight="1" x14ac:dyDescent="0.35">
      <c r="C44" s="38" t="s">
        <v>99</v>
      </c>
      <c r="D44" s="651">
        <f t="shared" si="4"/>
        <v>13964.933542450859</v>
      </c>
      <c r="E44" s="651">
        <f>+SUM(E45:E51)</f>
        <v>8734.0796060250832</v>
      </c>
      <c r="F44" s="557">
        <f t="shared" ref="F44:Y44" si="14">+SUM(F45:F51)</f>
        <v>485.09990120524139</v>
      </c>
      <c r="G44" s="557">
        <f t="shared" si="14"/>
        <v>19.427034071080644</v>
      </c>
      <c r="H44" s="557">
        <f t="shared" si="14"/>
        <v>29.952115339208834</v>
      </c>
      <c r="I44" s="557">
        <f t="shared" si="14"/>
        <v>4366.8562223314439</v>
      </c>
      <c r="J44" s="557">
        <f t="shared" si="14"/>
        <v>21.182473360580122</v>
      </c>
      <c r="K44" s="557">
        <f t="shared" si="14"/>
        <v>3811.5618597175303</v>
      </c>
      <c r="L44" s="651">
        <f t="shared" si="14"/>
        <v>5230.8539364257758</v>
      </c>
      <c r="M44" s="557">
        <f t="shared" si="14"/>
        <v>820.00167960081728</v>
      </c>
      <c r="N44" s="1319">
        <f t="shared" si="14"/>
        <v>4410.8522568249591</v>
      </c>
      <c r="O44" s="651">
        <f t="shared" si="7"/>
        <v>93593.971055222384</v>
      </c>
      <c r="P44" s="651">
        <f t="shared" si="14"/>
        <v>16602.832417513313</v>
      </c>
      <c r="Q44" s="740">
        <f t="shared" si="14"/>
        <v>893.11901975942669</v>
      </c>
      <c r="R44" s="740">
        <f t="shared" si="14"/>
        <v>487.03948238973089</v>
      </c>
      <c r="S44" s="740">
        <f t="shared" si="14"/>
        <v>9050.0526071147415</v>
      </c>
      <c r="T44" s="740">
        <f t="shared" si="14"/>
        <v>1939.4382671714714</v>
      </c>
      <c r="U44" s="740">
        <f t="shared" si="14"/>
        <v>116.22438341949167</v>
      </c>
      <c r="V44" s="740">
        <f t="shared" si="14"/>
        <v>4116.9586576584525</v>
      </c>
      <c r="W44" s="651">
        <f t="shared" si="14"/>
        <v>76991.138637709068</v>
      </c>
      <c r="X44" s="557">
        <f t="shared" si="14"/>
        <v>5930.3857367975688</v>
      </c>
      <c r="Y44" s="1320">
        <f t="shared" si="14"/>
        <v>71060.752900911481</v>
      </c>
      <c r="Z44" s="431"/>
      <c r="AA44" s="552"/>
      <c r="AB44" s="552"/>
      <c r="AC44" s="552">
        <f t="shared" si="10"/>
        <v>0</v>
      </c>
      <c r="AD44" s="552"/>
      <c r="AE44" s="552">
        <f t="shared" si="12"/>
        <v>0</v>
      </c>
      <c r="AF44" s="552"/>
      <c r="AG44" s="552"/>
      <c r="AH44" s="552">
        <f t="shared" si="2"/>
        <v>0</v>
      </c>
      <c r="AI44" s="552"/>
      <c r="AJ44" s="552">
        <f t="shared" si="13"/>
        <v>0</v>
      </c>
    </row>
    <row r="45" spans="2:36" x14ac:dyDescent="0.35">
      <c r="C45" s="95" t="s">
        <v>92</v>
      </c>
      <c r="D45" s="739">
        <f t="shared" si="4"/>
        <v>3809.2700049229679</v>
      </c>
      <c r="E45" s="739">
        <f t="shared" si="5"/>
        <v>3212.7158560502662</v>
      </c>
      <c r="F45" s="740">
        <f>HLOOKUP($C45,'[2]Interest shifted to EU'!$L$12:$AT$18,F$2,0)/TableB10!$E$229</f>
        <v>258.2729901774693</v>
      </c>
      <c r="G45" s="740">
        <f>HLOOKUP($C45,'[2]Interest shifted to EU'!$L$12:$AT$18,G$2,0)/TableB10!$E$229</f>
        <v>0</v>
      </c>
      <c r="H45" s="740">
        <f>HLOOKUP($C45,'[2]Interest shifted to EU'!$L$12:$AT$18,H$2,0)/TableB10!$E$229</f>
        <v>34.491975347664699</v>
      </c>
      <c r="I45" s="740">
        <f>HLOOKUP($C45,'[2]Interest shifted to EU'!$L$12:$AT$18,I$2,0)/TableB10!$E$229</f>
        <v>804.84972700322407</v>
      </c>
      <c r="J45" s="740">
        <f>HLOOKUP($C45,'[2]Interest shifted to EU'!$L$12:$AT$18,J$2,0)/TableB10!$E$229</f>
        <v>4.5471735988882713</v>
      </c>
      <c r="K45" s="740">
        <f>HLOOKUP($C45,'[2]Interest shifted to EU'!$L$12:$AT$18,K$2,0)/TableB10!$E$229</f>
        <v>2110.5539899230198</v>
      </c>
      <c r="L45" s="739">
        <f t="shared" si="6"/>
        <v>596.5541488727016</v>
      </c>
      <c r="M45" s="678">
        <f>AC45*'[2]Non-EU tax havens'!$M$8</f>
        <v>93.517312850586521</v>
      </c>
      <c r="N45" s="1328">
        <f>AC45*'[2]Non-EU tax havens'!$M$13</f>
        <v>503.0368360221151</v>
      </c>
      <c r="O45" s="739">
        <f t="shared" si="7"/>
        <v>11089.820136814431</v>
      </c>
      <c r="P45" s="739">
        <f t="shared" si="8"/>
        <v>2309.3449526531826</v>
      </c>
      <c r="Q45" s="740">
        <f>HLOOKUP($C45,'[2]Non EU income shifted to EU'!$A$2:$AI$18,Q$2+10,0)/TableB10!$E$229</f>
        <v>97.342324884190447</v>
      </c>
      <c r="R45" s="740">
        <f>HLOOKUP($C45,'[2]Non EU income shifted to EU'!$A$2:$AI$18,R$2+10,0)/TableB10!$E$229</f>
        <v>8.8351753990537102E-2</v>
      </c>
      <c r="S45" s="740">
        <f>HLOOKUP($C45,'[2]Non EU income shifted to EU'!$A$2:$AI$18,S$2+10,0)/TableB10!$E$229</f>
        <v>899.49011276394299</v>
      </c>
      <c r="T45" s="740">
        <f>HLOOKUP($C45,'[2]Non EU income shifted to EU'!$A$2:$AI$18,T$2+10,0)/TableB10!$E$229</f>
        <v>198.39120707837421</v>
      </c>
      <c r="U45" s="740">
        <f>HLOOKUP($C45,'[2]Non EU income shifted to EU'!$A$2:$AI$18,U$2+10,0)/TableB10!$E$229</f>
        <v>0</v>
      </c>
      <c r="V45" s="740">
        <f>HLOOKUP($C45,'[2]Non EU income shifted to EU'!$A$2:$AI$18,V$2+10,0)/TableB10!$E$229</f>
        <v>1114.0329561726844</v>
      </c>
      <c r="W45" s="739">
        <f t="shared" si="9"/>
        <v>8780.4751841612488</v>
      </c>
      <c r="X45" s="678">
        <f>AE45*'[2]Non-EU tax havens'!$O$8</f>
        <v>676.33244183442957</v>
      </c>
      <c r="Y45" s="593">
        <f>AE45*'[2]Non-EU tax havens'!$O$13</f>
        <v>8104.1427423268187</v>
      </c>
      <c r="Z45" s="431"/>
      <c r="AA45" s="552">
        <f>+TableB2!L46/TableB2!$L$91</f>
        <v>1.2893607531249549E-2</v>
      </c>
      <c r="AB45" s="552">
        <f>+AA45</f>
        <v>1.2893607531249549E-2</v>
      </c>
      <c r="AC45" s="552">
        <f t="shared" si="10"/>
        <v>3.0513934882487537E-2</v>
      </c>
      <c r="AD45" s="552">
        <f t="shared" ref="AD45:AD51" si="15">+AB45</f>
        <v>1.2893607531249549E-2</v>
      </c>
      <c r="AE45" s="552">
        <f t="shared" si="12"/>
        <v>5.0365621340144995E-2</v>
      </c>
      <c r="AF45" s="552"/>
      <c r="AG45" s="552">
        <f>+AF45</f>
        <v>0</v>
      </c>
      <c r="AH45" s="552">
        <f t="shared" si="2"/>
        <v>0</v>
      </c>
      <c r="AI45" s="552">
        <f>+AH45</f>
        <v>0</v>
      </c>
      <c r="AJ45" s="552">
        <f t="shared" si="13"/>
        <v>0</v>
      </c>
    </row>
    <row r="46" spans="2:36" x14ac:dyDescent="0.35">
      <c r="B46" s="1" t="str">
        <f>+TableC1!B46</f>
        <v>China (except Hong Kong)</v>
      </c>
      <c r="C46" s="31" t="s">
        <v>101</v>
      </c>
      <c r="D46" s="739">
        <f t="shared" si="4"/>
        <v>4041.1775624844959</v>
      </c>
      <c r="E46" s="739">
        <f t="shared" si="5"/>
        <v>413.2782856250634</v>
      </c>
      <c r="F46" s="740">
        <f>HLOOKUP($B46,'[2]Interest shifted to EU'!$L$12:$AT$18,F$2,0)/TableB10!$E$229</f>
        <v>54.495198005464459</v>
      </c>
      <c r="G46" s="740">
        <f>HLOOKUP($B46,'[2]Interest shifted to EU'!$L$12:$AT$18,G$2,0)/TableB10!$E$229</f>
        <v>0</v>
      </c>
      <c r="H46" s="740">
        <f>HLOOKUP($B46,'[2]Interest shifted to EU'!$L$12:$AT$18,H$2,0)/TableB10!$E$229</f>
        <v>0</v>
      </c>
      <c r="I46" s="740">
        <f>HLOOKUP($B46,'[2]Interest shifted to EU'!$L$12:$AT$18,I$2,0)/TableB10!$E$229</f>
        <v>237.56209387362628</v>
      </c>
      <c r="J46" s="740">
        <f>HLOOKUP($B46,'[2]Interest shifted to EU'!$L$12:$AT$18,J$2,0)/TableB10!$E$229</f>
        <v>2.5508534823031765</v>
      </c>
      <c r="K46" s="740">
        <f>HLOOKUP($B46,'[2]Interest shifted to EU'!$L$12:$AT$18,K$2,0)/TableB10!$E$229</f>
        <v>118.67014026366952</v>
      </c>
      <c r="L46" s="739">
        <f t="shared" si="6"/>
        <v>3627.8992768594326</v>
      </c>
      <c r="M46" s="678">
        <f>AC46*'[2]Non-EU tax havens'!$M$8</f>
        <v>568.71851835343978</v>
      </c>
      <c r="N46" s="1328">
        <f>AC46*'[2]Non-EU tax havens'!$M$13</f>
        <v>3059.1807585059928</v>
      </c>
      <c r="O46" s="739">
        <f t="shared" si="7"/>
        <v>59410.508927950483</v>
      </c>
      <c r="P46" s="739">
        <f t="shared" si="8"/>
        <v>6012.7081896670561</v>
      </c>
      <c r="Q46" s="740">
        <f>HLOOKUP($B46,'[2]Non EU income shifted to EU'!$A$2:$AI$18,Q$2+10,0)/TableB10!$E$229</f>
        <v>334.81480976650124</v>
      </c>
      <c r="R46" s="740">
        <f>HLOOKUP($B46,'[2]Non EU income shifted to EU'!$A$2:$AI$18,R$2+10,0)/TableB10!$E$229</f>
        <v>61.404469023423282</v>
      </c>
      <c r="S46" s="740">
        <f>HLOOKUP($B46,'[2]Non EU income shifted to EU'!$A$2:$AI$18,S$2+10,0)/TableB10!$E$229</f>
        <v>3225.5208489592833</v>
      </c>
      <c r="T46" s="740">
        <f>HLOOKUP($B46,'[2]Non EU income shifted to EU'!$A$2:$AI$18,T$2+10,0)/TableB10!$E$229</f>
        <v>1147.3099964902804</v>
      </c>
      <c r="U46" s="740">
        <f>HLOOKUP($B46,'[2]Non EU income shifted to EU'!$A$2:$AI$18,U$2+10,0)/TableB10!$E$229</f>
        <v>0.84698771565659059</v>
      </c>
      <c r="V46" s="740">
        <f>HLOOKUP($B46,'[2]Non EU income shifted to EU'!$A$2:$AI$18,V$2+10,0)/TableB10!$E$229</f>
        <v>1242.811077711912</v>
      </c>
      <c r="W46" s="739">
        <f t="shared" si="9"/>
        <v>53397.800738283426</v>
      </c>
      <c r="X46" s="678">
        <f>AE46*'[2]Non-EU tax havens'!$O$8</f>
        <v>4113.0649770592545</v>
      </c>
      <c r="Y46" s="593">
        <f>AE46*'[2]Non-EU tax havens'!$O$13</f>
        <v>49284.735761224169</v>
      </c>
      <c r="Z46" s="431"/>
      <c r="AA46" s="552">
        <f>+TableB2!L47/TableB2!$L$91</f>
        <v>7.8411506360525254E-2</v>
      </c>
      <c r="AB46" s="552">
        <f t="shared" ref="AB46:AB51" si="16">+AA46</f>
        <v>7.8411506360525254E-2</v>
      </c>
      <c r="AC46" s="552">
        <f t="shared" si="10"/>
        <v>0.1855682045016418</v>
      </c>
      <c r="AD46" s="552">
        <f t="shared" si="15"/>
        <v>7.8411506360525254E-2</v>
      </c>
      <c r="AE46" s="552">
        <f t="shared" si="12"/>
        <v>0.30629474555457137</v>
      </c>
      <c r="AF46" s="552"/>
      <c r="AG46" s="552">
        <f t="shared" ref="AG46:AG51" si="17">+AF46</f>
        <v>0</v>
      </c>
      <c r="AH46" s="552">
        <f t="shared" si="2"/>
        <v>0</v>
      </c>
      <c r="AI46" s="552">
        <f>+AH46</f>
        <v>0</v>
      </c>
      <c r="AJ46" s="552">
        <f t="shared" si="13"/>
        <v>0</v>
      </c>
    </row>
    <row r="47" spans="2:36" x14ac:dyDescent="0.35">
      <c r="C47" s="31" t="s">
        <v>93</v>
      </c>
      <c r="D47" s="739">
        <f>+E47+L47</f>
        <v>122.7478946160933</v>
      </c>
      <c r="E47" s="739">
        <f>SUM(F47:K47)</f>
        <v>67.342738295855114</v>
      </c>
      <c r="F47" s="740">
        <f>AH47*'[2]Interest shifted to EU'!$AU$13</f>
        <v>24.92201203099863</v>
      </c>
      <c r="G47" s="740">
        <f>AH47*'[2]Interest shifted to EU'!$AU$14</f>
        <v>-0.49553718231784677</v>
      </c>
      <c r="H47" s="740">
        <f>AH47*'[2]Interest shifted to EU'!$AU$15</f>
        <v>-2.5891389110724861</v>
      </c>
      <c r="I47" s="740">
        <f>AH47*'[2]Interest shifted to EU'!$AU$16</f>
        <v>36.69547141447832</v>
      </c>
      <c r="J47" s="740">
        <f>AH47*'[2]Interest shifted to EU'!$AU$17</f>
        <v>-2.4039554657772357</v>
      </c>
      <c r="K47" s="740">
        <f>AH47*'[2]Interest shifted to EU'!$AU$18</f>
        <v>11.213886409545735</v>
      </c>
      <c r="L47" s="739">
        <f>SUM(M47:N47)</f>
        <v>55.405156320238191</v>
      </c>
      <c r="M47" s="678">
        <f>AC47*'[2]Non-EU tax havens'!$M$8</f>
        <v>8.6854501756906064</v>
      </c>
      <c r="N47" s="1328">
        <f>AC47*'[2]Non-EU tax havens'!$M$13</f>
        <v>46.719706144547587</v>
      </c>
      <c r="O47" s="739">
        <f>+P47+W47</f>
        <v>1348.7218266422033</v>
      </c>
      <c r="P47" s="739">
        <f>SUM(Q47:V47)</f>
        <v>533.23240114122223</v>
      </c>
      <c r="Q47" s="740">
        <f>AH47*'[2]Non EU income shifted to EU'!$AJ$13</f>
        <v>21.003166223117791</v>
      </c>
      <c r="R47" s="740">
        <f>AH47*'[2]Non EU income shifted to EU'!$AJ$14</f>
        <v>12.521695351552248</v>
      </c>
      <c r="S47" s="740">
        <f>AH47*'[2]Non EU income shifted to EU'!$AJ$15</f>
        <v>321.90051473202885</v>
      </c>
      <c r="T47" s="740">
        <f>AH47*'[2]Non EU income shifted to EU'!$AJ$16</f>
        <v>32.046637522944643</v>
      </c>
      <c r="U47" s="740">
        <f>AH47*'[2]Non EU income shifted to EU'!$AJ$17</f>
        <v>60.366884569507704</v>
      </c>
      <c r="V47" s="740">
        <f>AH47*'[2]Non EU income shifted to EU'!$AJ$18</f>
        <v>85.393502742070993</v>
      </c>
      <c r="W47" s="739">
        <f>SUM(X47:Y47)</f>
        <v>815.48942550098104</v>
      </c>
      <c r="X47" s="678">
        <f>AE47*'[2]Non-EU tax havens'!$O$8</f>
        <v>62.81459065383379</v>
      </c>
      <c r="Y47" s="593">
        <f>AE47*'[2]Non-EU tax havens'!$O$13</f>
        <v>752.67483484714728</v>
      </c>
      <c r="Z47" s="431"/>
      <c r="AA47" s="552">
        <f>+TableB2!L48/TableB2!$L$91</f>
        <v>1.1974979004850091E-3</v>
      </c>
      <c r="AB47" s="552">
        <f t="shared" si="16"/>
        <v>1.1974979004850091E-3</v>
      </c>
      <c r="AC47" s="552">
        <f t="shared" si="10"/>
        <v>2.8339914076610565E-3</v>
      </c>
      <c r="AD47" s="552">
        <f t="shared" si="15"/>
        <v>1.1974979004850091E-3</v>
      </c>
      <c r="AE47" s="552">
        <f t="shared" si="12"/>
        <v>4.6777231015656291E-3</v>
      </c>
      <c r="AF47" s="552"/>
      <c r="AG47" s="552">
        <f>+AB47</f>
        <v>1.1974979004850091E-3</v>
      </c>
      <c r="AH47" s="552">
        <f t="shared" si="2"/>
        <v>1.7146615305115801E-2</v>
      </c>
      <c r="AI47" s="552">
        <f>+AD47</f>
        <v>1.1974979004850091E-3</v>
      </c>
      <c r="AJ47" s="552">
        <f>+AI47/$AI$90</f>
        <v>1.7146615305115801E-2</v>
      </c>
    </row>
    <row r="48" spans="2:36" x14ac:dyDescent="0.35">
      <c r="C48" s="31" t="s">
        <v>94</v>
      </c>
      <c r="D48" s="739">
        <f>+E48+L48</f>
        <v>92.481290464179892</v>
      </c>
      <c r="E48" s="739">
        <f>SUM(F48:K48)</f>
        <v>50.737679537973037</v>
      </c>
      <c r="F48" s="678">
        <f>AH48*'[2]Interest shifted to EU'!$AU$13</f>
        <v>18.776858379519517</v>
      </c>
      <c r="G48" s="678">
        <f>AH48*'[2]Interest shifted to EU'!$AU$14</f>
        <v>-0.37334993188330917</v>
      </c>
      <c r="H48" s="678">
        <f>AH48*'[2]Interest shifted to EU'!$AU$15</f>
        <v>-1.9507210973833797</v>
      </c>
      <c r="I48" s="678">
        <f>AH48*'[2]Interest shifted to EU'!$AU$16</f>
        <v>27.647272983511058</v>
      </c>
      <c r="J48" s="678">
        <f>AH48*'[2]Interest shifted to EU'!$AU$17</f>
        <v>-1.8111993235307939</v>
      </c>
      <c r="K48" s="678">
        <f>AH48*'[2]Interest shifted to EU'!$AU$18</f>
        <v>8.4488185277399364</v>
      </c>
      <c r="L48" s="739">
        <f>SUM(M48:N48)</f>
        <v>41.743610926206856</v>
      </c>
      <c r="M48" s="678">
        <f>AC48*'[2]Non-EU tax havens'!$M$8</f>
        <v>6.5438323241504559</v>
      </c>
      <c r="N48" s="1328">
        <f>AC48*'[2]Non-EU tax havens'!$M$13</f>
        <v>35.199778602056398</v>
      </c>
      <c r="O48" s="739">
        <f>+P48+W48</f>
        <v>1016.1602803468655</v>
      </c>
      <c r="P48" s="739">
        <f>SUM(Q48:V48)</f>
        <v>401.75043921598933</v>
      </c>
      <c r="Q48" s="678">
        <f>AH48*'[2]Non EU income shifted to EU'!$AJ$13</f>
        <v>15.824303318787377</v>
      </c>
      <c r="R48" s="678">
        <f>AH48*'[2]Non EU income shifted to EU'!$AJ$14</f>
        <v>9.4341540319914206</v>
      </c>
      <c r="S48" s="678">
        <f>AH48*'[2]Non EU income shifted to EU'!$AJ$15</f>
        <v>242.52778507207654</v>
      </c>
      <c r="T48" s="678">
        <f>AH48*'[2]Non EU income shifted to EU'!$AJ$16</f>
        <v>24.144726900848703</v>
      </c>
      <c r="U48" s="678">
        <f>AH48*'[2]Non EU income shifted to EU'!$AJ$17</f>
        <v>45.481899333190732</v>
      </c>
      <c r="V48" s="678">
        <f>AH48*'[2]Non EU income shifted to EU'!$AJ$18</f>
        <v>64.337570559094573</v>
      </c>
      <c r="W48" s="739">
        <f>SUM(X48:Y48)</f>
        <v>614.4098411308762</v>
      </c>
      <c r="X48" s="678">
        <f>AE48*'[2]Non-EU tax havens'!$O$8</f>
        <v>47.326061451518612</v>
      </c>
      <c r="Y48" s="593">
        <f>AE48*'[2]Non-EU tax havens'!$O$13</f>
        <v>567.08377967935758</v>
      </c>
      <c r="Z48" s="431"/>
      <c r="AA48" s="552">
        <f>+TableB2!L49/TableB2!$L$91</f>
        <v>9.0222444557089721E-4</v>
      </c>
      <c r="AB48" s="552">
        <f t="shared" si="16"/>
        <v>9.0222444557089721E-4</v>
      </c>
      <c r="AC48" s="552">
        <f t="shared" si="10"/>
        <v>2.1351990057720286E-3</v>
      </c>
      <c r="AD48" s="552">
        <f t="shared" si="15"/>
        <v>9.0222444557089721E-4</v>
      </c>
      <c r="AE48" s="552">
        <f t="shared" si="12"/>
        <v>3.5243119258371179E-3</v>
      </c>
      <c r="AF48" s="552"/>
      <c r="AG48" s="552">
        <f>+AB48</f>
        <v>9.0222444557089721E-4</v>
      </c>
      <c r="AH48" s="552">
        <f t="shared" si="2"/>
        <v>1.2918682764128343E-2</v>
      </c>
      <c r="AI48" s="552">
        <f>+AD48</f>
        <v>9.0222444557089721E-4</v>
      </c>
      <c r="AJ48" s="552">
        <f>+AI48/$AI$90</f>
        <v>1.2918682764128343E-2</v>
      </c>
    </row>
    <row r="49" spans="2:36" ht="14.25" customHeight="1" x14ac:dyDescent="0.35">
      <c r="C49" s="31" t="s">
        <v>102</v>
      </c>
      <c r="D49" s="739">
        <f t="shared" si="4"/>
        <v>515.37473719177899</v>
      </c>
      <c r="E49" s="739">
        <f t="shared" si="5"/>
        <v>67.579638165196272</v>
      </c>
      <c r="F49" s="740">
        <f>HLOOKUP($C49,'[2]Interest shifted to EU'!$L$12:$AT$18,F$2,0)/TableB10!$E$229</f>
        <v>13.900808363685945</v>
      </c>
      <c r="G49" s="740">
        <f>HLOOKUP($C49,'[2]Interest shifted to EU'!$L$12:$AT$18,G$2,0)/TableB10!$E$229</f>
        <v>0</v>
      </c>
      <c r="H49" s="740">
        <f>HLOOKUP($C49,'[2]Interest shifted to EU'!$L$12:$AT$18,H$2,0)/TableB10!$E$229</f>
        <v>0</v>
      </c>
      <c r="I49" s="740">
        <f>HLOOKUP($C49,'[2]Interest shifted to EU'!$L$12:$AT$18,I$2,0)/TableB10!$E$229</f>
        <v>28.835735017340259</v>
      </c>
      <c r="J49" s="740">
        <f>HLOOKUP($C49,'[2]Interest shifted to EU'!$L$12:$AT$18,J$2,0)/TableB10!$E$229</f>
        <v>0.44362669257446552</v>
      </c>
      <c r="K49" s="740">
        <f>HLOOKUP($C49,'[2]Interest shifted to EU'!$L$12:$AT$18,K$2,0)/TableB10!$E$229</f>
        <v>24.399468091595605</v>
      </c>
      <c r="L49" s="739">
        <f t="shared" si="6"/>
        <v>447.7950990265827</v>
      </c>
      <c r="M49" s="678">
        <f>AC49*'[2]Non-EU tax havens'!$M$8</f>
        <v>70.197474022704895</v>
      </c>
      <c r="N49" s="1328">
        <f>AC49*'[2]Non-EU tax havens'!$M$13</f>
        <v>377.59762500387779</v>
      </c>
      <c r="O49" s="739">
        <f t="shared" si="7"/>
        <v>9419.1229823127996</v>
      </c>
      <c r="P49" s="739">
        <f t="shared" si="8"/>
        <v>2828.1810501815835</v>
      </c>
      <c r="Q49" s="740">
        <f>HLOOKUP($C49,'[2]Non EU income shifted to EU'!$A$2:$AI$18,Q$2+10,0)/TableB10!$E$229</f>
        <v>80.762038777542628</v>
      </c>
      <c r="R49" s="740">
        <f>HLOOKUP($C49,'[2]Non EU income shifted to EU'!$A$2:$AI$18,R$2+10,0)/TableB10!$E$229</f>
        <v>7.9516578591483382</v>
      </c>
      <c r="S49" s="740">
        <f>HLOOKUP($C49,'[2]Non EU income shifted to EU'!$A$2:$AI$18,S$2+10,0)/TableB10!$E$229</f>
        <v>2152.0303472549258</v>
      </c>
      <c r="T49" s="740">
        <f>HLOOKUP($C49,'[2]Non EU income shifted to EU'!$A$2:$AI$18,T$2+10,0)/TableB10!$E$229</f>
        <v>114.62603075639399</v>
      </c>
      <c r="U49" s="740">
        <f>HLOOKUP($C49,'[2]Non EU income shifted to EU'!$A$2:$AI$18,U$2+10,0)/TableB10!$E$229</f>
        <v>2.0115958246844023</v>
      </c>
      <c r="V49" s="740">
        <f>HLOOKUP($C49,'[2]Non EU income shifted to EU'!$A$2:$AI$18,V$2+10,0)/TableB10!$E$229</f>
        <v>470.79937970888864</v>
      </c>
      <c r="W49" s="739">
        <f t="shared" si="9"/>
        <v>6590.9419321312162</v>
      </c>
      <c r="X49" s="678">
        <f>AE49*'[2]Non-EU tax havens'!$O$8</f>
        <v>507.67956829810873</v>
      </c>
      <c r="Y49" s="593">
        <f>AE49*'[2]Non-EU tax havens'!$O$13</f>
        <v>6083.2623638331079</v>
      </c>
      <c r="Z49" s="431"/>
      <c r="AA49" s="552">
        <f>+TableB2!L50/TableB2!$L$91</f>
        <v>9.6784076888514429E-3</v>
      </c>
      <c r="AB49" s="552">
        <f t="shared" si="16"/>
        <v>9.6784076888514429E-3</v>
      </c>
      <c r="AC49" s="552">
        <f t="shared" si="10"/>
        <v>2.2904862061918128E-2</v>
      </c>
      <c r="AD49" s="552">
        <f t="shared" si="15"/>
        <v>9.6784076888514429E-3</v>
      </c>
      <c r="AE49" s="552">
        <f t="shared" si="12"/>
        <v>3.7806255204434536E-2</v>
      </c>
      <c r="AF49" s="552"/>
      <c r="AG49" s="552">
        <f t="shared" si="17"/>
        <v>0</v>
      </c>
      <c r="AH49" s="552">
        <f t="shared" si="2"/>
        <v>0</v>
      </c>
      <c r="AI49" s="552">
        <f t="shared" ref="AI49:AI51" si="18">+AH49</f>
        <v>0</v>
      </c>
      <c r="AJ49" s="552">
        <f t="shared" si="13"/>
        <v>0</v>
      </c>
    </row>
    <row r="50" spans="2:36" ht="14.25" customHeight="1" x14ac:dyDescent="0.35">
      <c r="B50" s="1" t="str">
        <f>+TableC1!B50</f>
        <v>Russian Federation</v>
      </c>
      <c r="C50" s="31" t="s">
        <v>103</v>
      </c>
      <c r="D50" s="739">
        <f t="shared" si="4"/>
        <v>4903.359374222061</v>
      </c>
      <c r="E50" s="739">
        <f t="shared" si="5"/>
        <v>4598.2515270886943</v>
      </c>
      <c r="F50" s="740">
        <f>HLOOKUP($C50,'[2]Interest shifted to EU'!$L$12:$AT$18,F$2,0)/TableB10!$E$229</f>
        <v>97.104197555023561</v>
      </c>
      <c r="G50" s="740">
        <f>HLOOKUP($C50,'[2]Interest shifted to EU'!$L$12:$AT$18,G$2,0)/TableB10!$E$229</f>
        <v>20.295921185281799</v>
      </c>
      <c r="H50" s="740">
        <f>HLOOKUP($C50,'[2]Interest shifted to EU'!$L$12:$AT$18,H$2,0)/TableB10!$E$229</f>
        <v>0</v>
      </c>
      <c r="I50" s="740">
        <f>HLOOKUP($C50,'[2]Interest shifted to EU'!$L$12:$AT$18,I$2,0)/TableB10!$E$229</f>
        <v>3130.2299428054289</v>
      </c>
      <c r="J50" s="740">
        <f>HLOOKUP($C50,'[2]Interest shifted to EU'!$L$12:$AT$18,J$2,0)/TableB10!$E$229</f>
        <v>16.414187625255224</v>
      </c>
      <c r="K50" s="740">
        <f>HLOOKUP($C50,'[2]Interest shifted to EU'!$L$12:$AT$18,K$2,0)/TableB10!$E$229</f>
        <v>1334.2072779177051</v>
      </c>
      <c r="L50" s="739">
        <f t="shared" si="6"/>
        <v>305.10784713336648</v>
      </c>
      <c r="M50" s="678">
        <f>AC50*'[2]Non-EU tax havens'!$M$8</f>
        <v>47.829465351063334</v>
      </c>
      <c r="N50" s="1328">
        <f>AC50*'[2]Non-EU tax havens'!$M$13</f>
        <v>257.27838178230314</v>
      </c>
      <c r="O50" s="739">
        <f t="shared" si="7"/>
        <v>7512.2525759791333</v>
      </c>
      <c r="P50" s="739">
        <f t="shared" si="8"/>
        <v>3021.4751917134577</v>
      </c>
      <c r="Q50" s="740">
        <f>HLOOKUP($C50,'[2]Non EU income shifted to EU'!$A$2:$AI$18,Q$2+10,0)/TableB10!$E$229</f>
        <v>292.02697465257137</v>
      </c>
      <c r="R50" s="740">
        <f>HLOOKUP($C50,'[2]Non EU income shifted to EU'!$A$2:$AI$18,R$2+10,0)/TableB10!$E$229</f>
        <v>388.57101405038213</v>
      </c>
      <c r="S50" s="740">
        <f>HLOOKUP($C50,'[2]Non EU income shifted to EU'!$A$2:$AI$18,S$2+10,0)/TableB10!$E$229</f>
        <v>1301.7208435530733</v>
      </c>
      <c r="T50" s="740">
        <f>HLOOKUP($C50,'[2]Non EU income shifted to EU'!$A$2:$AI$18,T$2+10,0)/TableB10!$E$229</f>
        <v>156.29868113211597</v>
      </c>
      <c r="U50" s="740">
        <f>HLOOKUP($C50,'[2]Non EU income shifted to EU'!$A$2:$AI$18,U$2+10,0)/TableB10!$E$229</f>
        <v>6.6700282607956511</v>
      </c>
      <c r="V50" s="740">
        <f>HLOOKUP($C50,'[2]Non EU income shifted to EU'!$A$2:$AI$18,V$2+10,0)/TableB10!$E$229</f>
        <v>876.18765006451895</v>
      </c>
      <c r="W50" s="739">
        <f t="shared" si="9"/>
        <v>4490.7773842656761</v>
      </c>
      <c r="X50" s="678">
        <f>AE50*'[2]Non-EU tax havens'!$O$8</f>
        <v>345.91048551837235</v>
      </c>
      <c r="Y50" s="593">
        <f>AE50*'[2]Non-EU tax havens'!$O$13</f>
        <v>4144.8668987473038</v>
      </c>
      <c r="Z50" s="431"/>
      <c r="AA50" s="552">
        <f>+TableB2!L51/TableB2!$L$91</f>
        <v>6.5944404930818306E-3</v>
      </c>
      <c r="AB50" s="552">
        <f t="shared" si="16"/>
        <v>6.5944404930818306E-3</v>
      </c>
      <c r="AC50" s="552">
        <f t="shared" si="10"/>
        <v>1.5606363642188283E-2</v>
      </c>
      <c r="AD50" s="552">
        <f t="shared" si="15"/>
        <v>6.5944404930818306E-3</v>
      </c>
      <c r="AE50" s="552">
        <f t="shared" si="12"/>
        <v>2.5759516257936751E-2</v>
      </c>
      <c r="AF50" s="552"/>
      <c r="AG50" s="552">
        <f t="shared" si="17"/>
        <v>0</v>
      </c>
      <c r="AH50" s="552">
        <f t="shared" si="2"/>
        <v>0</v>
      </c>
      <c r="AI50" s="552">
        <f t="shared" si="18"/>
        <v>0</v>
      </c>
      <c r="AJ50" s="552">
        <f t="shared" si="13"/>
        <v>0</v>
      </c>
    </row>
    <row r="51" spans="2:36" ht="14.25" customHeight="1" x14ac:dyDescent="0.35">
      <c r="C51" s="13" t="s">
        <v>97</v>
      </c>
      <c r="D51" s="739">
        <f t="shared" si="4"/>
        <v>480.52267854928317</v>
      </c>
      <c r="E51" s="739">
        <f t="shared" si="5"/>
        <v>324.17388126203565</v>
      </c>
      <c r="F51" s="740">
        <f>HLOOKUP($C51,'[2]Interest shifted to EU'!$L$12:$AT$18,F$2,0)/TableB10!$E$229</f>
        <v>17.627836693080003</v>
      </c>
      <c r="G51" s="740">
        <f>HLOOKUP($C51,'[2]Interest shifted to EU'!$L$12:$AT$18,G$2,0)/TableB10!$E$229</f>
        <v>0</v>
      </c>
      <c r="H51" s="740">
        <f>HLOOKUP($C51,'[2]Interest shifted to EU'!$L$12:$AT$18,H$2,0)/TableB10!$E$229</f>
        <v>0</v>
      </c>
      <c r="I51" s="740">
        <f>HLOOKUP($C51,'[2]Interest shifted to EU'!$L$12:$AT$18,I$2,0)/TableB10!$E$229</f>
        <v>101.03597923383451</v>
      </c>
      <c r="J51" s="740">
        <f>HLOOKUP($C51,'[2]Interest shifted to EU'!$L$12:$AT$18,J$2,0)/TableB10!$E$229</f>
        <v>1.441786750867013</v>
      </c>
      <c r="K51" s="740">
        <f>HLOOKUP($C51,'[2]Interest shifted to EU'!$L$12:$AT$18,K$2,0)/TableB10!$E$229</f>
        <v>204.06827858425413</v>
      </c>
      <c r="L51" s="739">
        <f t="shared" si="6"/>
        <v>156.34879728724752</v>
      </c>
      <c r="M51" s="678">
        <f>AC51*'[2]Non-EU tax havens'!$M$8</f>
        <v>24.509626523181712</v>
      </c>
      <c r="N51" s="1328">
        <f>AC51*'[2]Non-EU tax havens'!$M$13</f>
        <v>131.83917076406581</v>
      </c>
      <c r="O51" s="739">
        <f t="shared" si="7"/>
        <v>3797.3843251764665</v>
      </c>
      <c r="P51" s="739">
        <f t="shared" si="8"/>
        <v>1496.1401929408212</v>
      </c>
      <c r="Q51" s="740">
        <f>HLOOKUP($C51,'[2]Non EU income shifted to EU'!$A$2:$AI$18,Q$2+10,0)/TableB10!$E$229</f>
        <v>51.34540213671584</v>
      </c>
      <c r="R51" s="740">
        <f>HLOOKUP($C51,'[2]Non EU income shifted to EU'!$A$2:$AI$18,R$2+10,0)/TableB10!$E$229</f>
        <v>7.0681403192429677</v>
      </c>
      <c r="S51" s="740">
        <f>HLOOKUP($C51,'[2]Non EU income shifted to EU'!$A$2:$AI$18,S$2+10,0)/TableB10!$E$229</f>
        <v>906.86215477941028</v>
      </c>
      <c r="T51" s="740">
        <f>HLOOKUP($C51,'[2]Non EU income shifted to EU'!$A$2:$AI$18,T$2+10,0)/TableB10!$E$229</f>
        <v>266.62098729051348</v>
      </c>
      <c r="U51" s="740">
        <f>HLOOKUP($C51,'[2]Non EU income shifted to EU'!$A$2:$AI$18,U$2+10,0)/TableB10!$E$229</f>
        <v>0.84698771565659059</v>
      </c>
      <c r="V51" s="740">
        <f>HLOOKUP($C51,'[2]Non EU income shifted to EU'!$A$2:$AI$18,V$2+10,0)/TableB10!$E$229</f>
        <v>263.39652069928212</v>
      </c>
      <c r="W51" s="739">
        <f t="shared" si="9"/>
        <v>2301.2441322356453</v>
      </c>
      <c r="X51" s="678">
        <f>AE51*'[2]Non-EU tax havens'!$O$8</f>
        <v>177.25761198205154</v>
      </c>
      <c r="Y51" s="593">
        <f>AE51*'[2]Non-EU tax havens'!$O$13</f>
        <v>2123.9865202535939</v>
      </c>
      <c r="Z51" s="431"/>
      <c r="AA51" s="552">
        <f>+TableB2!L52/TableB2!$L$91</f>
        <v>3.3792406506837243E-3</v>
      </c>
      <c r="AB51" s="552">
        <f t="shared" si="16"/>
        <v>3.3792406506837243E-3</v>
      </c>
      <c r="AC51" s="552">
        <f t="shared" si="10"/>
        <v>7.9972908216188725E-3</v>
      </c>
      <c r="AD51" s="552">
        <f t="shared" si="15"/>
        <v>3.3792406506837243E-3</v>
      </c>
      <c r="AE51" s="552">
        <f t="shared" si="12"/>
        <v>1.3200150122226298E-2</v>
      </c>
      <c r="AF51" s="552"/>
      <c r="AG51" s="552">
        <f t="shared" si="17"/>
        <v>0</v>
      </c>
      <c r="AH51" s="552">
        <f t="shared" si="2"/>
        <v>0</v>
      </c>
      <c r="AI51" s="552">
        <f t="shared" si="18"/>
        <v>0</v>
      </c>
      <c r="AJ51" s="552">
        <f t="shared" si="13"/>
        <v>0</v>
      </c>
    </row>
    <row r="52" spans="2:36" ht="40" hidden="1" customHeight="1" x14ac:dyDescent="0.35">
      <c r="C52" s="38" t="s">
        <v>100</v>
      </c>
      <c r="D52" s="663"/>
      <c r="E52" s="306"/>
      <c r="F52" s="557"/>
      <c r="G52" s="557"/>
      <c r="H52" s="557"/>
      <c r="I52" s="53"/>
      <c r="J52" s="53"/>
      <c r="K52" s="53"/>
      <c r="L52" s="651"/>
      <c r="M52" s="53"/>
      <c r="N52" s="1329"/>
      <c r="O52" s="663"/>
      <c r="P52" s="306"/>
      <c r="Q52" s="557"/>
      <c r="R52" s="557"/>
      <c r="S52" s="557"/>
      <c r="T52" s="53"/>
      <c r="U52" s="53"/>
      <c r="V52" s="53"/>
      <c r="W52" s="651"/>
      <c r="X52" s="53"/>
      <c r="Y52" s="54"/>
      <c r="Z52" s="431"/>
      <c r="AA52" s="552"/>
      <c r="AB52" s="552"/>
      <c r="AC52" s="552">
        <f t="shared" si="10"/>
        <v>0</v>
      </c>
      <c r="AD52" s="552"/>
      <c r="AE52" s="552">
        <f t="shared" si="12"/>
        <v>0</v>
      </c>
      <c r="AF52" s="552"/>
      <c r="AG52" s="552"/>
      <c r="AH52" s="552">
        <f t="shared" si="2"/>
        <v>0</v>
      </c>
      <c r="AI52" s="552"/>
      <c r="AJ52" s="552">
        <f t="shared" si="13"/>
        <v>0</v>
      </c>
    </row>
    <row r="53" spans="2:36" ht="14.25" hidden="1" customHeight="1" x14ac:dyDescent="0.35">
      <c r="C53" s="264" t="s">
        <v>272</v>
      </c>
      <c r="D53" s="1330"/>
      <c r="E53" s="306"/>
      <c r="F53" s="8"/>
      <c r="G53" s="8"/>
      <c r="H53" s="8"/>
      <c r="I53" s="678"/>
      <c r="J53" s="678"/>
      <c r="K53" s="55"/>
      <c r="L53" s="664"/>
      <c r="M53" s="678"/>
      <c r="N53" s="1328"/>
      <c r="O53" s="1330"/>
      <c r="P53" s="306"/>
      <c r="Q53" s="8"/>
      <c r="R53" s="8"/>
      <c r="S53" s="8"/>
      <c r="T53" s="678"/>
      <c r="U53" s="678"/>
      <c r="V53" s="55"/>
      <c r="W53" s="664"/>
      <c r="X53" s="678"/>
      <c r="Y53" s="593"/>
      <c r="Z53" s="431"/>
      <c r="AA53" s="552"/>
      <c r="AB53" s="552"/>
      <c r="AC53" s="552">
        <f t="shared" si="10"/>
        <v>0</v>
      </c>
      <c r="AD53" s="552"/>
      <c r="AE53" s="552">
        <f t="shared" si="12"/>
        <v>0</v>
      </c>
      <c r="AF53" s="552"/>
      <c r="AG53" s="552"/>
      <c r="AH53" s="552">
        <f t="shared" si="2"/>
        <v>0</v>
      </c>
      <c r="AI53" s="552"/>
      <c r="AJ53" s="552">
        <f t="shared" si="13"/>
        <v>0</v>
      </c>
    </row>
    <row r="54" spans="2:36" ht="14.25" hidden="1" customHeight="1" x14ac:dyDescent="0.35">
      <c r="C54" s="264" t="s">
        <v>273</v>
      </c>
      <c r="D54" s="1330"/>
      <c r="E54" s="306"/>
      <c r="F54" s="8"/>
      <c r="G54" s="8"/>
      <c r="H54" s="8"/>
      <c r="I54" s="678"/>
      <c r="J54" s="678"/>
      <c r="K54" s="55"/>
      <c r="L54" s="664"/>
      <c r="M54" s="678"/>
      <c r="N54" s="1328"/>
      <c r="O54" s="1330"/>
      <c r="P54" s="306"/>
      <c r="Q54" s="8"/>
      <c r="R54" s="8"/>
      <c r="S54" s="8"/>
      <c r="T54" s="678"/>
      <c r="U54" s="678"/>
      <c r="V54" s="55"/>
      <c r="W54" s="664"/>
      <c r="X54" s="678"/>
      <c r="Y54" s="593"/>
      <c r="Z54" s="431"/>
      <c r="AA54" s="552"/>
      <c r="AB54" s="552"/>
      <c r="AC54" s="552">
        <f t="shared" si="10"/>
        <v>0</v>
      </c>
      <c r="AD54" s="552"/>
      <c r="AE54" s="552">
        <f t="shared" si="12"/>
        <v>0</v>
      </c>
      <c r="AF54" s="552"/>
      <c r="AG54" s="552"/>
      <c r="AH54" s="552">
        <f t="shared" si="2"/>
        <v>0</v>
      </c>
      <c r="AI54" s="552"/>
      <c r="AJ54" s="552">
        <f t="shared" si="13"/>
        <v>0</v>
      </c>
    </row>
    <row r="55" spans="2:36" ht="14.25" hidden="1" customHeight="1" x14ac:dyDescent="0.35">
      <c r="C55" s="289" t="str">
        <f>+TableA1!A56</f>
        <v>Antigua and Barbuda</v>
      </c>
      <c r="D55" s="1332"/>
      <c r="E55" s="306"/>
      <c r="F55" s="8"/>
      <c r="G55" s="8"/>
      <c r="H55" s="8"/>
      <c r="I55" s="678"/>
      <c r="J55" s="678"/>
      <c r="K55" s="55"/>
      <c r="L55" s="664"/>
      <c r="M55" s="678"/>
      <c r="N55" s="1328"/>
      <c r="O55" s="1332"/>
      <c r="P55" s="306"/>
      <c r="Q55" s="8"/>
      <c r="R55" s="8"/>
      <c r="S55" s="8"/>
      <c r="T55" s="678"/>
      <c r="U55" s="678"/>
      <c r="V55" s="55"/>
      <c r="W55" s="664"/>
      <c r="X55" s="678"/>
      <c r="Y55" s="593"/>
      <c r="Z55" s="431"/>
      <c r="AA55" s="552"/>
      <c r="AB55" s="552"/>
      <c r="AC55" s="552">
        <f t="shared" si="10"/>
        <v>0</v>
      </c>
      <c r="AD55" s="552"/>
      <c r="AE55" s="552">
        <f t="shared" si="12"/>
        <v>0</v>
      </c>
      <c r="AF55" s="552"/>
      <c r="AG55" s="552"/>
      <c r="AH55" s="552">
        <f t="shared" si="2"/>
        <v>0</v>
      </c>
      <c r="AI55" s="552"/>
      <c r="AJ55" s="552">
        <f t="shared" si="13"/>
        <v>0</v>
      </c>
    </row>
    <row r="56" spans="2:36" ht="14.25" hidden="1" customHeight="1" x14ac:dyDescent="0.35">
      <c r="C56" s="264" t="s">
        <v>274</v>
      </c>
      <c r="D56" s="1330"/>
      <c r="E56" s="306"/>
      <c r="F56" s="8"/>
      <c r="G56" s="8"/>
      <c r="H56" s="8"/>
      <c r="I56" s="678"/>
      <c r="J56" s="678"/>
      <c r="K56" s="55"/>
      <c r="L56" s="664"/>
      <c r="M56" s="678"/>
      <c r="N56" s="1328"/>
      <c r="O56" s="1330"/>
      <c r="P56" s="306"/>
      <c r="Q56" s="8"/>
      <c r="R56" s="8"/>
      <c r="S56" s="8"/>
      <c r="T56" s="678"/>
      <c r="U56" s="678"/>
      <c r="V56" s="55"/>
      <c r="W56" s="664"/>
      <c r="X56" s="678"/>
      <c r="Y56" s="593"/>
      <c r="Z56" s="431"/>
      <c r="AA56" s="552"/>
      <c r="AB56" s="552"/>
      <c r="AC56" s="552">
        <f t="shared" si="10"/>
        <v>0</v>
      </c>
      <c r="AD56" s="552"/>
      <c r="AE56" s="552">
        <f t="shared" si="12"/>
        <v>0</v>
      </c>
      <c r="AF56" s="552"/>
      <c r="AG56" s="552"/>
      <c r="AH56" s="552">
        <f t="shared" si="2"/>
        <v>0</v>
      </c>
      <c r="AI56" s="552"/>
      <c r="AJ56" s="552">
        <f t="shared" si="13"/>
        <v>0</v>
      </c>
    </row>
    <row r="57" spans="2:36" ht="14.25" hidden="1" customHeight="1" x14ac:dyDescent="0.35">
      <c r="C57" s="264" t="s">
        <v>275</v>
      </c>
      <c r="D57" s="1330"/>
      <c r="E57" s="306"/>
      <c r="F57" s="8"/>
      <c r="G57" s="8"/>
      <c r="H57" s="8"/>
      <c r="I57" s="678"/>
      <c r="J57" s="678"/>
      <c r="K57" s="55"/>
      <c r="L57" s="664"/>
      <c r="M57" s="678"/>
      <c r="N57" s="1328"/>
      <c r="O57" s="1330"/>
      <c r="P57" s="306"/>
      <c r="Q57" s="8"/>
      <c r="R57" s="8"/>
      <c r="S57" s="8"/>
      <c r="T57" s="678"/>
      <c r="U57" s="678"/>
      <c r="V57" s="55"/>
      <c r="W57" s="664"/>
      <c r="X57" s="678"/>
      <c r="Y57" s="593"/>
      <c r="Z57" s="431"/>
      <c r="AA57" s="552"/>
      <c r="AB57" s="552"/>
      <c r="AC57" s="552">
        <f t="shared" si="10"/>
        <v>0</v>
      </c>
      <c r="AD57" s="552"/>
      <c r="AE57" s="552">
        <f t="shared" si="12"/>
        <v>0</v>
      </c>
      <c r="AF57" s="552"/>
      <c r="AG57" s="552"/>
      <c r="AH57" s="552">
        <f t="shared" si="2"/>
        <v>0</v>
      </c>
      <c r="AI57" s="552"/>
      <c r="AJ57" s="552">
        <f t="shared" si="13"/>
        <v>0</v>
      </c>
    </row>
    <row r="58" spans="2:36" ht="14.25" hidden="1" customHeight="1" x14ac:dyDescent="0.35">
      <c r="C58" s="264" t="s">
        <v>276</v>
      </c>
      <c r="D58" s="1330"/>
      <c r="E58" s="306"/>
      <c r="F58" s="8"/>
      <c r="G58" s="8"/>
      <c r="H58" s="8"/>
      <c r="I58" s="678"/>
      <c r="J58" s="678"/>
      <c r="K58" s="55"/>
      <c r="L58" s="664"/>
      <c r="M58" s="678"/>
      <c r="N58" s="1328"/>
      <c r="O58" s="1330"/>
      <c r="P58" s="306"/>
      <c r="Q58" s="8"/>
      <c r="R58" s="8"/>
      <c r="S58" s="8"/>
      <c r="T58" s="678"/>
      <c r="U58" s="678"/>
      <c r="V58" s="55"/>
      <c r="W58" s="664"/>
      <c r="X58" s="678"/>
      <c r="Y58" s="593"/>
      <c r="Z58" s="431"/>
      <c r="AA58" s="552"/>
      <c r="AB58" s="552"/>
      <c r="AC58" s="552">
        <f t="shared" si="10"/>
        <v>0</v>
      </c>
      <c r="AD58" s="552"/>
      <c r="AE58" s="552">
        <f t="shared" si="12"/>
        <v>0</v>
      </c>
      <c r="AF58" s="552"/>
      <c r="AG58" s="552"/>
      <c r="AH58" s="552">
        <f t="shared" si="2"/>
        <v>0</v>
      </c>
      <c r="AI58" s="552"/>
      <c r="AJ58" s="552">
        <f t="shared" si="13"/>
        <v>0</v>
      </c>
    </row>
    <row r="59" spans="2:36" ht="14.25" hidden="1" customHeight="1" x14ac:dyDescent="0.35">
      <c r="C59" s="289" t="str">
        <f>+TableA1!A60</f>
        <v>Barbados</v>
      </c>
      <c r="D59" s="1332"/>
      <c r="E59" s="306"/>
      <c r="F59" s="8"/>
      <c r="G59" s="8"/>
      <c r="H59" s="8"/>
      <c r="I59" s="678"/>
      <c r="J59" s="678"/>
      <c r="K59" s="55"/>
      <c r="L59" s="664"/>
      <c r="M59" s="678"/>
      <c r="N59" s="1328"/>
      <c r="O59" s="1332"/>
      <c r="P59" s="306"/>
      <c r="Q59" s="8"/>
      <c r="R59" s="8"/>
      <c r="S59" s="8"/>
      <c r="T59" s="678"/>
      <c r="U59" s="678"/>
      <c r="V59" s="55"/>
      <c r="W59" s="664"/>
      <c r="X59" s="678"/>
      <c r="Y59" s="593"/>
      <c r="Z59" s="431"/>
      <c r="AA59" s="552"/>
      <c r="AB59" s="552"/>
      <c r="AC59" s="552">
        <f t="shared" si="10"/>
        <v>0</v>
      </c>
      <c r="AD59" s="552"/>
      <c r="AE59" s="552">
        <f t="shared" si="12"/>
        <v>0</v>
      </c>
      <c r="AF59" s="552"/>
      <c r="AG59" s="552"/>
      <c r="AH59" s="552">
        <f t="shared" si="2"/>
        <v>0</v>
      </c>
      <c r="AI59" s="552"/>
      <c r="AJ59" s="552">
        <f t="shared" si="13"/>
        <v>0</v>
      </c>
    </row>
    <row r="60" spans="2:36" ht="14.25" hidden="1" customHeight="1" x14ac:dyDescent="0.35">
      <c r="C60" s="264" t="s">
        <v>277</v>
      </c>
      <c r="D60" s="1330"/>
      <c r="E60" s="306"/>
      <c r="F60" s="8"/>
      <c r="G60" s="8"/>
      <c r="H60" s="8"/>
      <c r="I60" s="678"/>
      <c r="J60" s="678"/>
      <c r="K60" s="55"/>
      <c r="L60" s="664"/>
      <c r="M60" s="678"/>
      <c r="N60" s="1328"/>
      <c r="O60" s="1330"/>
      <c r="P60" s="306"/>
      <c r="Q60" s="8"/>
      <c r="R60" s="8"/>
      <c r="S60" s="8"/>
      <c r="T60" s="678"/>
      <c r="U60" s="678"/>
      <c r="V60" s="55"/>
      <c r="W60" s="664"/>
      <c r="X60" s="678"/>
      <c r="Y60" s="593"/>
      <c r="Z60" s="431"/>
      <c r="AA60" s="552"/>
      <c r="AB60" s="552"/>
      <c r="AC60" s="552">
        <f t="shared" si="10"/>
        <v>0</v>
      </c>
      <c r="AD60" s="552"/>
      <c r="AE60" s="552">
        <f t="shared" si="12"/>
        <v>0</v>
      </c>
      <c r="AF60" s="552"/>
      <c r="AG60" s="552"/>
      <c r="AH60" s="552">
        <f t="shared" si="2"/>
        <v>0</v>
      </c>
      <c r="AI60" s="552"/>
      <c r="AJ60" s="552">
        <f t="shared" si="13"/>
        <v>0</v>
      </c>
    </row>
    <row r="61" spans="2:36" ht="14.25" hidden="1" customHeight="1" x14ac:dyDescent="0.35">
      <c r="C61" s="264" t="s">
        <v>213</v>
      </c>
      <c r="D61" s="1330"/>
      <c r="E61" s="306"/>
      <c r="F61" s="8"/>
      <c r="G61" s="8"/>
      <c r="H61" s="8"/>
      <c r="I61" s="678"/>
      <c r="J61" s="678"/>
      <c r="K61" s="55"/>
      <c r="L61" s="664"/>
      <c r="M61" s="678"/>
      <c r="N61" s="1328"/>
      <c r="O61" s="1330"/>
      <c r="P61" s="306"/>
      <c r="Q61" s="8"/>
      <c r="R61" s="8"/>
      <c r="S61" s="8"/>
      <c r="T61" s="678"/>
      <c r="U61" s="678"/>
      <c r="V61" s="55"/>
      <c r="W61" s="664"/>
      <c r="X61" s="678"/>
      <c r="Y61" s="593"/>
      <c r="Z61" s="431"/>
      <c r="AA61" s="552"/>
      <c r="AB61" s="552"/>
      <c r="AC61" s="552">
        <f t="shared" si="10"/>
        <v>0</v>
      </c>
      <c r="AD61" s="552"/>
      <c r="AE61" s="552">
        <f t="shared" si="12"/>
        <v>0</v>
      </c>
      <c r="AF61" s="552"/>
      <c r="AG61" s="552"/>
      <c r="AH61" s="552">
        <f t="shared" si="2"/>
        <v>0</v>
      </c>
      <c r="AI61" s="552"/>
      <c r="AJ61" s="552">
        <f t="shared" si="13"/>
        <v>0</v>
      </c>
    </row>
    <row r="62" spans="2:36" ht="14.25" hidden="1" customHeight="1" x14ac:dyDescent="0.35">
      <c r="C62" s="264" t="s">
        <v>278</v>
      </c>
      <c r="D62" s="1330"/>
      <c r="E62" s="306"/>
      <c r="F62" s="8"/>
      <c r="G62" s="8"/>
      <c r="H62" s="8"/>
      <c r="I62" s="678"/>
      <c r="J62" s="678"/>
      <c r="K62" s="55"/>
      <c r="L62" s="664"/>
      <c r="M62" s="678"/>
      <c r="N62" s="1328"/>
      <c r="O62" s="1330"/>
      <c r="P62" s="306"/>
      <c r="Q62" s="8"/>
      <c r="R62" s="8"/>
      <c r="S62" s="8"/>
      <c r="T62" s="678"/>
      <c r="U62" s="678"/>
      <c r="V62" s="55"/>
      <c r="W62" s="664"/>
      <c r="X62" s="678"/>
      <c r="Y62" s="593"/>
      <c r="Z62" s="431"/>
      <c r="AA62" s="552"/>
      <c r="AB62" s="552"/>
      <c r="AC62" s="552">
        <f t="shared" si="10"/>
        <v>0</v>
      </c>
      <c r="AD62" s="552"/>
      <c r="AE62" s="552">
        <f t="shared" si="12"/>
        <v>0</v>
      </c>
      <c r="AF62" s="552"/>
      <c r="AG62" s="552"/>
      <c r="AH62" s="552">
        <f t="shared" si="2"/>
        <v>0</v>
      </c>
      <c r="AI62" s="552"/>
      <c r="AJ62" s="552">
        <f t="shared" si="13"/>
        <v>0</v>
      </c>
    </row>
    <row r="63" spans="2:36" ht="14.25" hidden="1" customHeight="1" x14ac:dyDescent="0.35">
      <c r="C63" s="264" t="s">
        <v>279</v>
      </c>
      <c r="D63" s="1330"/>
      <c r="E63" s="306"/>
      <c r="F63" s="8"/>
      <c r="G63" s="8"/>
      <c r="H63" s="8"/>
      <c r="I63" s="678"/>
      <c r="J63" s="678"/>
      <c r="K63" s="55"/>
      <c r="L63" s="664"/>
      <c r="M63" s="678"/>
      <c r="N63" s="1328"/>
      <c r="O63" s="1330"/>
      <c r="P63" s="306"/>
      <c r="Q63" s="8"/>
      <c r="R63" s="8"/>
      <c r="S63" s="8"/>
      <c r="T63" s="678"/>
      <c r="U63" s="678"/>
      <c r="V63" s="55"/>
      <c r="W63" s="664"/>
      <c r="X63" s="678"/>
      <c r="Y63" s="593"/>
      <c r="Z63" s="431"/>
      <c r="AA63" s="552"/>
      <c r="AB63" s="552"/>
      <c r="AC63" s="552">
        <f t="shared" si="10"/>
        <v>0</v>
      </c>
      <c r="AD63" s="552"/>
      <c r="AE63" s="552">
        <f t="shared" si="12"/>
        <v>0</v>
      </c>
      <c r="AF63" s="552"/>
      <c r="AG63" s="552"/>
      <c r="AH63" s="552">
        <f t="shared" si="2"/>
        <v>0</v>
      </c>
      <c r="AI63" s="552"/>
      <c r="AJ63" s="552">
        <f t="shared" si="13"/>
        <v>0</v>
      </c>
    </row>
    <row r="64" spans="2:36" ht="14.25" hidden="1" customHeight="1" x14ac:dyDescent="0.35">
      <c r="C64" s="282" t="s">
        <v>291</v>
      </c>
      <c r="D64" s="1333"/>
      <c r="E64" s="306"/>
      <c r="F64" s="8"/>
      <c r="G64" s="8"/>
      <c r="H64" s="8"/>
      <c r="I64" s="678"/>
      <c r="J64" s="678"/>
      <c r="K64" s="55"/>
      <c r="L64" s="664"/>
      <c r="M64" s="678"/>
      <c r="N64" s="1328"/>
      <c r="O64" s="1333"/>
      <c r="P64" s="306"/>
      <c r="Q64" s="8"/>
      <c r="R64" s="8"/>
      <c r="S64" s="8"/>
      <c r="T64" s="678"/>
      <c r="U64" s="678"/>
      <c r="V64" s="55"/>
      <c r="W64" s="664"/>
      <c r="X64" s="678"/>
      <c r="Y64" s="593"/>
      <c r="Z64" s="431"/>
      <c r="AA64" s="552"/>
      <c r="AB64" s="552"/>
      <c r="AC64" s="552">
        <f t="shared" si="10"/>
        <v>0</v>
      </c>
      <c r="AD64" s="552"/>
      <c r="AE64" s="552">
        <f t="shared" si="12"/>
        <v>0</v>
      </c>
      <c r="AF64" s="552"/>
      <c r="AG64" s="552"/>
      <c r="AH64" s="552">
        <f t="shared" si="2"/>
        <v>0</v>
      </c>
      <c r="AI64" s="552"/>
      <c r="AJ64" s="552">
        <f t="shared" si="13"/>
        <v>0</v>
      </c>
    </row>
    <row r="65" spans="3:36" ht="14.25" hidden="1" customHeight="1" x14ac:dyDescent="0.35">
      <c r="C65" s="264" t="s">
        <v>280</v>
      </c>
      <c r="D65" s="1330"/>
      <c r="E65" s="306"/>
      <c r="F65" s="8"/>
      <c r="G65" s="8"/>
      <c r="H65" s="8"/>
      <c r="I65" s="678"/>
      <c r="J65" s="678"/>
      <c r="K65" s="55"/>
      <c r="L65" s="664"/>
      <c r="M65" s="678"/>
      <c r="N65" s="1328"/>
      <c r="O65" s="1330"/>
      <c r="P65" s="306"/>
      <c r="Q65" s="8"/>
      <c r="R65" s="8"/>
      <c r="S65" s="8"/>
      <c r="T65" s="678"/>
      <c r="U65" s="678"/>
      <c r="V65" s="55"/>
      <c r="W65" s="664"/>
      <c r="X65" s="678"/>
      <c r="Y65" s="593"/>
      <c r="Z65" s="431"/>
      <c r="AA65" s="552"/>
      <c r="AB65" s="552"/>
      <c r="AC65" s="552">
        <f t="shared" si="10"/>
        <v>0</v>
      </c>
      <c r="AD65" s="552"/>
      <c r="AE65" s="552">
        <f t="shared" si="12"/>
        <v>0</v>
      </c>
      <c r="AF65" s="552"/>
      <c r="AG65" s="552"/>
      <c r="AH65" s="552">
        <f t="shared" si="2"/>
        <v>0</v>
      </c>
      <c r="AI65" s="552"/>
      <c r="AJ65" s="552">
        <f t="shared" si="13"/>
        <v>0</v>
      </c>
    </row>
    <row r="66" spans="3:36" ht="14.25" hidden="1" customHeight="1" x14ac:dyDescent="0.35">
      <c r="C66" s="289" t="str">
        <f>+TableA1!A67</f>
        <v>Cyprus</v>
      </c>
      <c r="D66" s="1332"/>
      <c r="E66" s="306"/>
      <c r="F66" s="8"/>
      <c r="G66" s="8"/>
      <c r="H66" s="8"/>
      <c r="I66" s="678"/>
      <c r="J66" s="678"/>
      <c r="K66" s="55"/>
      <c r="L66" s="664"/>
      <c r="M66" s="678"/>
      <c r="N66" s="1328"/>
      <c r="O66" s="1332"/>
      <c r="P66" s="306"/>
      <c r="Q66" s="8"/>
      <c r="R66" s="8"/>
      <c r="S66" s="8"/>
      <c r="T66" s="678"/>
      <c r="U66" s="678"/>
      <c r="V66" s="55"/>
      <c r="W66" s="664"/>
      <c r="X66" s="678"/>
      <c r="Y66" s="593"/>
      <c r="Z66" s="431"/>
      <c r="AA66" s="552"/>
      <c r="AB66" s="552"/>
      <c r="AC66" s="552">
        <f t="shared" si="10"/>
        <v>0</v>
      </c>
      <c r="AD66" s="552"/>
      <c r="AE66" s="552">
        <f t="shared" si="12"/>
        <v>0</v>
      </c>
      <c r="AF66" s="552"/>
      <c r="AG66" s="552"/>
      <c r="AH66" s="552">
        <f t="shared" si="2"/>
        <v>0</v>
      </c>
      <c r="AI66" s="552"/>
      <c r="AJ66" s="552">
        <f t="shared" si="13"/>
        <v>0</v>
      </c>
    </row>
    <row r="67" spans="3:36" ht="14.25" hidden="1" customHeight="1" x14ac:dyDescent="0.35">
      <c r="C67" s="264" t="s">
        <v>281</v>
      </c>
      <c r="D67" s="1330"/>
      <c r="E67" s="306"/>
      <c r="F67" s="8"/>
      <c r="G67" s="8"/>
      <c r="H67" s="8"/>
      <c r="I67" s="678"/>
      <c r="J67" s="678"/>
      <c r="K67" s="55"/>
      <c r="L67" s="664"/>
      <c r="M67" s="678"/>
      <c r="N67" s="1328"/>
      <c r="O67" s="1330"/>
      <c r="P67" s="306"/>
      <c r="Q67" s="8"/>
      <c r="R67" s="8"/>
      <c r="S67" s="8"/>
      <c r="T67" s="678"/>
      <c r="U67" s="678"/>
      <c r="V67" s="55"/>
      <c r="W67" s="664"/>
      <c r="X67" s="678"/>
      <c r="Y67" s="593"/>
      <c r="Z67" s="431"/>
      <c r="AA67" s="552"/>
      <c r="AB67" s="552"/>
      <c r="AC67" s="552">
        <f t="shared" si="10"/>
        <v>0</v>
      </c>
      <c r="AD67" s="552"/>
      <c r="AE67" s="552">
        <f t="shared" si="12"/>
        <v>0</v>
      </c>
      <c r="AF67" s="552"/>
      <c r="AG67" s="552"/>
      <c r="AH67" s="552">
        <f t="shared" si="2"/>
        <v>0</v>
      </c>
      <c r="AI67" s="552"/>
      <c r="AJ67" s="552">
        <f t="shared" si="13"/>
        <v>0</v>
      </c>
    </row>
    <row r="68" spans="3:36" ht="14.25" hidden="1" customHeight="1" x14ac:dyDescent="0.35">
      <c r="C68" s="289" t="str">
        <f>+TableA1!A69</f>
        <v>Grenada</v>
      </c>
      <c r="D68" s="1332"/>
      <c r="E68" s="306"/>
      <c r="F68" s="8"/>
      <c r="G68" s="8"/>
      <c r="H68" s="8"/>
      <c r="I68" s="678"/>
      <c r="J68" s="678"/>
      <c r="K68" s="55"/>
      <c r="L68" s="664"/>
      <c r="M68" s="678"/>
      <c r="N68" s="1328"/>
      <c r="O68" s="1332"/>
      <c r="P68" s="306"/>
      <c r="Q68" s="8"/>
      <c r="R68" s="8"/>
      <c r="S68" s="8"/>
      <c r="T68" s="678"/>
      <c r="U68" s="678"/>
      <c r="V68" s="55"/>
      <c r="W68" s="664"/>
      <c r="X68" s="678"/>
      <c r="Y68" s="593"/>
      <c r="Z68" s="431"/>
      <c r="AA68" s="552"/>
      <c r="AB68" s="552"/>
      <c r="AC68" s="552">
        <f t="shared" si="10"/>
        <v>0</v>
      </c>
      <c r="AD68" s="552"/>
      <c r="AE68" s="552">
        <f t="shared" si="12"/>
        <v>0</v>
      </c>
      <c r="AF68" s="552"/>
      <c r="AG68" s="552"/>
      <c r="AH68" s="552">
        <f t="shared" si="2"/>
        <v>0</v>
      </c>
      <c r="AI68" s="552"/>
      <c r="AJ68" s="552">
        <f t="shared" si="13"/>
        <v>0</v>
      </c>
    </row>
    <row r="69" spans="3:36" ht="14.25" hidden="1" customHeight="1" x14ac:dyDescent="0.35">
      <c r="C69" s="264" t="s">
        <v>282</v>
      </c>
      <c r="D69" s="1330"/>
      <c r="E69" s="306"/>
      <c r="F69" s="8"/>
      <c r="G69" s="8"/>
      <c r="H69" s="8"/>
      <c r="I69" s="678"/>
      <c r="J69" s="678"/>
      <c r="K69" s="55"/>
      <c r="L69" s="664"/>
      <c r="M69" s="678"/>
      <c r="N69" s="1328"/>
      <c r="O69" s="1330"/>
      <c r="P69" s="306"/>
      <c r="Q69" s="8"/>
      <c r="R69" s="8"/>
      <c r="S69" s="8"/>
      <c r="T69" s="678"/>
      <c r="U69" s="678"/>
      <c r="V69" s="55"/>
      <c r="W69" s="664"/>
      <c r="X69" s="678"/>
      <c r="Y69" s="593"/>
      <c r="Z69" s="431"/>
      <c r="AA69" s="552"/>
      <c r="AB69" s="552"/>
      <c r="AC69" s="552">
        <f t="shared" si="10"/>
        <v>0</v>
      </c>
      <c r="AD69" s="552"/>
      <c r="AE69" s="552">
        <f t="shared" si="12"/>
        <v>0</v>
      </c>
      <c r="AF69" s="552"/>
      <c r="AG69" s="552"/>
      <c r="AH69" s="552">
        <f t="shared" si="2"/>
        <v>0</v>
      </c>
      <c r="AI69" s="552"/>
      <c r="AJ69" s="552">
        <f t="shared" si="13"/>
        <v>0</v>
      </c>
    </row>
    <row r="70" spans="3:36" ht="14.25" hidden="1" customHeight="1" x14ac:dyDescent="0.35">
      <c r="C70" s="264" t="s">
        <v>283</v>
      </c>
      <c r="D70" s="1330"/>
      <c r="E70" s="306"/>
      <c r="F70" s="8"/>
      <c r="G70" s="8"/>
      <c r="H70" s="8"/>
      <c r="I70" s="678"/>
      <c r="J70" s="678"/>
      <c r="K70" s="55"/>
      <c r="L70" s="664"/>
      <c r="M70" s="678"/>
      <c r="N70" s="1328"/>
      <c r="O70" s="1330"/>
      <c r="P70" s="306"/>
      <c r="Q70" s="8"/>
      <c r="R70" s="8"/>
      <c r="S70" s="8"/>
      <c r="T70" s="678"/>
      <c r="U70" s="678"/>
      <c r="V70" s="55"/>
      <c r="W70" s="664"/>
      <c r="X70" s="678"/>
      <c r="Y70" s="593"/>
      <c r="Z70" s="431"/>
      <c r="AA70" s="552"/>
      <c r="AB70" s="552"/>
      <c r="AC70" s="552">
        <f t="shared" si="10"/>
        <v>0</v>
      </c>
      <c r="AD70" s="552"/>
      <c r="AE70" s="552">
        <f t="shared" si="12"/>
        <v>0</v>
      </c>
      <c r="AF70" s="552"/>
      <c r="AG70" s="552"/>
      <c r="AH70" s="552">
        <f t="shared" si="2"/>
        <v>0</v>
      </c>
      <c r="AI70" s="552"/>
      <c r="AJ70" s="552">
        <f t="shared" si="13"/>
        <v>0</v>
      </c>
    </row>
    <row r="71" spans="3:36" ht="14.25" hidden="1" customHeight="1" x14ac:dyDescent="0.35">
      <c r="C71" s="264" t="s">
        <v>220</v>
      </c>
      <c r="D71" s="1330"/>
      <c r="E71" s="306"/>
      <c r="F71" s="8"/>
      <c r="G71" s="8"/>
      <c r="H71" s="8"/>
      <c r="I71" s="678"/>
      <c r="J71" s="678"/>
      <c r="K71" s="55"/>
      <c r="L71" s="664"/>
      <c r="M71" s="678"/>
      <c r="N71" s="1328"/>
      <c r="O71" s="1330"/>
      <c r="P71" s="306"/>
      <c r="Q71" s="8"/>
      <c r="R71" s="8"/>
      <c r="S71" s="8"/>
      <c r="T71" s="678"/>
      <c r="U71" s="678"/>
      <c r="V71" s="55"/>
      <c r="W71" s="664"/>
      <c r="X71" s="678"/>
      <c r="Y71" s="593"/>
      <c r="Z71" s="431"/>
      <c r="AA71" s="552"/>
      <c r="AB71" s="552"/>
      <c r="AC71" s="552">
        <f t="shared" si="10"/>
        <v>0</v>
      </c>
      <c r="AD71" s="552"/>
      <c r="AE71" s="552">
        <f t="shared" si="12"/>
        <v>0</v>
      </c>
      <c r="AF71" s="552"/>
      <c r="AG71" s="552"/>
      <c r="AH71" s="552">
        <f t="shared" si="2"/>
        <v>0</v>
      </c>
      <c r="AI71" s="552"/>
      <c r="AJ71" s="552">
        <f t="shared" si="13"/>
        <v>0</v>
      </c>
    </row>
    <row r="72" spans="3:36" ht="14.25" hidden="1" customHeight="1" x14ac:dyDescent="0.35">
      <c r="C72" s="264" t="s">
        <v>284</v>
      </c>
      <c r="D72" s="1330"/>
      <c r="E72" s="306"/>
      <c r="F72" s="8"/>
      <c r="G72" s="8"/>
      <c r="H72" s="8"/>
      <c r="I72" s="678"/>
      <c r="J72" s="678"/>
      <c r="K72" s="55"/>
      <c r="L72" s="664"/>
      <c r="M72" s="678"/>
      <c r="N72" s="1328"/>
      <c r="O72" s="1330"/>
      <c r="P72" s="306"/>
      <c r="Q72" s="8"/>
      <c r="R72" s="8"/>
      <c r="S72" s="8"/>
      <c r="T72" s="678"/>
      <c r="U72" s="678"/>
      <c r="V72" s="55"/>
      <c r="W72" s="664"/>
      <c r="X72" s="678"/>
      <c r="Y72" s="593"/>
      <c r="Z72" s="431"/>
      <c r="AA72" s="552"/>
      <c r="AB72" s="552"/>
      <c r="AC72" s="552">
        <f t="shared" si="10"/>
        <v>0</v>
      </c>
      <c r="AD72" s="552"/>
      <c r="AE72" s="552">
        <f t="shared" si="12"/>
        <v>0</v>
      </c>
      <c r="AF72" s="552"/>
      <c r="AG72" s="552"/>
      <c r="AH72" s="552">
        <f t="shared" si="2"/>
        <v>0</v>
      </c>
      <c r="AI72" s="552"/>
      <c r="AJ72" s="552">
        <f t="shared" si="13"/>
        <v>0</v>
      </c>
    </row>
    <row r="73" spans="3:36" ht="14.25" hidden="1" customHeight="1" x14ac:dyDescent="0.35">
      <c r="C73" s="264" t="s">
        <v>285</v>
      </c>
      <c r="D73" s="1330"/>
      <c r="E73" s="306"/>
      <c r="F73" s="8"/>
      <c r="G73" s="8"/>
      <c r="H73" s="8"/>
      <c r="I73" s="678"/>
      <c r="J73" s="678"/>
      <c r="K73" s="55"/>
      <c r="L73" s="664"/>
      <c r="M73" s="678"/>
      <c r="N73" s="1328"/>
      <c r="O73" s="1330"/>
      <c r="P73" s="306"/>
      <c r="Q73" s="8"/>
      <c r="R73" s="8"/>
      <c r="S73" s="8"/>
      <c r="T73" s="678"/>
      <c r="U73" s="678"/>
      <c r="V73" s="55"/>
      <c r="W73" s="664"/>
      <c r="X73" s="678"/>
      <c r="Y73" s="593"/>
      <c r="Z73" s="431"/>
      <c r="AA73" s="552"/>
      <c r="AB73" s="552"/>
      <c r="AC73" s="552">
        <f t="shared" si="10"/>
        <v>0</v>
      </c>
      <c r="AD73" s="552"/>
      <c r="AE73" s="552">
        <f t="shared" si="12"/>
        <v>0</v>
      </c>
      <c r="AF73" s="552"/>
      <c r="AG73" s="552"/>
      <c r="AH73" s="552">
        <f t="shared" ref="AH73:AH88" si="19">+AG73/$AG$90</f>
        <v>0</v>
      </c>
      <c r="AI73" s="552"/>
      <c r="AJ73" s="552">
        <f t="shared" si="13"/>
        <v>0</v>
      </c>
    </row>
    <row r="74" spans="3:36" ht="14.25" hidden="1" customHeight="1" x14ac:dyDescent="0.35">
      <c r="C74" s="264" t="s">
        <v>286</v>
      </c>
      <c r="D74" s="1330"/>
      <c r="E74" s="306"/>
      <c r="F74" s="8"/>
      <c r="G74" s="8"/>
      <c r="H74" s="8"/>
      <c r="I74" s="678"/>
      <c r="J74" s="678"/>
      <c r="K74" s="55"/>
      <c r="L74" s="664"/>
      <c r="M74" s="678"/>
      <c r="N74" s="1328"/>
      <c r="O74" s="1330"/>
      <c r="P74" s="306"/>
      <c r="Q74" s="8"/>
      <c r="R74" s="8"/>
      <c r="S74" s="8"/>
      <c r="T74" s="678"/>
      <c r="U74" s="678"/>
      <c r="V74" s="55"/>
      <c r="W74" s="664"/>
      <c r="X74" s="678"/>
      <c r="Y74" s="593"/>
      <c r="Z74" s="431"/>
      <c r="AA74" s="552"/>
      <c r="AB74" s="552"/>
      <c r="AC74" s="552">
        <f t="shared" ref="AC74:AC90" si="20">+AB74/$AB$90</f>
        <v>0</v>
      </c>
      <c r="AD74" s="552"/>
      <c r="AE74" s="552">
        <f t="shared" ref="AE74:AE88" si="21">+AD74/$AD$90</f>
        <v>0</v>
      </c>
      <c r="AF74" s="552"/>
      <c r="AG74" s="552"/>
      <c r="AH74" s="552">
        <f t="shared" si="19"/>
        <v>0</v>
      </c>
      <c r="AI74" s="552"/>
      <c r="AJ74" s="552">
        <f t="shared" si="13"/>
        <v>0</v>
      </c>
    </row>
    <row r="75" spans="3:36" ht="14.25" hidden="1" customHeight="1" x14ac:dyDescent="0.35">
      <c r="C75" s="264" t="s">
        <v>287</v>
      </c>
      <c r="D75" s="1330"/>
      <c r="E75" s="306"/>
      <c r="F75" s="8"/>
      <c r="G75" s="8"/>
      <c r="H75" s="8"/>
      <c r="I75" s="678"/>
      <c r="J75" s="678"/>
      <c r="K75" s="55"/>
      <c r="L75" s="664"/>
      <c r="M75" s="678"/>
      <c r="N75" s="1328"/>
      <c r="O75" s="1330"/>
      <c r="P75" s="306"/>
      <c r="Q75" s="8"/>
      <c r="R75" s="8"/>
      <c r="S75" s="8"/>
      <c r="T75" s="678"/>
      <c r="U75" s="678"/>
      <c r="V75" s="55"/>
      <c r="W75" s="664"/>
      <c r="X75" s="678"/>
      <c r="Y75" s="593"/>
      <c r="Z75" s="431"/>
      <c r="AA75" s="552"/>
      <c r="AB75" s="552"/>
      <c r="AC75" s="552">
        <f t="shared" si="20"/>
        <v>0</v>
      </c>
      <c r="AD75" s="552"/>
      <c r="AE75" s="552">
        <f t="shared" si="21"/>
        <v>0</v>
      </c>
      <c r="AF75" s="552"/>
      <c r="AG75" s="552"/>
      <c r="AH75" s="552">
        <f t="shared" si="19"/>
        <v>0</v>
      </c>
      <c r="AI75" s="552"/>
      <c r="AJ75" s="552">
        <f t="shared" si="13"/>
        <v>0</v>
      </c>
    </row>
    <row r="76" spans="3:36" ht="14.25" hidden="1" customHeight="1" x14ac:dyDescent="0.35">
      <c r="C76" s="289" t="s">
        <v>301</v>
      </c>
      <c r="D76" s="1332"/>
      <c r="E76" s="306"/>
      <c r="F76" s="8"/>
      <c r="G76" s="8"/>
      <c r="H76" s="8"/>
      <c r="I76" s="678"/>
      <c r="J76" s="678"/>
      <c r="K76" s="55"/>
      <c r="L76" s="664"/>
      <c r="M76" s="678"/>
      <c r="N76" s="1334"/>
      <c r="O76" s="1332"/>
      <c r="P76" s="306"/>
      <c r="Q76" s="8"/>
      <c r="R76" s="8"/>
      <c r="S76" s="8"/>
      <c r="T76" s="678"/>
      <c r="U76" s="678"/>
      <c r="V76" s="55"/>
      <c r="W76" s="664"/>
      <c r="X76" s="678"/>
      <c r="Y76" s="1335"/>
      <c r="Z76" s="431"/>
      <c r="AA76" s="552"/>
      <c r="AB76" s="552"/>
      <c r="AC76" s="552">
        <f t="shared" si="20"/>
        <v>0</v>
      </c>
      <c r="AD76" s="552"/>
      <c r="AE76" s="552">
        <f t="shared" si="21"/>
        <v>0</v>
      </c>
      <c r="AF76" s="552"/>
      <c r="AG76" s="552"/>
      <c r="AH76" s="552">
        <f t="shared" si="19"/>
        <v>0</v>
      </c>
      <c r="AI76" s="552"/>
      <c r="AJ76" s="552">
        <f t="shared" si="13"/>
        <v>0</v>
      </c>
    </row>
    <row r="77" spans="3:36" ht="14.25" hidden="1" customHeight="1" x14ac:dyDescent="0.35">
      <c r="C77" s="289" t="s">
        <v>302</v>
      </c>
      <c r="D77" s="1332"/>
      <c r="E77" s="306"/>
      <c r="F77" s="8"/>
      <c r="G77" s="8"/>
      <c r="H77" s="8"/>
      <c r="I77" s="678"/>
      <c r="J77" s="678"/>
      <c r="K77" s="55"/>
      <c r="L77" s="664"/>
      <c r="M77" s="678"/>
      <c r="N77" s="1328"/>
      <c r="O77" s="1332"/>
      <c r="P77" s="306"/>
      <c r="Q77" s="8"/>
      <c r="R77" s="8"/>
      <c r="S77" s="8"/>
      <c r="T77" s="678"/>
      <c r="U77" s="678"/>
      <c r="V77" s="55"/>
      <c r="W77" s="664"/>
      <c r="X77" s="678"/>
      <c r="Y77" s="593"/>
      <c r="Z77" s="431"/>
      <c r="AA77" s="552"/>
      <c r="AB77" s="552"/>
      <c r="AC77" s="552">
        <f t="shared" si="20"/>
        <v>0</v>
      </c>
      <c r="AD77" s="552"/>
      <c r="AE77" s="552">
        <f t="shared" si="21"/>
        <v>0</v>
      </c>
      <c r="AF77" s="552"/>
      <c r="AG77" s="552"/>
      <c r="AH77" s="552">
        <f t="shared" si="19"/>
        <v>0</v>
      </c>
      <c r="AI77" s="552"/>
      <c r="AJ77" s="552">
        <f t="shared" si="13"/>
        <v>0</v>
      </c>
    </row>
    <row r="78" spans="3:36" ht="14.25" hidden="1" customHeight="1" x14ac:dyDescent="0.35">
      <c r="C78" s="289" t="str">
        <f>+TableA1!A79</f>
        <v>Monaco</v>
      </c>
      <c r="D78" s="1332"/>
      <c r="E78" s="306"/>
      <c r="F78" s="8"/>
      <c r="G78" s="8"/>
      <c r="H78" s="8"/>
      <c r="I78" s="678"/>
      <c r="J78" s="678"/>
      <c r="K78" s="55"/>
      <c r="L78" s="664"/>
      <c r="M78" s="678"/>
      <c r="N78" s="1328"/>
      <c r="O78" s="1332"/>
      <c r="P78" s="306"/>
      <c r="Q78" s="8"/>
      <c r="R78" s="8"/>
      <c r="S78" s="8"/>
      <c r="T78" s="678"/>
      <c r="U78" s="678"/>
      <c r="V78" s="55"/>
      <c r="W78" s="664"/>
      <c r="X78" s="678"/>
      <c r="Y78" s="593"/>
      <c r="Z78" s="431"/>
      <c r="AA78" s="552"/>
      <c r="AB78" s="552"/>
      <c r="AC78" s="552">
        <f t="shared" si="20"/>
        <v>0</v>
      </c>
      <c r="AD78" s="552"/>
      <c r="AE78" s="552">
        <f t="shared" si="21"/>
        <v>0</v>
      </c>
      <c r="AF78" s="552"/>
      <c r="AG78" s="552"/>
      <c r="AH78" s="552">
        <f t="shared" si="19"/>
        <v>0</v>
      </c>
      <c r="AI78" s="552"/>
      <c r="AJ78" s="552">
        <f t="shared" si="13"/>
        <v>0</v>
      </c>
    </row>
    <row r="79" spans="3:36" ht="14.25" hidden="1" customHeight="1" x14ac:dyDescent="0.35">
      <c r="C79" s="264" t="s">
        <v>288</v>
      </c>
      <c r="D79" s="1330"/>
      <c r="E79" s="306"/>
      <c r="F79" s="8"/>
      <c r="G79" s="8"/>
      <c r="H79" s="8"/>
      <c r="I79" s="678"/>
      <c r="J79" s="678"/>
      <c r="K79" s="55"/>
      <c r="L79" s="664"/>
      <c r="M79" s="678"/>
      <c r="N79" s="1328"/>
      <c r="O79" s="1330"/>
      <c r="P79" s="306"/>
      <c r="Q79" s="8"/>
      <c r="R79" s="8"/>
      <c r="S79" s="8"/>
      <c r="T79" s="678"/>
      <c r="U79" s="678"/>
      <c r="V79" s="55"/>
      <c r="W79" s="664"/>
      <c r="X79" s="678"/>
      <c r="Y79" s="593"/>
      <c r="Z79" s="431"/>
      <c r="AA79" s="552"/>
      <c r="AB79" s="552"/>
      <c r="AC79" s="552">
        <f t="shared" si="20"/>
        <v>0</v>
      </c>
      <c r="AD79" s="552"/>
      <c r="AE79" s="552">
        <f t="shared" si="21"/>
        <v>0</v>
      </c>
      <c r="AF79" s="552"/>
      <c r="AG79" s="552"/>
      <c r="AH79" s="552">
        <f t="shared" si="19"/>
        <v>0</v>
      </c>
      <c r="AI79" s="552"/>
      <c r="AJ79" s="552">
        <f t="shared" si="13"/>
        <v>0</v>
      </c>
    </row>
    <row r="80" spans="3:36" ht="14.25" hidden="1" customHeight="1" x14ac:dyDescent="0.35">
      <c r="C80" s="264" t="s">
        <v>289</v>
      </c>
      <c r="D80" s="1330"/>
      <c r="E80" s="306"/>
      <c r="F80" s="8"/>
      <c r="G80" s="8"/>
      <c r="H80" s="8"/>
      <c r="I80" s="678"/>
      <c r="J80" s="678"/>
      <c r="K80" s="55"/>
      <c r="L80" s="664"/>
      <c r="M80" s="678"/>
      <c r="N80" s="1328"/>
      <c r="O80" s="1330"/>
      <c r="P80" s="306"/>
      <c r="Q80" s="8"/>
      <c r="R80" s="8"/>
      <c r="S80" s="8"/>
      <c r="T80" s="678"/>
      <c r="U80" s="678"/>
      <c r="V80" s="55"/>
      <c r="W80" s="664"/>
      <c r="X80" s="678"/>
      <c r="Y80" s="593"/>
      <c r="Z80" s="431"/>
      <c r="AA80" s="552"/>
      <c r="AB80" s="552"/>
      <c r="AC80" s="552">
        <f t="shared" si="20"/>
        <v>0</v>
      </c>
      <c r="AD80" s="552"/>
      <c r="AE80" s="552">
        <f t="shared" si="21"/>
        <v>0</v>
      </c>
      <c r="AF80" s="552"/>
      <c r="AG80" s="552"/>
      <c r="AH80" s="552">
        <f t="shared" si="19"/>
        <v>0</v>
      </c>
      <c r="AI80" s="552"/>
      <c r="AJ80" s="552">
        <f t="shared" si="13"/>
        <v>0</v>
      </c>
    </row>
    <row r="81" spans="3:36" ht="14.25" hidden="1" customHeight="1" x14ac:dyDescent="0.35">
      <c r="C81" s="289" t="str">
        <f>+TableA1!A82</f>
        <v>Seychelles</v>
      </c>
      <c r="D81" s="1332"/>
      <c r="E81" s="306"/>
      <c r="F81" s="8"/>
      <c r="G81" s="8"/>
      <c r="H81" s="8"/>
      <c r="I81" s="678"/>
      <c r="J81" s="678"/>
      <c r="K81" s="55"/>
      <c r="L81" s="664"/>
      <c r="M81" s="678"/>
      <c r="N81" s="1328"/>
      <c r="O81" s="1332"/>
      <c r="P81" s="306"/>
      <c r="Q81" s="8"/>
      <c r="R81" s="8"/>
      <c r="S81" s="8"/>
      <c r="T81" s="678"/>
      <c r="U81" s="678"/>
      <c r="V81" s="55"/>
      <c r="W81" s="664"/>
      <c r="X81" s="678"/>
      <c r="Y81" s="593"/>
      <c r="Z81" s="431"/>
      <c r="AA81" s="552"/>
      <c r="AB81" s="552"/>
      <c r="AC81" s="552">
        <f t="shared" si="20"/>
        <v>0</v>
      </c>
      <c r="AD81" s="552"/>
      <c r="AE81" s="552">
        <f t="shared" si="21"/>
        <v>0</v>
      </c>
      <c r="AF81" s="552"/>
      <c r="AG81" s="552"/>
      <c r="AH81" s="552">
        <f t="shared" si="19"/>
        <v>0</v>
      </c>
      <c r="AI81" s="552"/>
      <c r="AJ81" s="552">
        <f t="shared" si="13"/>
        <v>0</v>
      </c>
    </row>
    <row r="82" spans="3:36" hidden="1" x14ac:dyDescent="0.35">
      <c r="C82" s="264" t="s">
        <v>225</v>
      </c>
      <c r="D82" s="1330"/>
      <c r="E82" s="306"/>
      <c r="F82" s="8"/>
      <c r="G82" s="8"/>
      <c r="H82" s="8"/>
      <c r="I82" s="678"/>
      <c r="J82" s="678"/>
      <c r="K82" s="55"/>
      <c r="L82" s="664"/>
      <c r="M82" s="678"/>
      <c r="N82" s="1328"/>
      <c r="O82" s="1330"/>
      <c r="P82" s="306"/>
      <c r="Q82" s="8"/>
      <c r="R82" s="8"/>
      <c r="S82" s="8"/>
      <c r="T82" s="678"/>
      <c r="U82" s="678"/>
      <c r="V82" s="55"/>
      <c r="W82" s="664"/>
      <c r="X82" s="678"/>
      <c r="Y82" s="593"/>
      <c r="Z82" s="431"/>
      <c r="AA82" s="552"/>
      <c r="AB82" s="552"/>
      <c r="AC82" s="552">
        <f t="shared" si="20"/>
        <v>0</v>
      </c>
      <c r="AD82" s="552"/>
      <c r="AE82" s="552">
        <f t="shared" si="21"/>
        <v>0</v>
      </c>
      <c r="AF82" s="552"/>
      <c r="AG82" s="552"/>
      <c r="AH82" s="552">
        <f t="shared" si="19"/>
        <v>0</v>
      </c>
      <c r="AI82" s="552"/>
      <c r="AJ82" s="552">
        <f t="shared" si="13"/>
        <v>0</v>
      </c>
    </row>
    <row r="83" spans="3:36" hidden="1" x14ac:dyDescent="0.35">
      <c r="C83" s="289" t="str">
        <f>+TableA1!A84</f>
        <v>St. Kitts and Nevis</v>
      </c>
      <c r="D83" s="1332"/>
      <c r="E83" s="306"/>
      <c r="F83" s="8"/>
      <c r="G83" s="8"/>
      <c r="H83" s="8"/>
      <c r="I83" s="678"/>
      <c r="J83" s="678"/>
      <c r="K83" s="55"/>
      <c r="L83" s="664"/>
      <c r="M83" s="678"/>
      <c r="N83" s="1328"/>
      <c r="O83" s="1332"/>
      <c r="P83" s="306"/>
      <c r="Q83" s="8"/>
      <c r="R83" s="8"/>
      <c r="S83" s="8"/>
      <c r="T83" s="678"/>
      <c r="U83" s="678"/>
      <c r="V83" s="55"/>
      <c r="W83" s="664"/>
      <c r="X83" s="678"/>
      <c r="Y83" s="593"/>
      <c r="Z83" s="431"/>
      <c r="AA83" s="552"/>
      <c r="AB83" s="552"/>
      <c r="AC83" s="552">
        <f t="shared" si="20"/>
        <v>0</v>
      </c>
      <c r="AD83" s="552"/>
      <c r="AE83" s="552">
        <f t="shared" si="21"/>
        <v>0</v>
      </c>
      <c r="AF83" s="552"/>
      <c r="AG83" s="552"/>
      <c r="AH83" s="552">
        <f t="shared" si="19"/>
        <v>0</v>
      </c>
      <c r="AI83" s="552"/>
      <c r="AJ83" s="552">
        <f t="shared" si="13"/>
        <v>0</v>
      </c>
    </row>
    <row r="84" spans="3:36" hidden="1" x14ac:dyDescent="0.35">
      <c r="C84" s="289" t="str">
        <f>+TableA1!A85</f>
        <v>St. Lucia</v>
      </c>
      <c r="D84" s="1332"/>
      <c r="E84" s="306"/>
      <c r="F84" s="8"/>
      <c r="G84" s="8"/>
      <c r="H84" s="8"/>
      <c r="I84" s="678"/>
      <c r="J84" s="678"/>
      <c r="K84" s="55"/>
      <c r="L84" s="664"/>
      <c r="M84" s="678"/>
      <c r="N84" s="1328"/>
      <c r="O84" s="1332"/>
      <c r="P84" s="306"/>
      <c r="Q84" s="8"/>
      <c r="R84" s="8"/>
      <c r="S84" s="8"/>
      <c r="T84" s="678"/>
      <c r="U84" s="678"/>
      <c r="V84" s="55"/>
      <c r="W84" s="664"/>
      <c r="X84" s="678"/>
      <c r="Y84" s="593"/>
      <c r="Z84" s="431"/>
      <c r="AA84" s="552"/>
      <c r="AB84" s="552"/>
      <c r="AC84" s="552">
        <f t="shared" si="20"/>
        <v>0</v>
      </c>
      <c r="AD84" s="552"/>
      <c r="AE84" s="552">
        <f t="shared" si="21"/>
        <v>0</v>
      </c>
      <c r="AF84" s="552"/>
      <c r="AG84" s="552"/>
      <c r="AH84" s="552">
        <f t="shared" si="19"/>
        <v>0</v>
      </c>
      <c r="AI84" s="552"/>
      <c r="AJ84" s="552">
        <f t="shared" si="13"/>
        <v>0</v>
      </c>
    </row>
    <row r="85" spans="3:36" hidden="1" x14ac:dyDescent="0.35">
      <c r="C85" s="289" t="str">
        <f>+TableA1!A86</f>
        <v>St. Vincent and the Grenadines</v>
      </c>
      <c r="D85" s="1332"/>
      <c r="E85" s="306"/>
      <c r="F85" s="8"/>
      <c r="G85" s="8"/>
      <c r="H85" s="8"/>
      <c r="I85" s="678"/>
      <c r="J85" s="678"/>
      <c r="K85" s="55"/>
      <c r="L85" s="664"/>
      <c r="M85" s="678"/>
      <c r="N85" s="1328"/>
      <c r="O85" s="1332"/>
      <c r="P85" s="306"/>
      <c r="Q85" s="8"/>
      <c r="R85" s="8"/>
      <c r="S85" s="8"/>
      <c r="T85" s="678"/>
      <c r="U85" s="678"/>
      <c r="V85" s="55"/>
      <c r="W85" s="664"/>
      <c r="X85" s="678"/>
      <c r="Y85" s="593"/>
      <c r="Z85" s="431"/>
      <c r="AA85" s="552"/>
      <c r="AB85" s="552"/>
      <c r="AC85" s="552">
        <f t="shared" si="20"/>
        <v>0</v>
      </c>
      <c r="AD85" s="552"/>
      <c r="AE85" s="552">
        <f t="shared" si="21"/>
        <v>0</v>
      </c>
      <c r="AF85" s="552"/>
      <c r="AG85" s="552"/>
      <c r="AH85" s="552">
        <f t="shared" si="19"/>
        <v>0</v>
      </c>
      <c r="AI85" s="552"/>
      <c r="AJ85" s="552">
        <f t="shared" si="13"/>
        <v>0</v>
      </c>
    </row>
    <row r="86" spans="3:36" hidden="1" x14ac:dyDescent="0.35">
      <c r="C86" s="289" t="str">
        <f>+TableA1!A87</f>
        <v>Turks and Caicos</v>
      </c>
      <c r="D86" s="1332"/>
      <c r="E86" s="306"/>
      <c r="F86" s="8"/>
      <c r="G86" s="8"/>
      <c r="H86" s="8"/>
      <c r="I86" s="678"/>
      <c r="J86" s="678"/>
      <c r="K86" s="55"/>
      <c r="L86" s="664"/>
      <c r="M86" s="678"/>
      <c r="N86" s="1328"/>
      <c r="O86" s="1332"/>
      <c r="P86" s="306"/>
      <c r="Q86" s="8"/>
      <c r="R86" s="8"/>
      <c r="S86" s="8"/>
      <c r="T86" s="678"/>
      <c r="U86" s="678"/>
      <c r="V86" s="55"/>
      <c r="W86" s="664"/>
      <c r="X86" s="678"/>
      <c r="Y86" s="593"/>
      <c r="Z86" s="431"/>
      <c r="AA86" s="552"/>
      <c r="AB86" s="552"/>
      <c r="AC86" s="552">
        <f t="shared" si="20"/>
        <v>0</v>
      </c>
      <c r="AD86" s="552"/>
      <c r="AE86" s="552">
        <f t="shared" si="21"/>
        <v>0</v>
      </c>
      <c r="AF86" s="552"/>
      <c r="AG86" s="552"/>
      <c r="AH86" s="552">
        <f t="shared" si="19"/>
        <v>0</v>
      </c>
      <c r="AI86" s="552"/>
      <c r="AJ86" s="552">
        <f t="shared" si="13"/>
        <v>0</v>
      </c>
    </row>
    <row r="87" spans="3:36" hidden="1" x14ac:dyDescent="0.35">
      <c r="C87" s="289" t="str">
        <f>+TableA1!A88</f>
        <v>Panama</v>
      </c>
      <c r="D87" s="1332"/>
      <c r="E87" s="306"/>
      <c r="F87" s="8"/>
      <c r="G87" s="8"/>
      <c r="H87" s="8"/>
      <c r="I87" s="678"/>
      <c r="J87" s="678"/>
      <c r="K87" s="55"/>
      <c r="L87" s="664"/>
      <c r="M87" s="678"/>
      <c r="N87" s="1328"/>
      <c r="O87" s="1332"/>
      <c r="P87" s="306"/>
      <c r="Q87" s="8"/>
      <c r="R87" s="8"/>
      <c r="S87" s="8"/>
      <c r="T87" s="678"/>
      <c r="U87" s="678"/>
      <c r="V87" s="55"/>
      <c r="W87" s="664"/>
      <c r="X87" s="678"/>
      <c r="Y87" s="593"/>
      <c r="Z87" s="431"/>
      <c r="AA87" s="552"/>
      <c r="AB87" s="552"/>
      <c r="AC87" s="552">
        <f t="shared" si="20"/>
        <v>0</v>
      </c>
      <c r="AD87" s="552"/>
      <c r="AE87" s="552">
        <f t="shared" si="21"/>
        <v>0</v>
      </c>
      <c r="AF87" s="552"/>
      <c r="AG87" s="552"/>
      <c r="AH87" s="552">
        <f t="shared" si="19"/>
        <v>0</v>
      </c>
      <c r="AI87" s="552"/>
      <c r="AJ87" s="552">
        <f t="shared" si="13"/>
        <v>0</v>
      </c>
    </row>
    <row r="88" spans="3:36" hidden="1" x14ac:dyDescent="0.35">
      <c r="C88" s="264" t="s">
        <v>290</v>
      </c>
      <c r="D88" s="1330"/>
      <c r="E88" s="306"/>
      <c r="F88" s="8"/>
      <c r="G88" s="8"/>
      <c r="H88" s="8"/>
      <c r="I88" s="678"/>
      <c r="J88" s="678"/>
      <c r="K88" s="55"/>
      <c r="L88" s="664"/>
      <c r="M88" s="678"/>
      <c r="N88" s="1328"/>
      <c r="O88" s="1330"/>
      <c r="P88" s="306"/>
      <c r="Q88" s="8"/>
      <c r="R88" s="8"/>
      <c r="S88" s="8"/>
      <c r="T88" s="678"/>
      <c r="U88" s="678"/>
      <c r="V88" s="55"/>
      <c r="W88" s="664"/>
      <c r="X88" s="678"/>
      <c r="Y88" s="593"/>
      <c r="Z88" s="431"/>
      <c r="AA88" s="552"/>
      <c r="AB88" s="552"/>
      <c r="AC88" s="552">
        <f t="shared" si="20"/>
        <v>0</v>
      </c>
      <c r="AD88" s="552"/>
      <c r="AE88" s="552">
        <f t="shared" si="21"/>
        <v>0</v>
      </c>
      <c r="AF88" s="552"/>
      <c r="AG88" s="552"/>
      <c r="AH88" s="552">
        <f t="shared" si="19"/>
        <v>0</v>
      </c>
      <c r="AI88" s="552"/>
      <c r="AJ88" s="552">
        <f t="shared" si="13"/>
        <v>0</v>
      </c>
    </row>
    <row r="89" spans="3:36" ht="40" customHeight="1" x14ac:dyDescent="0.35">
      <c r="C89" s="1338" t="s">
        <v>498</v>
      </c>
      <c r="D89" s="748">
        <f>+E89+L89</f>
        <v>6883.9709665518621</v>
      </c>
      <c r="E89" s="906">
        <f>SUM(F89:K89)</f>
        <v>3776.7283641538465</v>
      </c>
      <c r="F89" s="644">
        <f>AH89*'[2]Interest shifted to EU'!$AU$13</f>
        <v>1397.6810582864161</v>
      </c>
      <c r="G89" s="644">
        <f>AH89*'[2]Interest shifted to EU'!$AU$14</f>
        <v>-27.790811293277596</v>
      </c>
      <c r="H89" s="644">
        <f>AH89*'[2]Interest shifted to EU'!$AU$15</f>
        <v>-145.20458495795557</v>
      </c>
      <c r="I89" s="936">
        <f>AH89*'[2]Interest shifted to EU'!$AU$16</f>
        <v>2057.9624653544411</v>
      </c>
      <c r="J89" s="936">
        <f>AH89*'[2]Interest shifted to EU'!$AU$17</f>
        <v>-134.81909146427398</v>
      </c>
      <c r="K89" s="936">
        <f>AH89*'[2]Interest shifted to EU'!$AU$18</f>
        <v>628.8993282284963</v>
      </c>
      <c r="L89" s="643">
        <f>SUM(M89:N89)</f>
        <v>3107.2426023980156</v>
      </c>
      <c r="M89" s="937">
        <f>AC89*'[2]Non-EU tax havens'!$M$8</f>
        <v>487.09908245585387</v>
      </c>
      <c r="N89" s="938">
        <f>AC89*'[2]Non-EU tax havens'!$M$13</f>
        <v>2620.1435199421617</v>
      </c>
      <c r="O89" s="749">
        <f>+P89+W89</f>
        <v>75639.569393791957</v>
      </c>
      <c r="P89" s="906">
        <f>SUM(Q89:V89)</f>
        <v>29904.84178455019</v>
      </c>
      <c r="Q89" s="644">
        <f>AH89*'[2]Non EU income shifted to EU'!$AJ$13</f>
        <v>1177.903596129373</v>
      </c>
      <c r="R89" s="644">
        <f>AH89*'[2]Non EU income shifted to EU'!$AJ$14</f>
        <v>702.24412012677942</v>
      </c>
      <c r="S89" s="644">
        <f>AH89*'[2]Non EU income shifted to EU'!$AJ$15</f>
        <v>18052.886401546933</v>
      </c>
      <c r="T89" s="936">
        <f>AH89*'[2]Non EU income shifted to EU'!$AJ$16</f>
        <v>1797.245671492265</v>
      </c>
      <c r="U89" s="936">
        <f>AH89*'[2]Non EU income shifted to EU'!$AJ$17</f>
        <v>3385.5071976378699</v>
      </c>
      <c r="V89" s="936">
        <f>AH89*'[2]Non EU income shifted to EU'!$AJ$18</f>
        <v>4789.0547976169664</v>
      </c>
      <c r="W89" s="643">
        <f>SUM(X89:AC89)</f>
        <v>45734.72760924176</v>
      </c>
      <c r="X89" s="937">
        <f>AE89*'[2]Non-EU tax havens'!$O$8</f>
        <v>3522.7799196821306</v>
      </c>
      <c r="Y89" s="1317">
        <f>AE89*'[2]Non-EU tax havens'!$O$13</f>
        <v>42211.654436496174</v>
      </c>
      <c r="Z89" s="431"/>
      <c r="AA89" s="552">
        <f>+TableB2!L90/TableB2!$L$91</f>
        <v>6.7158306912131871E-2</v>
      </c>
      <c r="AB89" s="552">
        <f>+AA89</f>
        <v>6.7158306912131871E-2</v>
      </c>
      <c r="AC89" s="552">
        <f t="shared" si="20"/>
        <v>0.15893644962964881</v>
      </c>
      <c r="AD89" s="552">
        <f>+AB89</f>
        <v>6.7158306912131871E-2</v>
      </c>
      <c r="AE89" s="552">
        <f>+AD89/$AD$90</f>
        <v>0.26233696407958473</v>
      </c>
      <c r="AF89" s="552"/>
      <c r="AG89" s="552">
        <f>+AB89</f>
        <v>6.7158306912131871E-2</v>
      </c>
      <c r="AH89" s="552">
        <f>+AG89/$AG$90</f>
        <v>0.96161976793348058</v>
      </c>
      <c r="AI89" s="552">
        <f>+AD89</f>
        <v>6.7158306912131871E-2</v>
      </c>
      <c r="AJ89" s="552">
        <f>+AI89/$AI$90</f>
        <v>0.96161976793348058</v>
      </c>
    </row>
    <row r="90" spans="3:36" ht="40" customHeight="1" x14ac:dyDescent="0.35">
      <c r="C90" s="1339" t="s">
        <v>499</v>
      </c>
      <c r="D90" s="745">
        <f t="shared" ref="D90:O90" si="22">SUMIF(D9:D89,"&gt;-999999")-D44</f>
        <v>141001.20463089287</v>
      </c>
      <c r="E90" s="674">
        <f t="shared" si="22"/>
        <v>102646.10771742737</v>
      </c>
      <c r="F90" s="556">
        <f t="shared" si="22"/>
        <v>10443.393706980482</v>
      </c>
      <c r="G90" s="557">
        <f t="shared" si="22"/>
        <v>277.571816785387</v>
      </c>
      <c r="H90" s="557">
        <f t="shared" si="22"/>
        <v>6842.5367306164044</v>
      </c>
      <c r="I90" s="557">
        <f t="shared" si="22"/>
        <v>38067.539216760371</v>
      </c>
      <c r="J90" s="557">
        <f t="shared" si="22"/>
        <v>143.84213647694267</v>
      </c>
      <c r="K90" s="557">
        <f t="shared" si="22"/>
        <v>46871.22410980775</v>
      </c>
      <c r="L90" s="674">
        <f t="shared" si="22"/>
        <v>42230.425122624416</v>
      </c>
      <c r="M90" s="556">
        <f t="shared" si="22"/>
        <v>10718.140182688408</v>
      </c>
      <c r="N90" s="1319">
        <f t="shared" si="22"/>
        <v>31512.284939936006</v>
      </c>
      <c r="O90" s="745">
        <f t="shared" si="22"/>
        <v>672629.63592404686</v>
      </c>
      <c r="P90" s="674">
        <f>SUMIF(P9:P89,"&gt;-999999")-P44</f>
        <v>280248.84358519281</v>
      </c>
      <c r="Q90" s="747">
        <f t="shared" ref="Q90:Y90" si="23">SUMIF(Q9:Q89,"&gt;-999999")-Q44</f>
        <v>37617.009072275105</v>
      </c>
      <c r="R90" s="557">
        <f t="shared" si="23"/>
        <v>2188.5531645511196</v>
      </c>
      <c r="S90" s="557">
        <f t="shared" si="23"/>
        <v>101295.26138194889</v>
      </c>
      <c r="T90" s="557">
        <f t="shared" si="23"/>
        <v>72702.47772259223</v>
      </c>
      <c r="U90" s="557">
        <f t="shared" si="23"/>
        <v>4514.2684050478274</v>
      </c>
      <c r="V90" s="1319">
        <f t="shared" si="23"/>
        <v>61931.273838777634</v>
      </c>
      <c r="W90" s="557">
        <f t="shared" si="23"/>
        <v>408050.34110182303</v>
      </c>
      <c r="X90" s="747">
        <f t="shared" si="23"/>
        <v>74880.678752291526</v>
      </c>
      <c r="Y90" s="1320">
        <f t="shared" si="23"/>
        <v>333169.36909646797</v>
      </c>
      <c r="Z90" s="431"/>
      <c r="AA90" s="552">
        <f>+SUM(AA9:AA89)</f>
        <v>0.85846452450486399</v>
      </c>
      <c r="AB90" s="552">
        <f>+SUM(AB9:AB89)</f>
        <v>0.42254817613343626</v>
      </c>
      <c r="AC90" s="552">
        <f t="shared" si="20"/>
        <v>1</v>
      </c>
      <c r="AD90" s="552">
        <f>+SUM(AD9:AD89)</f>
        <v>0.25600016813398119</v>
      </c>
      <c r="AE90" s="552">
        <f>SUM(AE9:AE89)</f>
        <v>1</v>
      </c>
      <c r="AF90" s="552"/>
      <c r="AG90" s="552">
        <f>+SUM(AG9:AG89)</f>
        <v>6.9838733719518861E-2</v>
      </c>
      <c r="AH90" s="552">
        <f>+AG90/$AB$90</f>
        <v>0.16527993176679698</v>
      </c>
      <c r="AI90" s="552">
        <f>+SUM(AI9:AI89)</f>
        <v>6.9838733719518861E-2</v>
      </c>
      <c r="AJ90" s="552">
        <f>+SUM(AJ9:AJ89)</f>
        <v>1</v>
      </c>
    </row>
    <row r="91" spans="3:36" ht="41.25" customHeight="1" thickBot="1" x14ac:dyDescent="0.4">
      <c r="C91" s="1340" t="s">
        <v>540</v>
      </c>
      <c r="D91" s="1322">
        <f>+E91+L91</f>
        <v>101353.57865552056</v>
      </c>
      <c r="E91" s="729">
        <f>+E89+E44+E8</f>
        <v>76779.604962492609</v>
      </c>
      <c r="F91" s="1323">
        <f t="shared" ref="F91:Y91" si="24">+F89+F44+F8</f>
        <v>8310.1469220911113</v>
      </c>
      <c r="G91" s="1324">
        <f t="shared" si="24"/>
        <v>258.77747195120048</v>
      </c>
      <c r="H91" s="1324">
        <f t="shared" si="24"/>
        <v>2275.2873842019462</v>
      </c>
      <c r="I91" s="1324">
        <f t="shared" si="24"/>
        <v>32091.896366895799</v>
      </c>
      <c r="J91" s="1324">
        <f t="shared" si="24"/>
        <v>95.927920016006524</v>
      </c>
      <c r="K91" s="1324">
        <f t="shared" si="24"/>
        <v>33747.568897336576</v>
      </c>
      <c r="L91" s="729">
        <f t="shared" si="24"/>
        <v>24573.973693027947</v>
      </c>
      <c r="M91" s="1323">
        <f t="shared" si="24"/>
        <v>4967.022056411779</v>
      </c>
      <c r="N91" s="1325">
        <f t="shared" si="24"/>
        <v>19606.95163661617</v>
      </c>
      <c r="O91" s="1322">
        <f>+P91+W91</f>
        <v>544908.42770965945</v>
      </c>
      <c r="P91" s="729">
        <f t="shared" si="24"/>
        <v>228382.03507140695</v>
      </c>
      <c r="Q91" s="1323">
        <f t="shared" si="24"/>
        <v>27087.6061628567</v>
      </c>
      <c r="R91" s="1324">
        <f t="shared" si="24"/>
        <v>2100.157540414436</v>
      </c>
      <c r="S91" s="1324">
        <f t="shared" si="24"/>
        <v>90845.886051695707</v>
      </c>
      <c r="T91" s="1324">
        <f t="shared" si="24"/>
        <v>59824.476046700715</v>
      </c>
      <c r="U91" s="1324">
        <f t="shared" si="24"/>
        <v>4414.8783881340205</v>
      </c>
      <c r="V91" s="1325">
        <f t="shared" si="24"/>
        <v>44109.030881605388</v>
      </c>
      <c r="W91" s="1324">
        <f t="shared" si="24"/>
        <v>316526.39263825252</v>
      </c>
      <c r="X91" s="1323">
        <f t="shared" si="24"/>
        <v>47558.006375198274</v>
      </c>
      <c r="Y91" s="1326">
        <f t="shared" si="24"/>
        <v>268968.09300999081</v>
      </c>
    </row>
    <row r="92" spans="3:36" s="2" customFormat="1" ht="16" thickTop="1" x14ac:dyDescent="0.35">
      <c r="E92" s="1"/>
      <c r="F92" s="1"/>
      <c r="G92" s="1"/>
      <c r="H92" s="1"/>
      <c r="I92" s="1"/>
      <c r="J92" s="1"/>
      <c r="K92" s="1"/>
      <c r="L92" s="1"/>
      <c r="M92" s="1"/>
      <c r="N92" s="1"/>
      <c r="O92" s="1"/>
      <c r="P92" s="1"/>
      <c r="Q92" s="1"/>
      <c r="R92" s="1"/>
      <c r="S92" s="1"/>
      <c r="T92" s="1"/>
      <c r="U92" s="1"/>
      <c r="V92" s="1"/>
      <c r="W92" s="1"/>
      <c r="X92" s="1"/>
      <c r="Y92" s="1"/>
    </row>
    <row r="93" spans="3:36" s="2" customFormat="1" x14ac:dyDescent="0.35">
      <c r="C93" s="1"/>
      <c r="D93" s="1"/>
      <c r="E93" s="1"/>
      <c r="F93" s="1"/>
      <c r="G93" s="1"/>
      <c r="H93" s="1"/>
      <c r="I93" s="1"/>
      <c r="J93" s="1"/>
      <c r="K93" s="1"/>
      <c r="L93" s="1"/>
      <c r="M93" s="1"/>
      <c r="N93" s="1"/>
      <c r="O93" s="1"/>
      <c r="P93" s="1"/>
      <c r="Q93" s="1"/>
      <c r="R93" s="1"/>
      <c r="S93" s="1"/>
      <c r="T93" s="1"/>
      <c r="U93" s="1"/>
      <c r="V93" s="1"/>
      <c r="W93" s="1"/>
      <c r="X93" s="1"/>
      <c r="Y93" s="1"/>
    </row>
    <row r="94" spans="3:36" ht="16" thickBot="1" x14ac:dyDescent="0.4"/>
    <row r="95" spans="3:36" ht="16" thickBot="1" x14ac:dyDescent="0.4">
      <c r="C95" s="1692" t="s">
        <v>829</v>
      </c>
      <c r="D95" s="1693">
        <f>D91/(D91+O91)</f>
        <v>0.15683047689213714</v>
      </c>
      <c r="E95" s="1693">
        <f>E91/(E91+P91)</f>
        <v>0.25160306830820339</v>
      </c>
      <c r="F95" s="1693">
        <f>F91/(F91+Q91)</f>
        <v>0.23476481408716404</v>
      </c>
      <c r="G95" s="1693">
        <f t="shared" ref="G95:L95" si="25">G91/(G91+R91)</f>
        <v>0.10970097548032401</v>
      </c>
      <c r="H95" s="1693">
        <f t="shared" si="25"/>
        <v>2.4433620198828342E-2</v>
      </c>
      <c r="I95" s="1693">
        <f t="shared" si="25"/>
        <v>0.3491423293174773</v>
      </c>
      <c r="J95" s="1693">
        <f t="shared" si="25"/>
        <v>2.1266246755637909E-2</v>
      </c>
      <c r="K95" s="1693">
        <f t="shared" si="25"/>
        <v>0.43345803686721435</v>
      </c>
      <c r="L95" s="1694">
        <f t="shared" si="25"/>
        <v>7.2043234539248283E-2</v>
      </c>
      <c r="M95" s="1694">
        <f t="shared" ref="M95" si="26">M91/(M91+X91)</f>
        <v>9.4564861833041455E-2</v>
      </c>
      <c r="N95" s="1694">
        <f t="shared" ref="N95" si="27">N91/(N91+Y91)</f>
        <v>6.7944030505573044E-2</v>
      </c>
    </row>
    <row r="99" spans="13:13" x14ac:dyDescent="0.35">
      <c r="M99" s="82">
        <f>+M9+M13+M22++M12+M24+M26+M27+M30+M32+M33+M41+M43+M44+M89</f>
        <v>3064.5772955762327</v>
      </c>
    </row>
    <row r="100" spans="13:13" x14ac:dyDescent="0.35">
      <c r="M100" s="1020">
        <f>+M90-M99</f>
        <v>7653.5628871121753</v>
      </c>
    </row>
  </sheetData>
  <mergeCells count="13">
    <mergeCell ref="AI8:AJ8"/>
    <mergeCell ref="AB8:AC8"/>
    <mergeCell ref="AD8:AE8"/>
    <mergeCell ref="AG8:AH8"/>
    <mergeCell ref="C3:Y3"/>
    <mergeCell ref="E6:E7"/>
    <mergeCell ref="L6:L7"/>
    <mergeCell ref="P6:P7"/>
    <mergeCell ref="W6:W7"/>
    <mergeCell ref="D6:D7"/>
    <mergeCell ref="O6:O7"/>
    <mergeCell ref="D5:N5"/>
    <mergeCell ref="O5:Y5"/>
  </mergeCells>
  <pageMargins left="0.7" right="0.7" top="0.75" bottom="0.75" header="0.3" footer="0.3"/>
  <pageSetup scale="31" orientation="landscape"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N94"/>
  <sheetViews>
    <sheetView zoomScale="85" zoomScaleNormal="85" zoomScalePageLayoutView="85" workbookViewId="0">
      <pane xSplit="2" ySplit="7" topLeftCell="C8" activePane="bottomRight" state="frozen"/>
      <selection activeCell="AR8" sqref="AR8"/>
      <selection pane="topRight" activeCell="AR8" sqref="AR8"/>
      <selection pane="bottomLeft" activeCell="AR8" sqref="AR8"/>
      <selection pane="bottomRight" activeCell="G9" sqref="G9"/>
    </sheetView>
  </sheetViews>
  <sheetFormatPr baseColWidth="10" defaultColWidth="10.81640625" defaultRowHeight="15.5" x14ac:dyDescent="0.35"/>
  <cols>
    <col min="1" max="1" width="17.453125" style="1" hidden="1" customWidth="1"/>
    <col min="2" max="2" width="19" style="1" customWidth="1"/>
    <col min="3" max="13" width="12.81640625" style="1" customWidth="1"/>
    <col min="14" max="16384" width="10.81640625" style="1"/>
  </cols>
  <sheetData>
    <row r="1" spans="2:14" ht="16" thickBot="1" x14ac:dyDescent="0.4">
      <c r="B1" s="27"/>
      <c r="C1" s="27"/>
      <c r="E1" s="27"/>
      <c r="F1" s="27"/>
      <c r="G1" s="27"/>
      <c r="H1" s="27"/>
      <c r="I1" s="27"/>
      <c r="J1" s="27"/>
      <c r="K1" s="27"/>
      <c r="L1" s="27"/>
      <c r="M1" s="92"/>
    </row>
    <row r="2" spans="2:14" ht="16" hidden="1" thickBot="1" x14ac:dyDescent="0.4">
      <c r="E2" s="1">
        <v>2</v>
      </c>
      <c r="F2" s="1">
        <v>3</v>
      </c>
      <c r="G2" s="1">
        <v>4</v>
      </c>
      <c r="H2" s="1">
        <v>5</v>
      </c>
      <c r="I2" s="1">
        <v>6</v>
      </c>
      <c r="J2" s="1">
        <v>7</v>
      </c>
      <c r="L2" s="1">
        <v>8</v>
      </c>
      <c r="M2" s="1">
        <v>9</v>
      </c>
    </row>
    <row r="3" spans="2:14" ht="32.25" customHeight="1" thickTop="1" x14ac:dyDescent="0.35">
      <c r="B3" s="2048" t="s">
        <v>780</v>
      </c>
      <c r="C3" s="2049"/>
      <c r="D3" s="2049"/>
      <c r="E3" s="2049"/>
      <c r="F3" s="2049"/>
      <c r="G3" s="2049"/>
      <c r="H3" s="2049"/>
      <c r="I3" s="2049"/>
      <c r="J3" s="2049"/>
      <c r="K3" s="2049"/>
      <c r="L3" s="2049"/>
      <c r="M3" s="2050"/>
    </row>
    <row r="4" spans="2:14" ht="32.25" customHeight="1" x14ac:dyDescent="0.35">
      <c r="B4" s="11"/>
      <c r="C4" s="409" t="s">
        <v>20</v>
      </c>
      <c r="D4" s="409" t="s">
        <v>21</v>
      </c>
      <c r="E4" s="409" t="s">
        <v>22</v>
      </c>
      <c r="F4" s="409" t="s">
        <v>23</v>
      </c>
      <c r="G4" s="409" t="s">
        <v>24</v>
      </c>
      <c r="H4" s="409" t="s">
        <v>25</v>
      </c>
      <c r="I4" s="409" t="s">
        <v>26</v>
      </c>
      <c r="J4" s="409" t="s">
        <v>33</v>
      </c>
      <c r="K4" s="409" t="s">
        <v>34</v>
      </c>
      <c r="L4" s="409" t="s">
        <v>37</v>
      </c>
      <c r="M4" s="14" t="s">
        <v>138</v>
      </c>
    </row>
    <row r="5" spans="2:14" ht="21" customHeight="1" x14ac:dyDescent="0.35">
      <c r="B5" s="13"/>
      <c r="C5" s="2418" t="s">
        <v>543</v>
      </c>
      <c r="D5" s="2419"/>
      <c r="E5" s="2419"/>
      <c r="F5" s="2419"/>
      <c r="G5" s="2419"/>
      <c r="H5" s="2419"/>
      <c r="I5" s="2419"/>
      <c r="J5" s="2419"/>
      <c r="K5" s="2419"/>
      <c r="L5" s="2419"/>
      <c r="M5" s="2420"/>
    </row>
    <row r="6" spans="2:14" ht="85" customHeight="1" x14ac:dyDescent="0.35">
      <c r="B6" s="13"/>
      <c r="C6" s="2153" t="s">
        <v>542</v>
      </c>
      <c r="D6" s="2153" t="s">
        <v>533</v>
      </c>
      <c r="E6" s="736" t="s">
        <v>2</v>
      </c>
      <c r="F6" s="736" t="s">
        <v>116</v>
      </c>
      <c r="G6" s="736" t="s">
        <v>19</v>
      </c>
      <c r="H6" s="1304" t="s">
        <v>70</v>
      </c>
      <c r="I6" s="1304" t="s">
        <v>301</v>
      </c>
      <c r="J6" s="1304" t="s">
        <v>72</v>
      </c>
      <c r="K6" s="2153" t="s">
        <v>487</v>
      </c>
      <c r="L6" s="736" t="s">
        <v>1</v>
      </c>
      <c r="M6" s="1314" t="s">
        <v>534</v>
      </c>
      <c r="N6" s="431"/>
    </row>
    <row r="7" spans="2:14" ht="18" customHeight="1" x14ac:dyDescent="0.35">
      <c r="B7" s="13"/>
      <c r="C7" s="2153"/>
      <c r="D7" s="2153"/>
      <c r="E7" s="1304"/>
      <c r="F7" s="1304"/>
      <c r="G7" s="1304"/>
      <c r="H7" s="1308"/>
      <c r="I7" s="1308"/>
      <c r="J7" s="1308"/>
      <c r="K7" s="2177"/>
      <c r="L7" s="1308"/>
      <c r="M7" s="576"/>
      <c r="N7" s="431"/>
    </row>
    <row r="8" spans="2:14" ht="40" customHeight="1" x14ac:dyDescent="0.35">
      <c r="B8" s="39" t="s">
        <v>98</v>
      </c>
      <c r="C8" s="587">
        <f>SUMIF(C9:C43,"&gt;-999999999")-(C11+C23+C29+C31)-C40</f>
        <v>1751575.2520845423</v>
      </c>
      <c r="D8" s="587">
        <f t="shared" ref="D8:M8" si="0">SUMIF(D9:D43,"&gt;-999999999")-(D11+D23+D29+D31)-D40</f>
        <v>1054622.6474443628</v>
      </c>
      <c r="E8" s="571">
        <f t="shared" si="0"/>
        <v>128961.35844677093</v>
      </c>
      <c r="F8" s="571">
        <f t="shared" si="0"/>
        <v>3661.9613645212703</v>
      </c>
      <c r="G8" s="571">
        <f t="shared" si="0"/>
        <v>259313.02145023903</v>
      </c>
      <c r="H8" s="571">
        <f t="shared" si="0"/>
        <v>150579.65275902595</v>
      </c>
      <c r="I8" s="571">
        <f t="shared" si="0"/>
        <v>323.4562426734762</v>
      </c>
      <c r="J8" s="571">
        <f t="shared" si="0"/>
        <v>511783.19718113216</v>
      </c>
      <c r="K8" s="587">
        <f t="shared" si="0"/>
        <v>696952.60464017943</v>
      </c>
      <c r="L8" s="571">
        <f t="shared" si="0"/>
        <v>430943.28515948798</v>
      </c>
      <c r="M8" s="1316">
        <f t="shared" si="0"/>
        <v>266009.3194806914</v>
      </c>
      <c r="N8" s="431"/>
    </row>
    <row r="9" spans="2:14" ht="14.25" customHeight="1" x14ac:dyDescent="0.35">
      <c r="B9" s="95" t="s">
        <v>54</v>
      </c>
      <c r="C9" s="739">
        <f t="shared" ref="C9:C43" si="1">+D9+K9</f>
        <v>5751.3045289728207</v>
      </c>
      <c r="D9" s="739">
        <f>SUM(E9:J9)</f>
        <v>-510.18355296630523</v>
      </c>
      <c r="E9" s="740">
        <v>-615.9062407435307</v>
      </c>
      <c r="F9" s="740">
        <v>1.1876887982666315</v>
      </c>
      <c r="G9" s="740">
        <v>104.53499897895882</v>
      </c>
      <c r="H9" s="740">
        <v>0</v>
      </c>
      <c r="I9" s="740">
        <v>0</v>
      </c>
      <c r="J9" s="740">
        <v>0</v>
      </c>
      <c r="K9" s="739">
        <f>+SUM(L9:M9)</f>
        <v>6261.4880819391255</v>
      </c>
      <c r="L9" s="678">
        <v>0</v>
      </c>
      <c r="M9" s="593">
        <v>6261.4880819391255</v>
      </c>
      <c r="N9" s="431"/>
    </row>
    <row r="10" spans="2:14" ht="14.25" customHeight="1" x14ac:dyDescent="0.35">
      <c r="B10" s="95" t="s">
        <v>55</v>
      </c>
      <c r="C10" s="739">
        <f t="shared" si="1"/>
        <v>7318.7924249048392</v>
      </c>
      <c r="D10" s="739">
        <f t="shared" ref="D10:D73" si="2">SUM(E10:J10)</f>
        <v>1217.7256328869876</v>
      </c>
      <c r="E10" s="740">
        <v>433.33276310420302</v>
      </c>
      <c r="F10" s="740">
        <v>0</v>
      </c>
      <c r="G10" s="740">
        <v>31.043161596114651</v>
      </c>
      <c r="H10" s="740">
        <v>0</v>
      </c>
      <c r="I10" s="740">
        <v>24.278676011084276</v>
      </c>
      <c r="J10" s="740">
        <v>729.07103217558551</v>
      </c>
      <c r="K10" s="739">
        <f t="shared" ref="K10:K73" si="3">+SUM(L10:M10)</f>
        <v>6101.0667920178512</v>
      </c>
      <c r="L10" s="678">
        <v>5916.3417119005753</v>
      </c>
      <c r="M10" s="593">
        <v>184.72508011727587</v>
      </c>
      <c r="N10" s="431"/>
    </row>
    <row r="11" spans="2:14" ht="14.25" customHeight="1" x14ac:dyDescent="0.35">
      <c r="B11" s="95" t="s">
        <v>2</v>
      </c>
      <c r="C11" s="739">
        <f t="shared" si="1"/>
        <v>77227.403659880831</v>
      </c>
      <c r="D11" s="739">
        <f t="shared" si="2"/>
        <v>70582.422042409831</v>
      </c>
      <c r="E11" s="740">
        <v>20788.002304599999</v>
      </c>
      <c r="F11" s="740">
        <v>0</v>
      </c>
      <c r="G11" s="740">
        <v>597.283169100387</v>
      </c>
      <c r="H11" s="740">
        <v>2364.4478514807347</v>
      </c>
      <c r="I11" s="740">
        <v>3.3023002324771502</v>
      </c>
      <c r="J11" s="740">
        <v>46829.386416996225</v>
      </c>
      <c r="K11" s="739">
        <f t="shared" si="3"/>
        <v>6644.981617471004</v>
      </c>
      <c r="L11" s="678">
        <v>6082.885119108968</v>
      </c>
      <c r="M11" s="593">
        <v>562.09649836203607</v>
      </c>
      <c r="N11" s="431"/>
    </row>
    <row r="12" spans="2:14" ht="14.25" customHeight="1" x14ac:dyDescent="0.35">
      <c r="B12" s="95" t="s">
        <v>56</v>
      </c>
      <c r="C12" s="739">
        <f t="shared" si="1"/>
        <v>53961.816978863833</v>
      </c>
      <c r="D12" s="739">
        <f t="shared" si="2"/>
        <v>14156.0272973137</v>
      </c>
      <c r="E12" s="740">
        <v>-745.27540271346413</v>
      </c>
      <c r="F12" s="740">
        <v>0</v>
      </c>
      <c r="G12" s="740">
        <v>512.79770691542603</v>
      </c>
      <c r="H12" s="740">
        <v>12953.845602215399</v>
      </c>
      <c r="I12" s="740">
        <v>0</v>
      </c>
      <c r="J12" s="740">
        <v>1434.6593908963389</v>
      </c>
      <c r="K12" s="739">
        <f t="shared" si="3"/>
        <v>39805.78968155013</v>
      </c>
      <c r="L12" s="678">
        <v>32630.135823720724</v>
      </c>
      <c r="M12" s="593">
        <v>7175.6538578294058</v>
      </c>
      <c r="N12" s="431"/>
    </row>
    <row r="13" spans="2:14" ht="14.25" customHeight="1" x14ac:dyDescent="0.35">
      <c r="B13" s="95" t="s">
        <v>57</v>
      </c>
      <c r="C13" s="739">
        <f t="shared" si="1"/>
        <v>-343.04542126512609</v>
      </c>
      <c r="D13" s="739">
        <f t="shared" si="2"/>
        <v>-399.87876187403094</v>
      </c>
      <c r="E13" s="740">
        <v>-395.96937972779762</v>
      </c>
      <c r="F13" s="740">
        <v>0</v>
      </c>
      <c r="G13" s="740">
        <v>-25.057090527813411</v>
      </c>
      <c r="H13" s="740">
        <v>7.1182937871358636</v>
      </c>
      <c r="I13" s="740">
        <v>0</v>
      </c>
      <c r="J13" s="740">
        <v>14.029414594444203</v>
      </c>
      <c r="K13" s="739">
        <f t="shared" si="3"/>
        <v>56.833340608904848</v>
      </c>
      <c r="L13" s="678">
        <v>0</v>
      </c>
      <c r="M13" s="593">
        <v>56.833340608904848</v>
      </c>
      <c r="N13" s="431"/>
    </row>
    <row r="14" spans="2:14" ht="14.25" customHeight="1" x14ac:dyDescent="0.35">
      <c r="B14" s="95" t="s">
        <v>58</v>
      </c>
      <c r="C14" s="739">
        <f t="shared" si="1"/>
        <v>1551.0008039169954</v>
      </c>
      <c r="D14" s="739">
        <f t="shared" si="2"/>
        <v>1550.5597432151119</v>
      </c>
      <c r="E14" s="740">
        <v>1547.5407387583773</v>
      </c>
      <c r="F14" s="740">
        <v>0</v>
      </c>
      <c r="G14" s="740">
        <v>3.0190044567345171</v>
      </c>
      <c r="H14" s="740">
        <v>0</v>
      </c>
      <c r="I14" s="740">
        <v>0</v>
      </c>
      <c r="J14" s="740">
        <v>0</v>
      </c>
      <c r="K14" s="739">
        <f t="shared" si="3"/>
        <v>0.44106070188354352</v>
      </c>
      <c r="L14" s="678">
        <v>0</v>
      </c>
      <c r="M14" s="593">
        <v>0.44106070188354352</v>
      </c>
      <c r="N14" s="431"/>
    </row>
    <row r="15" spans="2:14" ht="14.25" customHeight="1" x14ac:dyDescent="0.35">
      <c r="B15" s="95" t="s">
        <v>59</v>
      </c>
      <c r="C15" s="739">
        <f t="shared" si="1"/>
        <v>11938.815067608886</v>
      </c>
      <c r="D15" s="739">
        <f t="shared" si="2"/>
        <v>6947.7556777800946</v>
      </c>
      <c r="E15" s="740">
        <v>688.75809239170087</v>
      </c>
      <c r="F15" s="740">
        <v>0.87803495095367745</v>
      </c>
      <c r="G15" s="740">
        <v>311.37174497136255</v>
      </c>
      <c r="H15" s="740">
        <v>0</v>
      </c>
      <c r="I15" s="740">
        <v>2.6393183847410779</v>
      </c>
      <c r="J15" s="740">
        <v>5944.1084870813365</v>
      </c>
      <c r="K15" s="739">
        <f t="shared" si="3"/>
        <v>4991.0593898287916</v>
      </c>
      <c r="L15" s="678">
        <v>2885.6897561444289</v>
      </c>
      <c r="M15" s="593">
        <v>2105.3696336843623</v>
      </c>
      <c r="N15" s="431"/>
    </row>
    <row r="16" spans="2:14" ht="14.25" customHeight="1" x14ac:dyDescent="0.35">
      <c r="B16" s="455" t="s">
        <v>60</v>
      </c>
      <c r="C16" s="739">
        <f t="shared" si="1"/>
        <v>-13.320891907351287</v>
      </c>
      <c r="D16" s="739">
        <f t="shared" si="2"/>
        <v>-13.320891907351287</v>
      </c>
      <c r="E16" s="740">
        <v>-13.342167683968011</v>
      </c>
      <c r="F16" s="740">
        <v>0</v>
      </c>
      <c r="G16" s="740">
        <v>0</v>
      </c>
      <c r="H16" s="740">
        <v>0</v>
      </c>
      <c r="I16" s="740">
        <v>2.1275776616723623E-2</v>
      </c>
      <c r="J16" s="740">
        <v>0</v>
      </c>
      <c r="K16" s="739">
        <f t="shared" si="3"/>
        <v>0</v>
      </c>
      <c r="L16" s="678">
        <v>0</v>
      </c>
      <c r="M16" s="593">
        <v>0</v>
      </c>
      <c r="N16" s="431"/>
    </row>
    <row r="17" spans="1:14" ht="14.25" customHeight="1" x14ac:dyDescent="0.35">
      <c r="B17" s="95" t="s">
        <v>61</v>
      </c>
      <c r="C17" s="739">
        <f t="shared" si="1"/>
        <v>7422.1405339289504</v>
      </c>
      <c r="D17" s="739">
        <f t="shared" si="2"/>
        <v>6702.4478420130827</v>
      </c>
      <c r="E17" s="740">
        <v>2869.2161758254474</v>
      </c>
      <c r="F17" s="740">
        <v>1.2132012951053943</v>
      </c>
      <c r="G17" s="740">
        <v>-53.71461390771826</v>
      </c>
      <c r="H17" s="740">
        <v>0</v>
      </c>
      <c r="I17" s="740">
        <v>0</v>
      </c>
      <c r="J17" s="740">
        <v>3885.7330788002478</v>
      </c>
      <c r="K17" s="739">
        <f t="shared" si="3"/>
        <v>719.69269191586739</v>
      </c>
      <c r="L17" s="678">
        <v>341.72397790533307</v>
      </c>
      <c r="M17" s="593">
        <v>377.96871401053431</v>
      </c>
      <c r="N17" s="431"/>
    </row>
    <row r="18" spans="1:14" ht="14.25" customHeight="1" x14ac:dyDescent="0.35">
      <c r="B18" s="455" t="s">
        <v>48</v>
      </c>
      <c r="C18" s="739">
        <f t="shared" si="1"/>
        <v>211426.84952728514</v>
      </c>
      <c r="D18" s="739">
        <f t="shared" si="2"/>
        <v>167111.73061028757</v>
      </c>
      <c r="E18" s="740">
        <v>129603.05769863859</v>
      </c>
      <c r="F18" s="740">
        <v>25.302012443013588</v>
      </c>
      <c r="G18" s="740">
        <v>4380.8156204039342</v>
      </c>
      <c r="H18" s="740">
        <v>-1059.5520526108169</v>
      </c>
      <c r="I18" s="740">
        <v>56.370290984260471</v>
      </c>
      <c r="J18" s="740">
        <v>34105.737040428598</v>
      </c>
      <c r="K18" s="739">
        <f t="shared" si="3"/>
        <v>44315.118916997555</v>
      </c>
      <c r="L18" s="678">
        <v>37780.597323555892</v>
      </c>
      <c r="M18" s="593">
        <v>6534.5215934416628</v>
      </c>
      <c r="N18" s="431"/>
    </row>
    <row r="19" spans="1:14" ht="14.25" customHeight="1" x14ac:dyDescent="0.35">
      <c r="B19" s="95" t="s">
        <v>62</v>
      </c>
      <c r="C19" s="739">
        <f t="shared" si="1"/>
        <v>117080.72903831323</v>
      </c>
      <c r="D19" s="739">
        <f t="shared" si="2"/>
        <v>83334.884111057312</v>
      </c>
      <c r="E19" s="740">
        <v>12670.048319309652</v>
      </c>
      <c r="F19" s="740">
        <v>2248.4638879098088</v>
      </c>
      <c r="G19" s="740">
        <v>867.31616177123362</v>
      </c>
      <c r="H19" s="740">
        <v>3212.6818336911897</v>
      </c>
      <c r="I19" s="740">
        <v>0</v>
      </c>
      <c r="J19" s="740">
        <v>64336.373908375426</v>
      </c>
      <c r="K19" s="739">
        <f t="shared" si="3"/>
        <v>33745.844927255923</v>
      </c>
      <c r="L19" s="678">
        <v>28481.744770550868</v>
      </c>
      <c r="M19" s="593">
        <v>5264.1001567050553</v>
      </c>
      <c r="N19" s="431"/>
    </row>
    <row r="20" spans="1:14" ht="14.25" customHeight="1" x14ac:dyDescent="0.35">
      <c r="B20" s="95" t="s">
        <v>63</v>
      </c>
      <c r="C20" s="739">
        <f t="shared" si="1"/>
        <v>1443.8093338526871</v>
      </c>
      <c r="D20" s="739">
        <f t="shared" si="2"/>
        <v>1441.1824464352067</v>
      </c>
      <c r="E20" s="740">
        <v>1064.1392372357113</v>
      </c>
      <c r="F20" s="740">
        <v>272.8383396111642</v>
      </c>
      <c r="G20" s="740">
        <v>10.338372525366655</v>
      </c>
      <c r="H20" s="740">
        <v>0</v>
      </c>
      <c r="I20" s="740">
        <v>0</v>
      </c>
      <c r="J20" s="740">
        <v>93.866497062964427</v>
      </c>
      <c r="K20" s="739">
        <f t="shared" si="3"/>
        <v>2.6268874174804751</v>
      </c>
      <c r="L20" s="678">
        <v>0</v>
      </c>
      <c r="M20" s="593">
        <v>2.6268874174804751</v>
      </c>
      <c r="N20" s="431"/>
    </row>
    <row r="21" spans="1:14" ht="14.25" customHeight="1" x14ac:dyDescent="0.35">
      <c r="B21" s="95" t="s">
        <v>64</v>
      </c>
      <c r="C21" s="739">
        <f t="shared" si="1"/>
        <v>1642.8486517275869</v>
      </c>
      <c r="D21" s="739">
        <f t="shared" si="2"/>
        <v>1619.9802880579182</v>
      </c>
      <c r="E21" s="740">
        <v>1273.275233362968</v>
      </c>
      <c r="F21" s="740">
        <v>0</v>
      </c>
      <c r="G21" s="740">
        <v>0</v>
      </c>
      <c r="H21" s="740">
        <v>291.13022871400608</v>
      </c>
      <c r="I21" s="740">
        <v>0</v>
      </c>
      <c r="J21" s="740">
        <v>55.57482598094397</v>
      </c>
      <c r="K21" s="739">
        <f t="shared" si="3"/>
        <v>22.868363669668724</v>
      </c>
      <c r="L21" s="678">
        <v>0</v>
      </c>
      <c r="M21" s="593">
        <v>22.868363669668724</v>
      </c>
      <c r="N21" s="431"/>
    </row>
    <row r="22" spans="1:14" ht="14.25" customHeight="1" x14ac:dyDescent="0.35">
      <c r="B22" s="95" t="s">
        <v>65</v>
      </c>
      <c r="C22" s="739">
        <f t="shared" si="1"/>
        <v>45.011783060774256</v>
      </c>
      <c r="D22" s="739">
        <f t="shared" si="2"/>
        <v>42.75702931559205</v>
      </c>
      <c r="E22" s="740">
        <v>42.591284040911582</v>
      </c>
      <c r="F22" s="740">
        <v>0.16574527468047132</v>
      </c>
      <c r="G22" s="740">
        <v>0</v>
      </c>
      <c r="H22" s="740">
        <v>0</v>
      </c>
      <c r="I22" s="740">
        <v>0</v>
      </c>
      <c r="J22" s="740">
        <v>0</v>
      </c>
      <c r="K22" s="739">
        <f t="shared" si="3"/>
        <v>2.2547537451822066</v>
      </c>
      <c r="L22" s="678">
        <v>0</v>
      </c>
      <c r="M22" s="593">
        <v>2.2547537451822066</v>
      </c>
      <c r="N22" s="431"/>
    </row>
    <row r="23" spans="1:14" ht="14.25" customHeight="1" x14ac:dyDescent="0.35">
      <c r="B23" s="95" t="s">
        <v>19</v>
      </c>
      <c r="C23" s="739">
        <f t="shared" si="1"/>
        <v>49321.082766263266</v>
      </c>
      <c r="D23" s="739">
        <f t="shared" si="2"/>
        <v>49106.659561809574</v>
      </c>
      <c r="E23" s="740">
        <v>-7702.2503961466</v>
      </c>
      <c r="F23" s="740">
        <v>8.2617583142837301</v>
      </c>
      <c r="G23" s="740">
        <v>15352.363185136815</v>
      </c>
      <c r="H23" s="740">
        <v>19108.017977024119</v>
      </c>
      <c r="I23" s="740">
        <v>0</v>
      </c>
      <c r="J23" s="740">
        <v>22340.267037480953</v>
      </c>
      <c r="K23" s="739">
        <f t="shared" si="3"/>
        <v>214.42320445369114</v>
      </c>
      <c r="L23" s="678">
        <v>0</v>
      </c>
      <c r="M23" s="593">
        <v>214.42320445369114</v>
      </c>
      <c r="N23" s="431"/>
    </row>
    <row r="24" spans="1:14" ht="14.25" customHeight="1" x14ac:dyDescent="0.35">
      <c r="B24" s="95" t="s">
        <v>95</v>
      </c>
      <c r="C24" s="739">
        <f t="shared" si="1"/>
        <v>1754.4086298838288</v>
      </c>
      <c r="D24" s="739">
        <f t="shared" si="2"/>
        <v>217.17041498534263</v>
      </c>
      <c r="E24" s="740">
        <v>-127.480499936223</v>
      </c>
      <c r="F24" s="740">
        <v>110.80752105681026</v>
      </c>
      <c r="G24" s="740">
        <v>78.134790238010439</v>
      </c>
      <c r="H24" s="740">
        <v>155.70860362674495</v>
      </c>
      <c r="I24" s="740">
        <v>0</v>
      </c>
      <c r="J24" s="740">
        <v>0</v>
      </c>
      <c r="K24" s="739">
        <f t="shared" si="3"/>
        <v>1537.2382148984861</v>
      </c>
      <c r="L24" s="678">
        <v>1311.7567452905103</v>
      </c>
      <c r="M24" s="593">
        <v>225.4814696079759</v>
      </c>
      <c r="N24" s="431"/>
    </row>
    <row r="25" spans="1:14" ht="14.25" customHeight="1" x14ac:dyDescent="0.35">
      <c r="B25" s="95" t="s">
        <v>66</v>
      </c>
      <c r="C25" s="739">
        <f t="shared" si="1"/>
        <v>12295.918666332425</v>
      </c>
      <c r="D25" s="739">
        <f t="shared" si="2"/>
        <v>8279.2378085001892</v>
      </c>
      <c r="E25" s="740">
        <v>831.62656857086438</v>
      </c>
      <c r="F25" s="740">
        <v>11.048642862847675</v>
      </c>
      <c r="G25" s="740">
        <v>2124.3154442421769</v>
      </c>
      <c r="H25" s="740">
        <v>-597.17046177811812</v>
      </c>
      <c r="I25" s="740">
        <v>84.314868692089362</v>
      </c>
      <c r="J25" s="740">
        <v>5825.1027459103288</v>
      </c>
      <c r="K25" s="739">
        <f t="shared" si="3"/>
        <v>4016.6808578322361</v>
      </c>
      <c r="L25" s="678">
        <v>3552.28115846539</v>
      </c>
      <c r="M25" s="593">
        <v>464.39969936684611</v>
      </c>
      <c r="N25" s="431"/>
    </row>
    <row r="26" spans="1:14" ht="14.25" customHeight="1" x14ac:dyDescent="0.35">
      <c r="B26" s="95" t="s">
        <v>67</v>
      </c>
      <c r="C26" s="739">
        <f t="shared" si="1"/>
        <v>63379.8102207966</v>
      </c>
      <c r="D26" s="739">
        <f t="shared" si="2"/>
        <v>27882.46846265455</v>
      </c>
      <c r="E26" s="740">
        <v>13875.26778368908</v>
      </c>
      <c r="F26" s="740">
        <v>0.10243480824884013</v>
      </c>
      <c r="G26" s="740">
        <v>413.02631758289124</v>
      </c>
      <c r="H26" s="740">
        <v>0</v>
      </c>
      <c r="I26" s="740">
        <v>0</v>
      </c>
      <c r="J26" s="740">
        <v>13594.07192657433</v>
      </c>
      <c r="K26" s="739">
        <f t="shared" si="3"/>
        <v>35497.341758142051</v>
      </c>
      <c r="L26" s="678">
        <v>10267.61553167849</v>
      </c>
      <c r="M26" s="593">
        <v>25229.726226463565</v>
      </c>
      <c r="N26" s="431"/>
    </row>
    <row r="27" spans="1:14" ht="14.25" customHeight="1" x14ac:dyDescent="0.35">
      <c r="A27" s="1" t="s">
        <v>222</v>
      </c>
      <c r="B27" s="95" t="s">
        <v>68</v>
      </c>
      <c r="C27" s="739">
        <f t="shared" si="1"/>
        <v>5141.6799102938876</v>
      </c>
      <c r="D27" s="739">
        <f t="shared" si="2"/>
        <v>2561.2355055777798</v>
      </c>
      <c r="E27" s="740">
        <v>1072.8952116912624</v>
      </c>
      <c r="F27" s="740">
        <v>4.5337791897297662E-2</v>
      </c>
      <c r="G27" s="740">
        <v>0</v>
      </c>
      <c r="H27" s="740">
        <v>0</v>
      </c>
      <c r="I27" s="740">
        <v>0</v>
      </c>
      <c r="J27" s="740">
        <v>1488.2949560946199</v>
      </c>
      <c r="K27" s="739">
        <f t="shared" si="3"/>
        <v>2580.4444047161078</v>
      </c>
      <c r="L27" s="678">
        <v>0</v>
      </c>
      <c r="M27" s="593">
        <v>2580.4444047161078</v>
      </c>
      <c r="N27" s="431"/>
    </row>
    <row r="28" spans="1:14" ht="14.25" customHeight="1" x14ac:dyDescent="0.35">
      <c r="B28" s="13" t="s">
        <v>69</v>
      </c>
      <c r="C28" s="739">
        <f t="shared" si="1"/>
        <v>-4.2620184009749282</v>
      </c>
      <c r="D28" s="739">
        <f t="shared" si="2"/>
        <v>-4.5411252294764637</v>
      </c>
      <c r="E28" s="740">
        <v>-5.8779063725395622</v>
      </c>
      <c r="F28" s="740">
        <v>1.3367811430630989</v>
      </c>
      <c r="G28" s="740">
        <v>0</v>
      </c>
      <c r="H28" s="740">
        <v>0</v>
      </c>
      <c r="I28" s="740">
        <v>0</v>
      </c>
      <c r="J28" s="740">
        <v>0</v>
      </c>
      <c r="K28" s="739">
        <f t="shared" si="3"/>
        <v>0.27910682850153545</v>
      </c>
      <c r="L28" s="678">
        <v>0</v>
      </c>
      <c r="M28" s="593">
        <v>0.27910682850153545</v>
      </c>
      <c r="N28" s="431"/>
    </row>
    <row r="29" spans="1:14" ht="14.25" customHeight="1" x14ac:dyDescent="0.35">
      <c r="B29" s="13" t="s">
        <v>70</v>
      </c>
      <c r="C29" s="739">
        <f t="shared" si="1"/>
        <v>97895.943290237556</v>
      </c>
      <c r="D29" s="739">
        <f t="shared" si="2"/>
        <v>73692.697455079891</v>
      </c>
      <c r="E29" s="740">
        <v>34534.949480493509</v>
      </c>
      <c r="F29" s="740">
        <v>0</v>
      </c>
      <c r="G29" s="740">
        <v>7307.021577140571</v>
      </c>
      <c r="H29" s="740">
        <v>11353.671380697848</v>
      </c>
      <c r="I29" s="740">
        <v>0</v>
      </c>
      <c r="J29" s="740">
        <v>20497.055016747963</v>
      </c>
      <c r="K29" s="739">
        <f t="shared" si="3"/>
        <v>24203.245835157664</v>
      </c>
      <c r="L29" s="678">
        <v>22456.171759956647</v>
      </c>
      <c r="M29" s="593">
        <v>1747.074075201017</v>
      </c>
      <c r="N29" s="431"/>
    </row>
    <row r="30" spans="1:14" ht="14.25" customHeight="1" x14ac:dyDescent="0.35">
      <c r="B30" s="13" t="s">
        <v>71</v>
      </c>
      <c r="C30" s="739">
        <f t="shared" si="1"/>
        <v>11941.637583040174</v>
      </c>
      <c r="D30" s="739">
        <f t="shared" si="2"/>
        <v>9875.5786568872227</v>
      </c>
      <c r="E30" s="740">
        <v>-2420.2689672782058</v>
      </c>
      <c r="F30" s="740">
        <v>5.9972282742800352E-4</v>
      </c>
      <c r="G30" s="740">
        <v>60.949648084594592</v>
      </c>
      <c r="H30" s="740">
        <v>0</v>
      </c>
      <c r="I30" s="740">
        <v>0</v>
      </c>
      <c r="J30" s="740">
        <v>12234.897376358007</v>
      </c>
      <c r="K30" s="739">
        <f t="shared" si="3"/>
        <v>2066.0589261529512</v>
      </c>
      <c r="L30" s="678">
        <v>0</v>
      </c>
      <c r="M30" s="593">
        <v>2066.0589261529512</v>
      </c>
      <c r="N30" s="431"/>
    </row>
    <row r="31" spans="1:14" ht="14.25" customHeight="1" x14ac:dyDescent="0.35">
      <c r="B31" s="13" t="s">
        <v>72</v>
      </c>
      <c r="C31" s="739">
        <f t="shared" si="1"/>
        <v>159709.27141464892</v>
      </c>
      <c r="D31" s="739">
        <f t="shared" si="2"/>
        <v>90747.933385031094</v>
      </c>
      <c r="E31" s="740">
        <v>37015.66453731605</v>
      </c>
      <c r="F31" s="740">
        <v>977.87459018250672</v>
      </c>
      <c r="G31" s="740">
        <v>7241.864399864744</v>
      </c>
      <c r="H31" s="740">
        <v>9152.7213614192351</v>
      </c>
      <c r="I31" s="740">
        <v>40.864565927558992</v>
      </c>
      <c r="J31" s="740">
        <v>36318.943930321002</v>
      </c>
      <c r="K31" s="739">
        <f t="shared" si="3"/>
        <v>68961.338029617822</v>
      </c>
      <c r="L31" s="678">
        <v>56497.637432704418</v>
      </c>
      <c r="M31" s="593">
        <v>12463.700596913404</v>
      </c>
      <c r="N31" s="431"/>
    </row>
    <row r="32" spans="1:14" ht="14.25" customHeight="1" x14ac:dyDescent="0.35">
      <c r="B32" s="13" t="s">
        <v>73</v>
      </c>
      <c r="C32" s="739">
        <f t="shared" si="1"/>
        <v>2181.5869325030612</v>
      </c>
      <c r="D32" s="739">
        <f t="shared" si="2"/>
        <v>-356.38484814082602</v>
      </c>
      <c r="E32" s="740">
        <v>-386.08379980683003</v>
      </c>
      <c r="F32" s="740">
        <v>0.65770219700894816</v>
      </c>
      <c r="G32" s="740">
        <v>29.041249468995034</v>
      </c>
      <c r="H32" s="740">
        <v>0</v>
      </c>
      <c r="I32" s="740">
        <v>0</v>
      </c>
      <c r="J32" s="740">
        <v>0</v>
      </c>
      <c r="K32" s="739">
        <f t="shared" si="3"/>
        <v>2537.9717806438871</v>
      </c>
      <c r="L32" s="678">
        <v>0</v>
      </c>
      <c r="M32" s="593">
        <v>2537.9717806438871</v>
      </c>
      <c r="N32" s="431"/>
    </row>
    <row r="33" spans="1:14" ht="14.25" customHeight="1" x14ac:dyDescent="0.35">
      <c r="B33" s="13" t="s">
        <v>74</v>
      </c>
      <c r="C33" s="739">
        <f t="shared" si="1"/>
        <v>17841.830948986506</v>
      </c>
      <c r="D33" s="739">
        <f t="shared" si="2"/>
        <v>12610.991648048961</v>
      </c>
      <c r="E33" s="740">
        <v>12160.414384293175</v>
      </c>
      <c r="F33" s="740">
        <v>0</v>
      </c>
      <c r="G33" s="740">
        <v>115.11282002981895</v>
      </c>
      <c r="H33" s="740">
        <v>0</v>
      </c>
      <c r="I33" s="740">
        <v>0</v>
      </c>
      <c r="J33" s="740">
        <v>335.46444372596585</v>
      </c>
      <c r="K33" s="739">
        <f t="shared" si="3"/>
        <v>5230.839300937545</v>
      </c>
      <c r="L33" s="678">
        <v>0</v>
      </c>
      <c r="M33" s="593">
        <v>5230.839300937545</v>
      </c>
      <c r="N33" s="431"/>
    </row>
    <row r="34" spans="1:14" ht="14.25" customHeight="1" x14ac:dyDescent="0.35">
      <c r="B34" s="13" t="s">
        <v>75</v>
      </c>
      <c r="C34" s="739">
        <f t="shared" si="1"/>
        <v>-8300.0134877695091</v>
      </c>
      <c r="D34" s="739">
        <f t="shared" si="2"/>
        <v>-8306.0486783043289</v>
      </c>
      <c r="E34" s="740">
        <v>-9819.6407950871999</v>
      </c>
      <c r="F34" s="740">
        <v>0</v>
      </c>
      <c r="G34" s="740">
        <v>-60.156873900061136</v>
      </c>
      <c r="H34" s="740">
        <v>0</v>
      </c>
      <c r="I34" s="740">
        <v>0</v>
      </c>
      <c r="J34" s="740">
        <v>1573.7489906829326</v>
      </c>
      <c r="K34" s="739">
        <f t="shared" si="3"/>
        <v>6.0351905348197761</v>
      </c>
      <c r="L34" s="678">
        <v>0</v>
      </c>
      <c r="M34" s="593">
        <v>6.0351905348197761</v>
      </c>
      <c r="N34" s="431"/>
    </row>
    <row r="35" spans="1:14" ht="14.25" customHeight="1" x14ac:dyDescent="0.35">
      <c r="B35" s="13" t="s">
        <v>76</v>
      </c>
      <c r="C35" s="739">
        <f t="shared" si="1"/>
        <v>913.12167095701648</v>
      </c>
      <c r="D35" s="739">
        <f t="shared" si="2"/>
        <v>10.430603019293073</v>
      </c>
      <c r="E35" s="740">
        <v>-513.62600494397748</v>
      </c>
      <c r="F35" s="740">
        <v>0.49172749178789138</v>
      </c>
      <c r="G35" s="740">
        <v>167.70241013896438</v>
      </c>
      <c r="H35" s="740">
        <v>0</v>
      </c>
      <c r="I35" s="740">
        <v>0</v>
      </c>
      <c r="J35" s="740">
        <v>355.86247033251828</v>
      </c>
      <c r="K35" s="739">
        <f t="shared" si="3"/>
        <v>902.69106793772335</v>
      </c>
      <c r="L35" s="678">
        <v>0</v>
      </c>
      <c r="M35" s="593">
        <v>902.69106793772335</v>
      </c>
      <c r="N35" s="431"/>
    </row>
    <row r="36" spans="1:14" ht="14.25" customHeight="1" x14ac:dyDescent="0.35">
      <c r="A36" s="376" t="s">
        <v>77</v>
      </c>
      <c r="B36" s="13" t="s">
        <v>96</v>
      </c>
      <c r="C36" s="739">
        <f t="shared" si="1"/>
        <v>295.3660782125985</v>
      </c>
      <c r="D36" s="739">
        <f t="shared" si="2"/>
        <v>283.7216173452324</v>
      </c>
      <c r="E36" s="740">
        <v>264.54930876521507</v>
      </c>
      <c r="F36" s="740">
        <v>0</v>
      </c>
      <c r="G36" s="740">
        <v>0</v>
      </c>
      <c r="H36" s="740">
        <v>0</v>
      </c>
      <c r="I36" s="740">
        <v>0</v>
      </c>
      <c r="J36" s="740">
        <v>19.172308580017337</v>
      </c>
      <c r="K36" s="739">
        <f t="shared" si="3"/>
        <v>11.644460867366092</v>
      </c>
      <c r="L36" s="678">
        <v>0</v>
      </c>
      <c r="M36" s="593">
        <v>11.644460867366092</v>
      </c>
      <c r="N36" s="431"/>
    </row>
    <row r="37" spans="1:14" ht="14.25" customHeight="1" x14ac:dyDescent="0.35">
      <c r="B37" s="13" t="s">
        <v>78</v>
      </c>
      <c r="C37" s="739">
        <f t="shared" si="1"/>
        <v>-23.17763931395919</v>
      </c>
      <c r="D37" s="739">
        <f t="shared" si="2"/>
        <v>-24.905432023456282</v>
      </c>
      <c r="E37" s="740">
        <v>-24.860545189177721</v>
      </c>
      <c r="F37" s="740">
        <v>-4.4886834278559232E-2</v>
      </c>
      <c r="G37" s="740">
        <v>0</v>
      </c>
      <c r="H37" s="740">
        <v>0</v>
      </c>
      <c r="I37" s="740">
        <v>0</v>
      </c>
      <c r="J37" s="740">
        <v>0</v>
      </c>
      <c r="K37" s="739">
        <f t="shared" si="3"/>
        <v>1.7277927094970913</v>
      </c>
      <c r="L37" s="678">
        <v>0</v>
      </c>
      <c r="M37" s="593">
        <v>1.7277927094970913</v>
      </c>
      <c r="N37" s="431"/>
    </row>
    <row r="38" spans="1:14" ht="14.25" customHeight="1" x14ac:dyDescent="0.35">
      <c r="B38" s="13" t="s">
        <v>79</v>
      </c>
      <c r="C38" s="739">
        <f t="shared" si="1"/>
        <v>10181.739415194243</v>
      </c>
      <c r="D38" s="739">
        <f t="shared" si="2"/>
        <v>3622.4207306510007</v>
      </c>
      <c r="E38" s="740">
        <v>-3066.2105270970255</v>
      </c>
      <c r="F38" s="740">
        <v>15.84816114101875</v>
      </c>
      <c r="G38" s="740">
        <v>2307.3896754350289</v>
      </c>
      <c r="H38" s="740">
        <v>-732.27055177521595</v>
      </c>
      <c r="I38" s="740">
        <v>9.2651582362935549</v>
      </c>
      <c r="J38" s="740">
        <v>5088.3988147109012</v>
      </c>
      <c r="K38" s="739">
        <f t="shared" si="3"/>
        <v>6559.3186845432419</v>
      </c>
      <c r="L38" s="678">
        <v>5567.2824289672672</v>
      </c>
      <c r="M38" s="593">
        <v>992.03625557597479</v>
      </c>
      <c r="N38" s="431"/>
    </row>
    <row r="39" spans="1:14" s="118" customFormat="1" ht="14.25" customHeight="1" x14ac:dyDescent="0.35">
      <c r="B39" s="15" t="s">
        <v>80</v>
      </c>
      <c r="C39" s="739">
        <f t="shared" si="1"/>
        <v>31146.006388506787</v>
      </c>
      <c r="D39" s="739">
        <f t="shared" si="2"/>
        <v>22127.550497897446</v>
      </c>
      <c r="E39" s="740">
        <v>11741.65564652445</v>
      </c>
      <c r="F39" s="740">
        <v>4.6620851891726627</v>
      </c>
      <c r="G39" s="740">
        <v>537.47488592858201</v>
      </c>
      <c r="H39" s="740">
        <v>209.25389308022665</v>
      </c>
      <c r="I39" s="740">
        <v>0</v>
      </c>
      <c r="J39" s="740">
        <v>9634.5039871750123</v>
      </c>
      <c r="K39" s="739">
        <f t="shared" si="3"/>
        <v>9018.4558906093389</v>
      </c>
      <c r="L39" s="678">
        <v>8735.6687563038304</v>
      </c>
      <c r="M39" s="593">
        <v>282.78713430550852</v>
      </c>
      <c r="N39" s="598"/>
    </row>
    <row r="40" spans="1:14" ht="14.25" customHeight="1" x14ac:dyDescent="0.35">
      <c r="B40" s="13" t="s">
        <v>1</v>
      </c>
      <c r="C40" s="739">
        <f t="shared" si="1"/>
        <v>55211.576234721724</v>
      </c>
      <c r="D40" s="739">
        <f t="shared" si="2"/>
        <v>45774.956453113162</v>
      </c>
      <c r="E40" s="740">
        <v>2080.9177681414535</v>
      </c>
      <c r="F40" s="740">
        <v>8.1678915044821601</v>
      </c>
      <c r="G40" s="740">
        <v>2200.5737200124231</v>
      </c>
      <c r="H40" s="740">
        <v>3383.4501356892692</v>
      </c>
      <c r="I40" s="740">
        <v>45.027409454487682</v>
      </c>
      <c r="J40" s="740">
        <v>38056.819528311047</v>
      </c>
      <c r="K40" s="739">
        <f t="shared" si="3"/>
        <v>9436.6197816085623</v>
      </c>
      <c r="L40" s="678">
        <v>0</v>
      </c>
      <c r="M40" s="593">
        <v>9436.6197816085623</v>
      </c>
      <c r="N40" s="431"/>
    </row>
    <row r="41" spans="1:14" ht="14.25" customHeight="1" x14ac:dyDescent="0.35">
      <c r="B41" s="13" t="s">
        <v>81</v>
      </c>
      <c r="C41" s="739">
        <f t="shared" si="1"/>
        <v>1537.4335278325104</v>
      </c>
      <c r="D41" s="739">
        <f t="shared" si="2"/>
        <v>1473.2650093428642</v>
      </c>
      <c r="E41" s="740">
        <v>61.264790593573771</v>
      </c>
      <c r="F41" s="740">
        <v>-1.9907452305176425E-2</v>
      </c>
      <c r="G41" s="740">
        <v>0</v>
      </c>
      <c r="H41" s="740">
        <v>0</v>
      </c>
      <c r="I41" s="740">
        <v>11.699414270835703</v>
      </c>
      <c r="J41" s="740">
        <v>1400.3207119307599</v>
      </c>
      <c r="K41" s="739">
        <f t="shared" si="3"/>
        <v>64.168518489646203</v>
      </c>
      <c r="L41" s="678">
        <v>0</v>
      </c>
      <c r="M41" s="593">
        <v>64.168518489646203</v>
      </c>
      <c r="N41" s="431"/>
    </row>
    <row r="42" spans="1:14" ht="14.25" customHeight="1" x14ac:dyDescent="0.35">
      <c r="B42" s="13" t="s">
        <v>82</v>
      </c>
      <c r="C42" s="739">
        <f t="shared" si="1"/>
        <v>178911.81455327503</v>
      </c>
      <c r="D42" s="739">
        <f t="shared" si="2"/>
        <v>127425.76276870121</v>
      </c>
      <c r="E42" s="740">
        <v>-7215.0931222393356</v>
      </c>
      <c r="F42" s="740">
        <v>966.97625512017873</v>
      </c>
      <c r="G42" s="740">
        <v>9845.1054887291903</v>
      </c>
      <c r="H42" s="740">
        <v>29627.559175909941</v>
      </c>
      <c r="I42" s="740">
        <v>125.68868391817556</v>
      </c>
      <c r="J42" s="740">
        <v>94075.52628726307</v>
      </c>
      <c r="K42" s="739">
        <f t="shared" si="3"/>
        <v>51486.051784573821</v>
      </c>
      <c r="L42" s="678">
        <v>27117.231554607602</v>
      </c>
      <c r="M42" s="593">
        <v>24368.820229966223</v>
      </c>
      <c r="N42" s="431"/>
    </row>
    <row r="43" spans="1:14" ht="14.25" customHeight="1" x14ac:dyDescent="0.35">
      <c r="B43" s="13" t="s">
        <v>0</v>
      </c>
      <c r="C43" s="739">
        <f t="shared" si="1"/>
        <v>1003153.5983449486</v>
      </c>
      <c r="D43" s="739">
        <f t="shared" si="2"/>
        <v>563743.02633283485</v>
      </c>
      <c r="E43" s="740">
        <v>-35888.639431204974</v>
      </c>
      <c r="F43" s="740">
        <v>0</v>
      </c>
      <c r="G43" s="740">
        <v>237552.46052707723</v>
      </c>
      <c r="H43" s="740">
        <v>106511.34819416545</v>
      </c>
      <c r="I43" s="740">
        <v>9.1785563993794046</v>
      </c>
      <c r="J43" s="740">
        <v>255558.67848639775</v>
      </c>
      <c r="K43" s="739">
        <f t="shared" si="3"/>
        <v>439410.57201211381</v>
      </c>
      <c r="L43" s="678">
        <v>266355.21562039707</v>
      </c>
      <c r="M43" s="593">
        <v>173055.35639171675</v>
      </c>
      <c r="N43" s="431"/>
    </row>
    <row r="44" spans="1:14" ht="40" customHeight="1" x14ac:dyDescent="0.35">
      <c r="B44" s="38" t="s">
        <v>99</v>
      </c>
      <c r="C44" s="651">
        <f>+SUM(C45:C51)</f>
        <v>207789.78846278359</v>
      </c>
      <c r="D44" s="651">
        <f t="shared" ref="D44:M44" si="4">+SUM(D45:D51)</f>
        <v>22170.092096658031</v>
      </c>
      <c r="E44" s="557">
        <f t="shared" si="4"/>
        <v>12356.026878230501</v>
      </c>
      <c r="F44" s="557">
        <f t="shared" si="4"/>
        <v>4051.7033510616852</v>
      </c>
      <c r="G44" s="557">
        <f t="shared" si="4"/>
        <v>-221.49061857383253</v>
      </c>
      <c r="H44" s="557">
        <f t="shared" si="4"/>
        <v>-605.76330637259639</v>
      </c>
      <c r="I44" s="557">
        <f t="shared" si="4"/>
        <v>0</v>
      </c>
      <c r="J44" s="557">
        <f t="shared" si="4"/>
        <v>6589.6157923122691</v>
      </c>
      <c r="K44" s="651">
        <f t="shared" si="4"/>
        <v>185619.69636612563</v>
      </c>
      <c r="L44" s="557">
        <f t="shared" si="4"/>
        <v>0</v>
      </c>
      <c r="M44" s="1320">
        <f t="shared" si="4"/>
        <v>185619.69636612563</v>
      </c>
      <c r="N44" s="431"/>
    </row>
    <row r="45" spans="1:14" x14ac:dyDescent="0.35">
      <c r="B45" s="95" t="s">
        <v>92</v>
      </c>
      <c r="C45" s="739">
        <f t="shared" ref="C45:C51" si="5">+D45+K45</f>
        <v>22255.332501510988</v>
      </c>
      <c r="D45" s="739">
        <f t="shared" si="2"/>
        <v>21280.177618859641</v>
      </c>
      <c r="E45" s="740">
        <v>17705.220291142199</v>
      </c>
      <c r="F45" s="740">
        <v>1.9262341254779852E-2</v>
      </c>
      <c r="G45" s="740">
        <v>-166.6414552863763</v>
      </c>
      <c r="H45" s="740">
        <v>1601.6293248446195</v>
      </c>
      <c r="I45" s="740">
        <v>0</v>
      </c>
      <c r="J45" s="740">
        <v>2139.950195817943</v>
      </c>
      <c r="K45" s="739">
        <f t="shared" si="3"/>
        <v>975.15488265134627</v>
      </c>
      <c r="L45" s="678">
        <v>0</v>
      </c>
      <c r="M45" s="593">
        <v>975.15488265134627</v>
      </c>
      <c r="N45" s="431"/>
    </row>
    <row r="46" spans="1:14" x14ac:dyDescent="0.35">
      <c r="A46" s="741" t="s">
        <v>488</v>
      </c>
      <c r="B46" s="31" t="s">
        <v>101</v>
      </c>
      <c r="C46" s="739">
        <f t="shared" si="5"/>
        <v>149504.8853445545</v>
      </c>
      <c r="D46" s="739">
        <f t="shared" si="2"/>
        <v>21.119639583179378</v>
      </c>
      <c r="E46" s="740">
        <v>-3233.462590341649</v>
      </c>
      <c r="F46" s="740">
        <v>43.26140806395388</v>
      </c>
      <c r="G46" s="740">
        <v>-47.743435304795341</v>
      </c>
      <c r="H46" s="740">
        <v>310.64859227388001</v>
      </c>
      <c r="I46" s="740">
        <v>0</v>
      </c>
      <c r="J46" s="740">
        <v>2948.4156648917897</v>
      </c>
      <c r="K46" s="739">
        <f t="shared" si="3"/>
        <v>149483.76570497133</v>
      </c>
      <c r="L46" s="678">
        <v>0</v>
      </c>
      <c r="M46" s="593">
        <v>149483.76570497133</v>
      </c>
      <c r="N46" s="431"/>
    </row>
    <row r="47" spans="1:14" x14ac:dyDescent="0.35">
      <c r="B47" s="31" t="s">
        <v>93</v>
      </c>
      <c r="C47" s="739">
        <f t="shared" si="5"/>
        <v>3281.1683549992799</v>
      </c>
      <c r="D47" s="739">
        <f t="shared" si="2"/>
        <v>-9.6820721270468759</v>
      </c>
      <c r="E47" s="740">
        <v>-9.7127999951406991</v>
      </c>
      <c r="F47" s="740">
        <v>3.0727868093823073E-2</v>
      </c>
      <c r="G47" s="740">
        <v>0</v>
      </c>
      <c r="H47" s="740">
        <v>0</v>
      </c>
      <c r="I47" s="740">
        <v>0</v>
      </c>
      <c r="J47" s="740">
        <v>0</v>
      </c>
      <c r="K47" s="739">
        <f t="shared" si="3"/>
        <v>3290.8504271263268</v>
      </c>
      <c r="L47" s="678">
        <v>0</v>
      </c>
      <c r="M47" s="593">
        <v>3290.8504271263268</v>
      </c>
      <c r="N47" s="431"/>
    </row>
    <row r="48" spans="1:14" x14ac:dyDescent="0.35">
      <c r="B48" s="31" t="s">
        <v>94</v>
      </c>
      <c r="C48" s="739">
        <f t="shared" si="5"/>
        <v>391.54700629603752</v>
      </c>
      <c r="D48" s="739">
        <f t="shared" si="2"/>
        <v>-4.8489462310344802</v>
      </c>
      <c r="E48" s="678">
        <v>-4.8563999975702998</v>
      </c>
      <c r="F48" s="678">
        <v>7.4537665358196262E-3</v>
      </c>
      <c r="G48" s="678">
        <v>0</v>
      </c>
      <c r="H48" s="678">
        <v>0</v>
      </c>
      <c r="I48" s="678">
        <v>0</v>
      </c>
      <c r="J48" s="678">
        <v>0</v>
      </c>
      <c r="K48" s="739">
        <f t="shared" si="3"/>
        <v>396.39595252707198</v>
      </c>
      <c r="L48" s="678">
        <v>0</v>
      </c>
      <c r="M48" s="593">
        <v>396.39595252707198</v>
      </c>
      <c r="N48" s="431"/>
    </row>
    <row r="49" spans="1:14" ht="14.25" customHeight="1" x14ac:dyDescent="0.35">
      <c r="B49" s="31" t="s">
        <v>102</v>
      </c>
      <c r="C49" s="739">
        <f t="shared" si="5"/>
        <v>15361.297585290473</v>
      </c>
      <c r="D49" s="739">
        <f t="shared" si="2"/>
        <v>94.674979832904555</v>
      </c>
      <c r="E49" s="740">
        <v>92.109593166567365</v>
      </c>
      <c r="F49" s="740">
        <v>2.5653866663371852</v>
      </c>
      <c r="G49" s="740">
        <v>0</v>
      </c>
      <c r="H49" s="740">
        <v>0</v>
      </c>
      <c r="I49" s="740">
        <v>0</v>
      </c>
      <c r="J49" s="740">
        <v>0</v>
      </c>
      <c r="K49" s="739">
        <f t="shared" si="3"/>
        <v>15266.622605457569</v>
      </c>
      <c r="L49" s="678">
        <v>0</v>
      </c>
      <c r="M49" s="593">
        <v>15266.622605457569</v>
      </c>
      <c r="N49" s="431"/>
    </row>
    <row r="50" spans="1:14" ht="14.25" customHeight="1" x14ac:dyDescent="0.35">
      <c r="A50" s="741" t="s">
        <v>318</v>
      </c>
      <c r="B50" s="31" t="s">
        <v>103</v>
      </c>
      <c r="C50" s="739">
        <f t="shared" si="5"/>
        <v>2479.6631017541658</v>
      </c>
      <c r="D50" s="739">
        <f t="shared" si="2"/>
        <v>2357.9721290491707</v>
      </c>
      <c r="E50" s="740">
        <v>-612.51301653476582</v>
      </c>
      <c r="F50" s="740">
        <v>3992.3077904930865</v>
      </c>
      <c r="G50" s="740">
        <v>-5.0313530205898207</v>
      </c>
      <c r="H50" s="740">
        <v>-2518.0412234910959</v>
      </c>
      <c r="I50" s="740">
        <v>0</v>
      </c>
      <c r="J50" s="740">
        <v>1501.2499316025358</v>
      </c>
      <c r="K50" s="739">
        <f t="shared" si="3"/>
        <v>121.69097270499515</v>
      </c>
      <c r="L50" s="678">
        <v>0</v>
      </c>
      <c r="M50" s="593">
        <v>121.69097270499515</v>
      </c>
      <c r="N50" s="431"/>
    </row>
    <row r="51" spans="1:14" ht="14.25" customHeight="1" x14ac:dyDescent="0.35">
      <c r="B51" s="13" t="s">
        <v>97</v>
      </c>
      <c r="C51" s="739">
        <f t="shared" si="5"/>
        <v>14515.894568378182</v>
      </c>
      <c r="D51" s="739">
        <f t="shared" si="2"/>
        <v>-1569.3212523087877</v>
      </c>
      <c r="E51" s="740">
        <v>-1580.75819920914</v>
      </c>
      <c r="F51" s="740">
        <v>13.511321862423356</v>
      </c>
      <c r="G51" s="740">
        <v>-2.0743749620710741</v>
      </c>
      <c r="H51" s="740">
        <v>0</v>
      </c>
      <c r="I51" s="740">
        <v>0</v>
      </c>
      <c r="J51" s="740">
        <v>0</v>
      </c>
      <c r="K51" s="739">
        <f t="shared" si="3"/>
        <v>16085.21582068697</v>
      </c>
      <c r="L51" s="678">
        <v>0</v>
      </c>
      <c r="M51" s="593">
        <v>16085.21582068697</v>
      </c>
      <c r="N51" s="431"/>
    </row>
    <row r="52" spans="1:14" ht="40" customHeight="1" x14ac:dyDescent="0.35">
      <c r="B52" s="38" t="s">
        <v>100</v>
      </c>
      <c r="C52" s="663">
        <f t="shared" ref="C52:C88" si="6">+D52+K52</f>
        <v>386836.76953536895</v>
      </c>
      <c r="D52" s="306">
        <f>+SUM(D53:D88)</f>
        <v>93746.188854985419</v>
      </c>
      <c r="E52" s="557">
        <f t="shared" ref="E52:M52" si="7">+SUM(E53:E88)</f>
        <v>5117.7426292332102</v>
      </c>
      <c r="F52" s="557">
        <f t="shared" si="7"/>
        <v>2760.3769895008863</v>
      </c>
      <c r="G52" s="557">
        <f t="shared" si="7"/>
        <v>15204.420168688473</v>
      </c>
      <c r="H52" s="53">
        <f t="shared" si="7"/>
        <v>26842.336063761708</v>
      </c>
      <c r="I52" s="53">
        <f t="shared" si="7"/>
        <v>1156.0654949586703</v>
      </c>
      <c r="J52" s="53">
        <f t="shared" si="7"/>
        <v>42665.247508842469</v>
      </c>
      <c r="K52" s="651">
        <f t="shared" si="7"/>
        <v>293090.58068038354</v>
      </c>
      <c r="L52" s="53">
        <f t="shared" si="7"/>
        <v>0</v>
      </c>
      <c r="M52" s="54">
        <f t="shared" si="7"/>
        <v>293090.58068038354</v>
      </c>
      <c r="N52" s="431"/>
    </row>
    <row r="53" spans="1:14" ht="14.25" customHeight="1" x14ac:dyDescent="0.35">
      <c r="B53" s="264" t="s">
        <v>272</v>
      </c>
      <c r="C53" s="739">
        <f t="shared" si="6"/>
        <v>2.4230958874476558</v>
      </c>
      <c r="D53" s="306">
        <f t="shared" si="2"/>
        <v>7.2045163267565493E-2</v>
      </c>
      <c r="E53" s="8">
        <v>0</v>
      </c>
      <c r="F53" s="8">
        <v>7.2045163267565493E-2</v>
      </c>
      <c r="G53" s="8">
        <v>0</v>
      </c>
      <c r="H53" s="678">
        <v>0</v>
      </c>
      <c r="I53" s="678">
        <v>0</v>
      </c>
      <c r="J53" s="55">
        <v>0</v>
      </c>
      <c r="K53" s="664">
        <f t="shared" si="3"/>
        <v>2.3510507241800904</v>
      </c>
      <c r="L53" s="678">
        <v>0</v>
      </c>
      <c r="M53" s="593">
        <v>2.3510507241800904</v>
      </c>
      <c r="N53" s="431"/>
    </row>
    <row r="54" spans="1:14" ht="14.25" customHeight="1" x14ac:dyDescent="0.35">
      <c r="B54" s="264" t="s">
        <v>273</v>
      </c>
      <c r="C54" s="739">
        <f t="shared" si="6"/>
        <v>213.58223370985496</v>
      </c>
      <c r="D54" s="306">
        <f t="shared" si="2"/>
        <v>9.0370808639742266E-3</v>
      </c>
      <c r="E54" s="8">
        <v>0</v>
      </c>
      <c r="F54" s="8">
        <v>9.0370808639742266E-3</v>
      </c>
      <c r="G54" s="8">
        <v>0</v>
      </c>
      <c r="H54" s="678">
        <v>0</v>
      </c>
      <c r="I54" s="678">
        <v>0</v>
      </c>
      <c r="J54" s="55">
        <v>0</v>
      </c>
      <c r="K54" s="664">
        <f t="shared" si="3"/>
        <v>213.57319662899098</v>
      </c>
      <c r="L54" s="678">
        <v>0</v>
      </c>
      <c r="M54" s="593">
        <v>213.57319662899098</v>
      </c>
      <c r="N54" s="431"/>
    </row>
    <row r="55" spans="1:14" ht="14.25" customHeight="1" x14ac:dyDescent="0.35">
      <c r="B55" s="289" t="str">
        <f>+TableA1!A56</f>
        <v>Antigua and Barbuda</v>
      </c>
      <c r="C55" s="739">
        <f t="shared" si="6"/>
        <v>13.266053840261437</v>
      </c>
      <c r="D55" s="306">
        <f t="shared" si="2"/>
        <v>2.7753790269925284E-2</v>
      </c>
      <c r="E55" s="8">
        <v>0</v>
      </c>
      <c r="F55" s="8">
        <v>2.7753790269925284E-2</v>
      </c>
      <c r="G55" s="8">
        <v>0</v>
      </c>
      <c r="H55" s="678">
        <v>0</v>
      </c>
      <c r="I55" s="678">
        <v>0</v>
      </c>
      <c r="J55" s="55">
        <v>0</v>
      </c>
      <c r="K55" s="664">
        <f t="shared" si="3"/>
        <v>13.238300049991512</v>
      </c>
      <c r="L55" s="678">
        <v>0</v>
      </c>
      <c r="M55" s="593">
        <v>13.238300049991512</v>
      </c>
      <c r="N55" s="431"/>
    </row>
    <row r="56" spans="1:14" ht="14.25" customHeight="1" x14ac:dyDescent="0.35">
      <c r="B56" s="264" t="s">
        <v>274</v>
      </c>
      <c r="C56" s="739">
        <f t="shared" si="6"/>
        <v>123.33728275211953</v>
      </c>
      <c r="D56" s="306">
        <f t="shared" si="2"/>
        <v>0</v>
      </c>
      <c r="E56" s="8">
        <v>0</v>
      </c>
      <c r="F56" s="8">
        <v>0</v>
      </c>
      <c r="G56" s="8">
        <v>0</v>
      </c>
      <c r="H56" s="678">
        <v>0</v>
      </c>
      <c r="I56" s="678">
        <v>0</v>
      </c>
      <c r="J56" s="55">
        <v>0</v>
      </c>
      <c r="K56" s="664">
        <f t="shared" si="3"/>
        <v>123.33728275211953</v>
      </c>
      <c r="L56" s="678">
        <v>0</v>
      </c>
      <c r="M56" s="593">
        <v>123.33728275211953</v>
      </c>
      <c r="N56" s="431"/>
    </row>
    <row r="57" spans="1:14" ht="14.25" customHeight="1" x14ac:dyDescent="0.35">
      <c r="A57" s="741" t="s">
        <v>320</v>
      </c>
      <c r="B57" s="264" t="s">
        <v>275</v>
      </c>
      <c r="C57" s="739">
        <f t="shared" si="6"/>
        <v>1544.8356546338973</v>
      </c>
      <c r="D57" s="306">
        <f t="shared" si="2"/>
        <v>390.86531552018306</v>
      </c>
      <c r="E57" s="8">
        <v>0</v>
      </c>
      <c r="F57" s="8">
        <v>0</v>
      </c>
      <c r="G57" s="8">
        <v>0</v>
      </c>
      <c r="H57" s="678">
        <v>390.86531552018306</v>
      </c>
      <c r="I57" s="678">
        <v>0</v>
      </c>
      <c r="J57" s="55">
        <v>0</v>
      </c>
      <c r="K57" s="664">
        <f t="shared" si="3"/>
        <v>1153.9703391137143</v>
      </c>
      <c r="L57" s="678">
        <v>0</v>
      </c>
      <c r="M57" s="593">
        <v>1153.9703391137143</v>
      </c>
      <c r="N57" s="431"/>
    </row>
    <row r="58" spans="1:14" ht="14.25" customHeight="1" x14ac:dyDescent="0.35">
      <c r="A58" s="741" t="s">
        <v>486</v>
      </c>
      <c r="B58" s="264" t="s">
        <v>276</v>
      </c>
      <c r="C58" s="739">
        <f t="shared" si="6"/>
        <v>811.20778638926799</v>
      </c>
      <c r="D58" s="306">
        <f t="shared" si="2"/>
        <v>-192.90087561766276</v>
      </c>
      <c r="E58" s="8">
        <v>-199.11239990038001</v>
      </c>
      <c r="F58" s="8">
        <v>6.6724964965108207</v>
      </c>
      <c r="G58" s="8">
        <v>-0.46097221379357206</v>
      </c>
      <c r="H58" s="678">
        <v>0</v>
      </c>
      <c r="I58" s="678">
        <v>0</v>
      </c>
      <c r="J58" s="55">
        <v>0</v>
      </c>
      <c r="K58" s="664">
        <f t="shared" si="3"/>
        <v>1004.1086620069308</v>
      </c>
      <c r="L58" s="678">
        <v>0</v>
      </c>
      <c r="M58" s="593">
        <v>1004.1086620069308</v>
      </c>
      <c r="N58" s="431"/>
    </row>
    <row r="59" spans="1:14" ht="14.25" customHeight="1" x14ac:dyDescent="0.35">
      <c r="B59" s="289" t="str">
        <f>+TableA1!A60</f>
        <v>Barbados</v>
      </c>
      <c r="C59" s="739">
        <f t="shared" si="6"/>
        <v>216.25147493540092</v>
      </c>
      <c r="D59" s="306">
        <f t="shared" si="2"/>
        <v>23.79012539556178</v>
      </c>
      <c r="E59" s="8">
        <v>0</v>
      </c>
      <c r="F59" s="8">
        <v>13.372153363827056</v>
      </c>
      <c r="G59" s="8">
        <v>10.417972031734726</v>
      </c>
      <c r="H59" s="678">
        <v>0</v>
      </c>
      <c r="I59" s="678">
        <v>0</v>
      </c>
      <c r="J59" s="55">
        <v>0</v>
      </c>
      <c r="K59" s="664">
        <f t="shared" si="3"/>
        <v>192.46134953983915</v>
      </c>
      <c r="L59" s="678">
        <v>0</v>
      </c>
      <c r="M59" s="593">
        <v>192.46134953983915</v>
      </c>
      <c r="N59" s="431"/>
    </row>
    <row r="60" spans="1:14" ht="14.25" customHeight="1" x14ac:dyDescent="0.35">
      <c r="B60" s="264" t="s">
        <v>277</v>
      </c>
      <c r="C60" s="739">
        <f t="shared" si="6"/>
        <v>5.266852257878341</v>
      </c>
      <c r="D60" s="306">
        <f t="shared" si="2"/>
        <v>8.065746991227575E-2</v>
      </c>
      <c r="E60" s="8">
        <v>0</v>
      </c>
      <c r="F60" s="8">
        <v>0</v>
      </c>
      <c r="G60" s="8">
        <v>0</v>
      </c>
      <c r="H60" s="678">
        <v>0</v>
      </c>
      <c r="I60" s="678">
        <v>8.065746991227575E-2</v>
      </c>
      <c r="J60" s="55">
        <v>0</v>
      </c>
      <c r="K60" s="664">
        <f t="shared" si="3"/>
        <v>5.1861947879660653</v>
      </c>
      <c r="L60" s="678">
        <v>0</v>
      </c>
      <c r="M60" s="593">
        <v>5.1861947879660653</v>
      </c>
      <c r="N60" s="431"/>
    </row>
    <row r="61" spans="1:14" ht="14.25" customHeight="1" x14ac:dyDescent="0.35">
      <c r="B61" s="264" t="s">
        <v>213</v>
      </c>
      <c r="C61" s="739">
        <f t="shared" si="6"/>
        <v>69457.285062833456</v>
      </c>
      <c r="D61" s="306">
        <f t="shared" si="2"/>
        <v>45189.249403021218</v>
      </c>
      <c r="E61" s="8">
        <v>0</v>
      </c>
      <c r="F61" s="8">
        <v>0</v>
      </c>
      <c r="G61" s="8">
        <v>12238.812276219338</v>
      </c>
      <c r="H61" s="678">
        <v>7295.2314096845521</v>
      </c>
      <c r="I61" s="678">
        <v>0</v>
      </c>
      <c r="J61" s="55">
        <v>25655.205717117329</v>
      </c>
      <c r="K61" s="664">
        <f t="shared" si="3"/>
        <v>24268.035659812238</v>
      </c>
      <c r="L61" s="678">
        <v>0</v>
      </c>
      <c r="M61" s="593">
        <v>24268.035659812238</v>
      </c>
      <c r="N61" s="431"/>
    </row>
    <row r="62" spans="1:14" ht="14.25" customHeight="1" x14ac:dyDescent="0.35">
      <c r="A62" s="741" t="s">
        <v>539</v>
      </c>
      <c r="B62" s="264" t="s">
        <v>278</v>
      </c>
      <c r="C62" s="739">
        <f t="shared" si="6"/>
        <v>-5.3465463947633669</v>
      </c>
      <c r="D62" s="306">
        <f t="shared" si="2"/>
        <v>0</v>
      </c>
      <c r="E62" s="8">
        <v>0</v>
      </c>
      <c r="F62" s="8">
        <v>0</v>
      </c>
      <c r="G62" s="8">
        <v>0</v>
      </c>
      <c r="H62" s="678">
        <v>0</v>
      </c>
      <c r="I62" s="678">
        <v>0</v>
      </c>
      <c r="J62" s="55">
        <v>0</v>
      </c>
      <c r="K62" s="664">
        <f t="shared" si="3"/>
        <v>-5.3465463947633669</v>
      </c>
      <c r="L62" s="678">
        <v>0</v>
      </c>
      <c r="M62" s="593">
        <v>-5.3465463947633669</v>
      </c>
      <c r="N62" s="431"/>
    </row>
    <row r="63" spans="1:14" ht="14.25" customHeight="1" x14ac:dyDescent="0.35">
      <c r="A63" s="741" t="s">
        <v>504</v>
      </c>
      <c r="B63" s="264" t="s">
        <v>279</v>
      </c>
      <c r="C63" s="739">
        <f t="shared" si="6"/>
        <v>155035.98067250533</v>
      </c>
      <c r="D63" s="306">
        <f t="shared" si="2"/>
        <v>5269.6923767666385</v>
      </c>
      <c r="E63" s="8">
        <v>44.921699977526004</v>
      </c>
      <c r="F63" s="8">
        <v>947.17370135434703</v>
      </c>
      <c r="G63" s="8">
        <v>0</v>
      </c>
      <c r="H63" s="678">
        <v>4206.9428079563804</v>
      </c>
      <c r="I63" s="678">
        <v>0</v>
      </c>
      <c r="J63" s="55">
        <v>70.654167478384963</v>
      </c>
      <c r="K63" s="664">
        <f t="shared" si="3"/>
        <v>149766.28829573869</v>
      </c>
      <c r="L63" s="678">
        <v>0</v>
      </c>
      <c r="M63" s="593">
        <v>149766.28829573869</v>
      </c>
      <c r="N63" s="431"/>
    </row>
    <row r="64" spans="1:14" ht="14.25" customHeight="1" x14ac:dyDescent="0.35">
      <c r="B64" s="282" t="s">
        <v>291</v>
      </c>
      <c r="C64" s="739">
        <f t="shared" si="6"/>
        <v>56964.833106419734</v>
      </c>
      <c r="D64" s="306">
        <f t="shared" si="2"/>
        <v>13256.949435024355</v>
      </c>
      <c r="E64" s="8">
        <v>116.55359994169</v>
      </c>
      <c r="F64" s="8">
        <v>0</v>
      </c>
      <c r="G64" s="8">
        <v>1975.9573944261465</v>
      </c>
      <c r="H64" s="678">
        <v>5047.5296945826385</v>
      </c>
      <c r="I64" s="678">
        <v>0</v>
      </c>
      <c r="J64" s="55">
        <v>6116.9087460738792</v>
      </c>
      <c r="K64" s="664">
        <f t="shared" si="3"/>
        <v>43707.883671395379</v>
      </c>
      <c r="L64" s="678">
        <v>0</v>
      </c>
      <c r="M64" s="593">
        <v>43707.883671395379</v>
      </c>
      <c r="N64" s="431"/>
    </row>
    <row r="65" spans="1:14" ht="14.25" customHeight="1" x14ac:dyDescent="0.35">
      <c r="B65" s="264" t="s">
        <v>280</v>
      </c>
      <c r="C65" s="739">
        <f t="shared" si="6"/>
        <v>115.53068522180237</v>
      </c>
      <c r="D65" s="306">
        <f t="shared" si="2"/>
        <v>-15.625466992182631</v>
      </c>
      <c r="E65" s="8">
        <v>-15.625466992182631</v>
      </c>
      <c r="F65" s="8">
        <v>0</v>
      </c>
      <c r="G65" s="8">
        <v>0</v>
      </c>
      <c r="H65" s="678">
        <v>0</v>
      </c>
      <c r="I65" s="678">
        <v>0</v>
      </c>
      <c r="J65" s="55">
        <v>0</v>
      </c>
      <c r="K65" s="664">
        <f t="shared" si="3"/>
        <v>131.156152213985</v>
      </c>
      <c r="L65" s="678">
        <v>0</v>
      </c>
      <c r="M65" s="593">
        <v>131.156152213985</v>
      </c>
      <c r="N65" s="431"/>
    </row>
    <row r="66" spans="1:14" ht="14.25" customHeight="1" x14ac:dyDescent="0.35">
      <c r="B66" s="289" t="str">
        <f>+TableA1!A67</f>
        <v>Cyprus</v>
      </c>
      <c r="C66" s="739">
        <f t="shared" si="6"/>
        <v>7272.0437159187277</v>
      </c>
      <c r="D66" s="306">
        <f t="shared" si="2"/>
        <v>6685.621793657202</v>
      </c>
      <c r="E66" s="8">
        <v>511.86027526694767</v>
      </c>
      <c r="F66" s="8">
        <v>1703.0350937789067</v>
      </c>
      <c r="G66" s="8">
        <v>42.526332755038055</v>
      </c>
      <c r="H66" s="678">
        <v>413.60010672989881</v>
      </c>
      <c r="I66" s="678">
        <v>9.9983183989815156</v>
      </c>
      <c r="J66" s="55">
        <v>4004.6016667274293</v>
      </c>
      <c r="K66" s="664">
        <f t="shared" si="3"/>
        <v>586.42192226152565</v>
      </c>
      <c r="L66" s="678">
        <v>0</v>
      </c>
      <c r="M66" s="593">
        <v>586.42192226152565</v>
      </c>
      <c r="N66" s="431"/>
    </row>
    <row r="67" spans="1:14" ht="14.25" customHeight="1" x14ac:dyDescent="0.35">
      <c r="B67" s="264" t="s">
        <v>281</v>
      </c>
      <c r="C67" s="739">
        <f t="shared" si="6"/>
        <v>3383.267548608057</v>
      </c>
      <c r="D67" s="306">
        <f t="shared" si="2"/>
        <v>2893.9692759729851</v>
      </c>
      <c r="E67" s="8">
        <v>-15.518602577421515</v>
      </c>
      <c r="F67" s="8">
        <v>2.9005118065748583</v>
      </c>
      <c r="G67" s="8">
        <v>664.33854490831129</v>
      </c>
      <c r="H67" s="678">
        <v>2242.2488218355206</v>
      </c>
      <c r="I67" s="678">
        <v>0</v>
      </c>
      <c r="J67" s="55">
        <v>0</v>
      </c>
      <c r="K67" s="664">
        <f t="shared" si="3"/>
        <v>489.29827263507195</v>
      </c>
      <c r="L67" s="678">
        <v>0</v>
      </c>
      <c r="M67" s="593">
        <v>489.29827263507195</v>
      </c>
      <c r="N67" s="431"/>
    </row>
    <row r="68" spans="1:14" ht="14.25" customHeight="1" x14ac:dyDescent="0.35">
      <c r="B68" s="289" t="str">
        <f>+TableA1!A69</f>
        <v>Grenada</v>
      </c>
      <c r="C68" s="739">
        <f t="shared" si="6"/>
        <v>4.1725997786207163</v>
      </c>
      <c r="D68" s="306">
        <f t="shared" si="2"/>
        <v>0.17023905159586764</v>
      </c>
      <c r="E68" s="8">
        <v>0</v>
      </c>
      <c r="F68" s="8">
        <v>0.17023905159586764</v>
      </c>
      <c r="G68" s="8">
        <v>0</v>
      </c>
      <c r="H68" s="678">
        <v>0</v>
      </c>
      <c r="I68" s="678">
        <v>0</v>
      </c>
      <c r="J68" s="55">
        <v>0</v>
      </c>
      <c r="K68" s="664">
        <f t="shared" si="3"/>
        <v>4.0023607270248487</v>
      </c>
      <c r="L68" s="678">
        <v>0</v>
      </c>
      <c r="M68" s="593">
        <v>4.0023607270248487</v>
      </c>
      <c r="N68" s="431"/>
    </row>
    <row r="69" spans="1:14" ht="14.25" customHeight="1" x14ac:dyDescent="0.35">
      <c r="B69" s="264" t="s">
        <v>282</v>
      </c>
      <c r="C69" s="739">
        <f t="shared" si="6"/>
        <v>956.28691439342447</v>
      </c>
      <c r="D69" s="306">
        <f t="shared" si="2"/>
        <v>772.20380508388087</v>
      </c>
      <c r="E69" s="8">
        <v>-47.349899976311001</v>
      </c>
      <c r="F69" s="8">
        <v>36.061658076690634</v>
      </c>
      <c r="G69" s="8">
        <v>0</v>
      </c>
      <c r="H69" s="678">
        <v>783.49204698350127</v>
      </c>
      <c r="I69" s="678">
        <v>0</v>
      </c>
      <c r="J69" s="55">
        <v>0</v>
      </c>
      <c r="K69" s="664">
        <f t="shared" si="3"/>
        <v>184.0831093095436</v>
      </c>
      <c r="L69" s="678">
        <v>0</v>
      </c>
      <c r="M69" s="593">
        <v>184.0831093095436</v>
      </c>
      <c r="N69" s="431"/>
    </row>
    <row r="70" spans="1:14" ht="14.25" customHeight="1" x14ac:dyDescent="0.35">
      <c r="A70" s="741" t="s">
        <v>295</v>
      </c>
      <c r="B70" s="264" t="s">
        <v>283</v>
      </c>
      <c r="C70" s="739">
        <f t="shared" si="6"/>
        <v>3266.3938197704301</v>
      </c>
      <c r="D70" s="306">
        <f t="shared" si="2"/>
        <v>3039.5056282634091</v>
      </c>
      <c r="E70" s="8">
        <v>1.8990497800651365</v>
      </c>
      <c r="F70" s="8">
        <v>4.4517843408043891</v>
      </c>
      <c r="G70" s="8">
        <v>0</v>
      </c>
      <c r="H70" s="678">
        <v>2756.1113336412345</v>
      </c>
      <c r="I70" s="678">
        <v>0</v>
      </c>
      <c r="J70" s="55">
        <v>277.04346050130516</v>
      </c>
      <c r="K70" s="664">
        <f t="shared" si="3"/>
        <v>226.88819150702102</v>
      </c>
      <c r="L70" s="678">
        <v>0</v>
      </c>
      <c r="M70" s="593">
        <v>226.88819150702102</v>
      </c>
      <c r="N70" s="431"/>
    </row>
    <row r="71" spans="1:14" ht="14.25" customHeight="1" x14ac:dyDescent="0.35">
      <c r="A71" s="741" t="s">
        <v>481</v>
      </c>
      <c r="B71" s="264" t="s">
        <v>220</v>
      </c>
      <c r="C71" s="739">
        <f t="shared" si="6"/>
        <v>44685.10692140615</v>
      </c>
      <c r="D71" s="306">
        <f t="shared" si="2"/>
        <v>10281.541351931135</v>
      </c>
      <c r="E71" s="8">
        <v>4273.6319978619003</v>
      </c>
      <c r="F71" s="8">
        <v>10.313566947786425</v>
      </c>
      <c r="G71" s="8">
        <v>59.234929472474008</v>
      </c>
      <c r="H71" s="678">
        <v>1681.6892334032877</v>
      </c>
      <c r="I71" s="678">
        <v>0</v>
      </c>
      <c r="J71" s="55">
        <v>4256.6716242456878</v>
      </c>
      <c r="K71" s="664">
        <f t="shared" si="3"/>
        <v>34403.565569475017</v>
      </c>
      <c r="L71" s="678">
        <v>0</v>
      </c>
      <c r="M71" s="593">
        <v>34403.565569475017</v>
      </c>
      <c r="N71" s="431"/>
    </row>
    <row r="72" spans="1:14" ht="14.25" customHeight="1" x14ac:dyDescent="0.35">
      <c r="B72" s="264" t="s">
        <v>284</v>
      </c>
      <c r="C72" s="739">
        <f t="shared" si="6"/>
        <v>154.23105587659745</v>
      </c>
      <c r="D72" s="306">
        <f t="shared" si="2"/>
        <v>5.1282404161474346</v>
      </c>
      <c r="E72" s="8">
        <v>0</v>
      </c>
      <c r="F72" s="8">
        <v>4.7011768660379651</v>
      </c>
      <c r="G72" s="8">
        <v>0</v>
      </c>
      <c r="H72" s="678">
        <v>0</v>
      </c>
      <c r="I72" s="678">
        <v>0.42706355010946995</v>
      </c>
      <c r="J72" s="55">
        <v>0</v>
      </c>
      <c r="K72" s="664">
        <f t="shared" si="3"/>
        <v>149.10281546045002</v>
      </c>
      <c r="L72" s="678">
        <v>0</v>
      </c>
      <c r="M72" s="593">
        <v>149.10281546045002</v>
      </c>
      <c r="N72" s="431"/>
    </row>
    <row r="73" spans="1:14" ht="14.25" customHeight="1" x14ac:dyDescent="0.35">
      <c r="B73" s="264" t="s">
        <v>285</v>
      </c>
      <c r="C73" s="739">
        <f t="shared" si="6"/>
        <v>216.85439044033095</v>
      </c>
      <c r="D73" s="306">
        <f t="shared" si="2"/>
        <v>116.7561119437278</v>
      </c>
      <c r="E73" s="8">
        <v>94.699799952622001</v>
      </c>
      <c r="F73" s="8">
        <v>22.056311991105794</v>
      </c>
      <c r="G73" s="8">
        <v>0</v>
      </c>
      <c r="H73" s="678">
        <v>0</v>
      </c>
      <c r="I73" s="678">
        <v>0</v>
      </c>
      <c r="J73" s="55">
        <v>0</v>
      </c>
      <c r="K73" s="664">
        <f t="shared" si="3"/>
        <v>100.09827849660314</v>
      </c>
      <c r="L73" s="678">
        <v>0</v>
      </c>
      <c r="M73" s="593">
        <v>100.09827849660314</v>
      </c>
      <c r="N73" s="431"/>
    </row>
    <row r="74" spans="1:14" ht="14.25" customHeight="1" x14ac:dyDescent="0.35">
      <c r="B74" s="264" t="s">
        <v>286</v>
      </c>
      <c r="C74" s="739">
        <f t="shared" si="6"/>
        <v>968.79224367855647</v>
      </c>
      <c r="D74" s="306">
        <f t="shared" ref="D74:D90" si="8">SUM(E74:J74)</f>
        <v>600.95805395320735</v>
      </c>
      <c r="E74" s="8">
        <v>0</v>
      </c>
      <c r="F74" s="8">
        <v>0</v>
      </c>
      <c r="G74" s="8">
        <v>0</v>
      </c>
      <c r="H74" s="678">
        <v>600.95805395320735</v>
      </c>
      <c r="I74" s="678">
        <v>0</v>
      </c>
      <c r="J74" s="55">
        <v>0</v>
      </c>
      <c r="K74" s="664">
        <f t="shared" ref="K74:K90" si="9">+SUM(L74:M74)</f>
        <v>367.83418972534912</v>
      </c>
      <c r="L74" s="678">
        <v>0</v>
      </c>
      <c r="M74" s="593">
        <v>367.83418972534912</v>
      </c>
      <c r="N74" s="431"/>
    </row>
    <row r="75" spans="1:14" ht="14.25" customHeight="1" x14ac:dyDescent="0.35">
      <c r="A75" s="741" t="s">
        <v>480</v>
      </c>
      <c r="B75" s="264" t="s">
        <v>287</v>
      </c>
      <c r="C75" s="739">
        <f t="shared" si="6"/>
        <v>2669.583642106104</v>
      </c>
      <c r="D75" s="306">
        <f>SUM(E75:J75)</f>
        <v>0.44800131878256805</v>
      </c>
      <c r="E75" s="8">
        <v>0</v>
      </c>
      <c r="F75" s="8">
        <v>0.44800131878256805</v>
      </c>
      <c r="G75" s="8">
        <v>0</v>
      </c>
      <c r="H75" s="678">
        <v>0</v>
      </c>
      <c r="I75" s="678">
        <v>0</v>
      </c>
      <c r="J75" s="55">
        <v>0</v>
      </c>
      <c r="K75" s="664">
        <f>+SUM(L75:M75)</f>
        <v>2669.1356407873213</v>
      </c>
      <c r="L75" s="678">
        <v>0</v>
      </c>
      <c r="M75" s="593">
        <v>2669.1356407873213</v>
      </c>
      <c r="N75" s="431"/>
    </row>
    <row r="76" spans="1:14" ht="14.25" customHeight="1" x14ac:dyDescent="0.35">
      <c r="B76" s="289" t="s">
        <v>301</v>
      </c>
      <c r="C76" s="739">
        <f t="shared" si="6"/>
        <v>2106.4968673421495</v>
      </c>
      <c r="D76" s="306">
        <f t="shared" si="8"/>
        <v>2099.4714887082591</v>
      </c>
      <c r="E76" s="8">
        <v>415.5509993243021</v>
      </c>
      <c r="F76" s="8">
        <v>6.0878081894871046E-2</v>
      </c>
      <c r="G76" s="8">
        <v>213.59369108922525</v>
      </c>
      <c r="H76" s="678">
        <v>324.70646467316948</v>
      </c>
      <c r="I76" s="678">
        <v>1145.5594555396672</v>
      </c>
      <c r="J76" s="55">
        <v>0</v>
      </c>
      <c r="K76" s="664">
        <f t="shared" si="9"/>
        <v>7.025378633890341</v>
      </c>
      <c r="L76" s="678">
        <v>0</v>
      </c>
      <c r="M76" s="1341">
        <v>7.025378633890341</v>
      </c>
      <c r="N76" s="431"/>
    </row>
    <row r="77" spans="1:14" ht="14.25" customHeight="1" x14ac:dyDescent="0.35">
      <c r="A77" s="741" t="s">
        <v>478</v>
      </c>
      <c r="B77" s="289" t="s">
        <v>302</v>
      </c>
      <c r="C77" s="739">
        <f t="shared" si="6"/>
        <v>1071.704268069549</v>
      </c>
      <c r="D77" s="306">
        <f t="shared" si="8"/>
        <v>322.6688292329535</v>
      </c>
      <c r="E77" s="8">
        <v>322.95059983842998</v>
      </c>
      <c r="F77" s="8">
        <v>-0.28177060547647398</v>
      </c>
      <c r="G77" s="8">
        <v>0</v>
      </c>
      <c r="H77" s="678">
        <v>0</v>
      </c>
      <c r="I77" s="678">
        <v>0</v>
      </c>
      <c r="J77" s="55">
        <v>0</v>
      </c>
      <c r="K77" s="664">
        <f t="shared" si="9"/>
        <v>749.03543883659552</v>
      </c>
      <c r="L77" s="678">
        <v>0</v>
      </c>
      <c r="M77" s="593">
        <v>749.03543883659552</v>
      </c>
      <c r="N77" s="431"/>
    </row>
    <row r="78" spans="1:14" ht="14.25" customHeight="1" x14ac:dyDescent="0.35">
      <c r="B78" s="289" t="str">
        <f>+TableA1!A79</f>
        <v>Monaco</v>
      </c>
      <c r="C78" s="739">
        <f t="shared" si="6"/>
        <v>2.2011967451673256</v>
      </c>
      <c r="D78" s="306">
        <f t="shared" si="8"/>
        <v>0</v>
      </c>
      <c r="E78" s="8">
        <v>0</v>
      </c>
      <c r="F78" s="8">
        <v>0</v>
      </c>
      <c r="G78" s="8">
        <v>0</v>
      </c>
      <c r="H78" s="678">
        <v>0</v>
      </c>
      <c r="I78" s="678">
        <v>0</v>
      </c>
      <c r="J78" s="55">
        <v>0</v>
      </c>
      <c r="K78" s="664">
        <f t="shared" si="9"/>
        <v>2.2011967451673256</v>
      </c>
      <c r="L78" s="678">
        <v>0</v>
      </c>
      <c r="M78" s="593">
        <v>2.2011967451673256</v>
      </c>
      <c r="N78" s="431"/>
    </row>
    <row r="79" spans="1:14" ht="14.25" customHeight="1" x14ac:dyDescent="0.35">
      <c r="B79" s="264" t="s">
        <v>288</v>
      </c>
      <c r="C79" s="739">
        <f t="shared" si="6"/>
        <v>31.796067267748899</v>
      </c>
      <c r="D79" s="306">
        <f t="shared" si="8"/>
        <v>0</v>
      </c>
      <c r="E79" s="8">
        <v>0</v>
      </c>
      <c r="F79" s="8">
        <v>0</v>
      </c>
      <c r="G79" s="8">
        <v>0</v>
      </c>
      <c r="H79" s="678">
        <v>0</v>
      </c>
      <c r="I79" s="678">
        <v>0</v>
      </c>
      <c r="J79" s="55">
        <v>0</v>
      </c>
      <c r="K79" s="664">
        <f t="shared" si="9"/>
        <v>31.796067267748899</v>
      </c>
      <c r="L79" s="678">
        <v>0</v>
      </c>
      <c r="M79" s="593">
        <v>31.796067267748899</v>
      </c>
      <c r="N79" s="431"/>
    </row>
    <row r="80" spans="1:14" ht="14.25" customHeight="1" x14ac:dyDescent="0.35">
      <c r="B80" s="264" t="s">
        <v>289</v>
      </c>
      <c r="C80" s="739">
        <f t="shared" si="6"/>
        <v>3155.0149882749065</v>
      </c>
      <c r="D80" s="306">
        <f t="shared" si="8"/>
        <v>6.0673393508282949</v>
      </c>
      <c r="E80" s="8">
        <v>-0.80130599959911608</v>
      </c>
      <c r="F80" s="8">
        <v>6.8686453504274105</v>
      </c>
      <c r="G80" s="8">
        <v>0</v>
      </c>
      <c r="H80" s="678">
        <v>0</v>
      </c>
      <c r="I80" s="678">
        <v>0</v>
      </c>
      <c r="J80" s="55">
        <v>0</v>
      </c>
      <c r="K80" s="664">
        <f t="shared" si="9"/>
        <v>3148.9476489240783</v>
      </c>
      <c r="L80" s="678">
        <v>0</v>
      </c>
      <c r="M80" s="593">
        <v>3148.9476489240783</v>
      </c>
      <c r="N80" s="431"/>
    </row>
    <row r="81" spans="1:14" ht="14.25" customHeight="1" x14ac:dyDescent="0.35">
      <c r="B81" s="289" t="str">
        <f>+TableA1!A82</f>
        <v>Seychelles</v>
      </c>
      <c r="C81" s="739">
        <f t="shared" si="6"/>
        <v>149.47889266090402</v>
      </c>
      <c r="D81" s="306">
        <f t="shared" si="8"/>
        <v>0.28278646073447922</v>
      </c>
      <c r="E81" s="8">
        <v>0</v>
      </c>
      <c r="F81" s="8">
        <v>0.28278646073447922</v>
      </c>
      <c r="G81" s="8">
        <v>0</v>
      </c>
      <c r="H81" s="678">
        <v>0</v>
      </c>
      <c r="I81" s="678">
        <v>0</v>
      </c>
      <c r="J81" s="55">
        <v>0</v>
      </c>
      <c r="K81" s="664">
        <f t="shared" si="9"/>
        <v>149.19610620016954</v>
      </c>
      <c r="L81" s="678">
        <v>0</v>
      </c>
      <c r="M81" s="593">
        <v>149.19610620016954</v>
      </c>
      <c r="N81" s="431"/>
    </row>
    <row r="82" spans="1:14" x14ac:dyDescent="0.35">
      <c r="B82" s="264" t="s">
        <v>225</v>
      </c>
      <c r="C82" s="739">
        <f t="shared" si="6"/>
        <v>30328.204654972891</v>
      </c>
      <c r="D82" s="306">
        <f t="shared" si="8"/>
        <v>3019.45065550662</v>
      </c>
      <c r="E82" s="8">
        <v>-365.44409981717001</v>
      </c>
      <c r="F82" s="8">
        <v>1.7718538272047677</v>
      </c>
      <c r="G82" s="8">
        <v>0</v>
      </c>
      <c r="H82" s="678">
        <v>1098.9607747981333</v>
      </c>
      <c r="I82" s="678">
        <v>0</v>
      </c>
      <c r="J82" s="55">
        <v>2284.1621266984521</v>
      </c>
      <c r="K82" s="664">
        <f t="shared" si="9"/>
        <v>27308.753999466273</v>
      </c>
      <c r="L82" s="678">
        <v>0</v>
      </c>
      <c r="M82" s="593">
        <v>27308.753999466273</v>
      </c>
      <c r="N82" s="431"/>
    </row>
    <row r="83" spans="1:14" x14ac:dyDescent="0.35">
      <c r="B83" s="289" t="str">
        <f>+TableA1!A84</f>
        <v>St. Kitts and Nevis</v>
      </c>
      <c r="C83" s="739">
        <f t="shared" si="6"/>
        <v>-0.10058821358700398</v>
      </c>
      <c r="D83" s="306">
        <f t="shared" si="8"/>
        <v>8.0949907943786027E-3</v>
      </c>
      <c r="E83" s="8">
        <v>0</v>
      </c>
      <c r="F83" s="8">
        <v>8.0949907943786027E-3</v>
      </c>
      <c r="G83" s="8">
        <v>0</v>
      </c>
      <c r="H83" s="678">
        <v>0</v>
      </c>
      <c r="I83" s="678">
        <v>0</v>
      </c>
      <c r="J83" s="55">
        <v>0</v>
      </c>
      <c r="K83" s="664">
        <f t="shared" si="9"/>
        <v>-0.10868320438138258</v>
      </c>
      <c r="L83" s="678">
        <v>0</v>
      </c>
      <c r="M83" s="593">
        <v>-0.10868320438138258</v>
      </c>
      <c r="N83" s="431"/>
    </row>
    <row r="84" spans="1:14" x14ac:dyDescent="0.35">
      <c r="B84" s="289" t="str">
        <f>+TableA1!A85</f>
        <v>St. Lucia</v>
      </c>
      <c r="C84" s="739">
        <f t="shared" si="6"/>
        <v>-39.267764691463398</v>
      </c>
      <c r="D84" s="306">
        <f t="shared" si="8"/>
        <v>-1.1054972739637652</v>
      </c>
      <c r="E84" s="8">
        <v>-1.2140999993926</v>
      </c>
      <c r="F84" s="8">
        <v>0.10860272542883488</v>
      </c>
      <c r="G84" s="8">
        <v>0</v>
      </c>
      <c r="H84" s="678">
        <v>0</v>
      </c>
      <c r="I84" s="678">
        <v>0</v>
      </c>
      <c r="J84" s="55">
        <v>0</v>
      </c>
      <c r="K84" s="664">
        <f t="shared" si="9"/>
        <v>-38.162267417499635</v>
      </c>
      <c r="L84" s="678">
        <v>0</v>
      </c>
      <c r="M84" s="593">
        <v>-38.162267417499635</v>
      </c>
      <c r="N84" s="431"/>
    </row>
    <row r="85" spans="1:14" x14ac:dyDescent="0.35">
      <c r="B85" s="289" t="str">
        <f>+TableA1!A86</f>
        <v>St. Vincent and the Grenadines</v>
      </c>
      <c r="C85" s="739">
        <f t="shared" si="6"/>
        <v>9.3345135764596208</v>
      </c>
      <c r="D85" s="306">
        <f t="shared" si="8"/>
        <v>3.2920241160652609E-3</v>
      </c>
      <c r="E85" s="8">
        <v>0</v>
      </c>
      <c r="F85" s="8">
        <v>3.2920241160652609E-3</v>
      </c>
      <c r="G85" s="8">
        <v>0</v>
      </c>
      <c r="H85" s="678">
        <v>0</v>
      </c>
      <c r="I85" s="678">
        <v>0</v>
      </c>
      <c r="J85" s="55">
        <v>0</v>
      </c>
      <c r="K85" s="664">
        <f t="shared" si="9"/>
        <v>9.3312215523435551</v>
      </c>
      <c r="L85" s="678">
        <v>0</v>
      </c>
      <c r="M85" s="593">
        <v>9.3312215523435551</v>
      </c>
      <c r="N85" s="431"/>
    </row>
    <row r="86" spans="1:14" x14ac:dyDescent="0.35">
      <c r="A86" s="741" t="s">
        <v>505</v>
      </c>
      <c r="B86" s="289" t="str">
        <f>+TableA1!A87</f>
        <v>Turks and Caicos</v>
      </c>
      <c r="C86" s="739">
        <f t="shared" si="6"/>
        <v>1.3098229245816537</v>
      </c>
      <c r="D86" s="306">
        <f t="shared" si="8"/>
        <v>1.2875289252840306E-2</v>
      </c>
      <c r="E86" s="8">
        <v>0</v>
      </c>
      <c r="F86" s="8">
        <v>1.2875289252840306E-2</v>
      </c>
      <c r="G86" s="8">
        <v>0</v>
      </c>
      <c r="H86" s="678">
        <v>0</v>
      </c>
      <c r="I86" s="678">
        <v>0</v>
      </c>
      <c r="J86" s="55">
        <v>0</v>
      </c>
      <c r="K86" s="664">
        <f t="shared" si="9"/>
        <v>1.2969476353288134</v>
      </c>
      <c r="L86" s="678">
        <v>0</v>
      </c>
      <c r="M86" s="593">
        <v>1.2969476353288134</v>
      </c>
      <c r="N86" s="431"/>
    </row>
    <row r="87" spans="1:14" x14ac:dyDescent="0.35">
      <c r="B87" s="289" t="str">
        <f>+TableA1!A88</f>
        <v>Panama</v>
      </c>
      <c r="C87" s="739">
        <f t="shared" si="6"/>
        <v>1877.8346026243687</v>
      </c>
      <c r="D87" s="306">
        <f t="shared" si="8"/>
        <v>-19.183317518677327</v>
      </c>
      <c r="E87" s="8">
        <v>-19.259517447815881</v>
      </c>
      <c r="F87" s="8">
        <v>7.6199929138552142E-2</v>
      </c>
      <c r="G87" s="8">
        <v>0</v>
      </c>
      <c r="H87" s="678">
        <v>0</v>
      </c>
      <c r="I87" s="678">
        <v>0</v>
      </c>
      <c r="J87" s="55">
        <v>0</v>
      </c>
      <c r="K87" s="664">
        <f t="shared" si="9"/>
        <v>1897.017920143046</v>
      </c>
      <c r="L87" s="678">
        <v>0</v>
      </c>
      <c r="M87" s="593">
        <v>1897.017920143046</v>
      </c>
      <c r="N87" s="431"/>
    </row>
    <row r="88" spans="1:14" x14ac:dyDescent="0.35">
      <c r="B88" s="264" t="s">
        <v>290</v>
      </c>
      <c r="C88" s="739">
        <f t="shared" si="6"/>
        <v>67.575746846713315</v>
      </c>
      <c r="D88" s="306">
        <f t="shared" si="8"/>
        <v>0</v>
      </c>
      <c r="E88" s="8">
        <v>0</v>
      </c>
      <c r="F88" s="8">
        <v>0</v>
      </c>
      <c r="G88" s="8">
        <v>0</v>
      </c>
      <c r="H88" s="678">
        <v>0</v>
      </c>
      <c r="I88" s="678">
        <v>0</v>
      </c>
      <c r="J88" s="55">
        <v>0</v>
      </c>
      <c r="K88" s="664">
        <f t="shared" si="9"/>
        <v>67.575746846713315</v>
      </c>
      <c r="L88" s="678">
        <v>0</v>
      </c>
      <c r="M88" s="593">
        <v>67.575746846713315</v>
      </c>
      <c r="N88" s="431"/>
    </row>
    <row r="89" spans="1:14" ht="40" customHeight="1" x14ac:dyDescent="0.35">
      <c r="B89" s="585" t="s">
        <v>498</v>
      </c>
      <c r="C89" s="748">
        <f>+C90-C52-C44-SUM(C9:C43)</f>
        <v>65442.279878934845</v>
      </c>
      <c r="D89" s="906">
        <f t="shared" si="8"/>
        <v>8149.1365600186236</v>
      </c>
      <c r="E89" s="644">
        <f>+E90-SUM(E53:E88,E45:E51,E9:E43)</f>
        <v>1695.0643598457973</v>
      </c>
      <c r="F89" s="644">
        <f t="shared" ref="F89:M89" si="10">+F90-SUM(F53:F88,F45:F51,F9:F43)</f>
        <v>157.77461322254021</v>
      </c>
      <c r="G89" s="644">
        <f t="shared" si="10"/>
        <v>52.206651127664372</v>
      </c>
      <c r="H89" s="936">
        <f t="shared" si="10"/>
        <v>4894.8933912306093</v>
      </c>
      <c r="I89" s="936">
        <f t="shared" si="10"/>
        <v>50.851350316125036</v>
      </c>
      <c r="J89" s="936">
        <f t="shared" si="10"/>
        <v>1298.3461942758877</v>
      </c>
      <c r="K89" s="643">
        <f t="shared" si="10"/>
        <v>57293.143318916205</v>
      </c>
      <c r="L89" s="937">
        <f t="shared" si="10"/>
        <v>0</v>
      </c>
      <c r="M89" s="1317">
        <f t="shared" si="10"/>
        <v>57293.143318916089</v>
      </c>
      <c r="N89" s="431"/>
    </row>
    <row r="90" spans="1:14" ht="40" customHeight="1" x14ac:dyDescent="0.35">
      <c r="B90" s="1318" t="s">
        <v>499</v>
      </c>
      <c r="C90" s="745">
        <f>+D90+K90</f>
        <v>2851009.3673273819</v>
      </c>
      <c r="D90" s="674">
        <f t="shared" si="8"/>
        <v>1508592.7338534682</v>
      </c>
      <c r="E90" s="556">
        <v>234847.47600848484</v>
      </c>
      <c r="F90" s="557">
        <v>11626.120558307652</v>
      </c>
      <c r="G90" s="557">
        <v>307047.26370273624</v>
      </c>
      <c r="H90" s="557">
        <v>227073.42761395685</v>
      </c>
      <c r="I90" s="557">
        <v>1619.5673635627952</v>
      </c>
      <c r="J90" s="557">
        <v>726378.87860641989</v>
      </c>
      <c r="K90" s="674">
        <f t="shared" si="9"/>
        <v>1342416.6334739137</v>
      </c>
      <c r="L90" s="556">
        <v>515979.979471258</v>
      </c>
      <c r="M90" s="1320">
        <v>826436.65400265553</v>
      </c>
      <c r="N90" s="431"/>
    </row>
    <row r="91" spans="1:14" ht="39.75" customHeight="1" thickBot="1" x14ac:dyDescent="0.4">
      <c r="B91" s="1321" t="s">
        <v>540</v>
      </c>
      <c r="C91" s="1322">
        <f>+D91+K91</f>
        <v>2024807.3204262606</v>
      </c>
      <c r="D91" s="729">
        <f>+D89+D44+D8</f>
        <v>1084941.8761010394</v>
      </c>
      <c r="E91" s="1323">
        <f t="shared" ref="E91:M91" si="11">+E89+E44+E8</f>
        <v>143012.44968484723</v>
      </c>
      <c r="F91" s="1324">
        <f t="shared" si="11"/>
        <v>7871.4393288054962</v>
      </c>
      <c r="G91" s="1324">
        <f t="shared" si="11"/>
        <v>259143.73748279287</v>
      </c>
      <c r="H91" s="1324">
        <f t="shared" si="11"/>
        <v>154868.78284388396</v>
      </c>
      <c r="I91" s="1324">
        <f t="shared" si="11"/>
        <v>374.30759298960123</v>
      </c>
      <c r="J91" s="1324">
        <f t="shared" si="11"/>
        <v>519671.1591677203</v>
      </c>
      <c r="K91" s="729">
        <f t="shared" si="11"/>
        <v>939865.44432522124</v>
      </c>
      <c r="L91" s="1323">
        <f t="shared" si="11"/>
        <v>430943.28515948798</v>
      </c>
      <c r="M91" s="1326">
        <f t="shared" si="11"/>
        <v>508922.15916573314</v>
      </c>
    </row>
    <row r="92" spans="1:14" s="2" customFormat="1" ht="16" thickTop="1" x14ac:dyDescent="0.35">
      <c r="D92" s="1"/>
      <c r="E92" s="1"/>
      <c r="F92" s="1"/>
      <c r="G92" s="1"/>
      <c r="H92" s="1"/>
      <c r="I92" s="1"/>
      <c r="J92" s="1"/>
      <c r="K92" s="1"/>
      <c r="L92" s="1"/>
      <c r="M92" s="1"/>
    </row>
    <row r="94" spans="1:14" s="2" customFormat="1" x14ac:dyDescent="0.35">
      <c r="B94" s="1"/>
      <c r="C94" s="1"/>
      <c r="D94" s="1"/>
      <c r="E94" s="1"/>
      <c r="F94" s="1"/>
      <c r="G94" s="1"/>
      <c r="H94" s="1"/>
      <c r="I94" s="1"/>
      <c r="J94" s="1"/>
      <c r="K94" s="1"/>
      <c r="L94" s="1"/>
      <c r="M94" s="1"/>
    </row>
  </sheetData>
  <mergeCells count="5">
    <mergeCell ref="D6:D7"/>
    <mergeCell ref="K6:K7"/>
    <mergeCell ref="B3:M3"/>
    <mergeCell ref="C6:C7"/>
    <mergeCell ref="C5:M5"/>
  </mergeCells>
  <pageMargins left="0.7" right="0.7" top="0.75" bottom="0.75" header="0.3" footer="0.3"/>
  <pageSetup scale="47"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3:AC94"/>
  <sheetViews>
    <sheetView zoomScale="70" zoomScaleNormal="70" zoomScalePageLayoutView="70" workbookViewId="0">
      <pane xSplit="2" ySplit="9" topLeftCell="C10" activePane="bottomRight" state="frozen"/>
      <selection activeCell="AR8" sqref="AR8"/>
      <selection pane="topRight" activeCell="AR8" sqref="AR8"/>
      <selection pane="bottomLeft" activeCell="AR8" sqref="AR8"/>
      <selection pane="bottomRight" activeCell="C11" sqref="C11"/>
    </sheetView>
  </sheetViews>
  <sheetFormatPr baseColWidth="10" defaultColWidth="10.81640625" defaultRowHeight="15.5" x14ac:dyDescent="0.35"/>
  <cols>
    <col min="1" max="1" width="17.453125" style="1" hidden="1" customWidth="1"/>
    <col min="2" max="2" width="19" style="1" customWidth="1"/>
    <col min="3" max="24" width="11.453125" style="1" customWidth="1"/>
    <col min="25" max="26" width="10.81640625" style="1"/>
    <col min="27" max="27" width="13.6328125" style="1" customWidth="1"/>
    <col min="28" max="16384" width="10.81640625" style="1"/>
  </cols>
  <sheetData>
    <row r="3" spans="2:29" ht="16" thickBot="1" x14ac:dyDescent="0.4">
      <c r="B3" s="27"/>
      <c r="C3" s="27"/>
      <c r="E3" s="27"/>
      <c r="F3" s="27"/>
      <c r="G3" s="27"/>
      <c r="H3" s="27"/>
      <c r="I3" s="27"/>
      <c r="J3" s="27"/>
      <c r="K3" s="27"/>
      <c r="L3" s="27"/>
      <c r="M3" s="92"/>
      <c r="N3" s="27"/>
      <c r="P3" s="27"/>
      <c r="Q3" s="27"/>
      <c r="R3" s="27"/>
      <c r="S3" s="27"/>
      <c r="T3" s="27"/>
      <c r="U3" s="27"/>
      <c r="V3" s="27"/>
      <c r="W3" s="27"/>
      <c r="X3" s="92"/>
    </row>
    <row r="4" spans="2:29" hidden="1" x14ac:dyDescent="0.35">
      <c r="E4" s="1">
        <v>2</v>
      </c>
      <c r="F4" s="1">
        <v>3</v>
      </c>
      <c r="G4" s="1">
        <v>4</v>
      </c>
      <c r="H4" s="1">
        <v>5</v>
      </c>
      <c r="I4" s="1">
        <v>6</v>
      </c>
      <c r="J4" s="1">
        <v>7</v>
      </c>
      <c r="L4" s="1">
        <v>8</v>
      </c>
      <c r="M4" s="1">
        <v>9</v>
      </c>
      <c r="P4" s="1">
        <v>2</v>
      </c>
      <c r="Q4" s="1">
        <v>3</v>
      </c>
      <c r="R4" s="1">
        <v>4</v>
      </c>
      <c r="S4" s="1">
        <v>5</v>
      </c>
      <c r="T4" s="1">
        <v>6</v>
      </c>
      <c r="U4" s="1">
        <v>7</v>
      </c>
      <c r="W4" s="1">
        <v>8</v>
      </c>
      <c r="X4" s="1">
        <v>9</v>
      </c>
    </row>
    <row r="5" spans="2:29" ht="32.25" customHeight="1" thickTop="1" x14ac:dyDescent="0.35">
      <c r="B5" s="2048" t="s">
        <v>781</v>
      </c>
      <c r="C5" s="2049"/>
      <c r="D5" s="2049"/>
      <c r="E5" s="2049"/>
      <c r="F5" s="2049"/>
      <c r="G5" s="2049"/>
      <c r="H5" s="2049"/>
      <c r="I5" s="2049"/>
      <c r="J5" s="2049"/>
      <c r="K5" s="2049"/>
      <c r="L5" s="2049"/>
      <c r="M5" s="2049"/>
      <c r="N5" s="2049"/>
      <c r="O5" s="2049"/>
      <c r="P5" s="2049"/>
      <c r="Q5" s="2049"/>
      <c r="R5" s="2049"/>
      <c r="S5" s="2049"/>
      <c r="T5" s="2049"/>
      <c r="U5" s="2049"/>
      <c r="V5" s="2049"/>
      <c r="W5" s="2049"/>
      <c r="X5" s="2050"/>
    </row>
    <row r="6" spans="2:29" ht="32.25" customHeight="1" x14ac:dyDescent="0.35">
      <c r="B6" s="11"/>
      <c r="C6" s="409" t="s">
        <v>20</v>
      </c>
      <c r="D6" s="409" t="s">
        <v>21</v>
      </c>
      <c r="E6" s="409" t="s">
        <v>22</v>
      </c>
      <c r="F6" s="409" t="s">
        <v>23</v>
      </c>
      <c r="G6" s="409" t="s">
        <v>24</v>
      </c>
      <c r="H6" s="409" t="s">
        <v>25</v>
      </c>
      <c r="I6" s="409" t="s">
        <v>26</v>
      </c>
      <c r="J6" s="409" t="s">
        <v>33</v>
      </c>
      <c r="K6" s="409" t="s">
        <v>34</v>
      </c>
      <c r="L6" s="409" t="s">
        <v>37</v>
      </c>
      <c r="M6" s="409" t="s">
        <v>105</v>
      </c>
      <c r="N6" s="409" t="s">
        <v>138</v>
      </c>
      <c r="O6" s="409" t="s">
        <v>139</v>
      </c>
      <c r="P6" s="409" t="s">
        <v>140</v>
      </c>
      <c r="Q6" s="409" t="s">
        <v>141</v>
      </c>
      <c r="R6" s="409" t="s">
        <v>255</v>
      </c>
      <c r="S6" s="409" t="s">
        <v>655</v>
      </c>
      <c r="T6" s="409" t="s">
        <v>656</v>
      </c>
      <c r="U6" s="409" t="s">
        <v>657</v>
      </c>
      <c r="V6" s="409" t="s">
        <v>658</v>
      </c>
      <c r="W6" s="409" t="s">
        <v>659</v>
      </c>
      <c r="X6" s="14" t="s">
        <v>660</v>
      </c>
    </row>
    <row r="7" spans="2:29" ht="21" customHeight="1" x14ac:dyDescent="0.35">
      <c r="B7" s="13"/>
      <c r="C7" s="2230" t="s">
        <v>786</v>
      </c>
      <c r="D7" s="2231" t="s">
        <v>541</v>
      </c>
      <c r="E7" s="2231"/>
      <c r="F7" s="2231"/>
      <c r="G7" s="2231"/>
      <c r="H7" s="2231"/>
      <c r="I7" s="2231"/>
      <c r="J7" s="2231"/>
      <c r="K7" s="2231"/>
      <c r="L7" s="2231"/>
      <c r="M7" s="2232"/>
      <c r="N7" s="2231" t="s">
        <v>785</v>
      </c>
      <c r="O7" s="2231" t="s">
        <v>541</v>
      </c>
      <c r="P7" s="2231"/>
      <c r="Q7" s="2231"/>
      <c r="R7" s="2231"/>
      <c r="S7" s="2231"/>
      <c r="T7" s="2231"/>
      <c r="U7" s="2231"/>
      <c r="V7" s="2231"/>
      <c r="W7" s="2231"/>
      <c r="X7" s="2315"/>
    </row>
    <row r="8" spans="2:29" ht="85" customHeight="1" x14ac:dyDescent="0.35">
      <c r="B8" s="13"/>
      <c r="C8" s="2153" t="s">
        <v>542</v>
      </c>
      <c r="D8" s="2153" t="s">
        <v>533</v>
      </c>
      <c r="E8" s="736" t="s">
        <v>2</v>
      </c>
      <c r="F8" s="736" t="s">
        <v>116</v>
      </c>
      <c r="G8" s="736" t="s">
        <v>19</v>
      </c>
      <c r="H8" s="1305" t="s">
        <v>70</v>
      </c>
      <c r="I8" s="1304" t="s">
        <v>301</v>
      </c>
      <c r="J8" s="1305" t="s">
        <v>72</v>
      </c>
      <c r="K8" s="2153" t="s">
        <v>487</v>
      </c>
      <c r="L8" s="1305" t="s">
        <v>1</v>
      </c>
      <c r="M8" s="1313" t="s">
        <v>534</v>
      </c>
      <c r="N8" s="2153" t="s">
        <v>542</v>
      </c>
      <c r="O8" s="2153" t="s">
        <v>533</v>
      </c>
      <c r="P8" s="736" t="s">
        <v>2</v>
      </c>
      <c r="Q8" s="736" t="s">
        <v>116</v>
      </c>
      <c r="R8" s="736" t="s">
        <v>19</v>
      </c>
      <c r="S8" s="1305" t="s">
        <v>70</v>
      </c>
      <c r="T8" s="1304" t="s">
        <v>301</v>
      </c>
      <c r="U8" s="1305" t="s">
        <v>72</v>
      </c>
      <c r="V8" s="2421" t="s">
        <v>487</v>
      </c>
      <c r="W8" s="1305" t="s">
        <v>1</v>
      </c>
      <c r="X8" s="1314" t="s">
        <v>534</v>
      </c>
    </row>
    <row r="9" spans="2:29" ht="17.25" customHeight="1" x14ac:dyDescent="0.35">
      <c r="B9" s="13"/>
      <c r="C9" s="2153"/>
      <c r="D9" s="2153"/>
      <c r="E9" s="1304"/>
      <c r="F9" s="1304"/>
      <c r="G9" s="1304"/>
      <c r="H9" s="1308"/>
      <c r="I9" s="1308"/>
      <c r="J9" s="1308"/>
      <c r="K9" s="2177"/>
      <c r="L9" s="1308"/>
      <c r="M9" s="1315"/>
      <c r="N9" s="2153"/>
      <c r="O9" s="2153"/>
      <c r="P9" s="1304"/>
      <c r="Q9" s="1304"/>
      <c r="R9" s="1304"/>
      <c r="S9" s="1308"/>
      <c r="T9" s="1308"/>
      <c r="U9" s="1308"/>
      <c r="V9" s="2422"/>
      <c r="W9" s="1308"/>
      <c r="X9" s="576"/>
    </row>
    <row r="10" spans="2:29" ht="40" customHeight="1" x14ac:dyDescent="0.35">
      <c r="B10" s="39" t="s">
        <v>98</v>
      </c>
      <c r="C10" s="587">
        <f>+SUM(C11:C45)</f>
        <v>435144.24979196116</v>
      </c>
      <c r="D10" s="587">
        <f t="shared" ref="D10:X10" si="0">+SUM(D11:D45)</f>
        <v>234793.02632222945</v>
      </c>
      <c r="E10" s="571">
        <f t="shared" si="0"/>
        <v>29994.00888902284</v>
      </c>
      <c r="F10" s="571">
        <f t="shared" si="0"/>
        <v>1123.6946548864801</v>
      </c>
      <c r="G10" s="571">
        <f t="shared" si="0"/>
        <v>63083.945394416514</v>
      </c>
      <c r="H10" s="571">
        <f t="shared" si="0"/>
        <v>77984.996457696223</v>
      </c>
      <c r="I10" s="571">
        <f t="shared" si="0"/>
        <v>1070.9409788799055</v>
      </c>
      <c r="J10" s="571">
        <f t="shared" si="0"/>
        <v>61535.439947327446</v>
      </c>
      <c r="K10" s="587">
        <f t="shared" si="0"/>
        <v>200351.22346973181</v>
      </c>
      <c r="L10" s="571">
        <f t="shared" si="0"/>
        <v>39838.908998594576</v>
      </c>
      <c r="M10" s="572">
        <f t="shared" si="0"/>
        <v>160512.3144711373</v>
      </c>
      <c r="N10" s="587">
        <f t="shared" si="0"/>
        <v>533274.90660975617</v>
      </c>
      <c r="O10" s="587">
        <f t="shared" si="0"/>
        <v>321084.57410271821</v>
      </c>
      <c r="P10" s="571">
        <f t="shared" si="0"/>
        <v>39262.86141581642</v>
      </c>
      <c r="Q10" s="571">
        <f t="shared" si="0"/>
        <v>1114.9004887740675</v>
      </c>
      <c r="R10" s="571">
        <f t="shared" si="0"/>
        <v>78949.00726189035</v>
      </c>
      <c r="S10" s="571">
        <f t="shared" si="0"/>
        <v>45844.647648928578</v>
      </c>
      <c r="T10" s="571">
        <f t="shared" si="0"/>
        <v>98.477697374840005</v>
      </c>
      <c r="U10" s="571">
        <f t="shared" si="0"/>
        <v>155814.67958993395</v>
      </c>
      <c r="V10" s="587">
        <f t="shared" si="0"/>
        <v>212190.33250703808</v>
      </c>
      <c r="W10" s="571">
        <f t="shared" si="0"/>
        <v>131202.60740954758</v>
      </c>
      <c r="X10" s="1316">
        <f t="shared" si="0"/>
        <v>80987.725097490504</v>
      </c>
    </row>
    <row r="11" spans="2:29" ht="14.25" customHeight="1" x14ac:dyDescent="0.35">
      <c r="B11" s="95" t="s">
        <v>54</v>
      </c>
      <c r="C11" s="739">
        <f>1000*TableA7!$P$91*(TableC2!D9+TableC2!O9)/(TableC2!$D$91+TableC2!$O$91)</f>
        <v>12959.094629306808</v>
      </c>
      <c r="D11" s="739">
        <f>1000*TableA7!$P$91*(TableC2!E9+TableC2!P9)/(TableC2!$D$91+TableC2!$O$91)</f>
        <v>4114.8978838800631</v>
      </c>
      <c r="E11" s="740">
        <f>1000*TableA7!$P$91*(TableC2!F9+TableC2!Q9)/(TableC2!$D$91+TableC2!$O$91)</f>
        <v>261.22630325692518</v>
      </c>
      <c r="F11" s="740">
        <f>1000*TableA7!$P$91*(TableC2!G9+TableC2!R9)/(TableC2!$D$91+TableC2!$O$91)</f>
        <v>1.6855537143936803</v>
      </c>
      <c r="G11" s="740">
        <f>1000*TableA7!$P$91*(TableC2!H9+TableC2!S9)/(TableC2!$D$91+TableC2!$O$91)</f>
        <v>1860.1357561312632</v>
      </c>
      <c r="H11" s="740">
        <f>1000*TableA7!$P$91*(TableC2!I9+TableC2!T9)/(TableC2!$D$91+TableC2!$O$91)</f>
        <v>640.56120056375551</v>
      </c>
      <c r="I11" s="740">
        <f>1000*TableA7!$P$91*(TableC2!J9+TableC2!U9)/(TableC2!$D$91+TableC2!$O$91)</f>
        <v>10.627770509239408</v>
      </c>
      <c r="J11" s="740">
        <f>1000*TableA7!$P$91*(TableC2!K9+TableC2!V9)/(TableC2!$D$91+TableC2!$O$91)</f>
        <v>1340.6612997044863</v>
      </c>
      <c r="K11" s="739">
        <f>1000*TableA7!$P$91*(TableC2!L9+TableC2!W9)/(TableC2!$D$91+TableC2!$O$91)</f>
        <v>8844.1967454267451</v>
      </c>
      <c r="L11" s="678">
        <f>1000*TableA7!$P$91*(TableC2!M9+TableC2!X9)/(TableC2!$D$91+TableC2!$O$91)</f>
        <v>726.10444662540408</v>
      </c>
      <c r="M11" s="1328">
        <f>1000*TableA7!$P$91*(TableC2!N9+TableC2!Y9)/(TableC2!$D$91+TableC2!$O$91)</f>
        <v>8118.0922988013408</v>
      </c>
      <c r="N11" s="739">
        <f>1000*TableA7!$P$91*TableC3!C9/TableC3!$C$91</f>
        <v>1751.0103445011537</v>
      </c>
      <c r="O11" s="739">
        <f>1000*TableA7!$P$91*TableC3!D9/TableC3!$C$91</f>
        <v>-155.32766076601789</v>
      </c>
      <c r="P11" s="740">
        <f>1000*TableA7!$P$91*TableC3!E9/TableC3!$C$91</f>
        <v>-187.51540513146017</v>
      </c>
      <c r="Q11" s="740">
        <f>1000*TableA7!$P$91*TableC3!F9/TableC3!$C$91</f>
        <v>0.36159715788592417</v>
      </c>
      <c r="R11" s="740">
        <f>1000*TableA7!$P$91*TableC3!G9/TableC3!$C$91</f>
        <v>31.826147207556335</v>
      </c>
      <c r="S11" s="740">
        <f>1000*TableA7!$P$91*TableC3!H9/TableC3!$C$91</f>
        <v>0</v>
      </c>
      <c r="T11" s="740">
        <f>1000*TableA7!$P$91*TableC3!I9/TableC3!$C$91</f>
        <v>0</v>
      </c>
      <c r="U11" s="740">
        <f>1000*TableA7!$P$91*TableC3!J9/TableC3!$C$91</f>
        <v>0</v>
      </c>
      <c r="V11" s="739">
        <f>1000*TableA7!$P$91*TableC3!K9/TableC3!$C$91</f>
        <v>1906.3380052671716</v>
      </c>
      <c r="W11" s="678">
        <f>1000*TableA7!$P$91*TableC3!L9/TableC3!$C$91</f>
        <v>0</v>
      </c>
      <c r="X11" s="593">
        <f>1000*TableA7!$P$91*TableC3!M9/TableC3!$C$91</f>
        <v>1906.3380052671716</v>
      </c>
    </row>
    <row r="12" spans="2:29" ht="14.25" customHeight="1" x14ac:dyDescent="0.35">
      <c r="B12" s="1962" t="s">
        <v>55</v>
      </c>
      <c r="C12" s="739">
        <f>1000*TableA7!$P$91*(TableC2!D10+TableC2!O10)/(TableC2!$D$91+TableC2!$O$91)</f>
        <v>3589.4388002507044</v>
      </c>
      <c r="D12" s="739">
        <f>1000*TableA7!$P$91*(TableC2!E10+TableC2!P10)/(TableC2!$D$91+TableC2!$O$91)</f>
        <v>2075.6313277908025</v>
      </c>
      <c r="E12" s="740">
        <f>1000*TableA7!$P$91*(TableC2!F10+TableC2!Q10)/(TableC2!$D$91+TableC2!$O$91)</f>
        <v>320.22850996040779</v>
      </c>
      <c r="F12" s="740">
        <f>1000*TableA7!$P$91*(TableC2!G10+TableC2!R10)/(TableC2!$D$91+TableC2!$O$91)</f>
        <v>7.6734541214757375</v>
      </c>
      <c r="G12" s="740">
        <f>1000*TableA7!$P$91*(TableC2!H10+TableC2!S10)/(TableC2!$D$91+TableC2!$O$91)</f>
        <v>751.32605153964062</v>
      </c>
      <c r="H12" s="740">
        <f>1000*TableA7!$P$91*(TableC2!I10+TableC2!T10)/(TableC2!$D$91+TableC2!$O$91)</f>
        <v>629.46314143690859</v>
      </c>
      <c r="I12" s="740">
        <f>1000*TableA7!$P$91*(TableC2!J10+TableC2!U10)/(TableC2!$D$91+TableC2!$O$91)</f>
        <v>35.723356797109524</v>
      </c>
      <c r="J12" s="740">
        <f>1000*TableA7!$P$91*(TableC2!K10+TableC2!V10)/(TableC2!$D$91+TableC2!$O$91)</f>
        <v>331.21681393526001</v>
      </c>
      <c r="K12" s="739">
        <f>1000*TableA7!$P$91*(TableC2!L10+TableC2!W10)/(TableC2!$D$91+TableC2!$O$91)</f>
        <v>1513.8074724599021</v>
      </c>
      <c r="L12" s="678">
        <f>1000*TableA7!$P$91*(TableC2!M10+TableC2!X10)/(TableC2!$D$91+TableC2!$O$91)</f>
        <v>1176.0162222051465</v>
      </c>
      <c r="M12" s="1328">
        <f>1000*TableA7!$P$91*(TableC2!N10+TableC2!Y10)/(TableC2!$D$91+TableC2!$O$91)</f>
        <v>337.79125025475571</v>
      </c>
      <c r="N12" s="739">
        <f>1000*TableA7!$P$91*TableC3!C10/TableC3!$C$91</f>
        <v>2228.2390335456394</v>
      </c>
      <c r="O12" s="739">
        <f>1000*TableA7!$P$91*TableC3!D10/TableC3!$C$91</f>
        <v>370.74200630620197</v>
      </c>
      <c r="P12" s="740">
        <f>1000*TableA7!$P$91*TableC3!E10/TableC3!$C$91</f>
        <v>131.93009463928408</v>
      </c>
      <c r="Q12" s="740">
        <f>1000*TableA7!$P$91*TableC3!F10/TableC3!$C$91</f>
        <v>0</v>
      </c>
      <c r="R12" s="740">
        <f>1000*TableA7!$P$91*TableC3!G10/TableC3!$C$91</f>
        <v>9.4512291614865696</v>
      </c>
      <c r="S12" s="740">
        <f>1000*TableA7!$P$91*TableC3!H10/TableC3!$C$91</f>
        <v>0</v>
      </c>
      <c r="T12" s="740">
        <f>1000*TableA7!$P$91*TableC3!I10/TableC3!$C$91</f>
        <v>7.3917513204249037</v>
      </c>
      <c r="U12" s="740">
        <f>1000*TableA7!$P$91*TableC3!J10/TableC3!$C$91</f>
        <v>221.9689311850064</v>
      </c>
      <c r="V12" s="739">
        <f>1000*TableA7!$P$91*TableC3!K10/TableC3!$C$91</f>
        <v>1857.4970272394371</v>
      </c>
      <c r="W12" s="678">
        <f>1000*TableA7!$P$91*TableC3!L10/TableC3!$C$91</f>
        <v>1801.2566517655405</v>
      </c>
      <c r="X12" s="593">
        <f>1000*TableA7!$P$91*TableC3!M10/TableC3!$C$91</f>
        <v>56.240375473896769</v>
      </c>
      <c r="AA12" s="376" t="s">
        <v>577</v>
      </c>
      <c r="AB12" s="376" t="s">
        <v>578</v>
      </c>
    </row>
    <row r="13" spans="2:29" ht="14.25" customHeight="1" x14ac:dyDescent="0.35">
      <c r="B13" s="1962" t="s">
        <v>2</v>
      </c>
      <c r="C13" s="739"/>
      <c r="D13" s="739"/>
      <c r="E13" s="740"/>
      <c r="F13" s="740"/>
      <c r="G13" s="740"/>
      <c r="H13" s="740"/>
      <c r="I13" s="740"/>
      <c r="J13" s="740"/>
      <c r="K13" s="739"/>
      <c r="L13" s="678"/>
      <c r="M13" s="1328"/>
      <c r="N13" s="739"/>
      <c r="O13" s="739"/>
      <c r="P13" s="740"/>
      <c r="Q13" s="740"/>
      <c r="R13" s="740"/>
      <c r="S13" s="740"/>
      <c r="T13" s="740"/>
      <c r="U13" s="740"/>
      <c r="V13" s="739"/>
      <c r="W13" s="678"/>
      <c r="X13" s="593"/>
      <c r="Z13" s="376" t="s">
        <v>576</v>
      </c>
      <c r="AA13" s="7">
        <f>+C12+C16+C17+C18+C19+C20+C21+C22+C23+C27+C37+C36+C38+C39+C40+C41+C44</f>
        <v>216002.97279864468</v>
      </c>
      <c r="AB13" s="872">
        <f>+TableA2!F10+TableA2!F11+TableA2!F16+TableA2!F17+TableA2!F18+TableA2!F19+TableA2!F20+TableA2!F21+TableA2!F22+TableA2!F26+TableA2!F29+TableA2!F35+TableA2!F36+TableA2!F37+TableA2!F38+TableA2!F39+TableA2!F40+TableA2!F43+TableA2!F15</f>
        <v>2118.1107471611385</v>
      </c>
      <c r="AC13" s="870">
        <f>+AA13/(AB13*1000)</f>
        <v>0.10197907408200878</v>
      </c>
    </row>
    <row r="14" spans="2:29" ht="14.25" customHeight="1" x14ac:dyDescent="0.35">
      <c r="B14" s="95" t="s">
        <v>56</v>
      </c>
      <c r="C14" s="739">
        <f>1000*TableA7!$P$91*(TableC2!D12+TableC2!O12)/(TableC2!$D$91+TableC2!$O$91)</f>
        <v>18916.079243072261</v>
      </c>
      <c r="D14" s="739">
        <f>1000*TableA7!$P$91*(TableC2!E12+TableC2!P12)/(TableC2!$D$91+TableC2!$O$91)</f>
        <v>3337.0993099470156</v>
      </c>
      <c r="E14" s="740">
        <f>1000*TableA7!$P$91*(TableC2!F12+TableC2!Q12)/(TableC2!$D$91+TableC2!$O$91)</f>
        <v>252.25359267293629</v>
      </c>
      <c r="F14" s="740">
        <f>1000*TableA7!$P$91*(TableC2!G12+TableC2!R12)/(TableC2!$D$91+TableC2!$O$91)</f>
        <v>1.6855537143936803</v>
      </c>
      <c r="G14" s="740">
        <f>1000*TableA7!$P$91*(TableC2!H12+TableC2!S12)/(TableC2!$D$91+TableC2!$O$91)</f>
        <v>612.04224147815762</v>
      </c>
      <c r="H14" s="740">
        <f>1000*TableA7!$P$91*(TableC2!I12+TableC2!T12)/(TableC2!$D$91+TableC2!$O$91)</f>
        <v>1092.5125068656464</v>
      </c>
      <c r="I14" s="740">
        <f>1000*TableA7!$P$91*(TableC2!J12+TableC2!U12)/(TableC2!$D$91+TableC2!$O$91)</f>
        <v>12.243633495189517</v>
      </c>
      <c r="J14" s="740">
        <f>1000*TableA7!$P$91*(TableC2!K12+TableC2!V12)/(TableC2!$D$91+TableC2!$O$91)</f>
        <v>1366.3617817206923</v>
      </c>
      <c r="K14" s="739">
        <f>1000*TableA7!$P$91*(TableC2!L12+TableC2!W12)/(TableC2!$D$91+TableC2!$O$91)</f>
        <v>15578.979933125243</v>
      </c>
      <c r="L14" s="678">
        <f>1000*TableA7!$P$91*(TableC2!M12+TableC2!X12)/(TableC2!$D$91+TableC2!$O$91)</f>
        <v>1279.0270195175719</v>
      </c>
      <c r="M14" s="1328">
        <f>1000*TableA7!$P$91*(TableC2!N12+TableC2!Y12)/(TableC2!$D$91+TableC2!$O$91)</f>
        <v>14299.952913607669</v>
      </c>
      <c r="N14" s="739">
        <f>1000*TableA7!$P$91*TableC3!C12/TableC3!$C$91</f>
        <v>16428.916128867204</v>
      </c>
      <c r="O14" s="739">
        <f>1000*TableA7!$P$91*TableC3!D12/TableC3!$C$91</f>
        <v>4309.8657199889221</v>
      </c>
      <c r="P14" s="740">
        <f>1000*TableA7!$P$91*TableC3!E12/TableC3!$C$91</f>
        <v>-226.90242415082275</v>
      </c>
      <c r="Q14" s="740">
        <f>1000*TableA7!$P$91*TableC3!F12/TableC3!$C$91</f>
        <v>0</v>
      </c>
      <c r="R14" s="740">
        <f>1000*TableA7!$P$91*TableC3!G12/TableC3!$C$91</f>
        <v>156.12355160851632</v>
      </c>
      <c r="S14" s="740">
        <f>1000*TableA7!$P$91*TableC3!H12/TableC3!$C$91</f>
        <v>3943.8561349490888</v>
      </c>
      <c r="T14" s="740">
        <f>1000*TableA7!$P$91*TableC3!I12/TableC3!$C$91</f>
        <v>0</v>
      </c>
      <c r="U14" s="740">
        <f>1000*TableA7!$P$91*TableC3!J12/TableC3!$C$91</f>
        <v>436.78845758213981</v>
      </c>
      <c r="V14" s="739">
        <f>1000*TableA7!$P$91*TableC3!K12/TableC3!$C$91</f>
        <v>12119.050408878278</v>
      </c>
      <c r="W14" s="678">
        <f>1000*TableA7!$P$91*TableC3!L12/TableC3!$C$91</f>
        <v>9934.3905512193523</v>
      </c>
      <c r="X14" s="593">
        <f>1000*TableA7!$P$91*TableC3!M12/TableC3!$C$91</f>
        <v>2184.6598576589258</v>
      </c>
      <c r="Z14" s="376" t="s">
        <v>575</v>
      </c>
      <c r="AA14" s="871">
        <f>C45</f>
        <v>142565.30860350179</v>
      </c>
      <c r="AB14" s="872">
        <f>+TableA2!F44</f>
        <v>1889.3969000000002</v>
      </c>
      <c r="AC14" s="870">
        <f>+AA14/(AB14*1000)</f>
        <v>7.5455458090093075E-2</v>
      </c>
    </row>
    <row r="15" spans="2:29" ht="14.25" customHeight="1" x14ac:dyDescent="0.35">
      <c r="B15" s="95" t="s">
        <v>57</v>
      </c>
      <c r="C15" s="739">
        <f>1000*TableA7!$P$91*(TableC2!D13+TableC2!O13)/(TableC2!$D$91+TableC2!$O$91)</f>
        <v>5181.914374561401</v>
      </c>
      <c r="D15" s="739">
        <f>1000*TableA7!$P$91*(TableC2!E13+TableC2!P13)/(TableC2!$D$91+TableC2!$O$91)</f>
        <v>1008.1594951876596</v>
      </c>
      <c r="E15" s="740">
        <f>1000*TableA7!$P$91*(TableC2!F13+TableC2!Q13)/(TableC2!$D$91+TableC2!$O$91)</f>
        <v>42.807209501378431</v>
      </c>
      <c r="F15" s="740">
        <f>1000*TableA7!$P$91*(TableC2!G13+TableC2!R13)/(TableC2!$D$91+TableC2!$O$91)</f>
        <v>0</v>
      </c>
      <c r="G15" s="740">
        <f>1000*TableA7!$P$91*(TableC2!H13+TableC2!S13)/(TableC2!$D$91+TableC2!$O$91)</f>
        <v>248.53186177206933</v>
      </c>
      <c r="H15" s="740">
        <f>1000*TableA7!$P$91*(TableC2!I13+TableC2!T13)/(TableC2!$D$91+TableC2!$O$91)</f>
        <v>266.78374649642797</v>
      </c>
      <c r="I15" s="740">
        <f>1000*TableA7!$P$91*(TableC2!J13+TableC2!U13)/(TableC2!$D$91+TableC2!$O$91)</f>
        <v>36.746311614367301</v>
      </c>
      <c r="J15" s="740">
        <f>1000*TableA7!$P$91*(TableC2!K13+TableC2!V13)/(TableC2!$D$91+TableC2!$O$91)</f>
        <v>413.29036580341619</v>
      </c>
      <c r="K15" s="739">
        <f>1000*TableA7!$P$91*(TableC2!L13+TableC2!W13)/(TableC2!$D$91+TableC2!$O$91)</f>
        <v>4173.7548793737406</v>
      </c>
      <c r="L15" s="678">
        <f>1000*TableA7!$P$91*(TableC2!M13+TableC2!X13)/(TableC2!$D$91+TableC2!$O$91)</f>
        <v>342.6633378101676</v>
      </c>
      <c r="M15" s="1328">
        <f>1000*TableA7!$P$91*(TableC2!N13+TableC2!Y13)/(TableC2!$D$91+TableC2!$O$91)</f>
        <v>3831.0915415635718</v>
      </c>
      <c r="N15" s="739">
        <f>1000*TableA7!$P$91*TableC3!C13/TableC3!$C$91</f>
        <v>-104.44171026643102</v>
      </c>
      <c r="O15" s="739">
        <f>1000*TableA7!$P$91*TableC3!D13/TableC3!$C$91</f>
        <v>-121.74487458635676</v>
      </c>
      <c r="P15" s="740">
        <f>1000*TableA7!$P$91*TableC3!E13/TableC3!$C$91</f>
        <v>-120.55464573581018</v>
      </c>
      <c r="Q15" s="740">
        <f>1000*TableA7!$P$91*TableC3!F13/TableC3!$C$91</f>
        <v>0</v>
      </c>
      <c r="R15" s="740">
        <f>1000*TableA7!$P$91*TableC3!G13/TableC3!$C$91</f>
        <v>-7.6287430958101679</v>
      </c>
      <c r="S15" s="740">
        <f>1000*TableA7!$P$91*TableC3!H13/TableC3!$C$91</f>
        <v>2.1671963280127837</v>
      </c>
      <c r="T15" s="740">
        <f>1000*TableA7!$P$91*TableC3!I13/TableC3!$C$91</f>
        <v>0</v>
      </c>
      <c r="U15" s="740">
        <f>1000*TableA7!$P$91*TableC3!J13/TableC3!$C$91</f>
        <v>4.271317917250796</v>
      </c>
      <c r="V15" s="739">
        <f>1000*TableA7!$P$91*TableC3!K13/TableC3!$C$91</f>
        <v>17.303164319925749</v>
      </c>
      <c r="W15" s="678">
        <f>1000*TableA7!$P$91*TableC3!L13/TableC3!$C$91</f>
        <v>0</v>
      </c>
      <c r="X15" s="593">
        <f>1000*TableA7!$P$91*TableC3!M13/TableC3!$C$91</f>
        <v>17.303164319925749</v>
      </c>
    </row>
    <row r="16" spans="2:29" ht="14.25" customHeight="1" x14ac:dyDescent="0.35">
      <c r="B16" s="1962" t="s">
        <v>58</v>
      </c>
      <c r="C16" s="739">
        <f>1000*TableA7!$P$91*(TableC2!D14+TableC2!O14)/(TableC2!$D$91+TableC2!$O$91)</f>
        <v>1760.6284926203614</v>
      </c>
      <c r="D16" s="739">
        <f>1000*TableA7!$P$91*(TableC2!E14+TableC2!P14)/(TableC2!$D$91+TableC2!$O$91)</f>
        <v>1409.2647465167709</v>
      </c>
      <c r="E16" s="740">
        <f>1000*TableA7!$P$91*(TableC2!F14+TableC2!Q14)/(TableC2!$D$91+TableC2!$O$91)</f>
        <v>273.86191821811997</v>
      </c>
      <c r="F16" s="740">
        <f>1000*TableA7!$P$91*(TableC2!G14+TableC2!R14)/(TableC2!$D$91+TableC2!$O$91)</f>
        <v>15.443454198904847</v>
      </c>
      <c r="G16" s="740">
        <f>1000*TableA7!$P$91*(TableC2!H14+TableC2!S14)/(TableC2!$D$91+TableC2!$O$91)</f>
        <v>265.74286886933061</v>
      </c>
      <c r="H16" s="740">
        <f>1000*TableA7!$P$91*(TableC2!I14+TableC2!T14)/(TableC2!$D$91+TableC2!$O$91)</f>
        <v>348.44919289219524</v>
      </c>
      <c r="I16" s="740">
        <f>1000*TableA7!$P$91*(TableC2!J14+TableC2!U14)/(TableC2!$D$91+TableC2!$O$91)</f>
        <v>5.1563606065816732</v>
      </c>
      <c r="J16" s="740">
        <f>1000*TableA7!$P$91*(TableC2!K14+TableC2!V14)/(TableC2!$D$91+TableC2!$O$91)</f>
        <v>500.61095173163824</v>
      </c>
      <c r="K16" s="739">
        <f>1000*TableA7!$P$91*(TableC2!L14+TableC2!W14)/(TableC2!$D$91+TableC2!$O$91)</f>
        <v>351.36374610359064</v>
      </c>
      <c r="L16" s="678">
        <f>1000*TableA7!$P$91*(TableC2!M14+TableC2!X14)/(TableC2!$D$91+TableC2!$O$91)</f>
        <v>316.81274305999432</v>
      </c>
      <c r="M16" s="1328">
        <f>1000*TableA7!$P$91*(TableC2!N14+TableC2!Y14)/(TableC2!$D$91+TableC2!$O$91)</f>
        <v>34.551003043596332</v>
      </c>
      <c r="N16" s="739">
        <f>1000*TableA7!$P$91*TableC3!C14/TableC3!$C$91</f>
        <v>472.20912026254814</v>
      </c>
      <c r="O16" s="739">
        <f>1000*TableA7!$P$91*TableC3!D14/TableC3!$C$91</f>
        <v>472.0748373624408</v>
      </c>
      <c r="P16" s="740">
        <f>1000*TableA7!$P$91*TableC3!E14/TableC3!$C$91</f>
        <v>471.15568797516579</v>
      </c>
      <c r="Q16" s="740">
        <f>1000*TableA7!$P$91*TableC3!F14/TableC3!$C$91</f>
        <v>0</v>
      </c>
      <c r="R16" s="740">
        <f>1000*TableA7!$P$91*TableC3!G14/TableC3!$C$91</f>
        <v>0.91914938727498685</v>
      </c>
      <c r="S16" s="740">
        <f>1000*TableA7!$P$91*TableC3!H14/TableC3!$C$91</f>
        <v>0</v>
      </c>
      <c r="T16" s="740">
        <f>1000*TableA7!$P$91*TableC3!I14/TableC3!$C$91</f>
        <v>0</v>
      </c>
      <c r="U16" s="740">
        <f>1000*TableA7!$P$91*TableC3!J14/TableC3!$C$91</f>
        <v>0</v>
      </c>
      <c r="V16" s="739">
        <f>1000*TableA7!$P$91*TableC3!K14/TableC3!$C$91</f>
        <v>0.134282900107353</v>
      </c>
      <c r="W16" s="678">
        <f>1000*TableA7!$P$91*TableC3!L14/TableC3!$C$91</f>
        <v>0</v>
      </c>
      <c r="X16" s="593">
        <f>1000*TableA7!$P$91*TableC3!M14/TableC3!$C$91</f>
        <v>0.134282900107353</v>
      </c>
    </row>
    <row r="17" spans="1:24" ht="14.25" customHeight="1" x14ac:dyDescent="0.35">
      <c r="B17" s="1962" t="s">
        <v>59</v>
      </c>
      <c r="C17" s="739">
        <f>1000*TableA7!$P$91*(TableC2!D15+TableC2!O15)/(TableC2!$D$91+TableC2!$O$91)</f>
        <v>2961.7661722785192</v>
      </c>
      <c r="D17" s="739">
        <f>1000*TableA7!$P$91*(TableC2!E15+TableC2!P15)/(TableC2!$D$91+TableC2!$O$91)</f>
        <v>2331.5889402003227</v>
      </c>
      <c r="E17" s="740">
        <f>1000*TableA7!$P$91*(TableC2!F15+TableC2!Q15)/(TableC2!$D$91+TableC2!$O$91)</f>
        <v>311.14042906841536</v>
      </c>
      <c r="F17" s="740">
        <f>1000*TableA7!$P$91*(TableC2!G15+TableC2!R15)/(TableC2!$D$91+TableC2!$O$91)</f>
        <v>0.69758673831597617</v>
      </c>
      <c r="G17" s="740">
        <f>1000*TableA7!$P$91*(TableC2!H15+TableC2!S15)/(TableC2!$D$91+TableC2!$O$91)</f>
        <v>1168.686206222787</v>
      </c>
      <c r="H17" s="740">
        <f>1000*TableA7!$P$91*(TableC2!I15+TableC2!T15)/(TableC2!$D$91+TableC2!$O$91)</f>
        <v>452.68579058260491</v>
      </c>
      <c r="I17" s="740">
        <f>1000*TableA7!$P$91*(TableC2!J15+TableC2!U15)/(TableC2!$D$91+TableC2!$O$91)</f>
        <v>12.362710740841502</v>
      </c>
      <c r="J17" s="740">
        <f>1000*TableA7!$P$91*(TableC2!K15+TableC2!V15)/(TableC2!$D$91+TableC2!$O$91)</f>
        <v>386.0162168473571</v>
      </c>
      <c r="K17" s="739">
        <f>1000*TableA7!$P$91*(TableC2!L15+TableC2!W15)/(TableC2!$D$91+TableC2!$O$91)</f>
        <v>630.17723207819733</v>
      </c>
      <c r="L17" s="678">
        <f>1000*TableA7!$P$91*(TableC2!M15+TableC2!X15)/(TableC2!$D$91+TableC2!$O$91)</f>
        <v>366.70471853474584</v>
      </c>
      <c r="M17" s="1328">
        <f>1000*TableA7!$P$91*(TableC2!N15+TableC2!Y15)/(TableC2!$D$91+TableC2!$O$91)</f>
        <v>263.47251354345156</v>
      </c>
      <c r="N17" s="739">
        <f>1000*TableA7!$P$91*TableC3!C15/TableC3!$C$91</f>
        <v>3634.8255563860771</v>
      </c>
      <c r="O17" s="739">
        <f>1000*TableA7!$P$91*TableC3!D15/TableC3!$C$91</f>
        <v>2115.275239134718</v>
      </c>
      <c r="P17" s="740">
        <f>1000*TableA7!$P$91*TableC3!E15/TableC3!$C$91</f>
        <v>209.69547666295188</v>
      </c>
      <c r="Q17" s="740">
        <f>1000*TableA7!$P$91*TableC3!F15/TableC3!$C$91</f>
        <v>0.2673216614088838</v>
      </c>
      <c r="R17" s="740">
        <f>1000*TableA7!$P$91*TableC3!G15/TableC3!$C$91</f>
        <v>94.798518089878641</v>
      </c>
      <c r="S17" s="740">
        <f>1000*TableA7!$P$91*TableC3!H15/TableC3!$C$91</f>
        <v>0</v>
      </c>
      <c r="T17" s="740">
        <f>1000*TableA7!$P$91*TableC3!I15/TableC3!$C$91</f>
        <v>0.80355226728693074</v>
      </c>
      <c r="U17" s="740">
        <f>1000*TableA7!$P$91*TableC3!J15/TableC3!$C$91</f>
        <v>1809.7103704531917</v>
      </c>
      <c r="V17" s="739">
        <f>1000*TableA7!$P$91*TableC3!K15/TableC3!$C$91</f>
        <v>1519.5503172513595</v>
      </c>
      <c r="W17" s="678">
        <f>1000*TableA7!$P$91*TableC3!L15/TableC3!$C$91</f>
        <v>878.56113140514674</v>
      </c>
      <c r="X17" s="593">
        <f>1000*TableA7!$P$91*TableC3!M15/TableC3!$C$91</f>
        <v>640.98918584621242</v>
      </c>
    </row>
    <row r="18" spans="1:24" ht="14.25" customHeight="1" x14ac:dyDescent="0.35">
      <c r="B18" s="1962" t="s">
        <v>60</v>
      </c>
      <c r="C18" s="739">
        <f>1000*TableA7!$P$91*(TableC2!D16+TableC2!O16)/(TableC2!$D$91+TableC2!$O$91)</f>
        <v>243.69349684162626</v>
      </c>
      <c r="D18" s="739">
        <f>1000*TableA7!$P$91*(TableC2!E16+TableC2!P16)/(TableC2!$D$91+TableC2!$O$91)</f>
        <v>174.74220335809187</v>
      </c>
      <c r="E18" s="740">
        <f>1000*TableA7!$P$91*(TableC2!F16+TableC2!Q16)/(TableC2!$D$91+TableC2!$O$91)</f>
        <v>30.031924019490372</v>
      </c>
      <c r="F18" s="740">
        <f>1000*TableA7!$P$91*(TableC2!G16+TableC2!R16)/(TableC2!$D$91+TableC2!$O$91)</f>
        <v>0.97662143364236664</v>
      </c>
      <c r="G18" s="740">
        <f>1000*TableA7!$P$91*(TableC2!H16+TableC2!S16)/(TableC2!$D$91+TableC2!$O$91)</f>
        <v>13.293757050742457</v>
      </c>
      <c r="H18" s="740">
        <f>1000*TableA7!$P$91*(TableC2!I16+TableC2!T16)/(TableC2!$D$91+TableC2!$O$91)</f>
        <v>107.38215227672995</v>
      </c>
      <c r="I18" s="740">
        <f>1000*TableA7!$P$91*(TableC2!J16+TableC2!U16)/(TableC2!$D$91+TableC2!$O$91)</f>
        <v>0.35347308353021395</v>
      </c>
      <c r="J18" s="740">
        <f>1000*TableA7!$P$91*(TableC2!K16+TableC2!V16)/(TableC2!$D$91+TableC2!$O$91)</f>
        <v>22.70427549395653</v>
      </c>
      <c r="K18" s="739">
        <f>1000*TableA7!$P$91*(TableC2!L16+TableC2!W16)/(TableC2!$D$91+TableC2!$O$91)</f>
        <v>68.951293483534371</v>
      </c>
      <c r="L18" s="678">
        <f>1000*TableA7!$P$91*(TableC2!M16+TableC2!X16)/(TableC2!$D$91+TableC2!$O$91)</f>
        <v>42.81482193423912</v>
      </c>
      <c r="M18" s="1328">
        <f>1000*TableA7!$P$91*(TableC2!N16+TableC2!Y16)/(TableC2!$D$91+TableC2!$O$91)</f>
        <v>26.136471549295248</v>
      </c>
      <c r="N18" s="739">
        <f>1000*TableA7!$P$91*TableC3!C16/TableC3!$C$91</f>
        <v>-4.0556050214784296</v>
      </c>
      <c r="O18" s="739">
        <f>1000*TableA7!$P$91*TableC3!D16/TableC3!$C$91</f>
        <v>-4.0556050214784296</v>
      </c>
      <c r="P18" s="740">
        <f>1000*TableA7!$P$91*TableC3!E16/TableC3!$C$91</f>
        <v>-4.0620825266697311</v>
      </c>
      <c r="Q18" s="740">
        <f>1000*TableA7!$P$91*TableC3!F16/TableC3!$C$91</f>
        <v>0</v>
      </c>
      <c r="R18" s="740">
        <f>1000*TableA7!$P$91*TableC3!G16/TableC3!$C$91</f>
        <v>0</v>
      </c>
      <c r="S18" s="740">
        <f>1000*TableA7!$P$91*TableC3!H16/TableC3!$C$91</f>
        <v>0</v>
      </c>
      <c r="T18" s="740">
        <f>1000*TableA7!$P$91*TableC3!I16/TableC3!$C$91</f>
        <v>6.4775051913017693E-3</v>
      </c>
      <c r="U18" s="740">
        <f>1000*TableA7!$P$91*TableC3!J16/TableC3!$C$91</f>
        <v>0</v>
      </c>
      <c r="V18" s="739">
        <f>1000*TableA7!$P$91*TableC3!K16/TableC3!$C$91</f>
        <v>0</v>
      </c>
      <c r="W18" s="678">
        <f>1000*TableA7!$P$91*TableC3!L16/TableC3!$C$91</f>
        <v>0</v>
      </c>
      <c r="X18" s="593">
        <f>1000*TableA7!$P$91*TableC3!M16/TableC3!$C$91</f>
        <v>0</v>
      </c>
    </row>
    <row r="19" spans="1:24" ht="14.25" customHeight="1" x14ac:dyDescent="0.35">
      <c r="B19" s="1962" t="s">
        <v>61</v>
      </c>
      <c r="C19" s="739">
        <f>1000*TableA7!$P$91*(TableC2!D17+TableC2!O17)/(TableC2!$D$91+TableC2!$O$91)</f>
        <v>2714.8693656359137</v>
      </c>
      <c r="D19" s="739">
        <f>1000*TableA7!$P$91*(TableC2!E17+TableC2!P17)/(TableC2!$D$91+TableC2!$O$91)</f>
        <v>1744.7266135251398</v>
      </c>
      <c r="E19" s="740">
        <f>1000*TableA7!$P$91*(TableC2!F17+TableC2!Q17)/(TableC2!$D$91+TableC2!$O$91)</f>
        <v>206.13347519312785</v>
      </c>
      <c r="F19" s="740">
        <f>1000*TableA7!$P$91*(TableC2!G17+TableC2!R17)/(TableC2!$D$91+TableC2!$O$91)</f>
        <v>0.69758673831597617</v>
      </c>
      <c r="G19" s="740">
        <f>1000*TableA7!$P$91*(TableC2!H17+TableC2!S17)/(TableC2!$D$91+TableC2!$O$91)</f>
        <v>787.0328390593545</v>
      </c>
      <c r="H19" s="740">
        <f>1000*TableA7!$P$91*(TableC2!I17+TableC2!T17)/(TableC2!$D$91+TableC2!$O$91)</f>
        <v>501.01177269976017</v>
      </c>
      <c r="I19" s="740">
        <f>1000*TableA7!$P$91*(TableC2!J17+TableC2!U17)/(TableC2!$D$91+TableC2!$O$91)</f>
        <v>3.2054124361883396</v>
      </c>
      <c r="J19" s="740">
        <f>1000*TableA7!$P$91*(TableC2!K17+TableC2!V17)/(TableC2!$D$91+TableC2!$O$91)</f>
        <v>246.64552739839309</v>
      </c>
      <c r="K19" s="739">
        <f>1000*TableA7!$P$91*(TableC2!L17+TableC2!W17)/(TableC2!$D$91+TableC2!$O$91)</f>
        <v>970.14275211077438</v>
      </c>
      <c r="L19" s="678">
        <f>1000*TableA7!$P$91*(TableC2!M17+TableC2!X17)/(TableC2!$D$91+TableC2!$O$91)</f>
        <v>410.10248682518784</v>
      </c>
      <c r="M19" s="1328">
        <f>1000*TableA7!$P$91*(TableC2!N17+TableC2!Y17)/(TableC2!$D$91+TableC2!$O$91)</f>
        <v>560.04026528558654</v>
      </c>
      <c r="N19" s="739">
        <f>1000*TableA7!$P$91*TableC3!C17/TableC3!$C$91</f>
        <v>2259.7038268067554</v>
      </c>
      <c r="O19" s="739">
        <f>1000*TableA7!$P$91*TableC3!D17/TableC3!$C$91</f>
        <v>2040.5901731898716</v>
      </c>
      <c r="P19" s="740">
        <f>1000*TableA7!$P$91*TableC3!E17/TableC3!$C$91</f>
        <v>873.54567631940154</v>
      </c>
      <c r="Q19" s="740">
        <f>1000*TableA7!$P$91*TableC3!F17/TableC3!$C$91</f>
        <v>0.3693645514665776</v>
      </c>
      <c r="R19" s="740">
        <f>1000*TableA7!$P$91*TableC3!G17/TableC3!$C$91</f>
        <v>-16.353654050048771</v>
      </c>
      <c r="S19" s="740">
        <f>1000*TableA7!$P$91*TableC3!H17/TableC3!$C$91</f>
        <v>0</v>
      </c>
      <c r="T19" s="740">
        <f>1000*TableA7!$P$91*TableC3!I17/TableC3!$C$91</f>
        <v>0</v>
      </c>
      <c r="U19" s="740">
        <f>1000*TableA7!$P$91*TableC3!J17/TableC3!$C$91</f>
        <v>1183.0287863690523</v>
      </c>
      <c r="V19" s="739">
        <f>1000*TableA7!$P$91*TableC3!K17/TableC3!$C$91</f>
        <v>219.11365361688377</v>
      </c>
      <c r="W19" s="678">
        <f>1000*TableA7!$P$91*TableC3!L17/TableC3!$C$91</f>
        <v>104.03939093504913</v>
      </c>
      <c r="X19" s="593">
        <f>1000*TableA7!$P$91*TableC3!M17/TableC3!$C$91</f>
        <v>115.07426268183465</v>
      </c>
    </row>
    <row r="20" spans="1:24" ht="14.25" customHeight="1" x14ac:dyDescent="0.35">
      <c r="B20" s="1962" t="s">
        <v>48</v>
      </c>
      <c r="C20" s="739">
        <f>1000*TableA7!$P$91*(TableC2!D18+TableC2!O18)/(TableC2!$D$91+TableC2!$O$91)</f>
        <v>32084.12988744217</v>
      </c>
      <c r="D20" s="739">
        <f>1000*TableA7!$P$91*(TableC2!E18+TableC2!P18)/(TableC2!$D$91+TableC2!$O$91)</f>
        <v>24195.850308678233</v>
      </c>
      <c r="E20" s="740">
        <f>1000*TableA7!$P$91*(TableC2!F18+TableC2!Q18)/(TableC2!$D$91+TableC2!$O$91)</f>
        <v>6196.7703325563807</v>
      </c>
      <c r="F20" s="740">
        <f>1000*TableA7!$P$91*(TableC2!G18+TableC2!R18)/(TableC2!$D$91+TableC2!$O$91)</f>
        <v>15.137632221456686</v>
      </c>
      <c r="G20" s="740">
        <f>1000*TableA7!$P$91*(TableC2!H18+TableC2!S18)/(TableC2!$D$91+TableC2!$O$91)</f>
        <v>5279.7309153941687</v>
      </c>
      <c r="H20" s="740">
        <f>1000*TableA7!$P$91*(TableC2!I18+TableC2!T18)/(TableC2!$D$91+TableC2!$O$91)</f>
        <v>8875.620322386605</v>
      </c>
      <c r="I20" s="740">
        <f>1000*TableA7!$P$91*(TableC2!J18+TableC2!U18)/(TableC2!$D$91+TableC2!$O$91)</f>
        <v>62.286956914059125</v>
      </c>
      <c r="J20" s="740">
        <f>1000*TableA7!$P$91*(TableC2!K18+TableC2!V18)/(TableC2!$D$91+TableC2!$O$91)</f>
        <v>3766.3041492055581</v>
      </c>
      <c r="K20" s="739">
        <f>1000*TableA7!$P$91*(TableC2!L18+TableC2!W18)/(TableC2!$D$91+TableC2!$O$91)</f>
        <v>7888.2795787639407</v>
      </c>
      <c r="L20" s="678">
        <f>1000*TableA7!$P$91*(TableC2!M18+TableC2!X18)/(TableC2!$D$91+TableC2!$O$91)</f>
        <v>788.9927023153565</v>
      </c>
      <c r="M20" s="1328">
        <f>1000*TableA7!$P$91*(TableC2!N18+TableC2!Y18)/(TableC2!$D$91+TableC2!$O$91)</f>
        <v>7099.2868764485829</v>
      </c>
      <c r="N20" s="739">
        <f>1000*TableA7!$P$91*TableC3!C18/TableC3!$C$91</f>
        <v>64369.848399191702</v>
      </c>
      <c r="O20" s="739">
        <f>1000*TableA7!$P$91*TableC3!D18/TableC3!$C$91</f>
        <v>50877.912569579123</v>
      </c>
      <c r="P20" s="740">
        <f>1000*TableA7!$P$91*TableC3!E18/TableC3!$C$91</f>
        <v>39458.229618355246</v>
      </c>
      <c r="Q20" s="740">
        <f>1000*TableA7!$P$91*TableC3!F18/TableC3!$C$91</f>
        <v>7.7033106665152333</v>
      </c>
      <c r="R20" s="740">
        <f>1000*TableA7!$P$91*TableC3!G18/TableC3!$C$91</f>
        <v>1333.7588767968678</v>
      </c>
      <c r="S20" s="740">
        <f>1000*TableA7!$P$91*TableC3!H18/TableC3!$C$91</f>
        <v>-322.58535351636544</v>
      </c>
      <c r="T20" s="740">
        <f>1000*TableA7!$P$91*TableC3!I18/TableC3!$C$91</f>
        <v>17.162186794099188</v>
      </c>
      <c r="U20" s="740">
        <f>1000*TableA7!$P$91*TableC3!J18/TableC3!$C$91</f>
        <v>10383.64393048276</v>
      </c>
      <c r="V20" s="739">
        <f>1000*TableA7!$P$91*TableC3!K18/TableC3!$C$91</f>
        <v>13491.935829612576</v>
      </c>
      <c r="W20" s="678">
        <f>1000*TableA7!$P$91*TableC3!L18/TableC3!$C$91</f>
        <v>11502.471552622526</v>
      </c>
      <c r="X20" s="593">
        <f>1000*TableA7!$P$91*TableC3!M18/TableC3!$C$91</f>
        <v>1989.4642769900502</v>
      </c>
    </row>
    <row r="21" spans="1:24" ht="14.25" customHeight="1" x14ac:dyDescent="0.35">
      <c r="B21" s="1962" t="s">
        <v>62</v>
      </c>
      <c r="C21" s="739">
        <f>1000*TableA7!$P$91*(TableC2!D19+TableC2!O19)/(TableC2!$D$91+TableC2!$O$91)</f>
        <v>54904.338589641877</v>
      </c>
      <c r="D21" s="739">
        <f>1000*TableA7!$P$91*(TableC2!E19+TableC2!P19)/(TableC2!$D$91+TableC2!$O$91)</f>
        <v>41584.631730761779</v>
      </c>
      <c r="E21" s="740">
        <f>1000*TableA7!$P$91*(TableC2!F19+TableC2!Q19)/(TableC2!$D$91+TableC2!$O$91)</f>
        <v>4372.9502037112106</v>
      </c>
      <c r="F21" s="740">
        <f>1000*TableA7!$P$91*(TableC2!G19+TableC2!R19)/(TableC2!$D$91+TableC2!$O$91)</f>
        <v>82.244917745878652</v>
      </c>
      <c r="G21" s="740">
        <f>1000*TableA7!$P$91*(TableC2!H19+TableC2!S19)/(TableC2!$D$91+TableC2!$O$91)</f>
        <v>9156.1770841158122</v>
      </c>
      <c r="H21" s="740">
        <f>1000*TableA7!$P$91*(TableC2!I19+TableC2!T19)/(TableC2!$D$91+TableC2!$O$91)</f>
        <v>14838.644170783664</v>
      </c>
      <c r="I21" s="740">
        <f>1000*TableA7!$P$91*(TableC2!J19+TableC2!U19)/(TableC2!$D$91+TableC2!$O$91)</f>
        <v>167.82735789126519</v>
      </c>
      <c r="J21" s="740">
        <f>1000*TableA7!$P$91*(TableC2!K19+TableC2!V19)/(TableC2!$D$91+TableC2!$O$91)</f>
        <v>12966.787996513951</v>
      </c>
      <c r="K21" s="739">
        <f>1000*TableA7!$P$91*(TableC2!L19+TableC2!W19)/(TableC2!$D$91+TableC2!$O$91)</f>
        <v>13319.706858880096</v>
      </c>
      <c r="L21" s="678">
        <f>1000*TableA7!$P$91*(TableC2!M19+TableC2!X19)/(TableC2!$D$91+TableC2!$O$91)</f>
        <v>8387.4313532036431</v>
      </c>
      <c r="M21" s="1328">
        <f>1000*TableA7!$P$91*(TableC2!N19+TableC2!Y19)/(TableC2!$D$91+TableC2!$O$91)</f>
        <v>4932.2755056764536</v>
      </c>
      <c r="N21" s="739">
        <f>1000*TableA7!$P$91*TableC3!C19/TableC3!$C$91</f>
        <v>35645.750743168814</v>
      </c>
      <c r="O21" s="739">
        <f>1000*TableA7!$P$91*TableC3!D19/TableC3!$C$91</f>
        <v>25371.677573527384</v>
      </c>
      <c r="P21" s="740">
        <f>1000*TableA7!$P$91*TableC3!E19/TableC3!$C$91</f>
        <v>3857.4527849602414</v>
      </c>
      <c r="Q21" s="740">
        <f>1000*TableA7!$P$91*TableC3!F19/TableC3!$C$91</f>
        <v>684.55487048788189</v>
      </c>
      <c r="R21" s="740">
        <f>1000*TableA7!$P$91*TableC3!G19/TableC3!$C$91</f>
        <v>264.05827818088108</v>
      </c>
      <c r="S21" s="740">
        <f>1000*TableA7!$P$91*TableC3!H19/TableC3!$C$91</f>
        <v>978.11532949532545</v>
      </c>
      <c r="T21" s="740">
        <f>1000*TableA7!$P$91*TableC3!I19/TableC3!$C$91</f>
        <v>0</v>
      </c>
      <c r="U21" s="740">
        <f>1000*TableA7!$P$91*TableC3!J19/TableC3!$C$91</f>
        <v>19587.496310403054</v>
      </c>
      <c r="V21" s="739">
        <f>1000*TableA7!$P$91*TableC3!K19/TableC3!$C$91</f>
        <v>10274.07316964143</v>
      </c>
      <c r="W21" s="678">
        <f>1000*TableA7!$P$91*TableC3!L19/TableC3!$C$91</f>
        <v>8671.3943717362654</v>
      </c>
      <c r="X21" s="593">
        <f>1000*TableA7!$P$91*TableC3!M19/TableC3!$C$91</f>
        <v>1602.6787979051658</v>
      </c>
    </row>
    <row r="22" spans="1:24" ht="14.25" customHeight="1" x14ac:dyDescent="0.35">
      <c r="B22" s="1962" t="s">
        <v>63</v>
      </c>
      <c r="C22" s="739">
        <f>1000*TableA7!$P$91*(TableC2!D20+TableC2!O20)/(TableC2!$D$91+TableC2!$O$91)</f>
        <v>1046.5124601954992</v>
      </c>
      <c r="D22" s="739">
        <f>1000*TableA7!$P$91*(TableC2!E20+TableC2!P20)/(TableC2!$D$91+TableC2!$O$91)</f>
        <v>913.78755346575019</v>
      </c>
      <c r="E22" s="740">
        <f>1000*TableA7!$P$91*(TableC2!F20+TableC2!Q20)/(TableC2!$D$91+TableC2!$O$91)</f>
        <v>186.4987150981276</v>
      </c>
      <c r="F22" s="740">
        <f>1000*TableA7!$P$91*(TableC2!G20+TableC2!R20)/(TableC2!$D$91+TableC2!$O$91)</f>
        <v>40.460030822326623</v>
      </c>
      <c r="G22" s="740">
        <f>1000*TableA7!$P$91*(TableC2!H20+TableC2!S20)/(TableC2!$D$91+TableC2!$O$91)</f>
        <v>266.63089808801556</v>
      </c>
      <c r="H22" s="740">
        <f>1000*TableA7!$P$91*(TableC2!I20+TableC2!T20)/(TableC2!$D$91+TableC2!$O$91)</f>
        <v>211.45725478711961</v>
      </c>
      <c r="I22" s="740">
        <f>1000*TableA7!$P$91*(TableC2!J20+TableC2!U20)/(TableC2!$D$91+TableC2!$O$91)</f>
        <v>4.4622993216025071</v>
      </c>
      <c r="J22" s="740">
        <f>1000*TableA7!$P$91*(TableC2!K20+TableC2!V20)/(TableC2!$D$91+TableC2!$O$91)</f>
        <v>204.27835534855828</v>
      </c>
      <c r="K22" s="739">
        <f>1000*TableA7!$P$91*(TableC2!L20+TableC2!W20)/(TableC2!$D$91+TableC2!$O$91)</f>
        <v>132.72490672974874</v>
      </c>
      <c r="L22" s="678">
        <f>1000*TableA7!$P$91*(TableC2!M20+TableC2!X20)/(TableC2!$D$91+TableC2!$O$91)</f>
        <v>111.01567890592571</v>
      </c>
      <c r="M22" s="1328">
        <f>1000*TableA7!$P$91*(TableC2!N20+TableC2!Y20)/(TableC2!$D$91+TableC2!$O$91)</f>
        <v>21.709227823823035</v>
      </c>
      <c r="N22" s="739">
        <f>1000*TableA7!$P$91*TableC3!C20/TableC3!$C$91</f>
        <v>439.57419857141463</v>
      </c>
      <c r="O22" s="739">
        <f>1000*TableA7!$P$91*TableC3!D20/TableC3!$C$91</f>
        <v>438.77443096761675</v>
      </c>
      <c r="P22" s="740">
        <f>1000*TableA7!$P$91*TableC3!E20/TableC3!$C$91</f>
        <v>323.98194235805585</v>
      </c>
      <c r="Q22" s="740">
        <f>1000*TableA7!$P$91*TableC3!F20/TableC3!$C$91</f>
        <v>83.066850769070982</v>
      </c>
      <c r="R22" s="740">
        <f>1000*TableA7!$P$91*TableC3!G20/TableC3!$C$91</f>
        <v>3.1475636781237593</v>
      </c>
      <c r="S22" s="740">
        <f>1000*TableA7!$P$91*TableC3!H20/TableC3!$C$91</f>
        <v>0</v>
      </c>
      <c r="T22" s="740">
        <f>1000*TableA7!$P$91*TableC3!I20/TableC3!$C$91</f>
        <v>0</v>
      </c>
      <c r="U22" s="740">
        <f>1000*TableA7!$P$91*TableC3!J20/TableC3!$C$91</f>
        <v>28.5780741623662</v>
      </c>
      <c r="V22" s="739">
        <f>1000*TableA7!$P$91*TableC3!K20/TableC3!$C$91</f>
        <v>0.79976760379783562</v>
      </c>
      <c r="W22" s="678">
        <f>1000*TableA7!$P$91*TableC3!L20/TableC3!$C$91</f>
        <v>0</v>
      </c>
      <c r="X22" s="593">
        <f>1000*TableA7!$P$91*TableC3!M20/TableC3!$C$91</f>
        <v>0.79976760379783562</v>
      </c>
    </row>
    <row r="23" spans="1:24" ht="14.25" customHeight="1" x14ac:dyDescent="0.35">
      <c r="B23" s="1962" t="s">
        <v>64</v>
      </c>
      <c r="C23" s="739">
        <f>1000*TableA7!$P$91*(TableC2!D21+TableC2!O21)/(TableC2!$D$91+TableC2!$O$91)</f>
        <v>2394.889053990079</v>
      </c>
      <c r="D23" s="739">
        <f>1000*TableA7!$P$91*(TableC2!E21+TableC2!P21)/(TableC2!$D$91+TableC2!$O$91)</f>
        <v>1689.4617331249303</v>
      </c>
      <c r="E23" s="740">
        <f>1000*TableA7!$P$91*(TableC2!F21+TableC2!Q21)/(TableC2!$D$91+TableC2!$O$91)</f>
        <v>214.21253386301217</v>
      </c>
      <c r="F23" s="740">
        <f>1000*TableA7!$P$91*(TableC2!G21+TableC2!R21)/(TableC2!$D$91+TableC2!$O$91)</f>
        <v>1.1790483996020753</v>
      </c>
      <c r="G23" s="740">
        <f>1000*TableA7!$P$91*(TableC2!H21+TableC2!S21)/(TableC2!$D$91+TableC2!$O$91)</f>
        <v>771.83101117785623</v>
      </c>
      <c r="H23" s="740">
        <f>1000*TableA7!$P$91*(TableC2!I21+TableC2!T21)/(TableC2!$D$91+TableC2!$O$91)</f>
        <v>392.05878723658799</v>
      </c>
      <c r="I23" s="740">
        <f>1000*TableA7!$P$91*(TableC2!J21+TableC2!U21)/(TableC2!$D$91+TableC2!$O$91)</f>
        <v>6.1322384617148691</v>
      </c>
      <c r="J23" s="740">
        <f>1000*TableA7!$P$91*(TableC2!K21+TableC2!V21)/(TableC2!$D$91+TableC2!$O$91)</f>
        <v>304.04811398615692</v>
      </c>
      <c r="K23" s="739">
        <f>1000*TableA7!$P$91*(TableC2!L21+TableC2!W21)/(TableC2!$D$91+TableC2!$O$91)</f>
        <v>705.42732086514832</v>
      </c>
      <c r="L23" s="678">
        <f>1000*TableA7!$P$91*(TableC2!M21+TableC2!X21)/(TableC2!$D$91+TableC2!$O$91)</f>
        <v>300.45661952068173</v>
      </c>
      <c r="M23" s="1328">
        <f>1000*TableA7!$P$91*(TableC2!N21+TableC2!Y21)/(TableC2!$D$91+TableC2!$O$91)</f>
        <v>404.97070134446659</v>
      </c>
      <c r="N23" s="739">
        <f>1000*TableA7!$P$91*TableC3!C21/TableC3!$C$91</f>
        <v>500.17260764638115</v>
      </c>
      <c r="O23" s="739">
        <f>1000*TableA7!$P$91*TableC3!D21/TableC3!$C$91</f>
        <v>493.21023221560984</v>
      </c>
      <c r="P23" s="740">
        <f>1000*TableA7!$P$91*TableC3!E21/TableC3!$C$91</f>
        <v>387.65433021051803</v>
      </c>
      <c r="Q23" s="740">
        <f>1000*TableA7!$P$91*TableC3!F21/TableC3!$C$91</f>
        <v>0</v>
      </c>
      <c r="R23" s="740">
        <f>1000*TableA7!$P$91*TableC3!G21/TableC3!$C$91</f>
        <v>0</v>
      </c>
      <c r="S23" s="740">
        <f>1000*TableA7!$P$91*TableC3!H21/TableC3!$C$91</f>
        <v>88.635898083153037</v>
      </c>
      <c r="T23" s="740">
        <f>1000*TableA7!$P$91*TableC3!I21/TableC3!$C$91</f>
        <v>0</v>
      </c>
      <c r="U23" s="740">
        <f>1000*TableA7!$P$91*TableC3!J21/TableC3!$C$91</f>
        <v>16.920003921938775</v>
      </c>
      <c r="V23" s="739">
        <f>1000*TableA7!$P$91*TableC3!K21/TableC3!$C$91</f>
        <v>6.9623754307713401</v>
      </c>
      <c r="W23" s="678">
        <f>1000*TableA7!$P$91*TableC3!L21/TableC3!$C$91</f>
        <v>0</v>
      </c>
      <c r="X23" s="593">
        <f>1000*TableA7!$P$91*TableC3!M21/TableC3!$C$91</f>
        <v>6.9623754307713401</v>
      </c>
    </row>
    <row r="24" spans="1:24" ht="14.25" customHeight="1" x14ac:dyDescent="0.35">
      <c r="B24" s="95" t="s">
        <v>65</v>
      </c>
      <c r="C24" s="739">
        <f>1000*TableA7!$P$91*(TableC2!D22+TableC2!O22)/(TableC2!$D$91+TableC2!$O$91)</f>
        <v>437.74676216057213</v>
      </c>
      <c r="D24" s="739">
        <f>1000*TableA7!$P$91*(TableC2!E22+TableC2!P22)/(TableC2!$D$91+TableC2!$O$91)</f>
        <v>337.64759136893497</v>
      </c>
      <c r="E24" s="740">
        <f>1000*TableA7!$P$91*(TableC2!F22+TableC2!Q22)/(TableC2!$D$91+TableC2!$O$91)</f>
        <v>38.482630728901484</v>
      </c>
      <c r="F24" s="740">
        <f>1000*TableA7!$P$91*(TableC2!G22+TableC2!R22)/(TableC2!$D$91+TableC2!$O$91)</f>
        <v>0</v>
      </c>
      <c r="G24" s="740">
        <f>1000*TableA7!$P$91*(TableC2!H22+TableC2!S22)/(TableC2!$D$91+TableC2!$O$91)</f>
        <v>71.836563071426227</v>
      </c>
      <c r="H24" s="740">
        <f>1000*TableA7!$P$91*(TableC2!I22+TableC2!T22)/(TableC2!$D$91+TableC2!$O$91)</f>
        <v>180.71581106301579</v>
      </c>
      <c r="I24" s="740">
        <f>1000*TableA7!$P$91*(TableC2!J22+TableC2!U22)/(TableC2!$D$91+TableC2!$O$91)</f>
        <v>0.52896277217170617</v>
      </c>
      <c r="J24" s="740">
        <f>1000*TableA7!$P$91*(TableC2!K22+TableC2!V22)/(TableC2!$D$91+TableC2!$O$91)</f>
        <v>46.083623733419749</v>
      </c>
      <c r="K24" s="739">
        <f>1000*TableA7!$P$91*(TableC2!L22+TableC2!W22)/(TableC2!$D$91+TableC2!$O$91)</f>
        <v>100.09917079163714</v>
      </c>
      <c r="L24" s="678">
        <f>1000*TableA7!$P$91*(TableC2!M22+TableC2!X22)/(TableC2!$D$91+TableC2!$O$91)</f>
        <v>8.5151296701204231</v>
      </c>
      <c r="M24" s="1328">
        <f>1000*TableA7!$P$91*(TableC2!N22+TableC2!Y22)/(TableC2!$D$91+TableC2!$O$91)</f>
        <v>91.584041121516719</v>
      </c>
      <c r="N24" s="739">
        <f>1000*TableA7!$P$91*TableC3!C22/TableC3!$C$91</f>
        <v>13.704038338921695</v>
      </c>
      <c r="O24" s="739">
        <f>1000*TableA7!$P$91*TableC3!D22/TableC3!$C$91</f>
        <v>13.017568493301837</v>
      </c>
      <c r="P24" s="740">
        <f>1000*TableA7!$P$91*TableC3!E22/TableC3!$C$91</f>
        <v>12.967106604341575</v>
      </c>
      <c r="Q24" s="740">
        <f>1000*TableA7!$P$91*TableC3!F22/TableC3!$C$91</f>
        <v>5.0461888960264087E-2</v>
      </c>
      <c r="R24" s="740">
        <f>1000*TableA7!$P$91*TableC3!G22/TableC3!$C$91</f>
        <v>0</v>
      </c>
      <c r="S24" s="740">
        <f>1000*TableA7!$P$91*TableC3!H22/TableC3!$C$91</f>
        <v>0</v>
      </c>
      <c r="T24" s="740">
        <f>1000*TableA7!$P$91*TableC3!I22/TableC3!$C$91</f>
        <v>0</v>
      </c>
      <c r="U24" s="740">
        <f>1000*TableA7!$P$91*TableC3!J22/TableC3!$C$91</f>
        <v>0</v>
      </c>
      <c r="V24" s="739">
        <f>1000*TableA7!$P$91*TableC3!K22/TableC3!$C$91</f>
        <v>0.68646984561985802</v>
      </c>
      <c r="W24" s="678">
        <f>1000*TableA7!$P$91*TableC3!L22/TableC3!$C$91</f>
        <v>0</v>
      </c>
      <c r="X24" s="593">
        <f>1000*TableA7!$P$91*TableC3!M22/TableC3!$C$91</f>
        <v>0.68646984561985802</v>
      </c>
    </row>
    <row r="25" spans="1:24" ht="14.25" customHeight="1" x14ac:dyDescent="0.35">
      <c r="B25" s="1962" t="s">
        <v>19</v>
      </c>
      <c r="C25" s="739"/>
      <c r="D25" s="739"/>
      <c r="E25" s="740"/>
      <c r="F25" s="740"/>
      <c r="G25" s="740"/>
      <c r="H25" s="740"/>
      <c r="I25" s="740"/>
      <c r="J25" s="740"/>
      <c r="K25" s="739"/>
      <c r="L25" s="678"/>
      <c r="M25" s="1328"/>
      <c r="N25" s="739"/>
      <c r="O25" s="739"/>
      <c r="P25" s="740"/>
      <c r="Q25" s="740"/>
      <c r="R25" s="740"/>
      <c r="S25" s="740"/>
      <c r="T25" s="740"/>
      <c r="U25" s="740"/>
      <c r="V25" s="739"/>
      <c r="W25" s="678"/>
      <c r="X25" s="593"/>
    </row>
    <row r="26" spans="1:24" ht="14.25" customHeight="1" x14ac:dyDescent="0.35">
      <c r="B26" s="95" t="s">
        <v>95</v>
      </c>
      <c r="C26" s="739">
        <f>1000*TableA7!$P$91*(TableC2!D24+TableC2!O24)/(TableC2!$D$91+TableC2!$O$91)</f>
        <v>680.65831999156558</v>
      </c>
      <c r="D26" s="739">
        <f>1000*TableA7!$P$91*(TableC2!E24+TableC2!P24)/(TableC2!$D$91+TableC2!$O$91)</f>
        <v>277.80827531291379</v>
      </c>
      <c r="E26" s="740">
        <f>1000*TableA7!$P$91*(TableC2!F24+TableC2!Q24)/(TableC2!$D$91+TableC2!$O$91)</f>
        <v>21.243627527061367</v>
      </c>
      <c r="F26" s="740">
        <f>1000*TableA7!$P$91*(TableC2!G24+TableC2!R24)/(TableC2!$D$91+TableC2!$O$91)</f>
        <v>5.5629446513001266</v>
      </c>
      <c r="G26" s="740">
        <f>1000*TableA7!$P$91*(TableC2!H24+TableC2!S24)/(TableC2!$D$91+TableC2!$O$91)</f>
        <v>147.70398702776717</v>
      </c>
      <c r="H26" s="740">
        <f>1000*TableA7!$P$91*(TableC2!I24+TableC2!T24)/(TableC2!$D$91+TableC2!$O$91)</f>
        <v>31.798064007740578</v>
      </c>
      <c r="I26" s="740">
        <f>1000*TableA7!$P$91*(TableC2!J24+TableC2!U24)/(TableC2!$D$91+TableC2!$O$91)</f>
        <v>26.811934609023446</v>
      </c>
      <c r="J26" s="740">
        <f>1000*TableA7!$P$91*(TableC2!K24+TableC2!V24)/(TableC2!$D$91+TableC2!$O$91)</f>
        <v>44.687717490021086</v>
      </c>
      <c r="K26" s="739">
        <f>1000*TableA7!$P$91*(TableC2!L24+TableC2!W24)/(TableC2!$D$91+TableC2!$O$91)</f>
        <v>402.85004467865184</v>
      </c>
      <c r="L26" s="678">
        <f>1000*TableA7!$P$91*(TableC2!M24+TableC2!X24)/(TableC2!$D$91+TableC2!$O$91)</f>
        <v>33.073801633332806</v>
      </c>
      <c r="M26" s="1328">
        <f>1000*TableA7!$P$91*(TableC2!N24+TableC2!Y24)/(TableC2!$D$91+TableC2!$O$91)</f>
        <v>369.77624304531906</v>
      </c>
      <c r="N26" s="739">
        <f>1000*TableA7!$P$91*TableC3!C24/TableC3!$C$91</f>
        <v>534.13754113231334</v>
      </c>
      <c r="O26" s="739">
        <f>1000*TableA7!$P$91*TableC3!D24/TableC3!$C$91</f>
        <v>66.118502548996275</v>
      </c>
      <c r="P26" s="740">
        <f>1000*TableA7!$P$91*TableC3!E24/TableC3!$C$91</f>
        <v>-38.812007429968595</v>
      </c>
      <c r="Q26" s="740">
        <f>1000*TableA7!$P$91*TableC3!F24/TableC3!$C$91</f>
        <v>33.735844562147875</v>
      </c>
      <c r="R26" s="740">
        <f>1000*TableA7!$P$91*TableC3!G24/TableC3!$C$91</f>
        <v>23.788485774482034</v>
      </c>
      <c r="S26" s="740">
        <f>1000*TableA7!$P$91*TableC3!H24/TableC3!$C$91</f>
        <v>47.406179642334969</v>
      </c>
      <c r="T26" s="740">
        <f>1000*TableA7!$P$91*TableC3!I24/TableC3!$C$91</f>
        <v>0</v>
      </c>
      <c r="U26" s="740">
        <f>1000*TableA7!$P$91*TableC3!J24/TableC3!$C$91</f>
        <v>0</v>
      </c>
      <c r="V26" s="739">
        <f>1000*TableA7!$P$91*TableC3!K24/TableC3!$C$91</f>
        <v>468.01903858331707</v>
      </c>
      <c r="W26" s="678">
        <f>1000*TableA7!$P$91*TableC3!L24/TableC3!$C$91</f>
        <v>399.37019834403958</v>
      </c>
      <c r="X26" s="593">
        <f>1000*TableA7!$P$91*TableC3!M24/TableC3!$C$91</f>
        <v>68.648840239277504</v>
      </c>
    </row>
    <row r="27" spans="1:24" ht="14.25" customHeight="1" x14ac:dyDescent="0.35">
      <c r="B27" s="1962" t="s">
        <v>66</v>
      </c>
      <c r="C27" s="739">
        <f>1000*TableA7!$P$91*(TableC2!D25+TableC2!O25)/(TableC2!$D$91+TableC2!$O$91)</f>
        <v>22702.482961511632</v>
      </c>
      <c r="D27" s="739">
        <f>1000*TableA7!$P$91*(TableC2!E25+TableC2!P25)/(TableC2!$D$91+TableC2!$O$91)</f>
        <v>19453.222640725438</v>
      </c>
      <c r="E27" s="740">
        <f>1000*TableA7!$P$91*(TableC2!F25+TableC2!Q25)/(TableC2!$D$91+TableC2!$O$91)</f>
        <v>2138.4635697288891</v>
      </c>
      <c r="F27" s="740">
        <f>1000*TableA7!$P$91*(TableC2!G25+TableC2!R25)/(TableC2!$D$91+TableC2!$O$91)</f>
        <v>14.963869596118068</v>
      </c>
      <c r="G27" s="740">
        <f>1000*TableA7!$P$91*(TableC2!H25+TableC2!S25)/(TableC2!$D$91+TableC2!$O$91)</f>
        <v>5683.5093311897463</v>
      </c>
      <c r="H27" s="740">
        <f>1000*TableA7!$P$91*(TableC2!I25+TableC2!T25)/(TableC2!$D$91+TableC2!$O$91)</f>
        <v>9176.7651206524024</v>
      </c>
      <c r="I27" s="740">
        <f>1000*TableA7!$P$91*(TableC2!J25+TableC2!U25)/(TableC2!$D$91+TableC2!$O$91)</f>
        <v>77.291482706668518</v>
      </c>
      <c r="J27" s="740">
        <f>1000*TableA7!$P$91*(TableC2!K25+TableC2!V25)/(TableC2!$D$91+TableC2!$O$91)</f>
        <v>2362.2292668516202</v>
      </c>
      <c r="K27" s="739">
        <f>1000*TableA7!$P$91*(TableC2!L25+TableC2!W25)/(TableC2!$D$91+TableC2!$O$91)</f>
        <v>3249.260320786188</v>
      </c>
      <c r="L27" s="678">
        <f>1000*TableA7!$P$91*(TableC2!M25+TableC2!X25)/(TableC2!$D$91+TableC2!$O$91)</f>
        <v>2248.8031473606939</v>
      </c>
      <c r="M27" s="1328">
        <f>1000*TableA7!$P$91*(TableC2!N25+TableC2!Y25)/(TableC2!$D$91+TableC2!$O$91)</f>
        <v>1000.4571734254946</v>
      </c>
      <c r="N27" s="739">
        <f>1000*TableA7!$P$91*TableC3!C25/TableC3!$C$91</f>
        <v>3743.5473415521265</v>
      </c>
      <c r="O27" s="739">
        <f>1000*TableA7!$P$91*TableC3!D25/TableC3!$C$91</f>
        <v>2520.6509191503469</v>
      </c>
      <c r="P27" s="740">
        <f>1000*TableA7!$P$91*TableC3!E25/TableC3!$C$91</f>
        <v>253.19242217028901</v>
      </c>
      <c r="Q27" s="740">
        <f>1000*TableA7!$P$91*TableC3!F25/TableC3!$C$91</f>
        <v>3.3638086538603709</v>
      </c>
      <c r="R27" s="740">
        <f>1000*TableA7!$P$91*TableC3!G25/TableC3!$C$91</f>
        <v>646.75732246714313</v>
      </c>
      <c r="S27" s="740">
        <f>1000*TableA7!$P$91*TableC3!H25/TableC3!$C$91</f>
        <v>-181.81121356666679</v>
      </c>
      <c r="T27" s="740">
        <f>1000*TableA7!$P$91*TableC3!I25/TableC3!$C$91</f>
        <v>25.670038255037881</v>
      </c>
      <c r="U27" s="740">
        <f>1000*TableA7!$P$91*TableC3!J25/TableC3!$C$91</f>
        <v>1773.4785411706832</v>
      </c>
      <c r="V27" s="739">
        <f>1000*TableA7!$P$91*TableC3!K25/TableC3!$C$91</f>
        <v>1222.8964224017795</v>
      </c>
      <c r="W27" s="678">
        <f>1000*TableA7!$P$91*TableC3!L25/TableC3!$C$91</f>
        <v>1081.5078602976257</v>
      </c>
      <c r="X27" s="593">
        <f>1000*TableA7!$P$91*TableC3!M25/TableC3!$C$91</f>
        <v>141.38856210415358</v>
      </c>
    </row>
    <row r="28" spans="1:24" ht="14.25" customHeight="1" x14ac:dyDescent="0.35">
      <c r="B28" s="95" t="s">
        <v>67</v>
      </c>
      <c r="C28" s="739">
        <f>1000*TableA7!$P$91*(TableC2!D26+TableC2!O26)/(TableC2!$D$91+TableC2!$O$91)</f>
        <v>8554.3737634504905</v>
      </c>
      <c r="D28" s="739">
        <f>1000*TableA7!$P$91*(TableC2!E26+TableC2!P26)/(TableC2!$D$91+TableC2!$O$91)</f>
        <v>4543.9112374116648</v>
      </c>
      <c r="E28" s="740">
        <f>1000*TableA7!$P$91*(TableC2!F26+TableC2!Q26)/(TableC2!$D$91+TableC2!$O$91)</f>
        <v>332.45713249138208</v>
      </c>
      <c r="F28" s="740">
        <f>1000*TableA7!$P$91*(TableC2!G26+TableC2!R26)/(TableC2!$D$91+TableC2!$O$91)</f>
        <v>71.720310547451106</v>
      </c>
      <c r="G28" s="740">
        <f>1000*TableA7!$P$91*(TableC2!H26+TableC2!S26)/(TableC2!$D$91+TableC2!$O$91)</f>
        <v>2179.4377233081541</v>
      </c>
      <c r="H28" s="740">
        <f>1000*TableA7!$P$91*(TableC2!I26+TableC2!T26)/(TableC2!$D$91+TableC2!$O$91)</f>
        <v>861.78348495408432</v>
      </c>
      <c r="I28" s="740">
        <f>1000*TableA7!$P$91*(TableC2!J26+TableC2!U26)/(TableC2!$D$91+TableC2!$O$91)</f>
        <v>2.3564108669904944</v>
      </c>
      <c r="J28" s="740">
        <f>1000*TableA7!$P$91*(TableC2!K26+TableC2!V26)/(TableC2!$D$91+TableC2!$O$91)</f>
        <v>1096.1561752436023</v>
      </c>
      <c r="K28" s="739">
        <f>1000*TableA7!$P$91*(TableC2!L26+TableC2!W26)/(TableC2!$D$91+TableC2!$O$91)</f>
        <v>4010.4625260388257</v>
      </c>
      <c r="L28" s="678">
        <f>1000*TableA7!$P$91*(TableC2!M26+TableC2!X26)/(TableC2!$D$91+TableC2!$O$91)</f>
        <v>329.2571114145689</v>
      </c>
      <c r="M28" s="1328">
        <f>1000*TableA7!$P$91*(TableC2!N26+TableC2!Y26)/(TableC2!$D$91+TableC2!$O$91)</f>
        <v>3681.2054146242567</v>
      </c>
      <c r="N28" s="739">
        <f>1000*TableA7!$P$91*TableC3!C26/TableC3!$C$91</f>
        <v>19296.266224483075</v>
      </c>
      <c r="O28" s="739">
        <f>1000*TableA7!$P$91*TableC3!D26/TableC3!$C$91</f>
        <v>8488.9420239159135</v>
      </c>
      <c r="P28" s="740">
        <f>1000*TableA7!$P$91*TableC3!E26/TableC3!$C$91</f>
        <v>4224.3872324219246</v>
      </c>
      <c r="Q28" s="740">
        <f>1000*TableA7!$P$91*TableC3!F26/TableC3!$C$91</f>
        <v>3.1186734762025468E-2</v>
      </c>
      <c r="R28" s="740">
        <f>1000*TableA7!$P$91*TableC3!G26/TableC3!$C$91</f>
        <v>125.74770662822591</v>
      </c>
      <c r="S28" s="740">
        <f>1000*TableA7!$P$91*TableC3!H26/TableC3!$C$91</f>
        <v>0</v>
      </c>
      <c r="T28" s="740">
        <f>1000*TableA7!$P$91*TableC3!I26/TableC3!$C$91</f>
        <v>0</v>
      </c>
      <c r="U28" s="740">
        <f>1000*TableA7!$P$91*TableC3!J26/TableC3!$C$91</f>
        <v>4138.7758981310008</v>
      </c>
      <c r="V28" s="739">
        <f>1000*TableA7!$P$91*TableC3!K26/TableC3!$C$91</f>
        <v>10807.324200567164</v>
      </c>
      <c r="W28" s="678">
        <f>1000*TableA7!$P$91*TableC3!L26/TableC3!$C$91</f>
        <v>3126.0213954521259</v>
      </c>
      <c r="X28" s="593">
        <f>1000*TableA7!$P$91*TableC3!M26/TableC3!$C$91</f>
        <v>7681.3028051150395</v>
      </c>
    </row>
    <row r="29" spans="1:24" ht="14.25" customHeight="1" x14ac:dyDescent="0.35">
      <c r="A29" s="1" t="s">
        <v>222</v>
      </c>
      <c r="B29" s="95" t="s">
        <v>68</v>
      </c>
      <c r="C29" s="739">
        <f>1000*TableA7!$P$91*(TableC2!D27+TableC2!O27)/(TableC2!$D$91+TableC2!$O$91)</f>
        <v>4834.6318555725984</v>
      </c>
      <c r="D29" s="739">
        <f>1000*TableA7!$P$91*(TableC2!E27+TableC2!P27)/(TableC2!$D$91+TableC2!$O$91)</f>
        <v>1157.3392641214625</v>
      </c>
      <c r="E29" s="740">
        <f>1000*TableA7!$P$91*(TableC2!F27+TableC2!Q27)/(TableC2!$D$91+TableC2!$O$91)</f>
        <v>129.49015251601665</v>
      </c>
      <c r="F29" s="740">
        <f>1000*TableA7!$P$91*(TableC2!G27+TableC2!R27)/(TableC2!$D$91+TableC2!$O$91)</f>
        <v>28.570135458972882</v>
      </c>
      <c r="G29" s="740">
        <f>1000*TableA7!$P$91*(TableC2!H27+TableC2!S27)/(TableC2!$D$91+TableC2!$O$91)</f>
        <v>273.04610885742335</v>
      </c>
      <c r="H29" s="740">
        <f>1000*TableA7!$P$91*(TableC2!I27+TableC2!T27)/(TableC2!$D$91+TableC2!$O$91)</f>
        <v>252.56352758364949</v>
      </c>
      <c r="I29" s="740">
        <f>1000*TableA7!$P$91*(TableC2!J27+TableC2!U27)/(TableC2!$D$91+TableC2!$O$91)</f>
        <v>-0.2163862266811421</v>
      </c>
      <c r="J29" s="740">
        <f>1000*TableA7!$P$91*(TableC2!K27+TableC2!V27)/(TableC2!$D$91+TableC2!$O$91)</f>
        <v>473.88572593208124</v>
      </c>
      <c r="K29" s="739">
        <f>1000*TableA7!$P$91*(TableC2!L27+TableC2!W27)/(TableC2!$D$91+TableC2!$O$91)</f>
        <v>3677.2925914511356</v>
      </c>
      <c r="L29" s="678">
        <f>1000*TableA7!$P$91*(TableC2!M27+TableC2!X27)/(TableC2!$D$91+TableC2!$O$91)</f>
        <v>301.90401446869765</v>
      </c>
      <c r="M29" s="1328">
        <f>1000*TableA7!$P$91*(TableC2!N27+TableC2!Y27)/(TableC2!$D$91+TableC2!$O$91)</f>
        <v>3375.3885769824374</v>
      </c>
      <c r="N29" s="739">
        <f>1000*TableA7!$P$91*TableC3!C27/TableC3!$C$91</f>
        <v>1565.4074072558828</v>
      </c>
      <c r="O29" s="739">
        <f>1000*TableA7!$P$91*TableC3!D27/TableC3!$C$91</f>
        <v>779.77958607093763</v>
      </c>
      <c r="P29" s="740">
        <f>1000*TableA7!$P$91*TableC3!E27/TableC3!$C$91</f>
        <v>326.64773787811953</v>
      </c>
      <c r="Q29" s="740">
        <f>1000*TableA7!$P$91*TableC3!F27/TableC3!$C$91</f>
        <v>1.3803293184891959E-2</v>
      </c>
      <c r="R29" s="740">
        <f>1000*TableA7!$P$91*TableC3!G27/TableC3!$C$91</f>
        <v>0</v>
      </c>
      <c r="S29" s="740">
        <f>1000*TableA7!$P$91*TableC3!H27/TableC3!$C$91</f>
        <v>0</v>
      </c>
      <c r="T29" s="740">
        <f>1000*TableA7!$P$91*TableC3!I27/TableC3!$C$91</f>
        <v>0</v>
      </c>
      <c r="U29" s="740">
        <f>1000*TableA7!$P$91*TableC3!J27/TableC3!$C$91</f>
        <v>453.11804489963311</v>
      </c>
      <c r="V29" s="739">
        <f>1000*TableA7!$P$91*TableC3!K27/TableC3!$C$91</f>
        <v>785.62782118494545</v>
      </c>
      <c r="W29" s="678">
        <f>1000*TableA7!$P$91*TableC3!L27/TableC3!$C$91</f>
        <v>0</v>
      </c>
      <c r="X29" s="593">
        <f>1000*TableA7!$P$91*TableC3!M27/TableC3!$C$91</f>
        <v>785.62782118494545</v>
      </c>
    </row>
    <row r="30" spans="1:24" ht="14.25" customHeight="1" x14ac:dyDescent="0.35">
      <c r="B30" s="1977" t="s">
        <v>69</v>
      </c>
      <c r="C30" s="739">
        <f>1000*TableA7!$P$91*(TableC2!D28+TableC2!O28)/(TableC2!$D$91+TableC2!$O$91)</f>
        <v>200.97896727392819</v>
      </c>
      <c r="D30" s="739">
        <f>1000*TableA7!$P$91*(TableC2!E28+TableC2!P28)/(TableC2!$D$91+TableC2!$O$91)</f>
        <v>140.70844607924323</v>
      </c>
      <c r="E30" s="740">
        <f>1000*TableA7!$P$91*(TableC2!F28+TableC2!Q28)/(TableC2!$D$91+TableC2!$O$91)</f>
        <v>10.250657042879938</v>
      </c>
      <c r="F30" s="740">
        <f>1000*TableA7!$P$91*(TableC2!G28+TableC2!R28)/(TableC2!$D$91+TableC2!$O$91)</f>
        <v>0.8371040859791713</v>
      </c>
      <c r="G30" s="740">
        <f>1000*TableA7!$P$91*(TableC2!H28+TableC2!S28)/(TableC2!$D$91+TableC2!$O$91)</f>
        <v>46.363397896066367</v>
      </c>
      <c r="H30" s="740">
        <f>1000*TableA7!$P$91*(TableC2!I28+TableC2!T28)/(TableC2!$D$91+TableC2!$O$91)</f>
        <v>65.804969798474758</v>
      </c>
      <c r="I30" s="740">
        <f>1000*TableA7!$P$91*(TableC2!J28+TableC2!U28)/(TableC2!$D$91+TableC2!$O$91)</f>
        <v>1.9751028548097485</v>
      </c>
      <c r="J30" s="740">
        <f>1000*TableA7!$P$91*(TableC2!K28+TableC2!V28)/(TableC2!$D$91+TableC2!$O$91)</f>
        <v>15.477214401033224</v>
      </c>
      <c r="K30" s="739">
        <f>1000*TableA7!$P$91*(TableC2!L28+TableC2!W28)/(TableC2!$D$91+TableC2!$O$91)</f>
        <v>60.270521194684996</v>
      </c>
      <c r="L30" s="678">
        <f>1000*TableA7!$P$91*(TableC2!M28+TableC2!X28)/(TableC2!$D$91+TableC2!$O$91)</f>
        <v>14.832562960491986</v>
      </c>
      <c r="M30" s="1328">
        <f>1000*TableA7!$P$91*(TableC2!N28+TableC2!Y28)/(TableC2!$D$91+TableC2!$O$91)</f>
        <v>45.437958234193026</v>
      </c>
      <c r="N30" s="739">
        <f>1000*TableA7!$P$91*TableC3!C28/TableC3!$C$91</f>
        <v>-1.2975905328898003</v>
      </c>
      <c r="O30" s="739">
        <f>1000*TableA7!$P$91*TableC3!D28/TableC3!$C$91</f>
        <v>-1.3825658530915257</v>
      </c>
      <c r="P30" s="740">
        <f>1000*TableA7!$P$91*TableC3!E28/TableC3!$C$91</f>
        <v>-1.7895548410760678</v>
      </c>
      <c r="Q30" s="740">
        <f>1000*TableA7!$P$91*TableC3!F28/TableC3!$C$91</f>
        <v>0.40698898798454225</v>
      </c>
      <c r="R30" s="740">
        <f>1000*TableA7!$P$91*TableC3!G28/TableC3!$C$91</f>
        <v>0</v>
      </c>
      <c r="S30" s="740">
        <f>1000*TableA7!$P$91*TableC3!H28/TableC3!$C$91</f>
        <v>0</v>
      </c>
      <c r="T30" s="740">
        <f>1000*TableA7!$P$91*TableC3!I28/TableC3!$C$91</f>
        <v>0</v>
      </c>
      <c r="U30" s="740">
        <f>1000*TableA7!$P$91*TableC3!J28/TableC3!$C$91</f>
        <v>0</v>
      </c>
      <c r="V30" s="739">
        <f>1000*TableA7!$P$91*TableC3!K28/TableC3!$C$91</f>
        <v>8.4975320201725241E-2</v>
      </c>
      <c r="W30" s="678">
        <f>1000*TableA7!$P$91*TableC3!L28/TableC3!$C$91</f>
        <v>0</v>
      </c>
      <c r="X30" s="593">
        <f>1000*TableA7!$P$91*TableC3!M28/TableC3!$C$91</f>
        <v>8.4975320201725241E-2</v>
      </c>
    </row>
    <row r="31" spans="1:24" ht="14.25" customHeight="1" x14ac:dyDescent="0.35">
      <c r="B31" s="1977" t="s">
        <v>70</v>
      </c>
      <c r="C31" s="739"/>
      <c r="D31" s="739"/>
      <c r="E31" s="740"/>
      <c r="F31" s="740"/>
      <c r="G31" s="740"/>
      <c r="H31" s="740"/>
      <c r="I31" s="740"/>
      <c r="J31" s="740"/>
      <c r="K31" s="739"/>
      <c r="L31" s="678"/>
      <c r="M31" s="1328"/>
      <c r="N31" s="739"/>
      <c r="O31" s="739"/>
      <c r="P31" s="740"/>
      <c r="Q31" s="740"/>
      <c r="R31" s="740"/>
      <c r="S31" s="740"/>
      <c r="T31" s="740"/>
      <c r="U31" s="740"/>
      <c r="V31" s="739"/>
      <c r="W31" s="678"/>
      <c r="X31" s="593"/>
    </row>
    <row r="32" spans="1:24" ht="14.25" customHeight="1" x14ac:dyDescent="0.35">
      <c r="B32" s="13" t="s">
        <v>71</v>
      </c>
      <c r="C32" s="739">
        <f>1000*TableA7!$P$91*(TableC2!D30+TableC2!O30)/(TableC2!$D$91+TableC2!$O$91)</f>
        <v>13095.889552074284</v>
      </c>
      <c r="D32" s="739">
        <f>1000*TableA7!$P$91*(TableC2!E30+TableC2!P30)/(TableC2!$D$91+TableC2!$O$91)</f>
        <v>4037.4535191870855</v>
      </c>
      <c r="E32" s="740">
        <f>1000*TableA7!$P$91*(TableC2!F30+TableC2!Q30)/(TableC2!$D$91+TableC2!$O$91)</f>
        <v>430.28860415050877</v>
      </c>
      <c r="F32" s="740">
        <f>1000*TableA7!$P$91*(TableC2!G30+TableC2!R30)/(TableC2!$D$91+TableC2!$O$91)</f>
        <v>0</v>
      </c>
      <c r="G32" s="740">
        <f>1000*TableA7!$P$91*(TableC2!H30+TableC2!S30)/(TableC2!$D$91+TableC2!$O$91)</f>
        <v>387.15098932633583</v>
      </c>
      <c r="H32" s="740">
        <f>1000*TableA7!$P$91*(TableC2!I30+TableC2!T30)/(TableC2!$D$91+TableC2!$O$91)</f>
        <v>743.69280995968415</v>
      </c>
      <c r="I32" s="740">
        <f>1000*TableA7!$P$91*(TableC2!J30+TableC2!U30)/(TableC2!$D$91+TableC2!$O$91)</f>
        <v>9.5213298990907109</v>
      </c>
      <c r="J32" s="740">
        <f>1000*TableA7!$P$91*(TableC2!K30+TableC2!V30)/(TableC2!$D$91+TableC2!$O$91)</f>
        <v>2466.7997858514659</v>
      </c>
      <c r="K32" s="739">
        <f>1000*TableA7!$P$91*(TableC2!L30+TableC2!W30)/(TableC2!$D$91+TableC2!$O$91)</f>
        <v>9058.436032887199</v>
      </c>
      <c r="L32" s="678">
        <f>1000*TableA7!$P$91*(TableC2!M30+TableC2!X30)/(TableC2!$D$91+TableC2!$O$91)</f>
        <v>743.69339265912208</v>
      </c>
      <c r="M32" s="1328">
        <f>1000*TableA7!$P$91*(TableC2!N30+TableC2!Y30)/(TableC2!$D$91+TableC2!$O$91)</f>
        <v>8314.7426402280798</v>
      </c>
      <c r="N32" s="739">
        <f>1000*TableA7!$P$91*TableC3!C30/TableC3!$C$91</f>
        <v>3635.6848838121946</v>
      </c>
      <c r="O32" s="739">
        <f>1000*TableA7!$P$91*TableC3!D30/TableC3!$C$91</f>
        <v>3006.6640184036155</v>
      </c>
      <c r="P32" s="740">
        <f>1000*TableA7!$P$91*TableC3!E30/TableC3!$C$91</f>
        <v>-736.86169404355144</v>
      </c>
      <c r="Q32" s="740">
        <f>1000*TableA7!$P$91*TableC3!F30/TableC3!$C$91</f>
        <v>1.8258829268556664E-4</v>
      </c>
      <c r="R32" s="740">
        <f>1000*TableA7!$P$91*TableC3!G30/TableC3!$C$91</f>
        <v>18.556392510985816</v>
      </c>
      <c r="S32" s="740">
        <f>1000*TableA7!$P$91*TableC3!H30/TableC3!$C$91</f>
        <v>0</v>
      </c>
      <c r="T32" s="740">
        <f>1000*TableA7!$P$91*TableC3!I30/TableC3!$C$91</f>
        <v>0</v>
      </c>
      <c r="U32" s="740">
        <f>1000*TableA7!$P$91*TableC3!J30/TableC3!$C$91</f>
        <v>3724.969137347889</v>
      </c>
      <c r="V32" s="739">
        <f>1000*TableA7!$P$91*TableC3!K30/TableC3!$C$91</f>
        <v>629.02086540857886</v>
      </c>
      <c r="W32" s="678">
        <f>1000*TableA7!$P$91*TableC3!L30/TableC3!$C$91</f>
        <v>0</v>
      </c>
      <c r="X32" s="593">
        <f>1000*TableA7!$P$91*TableC3!M30/TableC3!$C$91</f>
        <v>629.02086540857886</v>
      </c>
    </row>
    <row r="33" spans="1:24" ht="14.25" customHeight="1" x14ac:dyDescent="0.35">
      <c r="B33" s="1977" t="s">
        <v>72</v>
      </c>
      <c r="C33" s="739"/>
      <c r="D33" s="739"/>
      <c r="E33" s="740"/>
      <c r="F33" s="740"/>
      <c r="G33" s="740"/>
      <c r="H33" s="740"/>
      <c r="I33" s="740"/>
      <c r="J33" s="740"/>
      <c r="K33" s="739"/>
      <c r="L33" s="678"/>
      <c r="M33" s="1328"/>
      <c r="N33" s="739"/>
      <c r="O33" s="739"/>
      <c r="P33" s="740"/>
      <c r="Q33" s="740"/>
      <c r="R33" s="740"/>
      <c r="S33" s="740"/>
      <c r="T33" s="740"/>
      <c r="U33" s="740"/>
      <c r="V33" s="739"/>
      <c r="W33" s="678"/>
      <c r="X33" s="593"/>
    </row>
    <row r="34" spans="1:24" ht="14.25" customHeight="1" x14ac:dyDescent="0.35">
      <c r="B34" s="13" t="s">
        <v>73</v>
      </c>
      <c r="C34" s="739">
        <f>1000*TableA7!$P$91*(TableC2!D32+TableC2!O32)/(TableC2!$D$91+TableC2!$O$91)</f>
        <v>1523.4433952929837</v>
      </c>
      <c r="D34" s="739">
        <f>1000*TableA7!$P$91*(TableC2!E32+TableC2!P32)/(TableC2!$D$91+TableC2!$O$91)</f>
        <v>500.75239256662849</v>
      </c>
      <c r="E34" s="740">
        <f>1000*TableA7!$P$91*(TableC2!F32+TableC2!Q32)/(TableC2!$D$91+TableC2!$O$91)</f>
        <v>43.161749201035775</v>
      </c>
      <c r="F34" s="740">
        <f>1000*TableA7!$P$91*(TableC2!G32+TableC2!R32)/(TableC2!$D$91+TableC2!$O$91)</f>
        <v>0</v>
      </c>
      <c r="G34" s="740">
        <f>1000*TableA7!$P$91*(TableC2!H32+TableC2!S32)/(TableC2!$D$91+TableC2!$O$91)</f>
        <v>214.81629912857156</v>
      </c>
      <c r="H34" s="740">
        <f>1000*TableA7!$P$91*(TableC2!I32+TableC2!T32)/(TableC2!$D$91+TableC2!$O$91)</f>
        <v>115.22273286060243</v>
      </c>
      <c r="I34" s="740">
        <f>1000*TableA7!$P$91*(TableC2!J32+TableC2!U32)/(TableC2!$D$91+TableC2!$O$91)</f>
        <v>8.4832806762380564</v>
      </c>
      <c r="J34" s="740">
        <f>1000*TableA7!$P$91*(TableC2!K32+TableC2!V32)/(TableC2!$D$91+TableC2!$O$91)</f>
        <v>119.06833070018077</v>
      </c>
      <c r="K34" s="739">
        <f>1000*TableA7!$P$91*(TableC2!L32+TableC2!W32)/(TableC2!$D$91+TableC2!$O$91)</f>
        <v>1022.6910027263549</v>
      </c>
      <c r="L34" s="678">
        <f>1000*TableA7!$P$91*(TableC2!M32+TableC2!X32)/(TableC2!$D$91+TableC2!$O$91)</f>
        <v>83.962456509957349</v>
      </c>
      <c r="M34" s="1328">
        <f>1000*TableA7!$P$91*(TableC2!N32+TableC2!Y32)/(TableC2!$D$91+TableC2!$O$91)</f>
        <v>938.7285462163976</v>
      </c>
      <c r="N34" s="739">
        <f>1000*TableA7!$P$91*TableC3!C32/TableC3!$C$91</f>
        <v>664.19388279612565</v>
      </c>
      <c r="O34" s="739">
        <f>1000*TableA7!$P$91*TableC3!D32/TableC3!$C$91</f>
        <v>-108.5029583417853</v>
      </c>
      <c r="P34" s="740">
        <f>1000*TableA7!$P$91*TableC3!E32/TableC3!$C$91</f>
        <v>-117.54493678789977</v>
      </c>
      <c r="Q34" s="740">
        <f>1000*TableA7!$P$91*TableC3!F32/TableC3!$C$91</f>
        <v>0.20024037064326461</v>
      </c>
      <c r="R34" s="740">
        <f>1000*TableA7!$P$91*TableC3!G32/TableC3!$C$91</f>
        <v>8.8417380754712003</v>
      </c>
      <c r="S34" s="740">
        <f>1000*TableA7!$P$91*TableC3!H32/TableC3!$C$91</f>
        <v>0</v>
      </c>
      <c r="T34" s="740">
        <f>1000*TableA7!$P$91*TableC3!I32/TableC3!$C$91</f>
        <v>0</v>
      </c>
      <c r="U34" s="740">
        <f>1000*TableA7!$P$91*TableC3!J32/TableC3!$C$91</f>
        <v>0</v>
      </c>
      <c r="V34" s="739">
        <f>1000*TableA7!$P$91*TableC3!K32/TableC3!$C$91</f>
        <v>772.69684113791095</v>
      </c>
      <c r="W34" s="678">
        <f>1000*TableA7!$P$91*TableC3!L32/TableC3!$C$91</f>
        <v>0</v>
      </c>
      <c r="X34" s="593">
        <f>1000*TableA7!$P$91*TableC3!M32/TableC3!$C$91</f>
        <v>772.69684113791095</v>
      </c>
    </row>
    <row r="35" spans="1:24" ht="14.25" customHeight="1" x14ac:dyDescent="0.35">
      <c r="B35" s="13" t="s">
        <v>74</v>
      </c>
      <c r="C35" s="739">
        <f>1000*TableA7!$P$91*(TableC2!D33+TableC2!O33)/(TableC2!$D$91+TableC2!$O$91)</f>
        <v>5215.6647064681247</v>
      </c>
      <c r="D35" s="739">
        <f>1000*TableA7!$P$91*(TableC2!E33+TableC2!P33)/(TableC2!$D$91+TableC2!$O$91)</f>
        <v>2943.7110483106339</v>
      </c>
      <c r="E35" s="740">
        <f>1000*TableA7!$P$91*(TableC2!F33+TableC2!Q33)/(TableC2!$D$91+TableC2!$O$91)</f>
        <v>274.36645656815818</v>
      </c>
      <c r="F35" s="740">
        <f>1000*TableA7!$P$91*(TableC2!G33+TableC2!R33)/(TableC2!$D$91+TableC2!$O$91)</f>
        <v>1.6855537143936803</v>
      </c>
      <c r="G35" s="740">
        <f>1000*TableA7!$P$91*(TableC2!H33+TableC2!S33)/(TableC2!$D$91+TableC2!$O$91)</f>
        <v>1142.4759227196676</v>
      </c>
      <c r="H35" s="740">
        <f>1000*TableA7!$P$91*(TableC2!I33+TableC2!T33)/(TableC2!$D$91+TableC2!$O$91)</f>
        <v>715.45484209571293</v>
      </c>
      <c r="I35" s="740">
        <f>1000*TableA7!$P$91*(TableC2!J33+TableC2!U33)/(TableC2!$D$91+TableC2!$O$91)</f>
        <v>33.889576719519631</v>
      </c>
      <c r="J35" s="740">
        <f>1000*TableA7!$P$91*(TableC2!K33+TableC2!V33)/(TableC2!$D$91+TableC2!$O$91)</f>
        <v>775.83869649318217</v>
      </c>
      <c r="K35" s="739">
        <f>1000*TableA7!$P$91*(TableC2!L33+TableC2!W33)/(TableC2!$D$91+TableC2!$O$91)</f>
        <v>2271.9536581574898</v>
      </c>
      <c r="L35" s="678">
        <f>1000*TableA7!$P$91*(TableC2!M33+TableC2!X33)/(TableC2!$D$91+TableC2!$O$91)</f>
        <v>186.52634051453447</v>
      </c>
      <c r="M35" s="1328">
        <f>1000*TableA7!$P$91*(TableC2!N33+TableC2!Y33)/(TableC2!$D$91+TableC2!$O$91)</f>
        <v>2085.4273176429556</v>
      </c>
      <c r="N35" s="739">
        <f>1000*TableA7!$P$91*TableC3!C33/TableC3!$C$91</f>
        <v>5432.0250995465667</v>
      </c>
      <c r="O35" s="739">
        <f>1000*TableA7!$P$91*TableC3!D33/TableC3!$C$91</f>
        <v>3839.4727176957904</v>
      </c>
      <c r="P35" s="740">
        <f>1000*TableA7!$P$91*TableC3!E33/TableC3!$C$91</f>
        <v>3702.2924578331963</v>
      </c>
      <c r="Q35" s="740">
        <f>1000*TableA7!$P$91*TableC3!F33/TableC3!$C$91</f>
        <v>0</v>
      </c>
      <c r="R35" s="740">
        <f>1000*TableA7!$P$91*TableC3!G33/TableC3!$C$91</f>
        <v>35.046612058449234</v>
      </c>
      <c r="S35" s="740">
        <f>1000*TableA7!$P$91*TableC3!H33/TableC3!$C$91</f>
        <v>0</v>
      </c>
      <c r="T35" s="740">
        <f>1000*TableA7!$P$91*TableC3!I33/TableC3!$C$91</f>
        <v>0</v>
      </c>
      <c r="U35" s="740">
        <f>1000*TableA7!$P$91*TableC3!J33/TableC3!$C$91</f>
        <v>102.13364780414452</v>
      </c>
      <c r="V35" s="739">
        <f>1000*TableA7!$P$91*TableC3!K33/TableC3!$C$91</f>
        <v>1592.5523818507768</v>
      </c>
      <c r="W35" s="678">
        <f>1000*TableA7!$P$91*TableC3!L33/TableC3!$C$91</f>
        <v>0</v>
      </c>
      <c r="X35" s="593">
        <f>1000*TableA7!$P$91*TableC3!M33/TableC3!$C$91</f>
        <v>1592.5523818507768</v>
      </c>
    </row>
    <row r="36" spans="1:24" ht="14.25" customHeight="1" x14ac:dyDescent="0.35">
      <c r="B36" s="1977" t="s">
        <v>75</v>
      </c>
      <c r="C36" s="739">
        <f>1000*TableA7!$P$91*(TableC2!D34+TableC2!O34)/(TableC2!$D$91+TableC2!$O$91)</f>
        <v>3695.8663942036615</v>
      </c>
      <c r="D36" s="739">
        <f>1000*TableA7!$P$91*(TableC2!E34+TableC2!P34)/(TableC2!$D$91+TableC2!$O$91)</f>
        <v>2560.6127822567601</v>
      </c>
      <c r="E36" s="740">
        <f>1000*TableA7!$P$91*(TableC2!F34+TableC2!Q34)/(TableC2!$D$91+TableC2!$O$91)</f>
        <v>492.85065707137016</v>
      </c>
      <c r="F36" s="740">
        <f>1000*TableA7!$P$91*(TableC2!G34+TableC2!R34)/(TableC2!$D$91+TableC2!$O$91)</f>
        <v>12.758683785637997</v>
      </c>
      <c r="G36" s="740">
        <f>1000*TableA7!$P$91*(TableC2!H34+TableC2!S34)/(TableC2!$D$91+TableC2!$O$91)</f>
        <v>828.18108863991836</v>
      </c>
      <c r="H36" s="740">
        <f>1000*TableA7!$P$91*(TableC2!I34+TableC2!T34)/(TableC2!$D$91+TableC2!$O$91)</f>
        <v>575.59399021059494</v>
      </c>
      <c r="I36" s="740">
        <f>1000*TableA7!$P$91*(TableC2!J34+TableC2!U34)/(TableC2!$D$91+TableC2!$O$91)</f>
        <v>16.287146686298474</v>
      </c>
      <c r="J36" s="740">
        <f>1000*TableA7!$P$91*(TableC2!K34+TableC2!V34)/(TableC2!$D$91+TableC2!$O$91)</f>
        <v>634.94121586293977</v>
      </c>
      <c r="K36" s="739">
        <f>1000*TableA7!$P$91*(TableC2!L34+TableC2!W34)/(TableC2!$D$91+TableC2!$O$91)</f>
        <v>1135.2536119469016</v>
      </c>
      <c r="L36" s="678">
        <f>1000*TableA7!$P$91*(TableC2!M34+TableC2!X34)/(TableC2!$D$91+TableC2!$O$91)</f>
        <v>1033.4183448501033</v>
      </c>
      <c r="M36" s="1328">
        <f>1000*TableA7!$P$91*(TableC2!N34+TableC2!Y34)/(TableC2!$D$91+TableC2!$O$91)</f>
        <v>101.8352670967983</v>
      </c>
      <c r="N36" s="739">
        <f>1000*TableA7!$P$91*TableC3!C34/TableC3!$C$91</f>
        <v>-2526.9761674712031</v>
      </c>
      <c r="O36" s="739">
        <f>1000*TableA7!$P$91*TableC3!D34/TableC3!$C$91</f>
        <v>-2528.8136081777884</v>
      </c>
      <c r="P36" s="740">
        <f>1000*TableA7!$P$91*TableC3!E34/TableC3!$C$91</f>
        <v>-2989.6334866055354</v>
      </c>
      <c r="Q36" s="740">
        <f>1000*TableA7!$P$91*TableC3!F34/TableC3!$C$91</f>
        <v>0</v>
      </c>
      <c r="R36" s="740">
        <f>1000*TableA7!$P$91*TableC3!G34/TableC3!$C$91</f>
        <v>-18.31502887061891</v>
      </c>
      <c r="S36" s="740">
        <f>1000*TableA7!$P$91*TableC3!H34/TableC3!$C$91</f>
        <v>0</v>
      </c>
      <c r="T36" s="740">
        <f>1000*TableA7!$P$91*TableC3!I34/TableC3!$C$91</f>
        <v>0</v>
      </c>
      <c r="U36" s="740">
        <f>1000*TableA7!$P$91*TableC3!J34/TableC3!$C$91</f>
        <v>479.13490729836593</v>
      </c>
      <c r="V36" s="739">
        <f>1000*TableA7!$P$91*TableC3!K34/TableC3!$C$91</f>
        <v>1.8374407065856166</v>
      </c>
      <c r="W36" s="678">
        <f>1000*TableA7!$P$91*TableC3!L34/TableC3!$C$91</f>
        <v>0</v>
      </c>
      <c r="X36" s="593">
        <f>1000*TableA7!$P$91*TableC3!M34/TableC3!$C$91</f>
        <v>1.8374407065856166</v>
      </c>
    </row>
    <row r="37" spans="1:24" ht="14.25" customHeight="1" x14ac:dyDescent="0.35">
      <c r="B37" s="1977" t="s">
        <v>76</v>
      </c>
      <c r="C37" s="739">
        <f>1000*TableA7!$P$91*(TableC2!D35+TableC2!O35)/(TableC2!$D$91+TableC2!$O$91)</f>
        <v>2638.1822918681346</v>
      </c>
      <c r="D37" s="739">
        <f>1000*TableA7!$P$91*(TableC2!E35+TableC2!P35)/(TableC2!$D$91+TableC2!$O$91)</f>
        <v>2356.8932486324625</v>
      </c>
      <c r="E37" s="740">
        <f>1000*TableA7!$P$91*(TableC2!F35+TableC2!Q35)/(TableC2!$D$91+TableC2!$O$91)</f>
        <v>372.51566773606618</v>
      </c>
      <c r="F37" s="740">
        <f>1000*TableA7!$P$91*(TableC2!G35+TableC2!R35)/(TableC2!$D$91+TableC2!$O$91)</f>
        <v>1.0463801074739643</v>
      </c>
      <c r="G37" s="740">
        <f>1000*TableA7!$P$91*(TableC2!H35+TableC2!S35)/(TableC2!$D$91+TableC2!$O$91)</f>
        <v>532.88055199577332</v>
      </c>
      <c r="H37" s="740">
        <f>1000*TableA7!$P$91*(TableC2!I35+TableC2!T35)/(TableC2!$D$91+TableC2!$O$91)</f>
        <v>741.87476236474674</v>
      </c>
      <c r="I37" s="740">
        <f>1000*TableA7!$P$91*(TableC2!J35+TableC2!U35)/(TableC2!$D$91+TableC2!$O$91)</f>
        <v>8.3980050693946318</v>
      </c>
      <c r="J37" s="740">
        <f>1000*TableA7!$P$91*(TableC2!K35+TableC2!V35)/(TableC2!$D$91+TableC2!$O$91)</f>
        <v>700.17788135900787</v>
      </c>
      <c r="K37" s="739">
        <f>1000*TableA7!$P$91*(TableC2!L35+TableC2!W35)/(TableC2!$D$91+TableC2!$O$91)</f>
        <v>281.28904323567207</v>
      </c>
      <c r="L37" s="678">
        <f>1000*TableA7!$P$91*(TableC2!M35+TableC2!X35)/(TableC2!$D$91+TableC2!$O$91)</f>
        <v>226.85015138945425</v>
      </c>
      <c r="M37" s="1328">
        <f>1000*TableA7!$P$91*(TableC2!N35+TableC2!Y35)/(TableC2!$D$91+TableC2!$O$91)</f>
        <v>54.438891846217764</v>
      </c>
      <c r="N37" s="739">
        <f>1000*TableA7!$P$91*TableC3!C35/TableC3!$C$91</f>
        <v>278.00396998269787</v>
      </c>
      <c r="O37" s="739">
        <f>1000*TableA7!$P$91*TableC3!D35/TableC3!$C$91</f>
        <v>3.1756436638261429</v>
      </c>
      <c r="P37" s="740">
        <f>1000*TableA7!$P$91*TableC3!E35/TableC3!$C$91</f>
        <v>-156.37573064181512</v>
      </c>
      <c r="Q37" s="740">
        <f>1000*TableA7!$P$91*TableC3!F35/TableC3!$C$91</f>
        <v>0.14970863053046879</v>
      </c>
      <c r="R37" s="740">
        <f>1000*TableA7!$P$91*TableC3!G35/TableC3!$C$91</f>
        <v>51.057747589579861</v>
      </c>
      <c r="S37" s="740">
        <f>1000*TableA7!$P$91*TableC3!H35/TableC3!$C$91</f>
        <v>0</v>
      </c>
      <c r="T37" s="740">
        <f>1000*TableA7!$P$91*TableC3!I35/TableC3!$C$91</f>
        <v>0</v>
      </c>
      <c r="U37" s="740">
        <f>1000*TableA7!$P$91*TableC3!J35/TableC3!$C$91</f>
        <v>108.34391808553094</v>
      </c>
      <c r="V37" s="739">
        <f>1000*TableA7!$P$91*TableC3!K35/TableC3!$C$91</f>
        <v>274.82832631887175</v>
      </c>
      <c r="W37" s="678">
        <f>1000*TableA7!$P$91*TableC3!L35/TableC3!$C$91</f>
        <v>0</v>
      </c>
      <c r="X37" s="593">
        <f>1000*TableA7!$P$91*TableC3!M35/TableC3!$C$91</f>
        <v>274.82832631887175</v>
      </c>
    </row>
    <row r="38" spans="1:24" ht="14.25" customHeight="1" x14ac:dyDescent="0.35">
      <c r="A38" s="376" t="s">
        <v>77</v>
      </c>
      <c r="B38" s="1977" t="s">
        <v>96</v>
      </c>
      <c r="C38" s="739">
        <f>1000*TableA7!$P$91*(TableC2!D36+TableC2!O36)/(TableC2!$D$91+TableC2!$O$91)</f>
        <v>636.81356041207425</v>
      </c>
      <c r="D38" s="739">
        <f>1000*TableA7!$P$91*(TableC2!E36+TableC2!P36)/(TableC2!$D$91+TableC2!$O$91)</f>
        <v>535.34568700679756</v>
      </c>
      <c r="E38" s="740">
        <f>1000*TableA7!$P$91*(TableC2!F36+TableC2!Q36)/(TableC2!$D$91+TableC2!$O$91)</f>
        <v>119.53462150435155</v>
      </c>
      <c r="F38" s="740">
        <f>1000*TableA7!$P$91*(TableC2!G36+TableC2!R36)/(TableC2!$D$91+TableC2!$O$91)</f>
        <v>0.55806939065278094</v>
      </c>
      <c r="G38" s="740">
        <f>1000*TableA7!$P$91*(TableC2!H36+TableC2!S36)/(TableC2!$D$91+TableC2!$O$91)</f>
        <v>96.859254026411776</v>
      </c>
      <c r="H38" s="740">
        <f>1000*TableA7!$P$91*(TableC2!I36+TableC2!T36)/(TableC2!$D$91+TableC2!$O$91)</f>
        <v>194.0487617403175</v>
      </c>
      <c r="I38" s="740">
        <f>1000*TableA7!$P$91*(TableC2!J36+TableC2!U36)/(TableC2!$D$91+TableC2!$O$91)</f>
        <v>4.6571518766799249</v>
      </c>
      <c r="J38" s="740">
        <f>1000*TableA7!$P$91*(TableC2!K36+TableC2!V36)/(TableC2!$D$91+TableC2!$O$91)</f>
        <v>119.68782846838401</v>
      </c>
      <c r="K38" s="739">
        <f>1000*TableA7!$P$91*(TableC2!L36+TableC2!W36)/(TableC2!$D$91+TableC2!$O$91)</f>
        <v>101.46787340527673</v>
      </c>
      <c r="L38" s="678">
        <f>1000*TableA7!$P$91*(TableC2!M36+TableC2!X36)/(TableC2!$D$91+TableC2!$O$91)</f>
        <v>81.407464927208082</v>
      </c>
      <c r="M38" s="1328">
        <f>1000*TableA7!$P$91*(TableC2!N36+TableC2!Y36)/(TableC2!$D$91+TableC2!$O$91)</f>
        <v>20.06040847806867</v>
      </c>
      <c r="N38" s="739">
        <f>1000*TableA7!$P$91*TableC3!C36/TableC3!$C$91</f>
        <v>89.925521376863429</v>
      </c>
      <c r="O38" s="739">
        <f>1000*TableA7!$P$91*TableC3!D36/TableC3!$C$91</f>
        <v>86.38031327108807</v>
      </c>
      <c r="P38" s="740">
        <f>1000*TableA7!$P$91*TableC3!E36/TableC3!$C$91</f>
        <v>80.543218315941559</v>
      </c>
      <c r="Q38" s="740">
        <f>1000*TableA7!$P$91*TableC3!F36/TableC3!$C$91</f>
        <v>0</v>
      </c>
      <c r="R38" s="740">
        <f>1000*TableA7!$P$91*TableC3!G36/TableC3!$C$91</f>
        <v>0</v>
      </c>
      <c r="S38" s="740">
        <f>1000*TableA7!$P$91*TableC3!H36/TableC3!$C$91</f>
        <v>0</v>
      </c>
      <c r="T38" s="740">
        <f>1000*TableA7!$P$91*TableC3!I36/TableC3!$C$91</f>
        <v>0</v>
      </c>
      <c r="U38" s="740">
        <f>1000*TableA7!$P$91*TableC3!J36/TableC3!$C$91</f>
        <v>5.8370949551465188</v>
      </c>
      <c r="V38" s="739">
        <f>1000*TableA7!$P$91*TableC3!K36/TableC3!$C$91</f>
        <v>3.5452081057753464</v>
      </c>
      <c r="W38" s="678">
        <f>1000*TableA7!$P$91*TableC3!L36/TableC3!$C$91</f>
        <v>0</v>
      </c>
      <c r="X38" s="593">
        <f>1000*TableA7!$P$91*TableC3!M36/TableC3!$C$91</f>
        <v>3.5452081057753464</v>
      </c>
    </row>
    <row r="39" spans="1:24" ht="14.25" customHeight="1" x14ac:dyDescent="0.35">
      <c r="B39" s="1977" t="s">
        <v>78</v>
      </c>
      <c r="C39" s="739">
        <f>1000*TableA7!$P$91*(TableC2!D37+TableC2!O37)/(TableC2!$D$91+TableC2!$O$91)</f>
        <v>225.29901009808276</v>
      </c>
      <c r="D39" s="739">
        <f>1000*TableA7!$P$91*(TableC2!E37+TableC2!P37)/(TableC2!$D$91+TableC2!$O$91)</f>
        <v>115.10063901304477</v>
      </c>
      <c r="E39" s="740">
        <f>1000*TableA7!$P$91*(TableC2!F37+TableC2!Q37)/(TableC2!$D$91+TableC2!$O$91)</f>
        <v>28.604646552711809</v>
      </c>
      <c r="F39" s="740">
        <f>1000*TableA7!$P$91*(TableC2!G37+TableC2!R37)/(TableC2!$D$91+TableC2!$O$91)</f>
        <v>0.27000411128270535</v>
      </c>
      <c r="G39" s="740">
        <f>1000*TableA7!$P$91*(TableC2!H37+TableC2!S37)/(TableC2!$D$91+TableC2!$O$91)</f>
        <v>40.238802202293925</v>
      </c>
      <c r="H39" s="740">
        <f>1000*TableA7!$P$91*(TableC2!I37+TableC2!T37)/(TableC2!$D$91+TableC2!$O$91)</f>
        <v>29.320698916191361</v>
      </c>
      <c r="I39" s="740">
        <f>1000*TableA7!$P$91*(TableC2!J37+TableC2!U37)/(TableC2!$D$91+TableC2!$O$91)</f>
        <v>0.18277521286921036</v>
      </c>
      <c r="J39" s="740">
        <f>1000*TableA7!$P$91*(TableC2!K37+TableC2!V37)/(TableC2!$D$91+TableC2!$O$91)</f>
        <v>16.483712017695762</v>
      </c>
      <c r="K39" s="739">
        <f>1000*TableA7!$P$91*(TableC2!L37+TableC2!W37)/(TableC2!$D$91+TableC2!$O$91)</f>
        <v>110.19837108503796</v>
      </c>
      <c r="L39" s="678">
        <f>1000*TableA7!$P$91*(TableC2!M37+TableC2!X37)/(TableC2!$D$91+TableC2!$O$91)</f>
        <v>80.16801629536981</v>
      </c>
      <c r="M39" s="1328">
        <f>1000*TableA7!$P$91*(TableC2!N37+TableC2!Y37)/(TableC2!$D$91+TableC2!$O$91)</f>
        <v>30.030354789668166</v>
      </c>
      <c r="N39" s="739">
        <f>1000*TableA7!$P$91*TableC3!C37/TableC3!$C$91</f>
        <v>-7.0565357816494352</v>
      </c>
      <c r="O39" s="739">
        <f>1000*TableA7!$P$91*TableC3!D37/TableC3!$C$91</f>
        <v>-7.5825699869749208</v>
      </c>
      <c r="P39" s="740">
        <f>1000*TableA7!$P$91*TableC3!E37/TableC3!$C$91</f>
        <v>-7.5689039898506643</v>
      </c>
      <c r="Q39" s="740">
        <f>1000*TableA7!$P$91*TableC3!F37/TableC3!$C$91</f>
        <v>-1.3665997124256542E-2</v>
      </c>
      <c r="R39" s="740">
        <f>1000*TableA7!$P$91*TableC3!G37/TableC3!$C$91</f>
        <v>0</v>
      </c>
      <c r="S39" s="740">
        <f>1000*TableA7!$P$91*TableC3!H37/TableC3!$C$91</f>
        <v>0</v>
      </c>
      <c r="T39" s="740">
        <f>1000*TableA7!$P$91*TableC3!I37/TableC3!$C$91</f>
        <v>0</v>
      </c>
      <c r="U39" s="740">
        <f>1000*TableA7!$P$91*TableC3!J37/TableC3!$C$91</f>
        <v>0</v>
      </c>
      <c r="V39" s="739">
        <f>1000*TableA7!$P$91*TableC3!K37/TableC3!$C$91</f>
        <v>0.52603420532548562</v>
      </c>
      <c r="W39" s="678">
        <f>1000*TableA7!$P$91*TableC3!L37/TableC3!$C$91</f>
        <v>0</v>
      </c>
      <c r="X39" s="593">
        <f>1000*TableA7!$P$91*TableC3!M37/TableC3!$C$91</f>
        <v>0.52603420532548562</v>
      </c>
    </row>
    <row r="40" spans="1:24" ht="14.25" customHeight="1" x14ac:dyDescent="0.35">
      <c r="B40" s="1977" t="s">
        <v>79</v>
      </c>
      <c r="C40" s="739">
        <f>1000*TableA7!$P$91*(TableC2!D38+TableC2!O38)/(TableC2!$D$91+TableC2!$O$91)</f>
        <v>14362.071520602967</v>
      </c>
      <c r="D40" s="739">
        <f>1000*TableA7!$P$91*(TableC2!E38+TableC2!P38)/(TableC2!$D$91+TableC2!$O$91)</f>
        <v>11306.512195320996</v>
      </c>
      <c r="E40" s="740">
        <f>1000*TableA7!$P$91*(TableC2!F38+TableC2!Q38)/(TableC2!$D$91+TableC2!$O$91)</f>
        <v>895.78485377474146</v>
      </c>
      <c r="F40" s="740">
        <f>1000*TableA7!$P$91*(TableC2!G38+TableC2!R38)/(TableC2!$D$91+TableC2!$O$91)</f>
        <v>9.0686275981076907</v>
      </c>
      <c r="G40" s="740">
        <f>1000*TableA7!$P$91*(TableC2!H38+TableC2!S38)/(TableC2!$D$91+TableC2!$O$91)</f>
        <v>2265.3946828007824</v>
      </c>
      <c r="H40" s="740">
        <f>1000*TableA7!$P$91*(TableC2!I38+TableC2!T38)/(TableC2!$D$91+TableC2!$O$91)</f>
        <v>3148.3773772843465</v>
      </c>
      <c r="I40" s="740">
        <f>1000*TableA7!$P$91*(TableC2!J38+TableC2!U38)/(TableC2!$D$91+TableC2!$O$91)</f>
        <v>17.477186541687171</v>
      </c>
      <c r="J40" s="740">
        <f>1000*TableA7!$P$91*(TableC2!K38+TableC2!V38)/(TableC2!$D$91+TableC2!$O$91)</f>
        <v>4970.4094673213331</v>
      </c>
      <c r="K40" s="739">
        <f>1000*TableA7!$P$91*(TableC2!L38+TableC2!W38)/(TableC2!$D$91+TableC2!$O$91)</f>
        <v>3055.5593252819704</v>
      </c>
      <c r="L40" s="678">
        <f>1000*TableA7!$P$91*(TableC2!M38+TableC2!X38)/(TableC2!$D$91+TableC2!$O$91)</f>
        <v>1723.6309312557178</v>
      </c>
      <c r="M40" s="1328">
        <f>1000*TableA7!$P$91*(TableC2!N38+TableC2!Y38)/(TableC2!$D$91+TableC2!$O$91)</f>
        <v>1331.9283940262535</v>
      </c>
      <c r="N40" s="739">
        <f>1000*TableA7!$P$91*TableC3!C38/TableC3!$C$91</f>
        <v>3099.8760283355009</v>
      </c>
      <c r="O40" s="739">
        <f>1000*TableA7!$P$91*TableC3!D38/TableC3!$C$91</f>
        <v>1102.8621662359037</v>
      </c>
      <c r="P40" s="740">
        <f>1000*TableA7!$P$91*TableC3!E38/TableC3!$C$91</f>
        <v>-933.52148618082663</v>
      </c>
      <c r="Q40" s="740">
        <f>1000*TableA7!$P$91*TableC3!F38/TableC3!$C$91</f>
        <v>4.8250434244004845</v>
      </c>
      <c r="R40" s="740">
        <f>1000*TableA7!$P$91*TableC3!G38/TableC3!$C$91</f>
        <v>702.49508961464846</v>
      </c>
      <c r="S40" s="740">
        <f>1000*TableA7!$P$91*TableC3!H38/TableC3!$C$91</f>
        <v>-222.94303921357007</v>
      </c>
      <c r="T40" s="740">
        <f>1000*TableA7!$P$91*TableC3!I38/TableC3!$C$91</f>
        <v>2.820818795711999</v>
      </c>
      <c r="U40" s="740">
        <f>1000*TableA7!$P$91*TableC3!J38/TableC3!$C$91</f>
        <v>1549.1857397955398</v>
      </c>
      <c r="V40" s="739">
        <f>1000*TableA7!$P$91*TableC3!K38/TableC3!$C$91</f>
        <v>1997.013862099597</v>
      </c>
      <c r="W40" s="678">
        <f>1000*TableA7!$P$91*TableC3!L38/TableC3!$C$91</f>
        <v>1694.983994461209</v>
      </c>
      <c r="X40" s="593">
        <f>1000*TableA7!$P$91*TableC3!M38/TableC3!$C$91</f>
        <v>302.02986763838794</v>
      </c>
    </row>
    <row r="41" spans="1:24" s="118" customFormat="1" ht="14.25" customHeight="1" x14ac:dyDescent="0.35">
      <c r="B41" s="1977" t="s">
        <v>80</v>
      </c>
      <c r="C41" s="739">
        <f>1000*TableA7!$P$91*(TableC2!D39+TableC2!O39)/(TableC2!$D$91+TableC2!$O$91)</f>
        <v>8541.0900580049947</v>
      </c>
      <c r="D41" s="739">
        <f>1000*TableA7!$P$91*(TableC2!E39+TableC2!P39)/(TableC2!$D$91+TableC2!$O$91)</f>
        <v>6671.350421331319</v>
      </c>
      <c r="E41" s="740">
        <f>1000*TableA7!$P$91*(TableC2!F39+TableC2!Q39)/(TableC2!$D$91+TableC2!$O$91)</f>
        <v>939.40284480831576</v>
      </c>
      <c r="F41" s="740">
        <f>1000*TableA7!$P$91*(TableC2!G39+TableC2!R39)/(TableC2!$D$91+TableC2!$O$91)</f>
        <v>3.4879336915798809</v>
      </c>
      <c r="G41" s="740">
        <f>1000*TableA7!$P$91*(TableC2!H39+TableC2!S39)/(TableC2!$D$91+TableC2!$O$91)</f>
        <v>2191.6935682166823</v>
      </c>
      <c r="H41" s="740">
        <f>1000*TableA7!$P$91*(TableC2!I39+TableC2!T39)/(TableC2!$D$91+TableC2!$O$91)</f>
        <v>2387.5842328405784</v>
      </c>
      <c r="I41" s="740">
        <f>1000*TableA7!$P$91*(TableC2!J39+TableC2!U39)/(TableC2!$D$91+TableC2!$O$91)</f>
        <v>106.30369615594229</v>
      </c>
      <c r="J41" s="740">
        <f>1000*TableA7!$P$91*(TableC2!K39+TableC2!V39)/(TableC2!$D$91+TableC2!$O$91)</f>
        <v>1042.8781456182198</v>
      </c>
      <c r="K41" s="739">
        <f>1000*TableA7!$P$91*(TableC2!L39+TableC2!W39)/(TableC2!$D$91+TableC2!$O$91)</f>
        <v>1869.7396366736759</v>
      </c>
      <c r="L41" s="678">
        <f>1000*TableA7!$P$91*(TableC2!M39+TableC2!X39)/(TableC2!$D$91+TableC2!$O$91)</f>
        <v>680.45759325108077</v>
      </c>
      <c r="M41" s="1328">
        <f>1000*TableA7!$P$91*(TableC2!N39+TableC2!Y39)/(TableC2!$D$91+TableC2!$O$91)</f>
        <v>1189.2820434225953</v>
      </c>
      <c r="N41" s="739">
        <f>1000*TableA7!$P$91*TableC3!C39/TableC3!$C$91</f>
        <v>9482.5407177516772</v>
      </c>
      <c r="O41" s="739">
        <f>1000*TableA7!$P$91*TableC3!D39/TableC3!$C$91</f>
        <v>6736.8315527555651</v>
      </c>
      <c r="P41" s="740">
        <f>1000*TableA7!$P$91*TableC3!E39/TableC3!$C$91</f>
        <v>3574.7994902830601</v>
      </c>
      <c r="Q41" s="740">
        <f>1000*TableA7!$P$91*TableC3!F39/TableC3!$C$91</f>
        <v>1.4193926529299816</v>
      </c>
      <c r="R41" s="740">
        <f>1000*TableA7!$P$91*TableC3!G39/TableC3!$C$91</f>
        <v>163.63662894731274</v>
      </c>
      <c r="S41" s="740">
        <f>1000*TableA7!$P$91*TableC3!H39/TableC3!$C$91</f>
        <v>63.708282106225916</v>
      </c>
      <c r="T41" s="740">
        <f>1000*TableA7!$P$91*TableC3!I39/TableC3!$C$91</f>
        <v>0</v>
      </c>
      <c r="U41" s="740">
        <f>1000*TableA7!$P$91*TableC3!J39/TableC3!$C$91</f>
        <v>2933.267758766036</v>
      </c>
      <c r="V41" s="739">
        <f>1000*TableA7!$P$91*TableC3!K39/TableC3!$C$91</f>
        <v>2745.7091649961117</v>
      </c>
      <c r="W41" s="678">
        <f>1000*TableA7!$P$91*TableC3!L39/TableC3!$C$91</f>
        <v>2659.61335925911</v>
      </c>
      <c r="X41" s="593">
        <f>1000*TableA7!$P$91*TableC3!M39/TableC3!$C$91</f>
        <v>86.095805737001768</v>
      </c>
    </row>
    <row r="42" spans="1:24" ht="14.25" customHeight="1" x14ac:dyDescent="0.35">
      <c r="B42" s="13" t="s">
        <v>1</v>
      </c>
      <c r="C42" s="739"/>
      <c r="D42" s="739"/>
      <c r="E42" s="740"/>
      <c r="F42" s="740"/>
      <c r="G42" s="740"/>
      <c r="H42" s="740"/>
      <c r="I42" s="740"/>
      <c r="J42" s="740"/>
      <c r="K42" s="739"/>
      <c r="L42" s="678"/>
      <c r="M42" s="1328"/>
      <c r="N42" s="739"/>
      <c r="O42" s="739"/>
      <c r="P42" s="740"/>
      <c r="Q42" s="740"/>
      <c r="R42" s="740"/>
      <c r="S42" s="740"/>
      <c r="T42" s="740"/>
      <c r="U42" s="740"/>
      <c r="V42" s="739"/>
      <c r="W42" s="678"/>
      <c r="X42" s="593"/>
    </row>
    <row r="43" spans="1:24" ht="14.25" customHeight="1" x14ac:dyDescent="0.35">
      <c r="B43" s="13" t="s">
        <v>81</v>
      </c>
      <c r="C43" s="739">
        <f>1000*TableA7!$P$91*(TableC2!D41+TableC2!O41)/(TableC2!$D$91+TableC2!$O$91)</f>
        <v>4975.4928205897595</v>
      </c>
      <c r="D43" s="739">
        <f>1000*TableA7!$P$91*(TableC2!E41+TableC2!P41)/(TableC2!$D$91+TableC2!$O$91)</f>
        <v>1616.4255905617979</v>
      </c>
      <c r="E43" s="740">
        <f>1000*TableA7!$P$91*(TableC2!F41+TableC2!Q41)/(TableC2!$D$91+TableC2!$O$91)</f>
        <v>171.90102514779218</v>
      </c>
      <c r="F43" s="740">
        <f>1000*TableA7!$P$91*(TableC2!G41+TableC2!R41)/(TableC2!$D$91+TableC2!$O$91)</f>
        <v>0</v>
      </c>
      <c r="G43" s="740">
        <f>1000*TableA7!$P$91*(TableC2!H41+TableC2!S41)/(TableC2!$D$91+TableC2!$O$91)</f>
        <v>521.24259846847565</v>
      </c>
      <c r="H43" s="740">
        <f>1000*TableA7!$P$91*(TableC2!I41+TableC2!T41)/(TableC2!$D$91+TableC2!$O$91)</f>
        <v>268.27102188390865</v>
      </c>
      <c r="I43" s="740">
        <f>1000*TableA7!$P$91*(TableC2!J41+TableC2!U41)/(TableC2!$D$91+TableC2!$O$91)</f>
        <v>21.934346218198151</v>
      </c>
      <c r="J43" s="740">
        <f>1000*TableA7!$P$91*(TableC2!K41+TableC2!V41)/(TableC2!$D$91+TableC2!$O$91)</f>
        <v>633.07659884342354</v>
      </c>
      <c r="K43" s="739">
        <f>1000*TableA7!$P$91*(TableC2!L41+TableC2!W41)/(TableC2!$D$91+TableC2!$O$91)</f>
        <v>3359.0672300279607</v>
      </c>
      <c r="L43" s="678">
        <f>1000*TableA7!$P$91*(TableC2!M41+TableC2!X41)/(TableC2!$D$91+TableC2!$O$91)</f>
        <v>275.77786004118281</v>
      </c>
      <c r="M43" s="1328">
        <f>1000*TableA7!$P$91*(TableC2!N41+TableC2!Y41)/(TableC2!$D$91+TableC2!$O$91)</f>
        <v>3083.2893699867777</v>
      </c>
      <c r="N43" s="739">
        <f>1000*TableA7!$P$91*TableC3!C41/TableC3!$C$91</f>
        <v>468.07850247818971</v>
      </c>
      <c r="O43" s="739">
        <f>1000*TableA7!$P$91*TableC3!D41/TableC3!$C$91</f>
        <v>448.54211049952477</v>
      </c>
      <c r="P43" s="740">
        <f>1000*TableA7!$P$91*TableC3!E41/TableC3!$C$91</f>
        <v>18.652339055015045</v>
      </c>
      <c r="Q43" s="740">
        <f>1000*TableA7!$P$91*TableC3!F41/TableC3!$C$91</f>
        <v>-6.0609127448260688E-3</v>
      </c>
      <c r="R43" s="740">
        <f>1000*TableA7!$P$91*TableC3!G41/TableC3!$C$91</f>
        <v>0</v>
      </c>
      <c r="S43" s="740">
        <f>1000*TableA7!$P$91*TableC3!H41/TableC3!$C$91</f>
        <v>0</v>
      </c>
      <c r="T43" s="740">
        <f>1000*TableA7!$P$91*TableC3!I41/TableC3!$C$91</f>
        <v>3.5619389148389415</v>
      </c>
      <c r="U43" s="740">
        <f>1000*TableA7!$P$91*TableC3!J41/TableC3!$C$91</f>
        <v>426.33389344241562</v>
      </c>
      <c r="V43" s="739">
        <f>1000*TableA7!$P$91*TableC3!K41/TableC3!$C$91</f>
        <v>19.536391978664955</v>
      </c>
      <c r="W43" s="678">
        <f>1000*TableA7!$P$91*TableC3!L41/TableC3!$C$91</f>
        <v>0</v>
      </c>
      <c r="X43" s="593">
        <f>1000*TableA7!$P$91*TableC3!M41/TableC3!$C$91</f>
        <v>19.536391978664955</v>
      </c>
    </row>
    <row r="44" spans="1:24" ht="14.25" customHeight="1" x14ac:dyDescent="0.35">
      <c r="B44" s="13" t="s">
        <v>82</v>
      </c>
      <c r="C44" s="739">
        <f>1000*TableA7!$P$91*(TableC2!D42+TableC2!O42)/(TableC2!$D$91+TableC2!$O$91)</f>
        <v>61500.90068304637</v>
      </c>
      <c r="D44" s="739">
        <f>1000*TableA7!$P$91*(TableC2!E42+TableC2!P42)/(TableC2!$D$91+TableC2!$O$91)</f>
        <v>48545.269178069379</v>
      </c>
      <c r="E44" s="740">
        <f>1000*TableA7!$P$91*(TableC2!F42+TableC2!Q42)/(TableC2!$D$91+TableC2!$O$91)</f>
        <v>5175.2327460793467</v>
      </c>
      <c r="F44" s="740">
        <f>1000*TableA7!$P$91*(TableC2!G42+TableC2!R42)/(TableC2!$D$91+TableC2!$O$91)</f>
        <v>505.89624321914977</v>
      </c>
      <c r="G44" s="740">
        <f>1000*TableA7!$P$91*(TableC2!H42+TableC2!S42)/(TableC2!$D$91+TableC2!$O$91)</f>
        <v>16919.754255845513</v>
      </c>
      <c r="H44" s="740">
        <f>1000*TableA7!$P$91*(TableC2!I42+TableC2!T42)/(TableC2!$D$91+TableC2!$O$91)</f>
        <v>15955.786856875593</v>
      </c>
      <c r="I44" s="740">
        <f>1000*TableA7!$P$91*(TableC2!J42+TableC2!U42)/(TableC2!$D$91+TableC2!$O$91)</f>
        <v>232.81328640864103</v>
      </c>
      <c r="J44" s="740">
        <f>1000*TableA7!$P$91*(TableC2!K42+TableC2!V42)/(TableC2!$D$91+TableC2!$O$91)</f>
        <v>9755.7857896411315</v>
      </c>
      <c r="K44" s="739">
        <f>1000*TableA7!$P$91*(TableC2!L42+TableC2!W42)/(TableC2!$D$91+TableC2!$O$91)</f>
        <v>12955.631504977</v>
      </c>
      <c r="L44" s="678">
        <f>1000*TableA7!$P$91*(TableC2!M42+TableC2!X42)/(TableC2!$D$91+TableC2!$O$91)</f>
        <v>3806.9935847933366</v>
      </c>
      <c r="M44" s="1328">
        <f>1000*TableA7!$P$91*(TableC2!N42+TableC2!Y42)/(TableC2!$D$91+TableC2!$O$91)</f>
        <v>9148.6379201836626</v>
      </c>
      <c r="N44" s="739">
        <f>1000*TableA7!$P$91*TableC3!C42/TableC3!$C$91</f>
        <v>54470.500815613676</v>
      </c>
      <c r="O44" s="739">
        <f>1000*TableA7!$P$91*TableC3!D42/TableC3!$C$91</f>
        <v>38795.342454904843</v>
      </c>
      <c r="P44" s="740">
        <f>1000*TableA7!$P$91*TableC3!E42/TableC3!$C$91</f>
        <v>-2196.6673178122555</v>
      </c>
      <c r="Q44" s="740">
        <f>1000*TableA7!$P$91*TableC3!F42/TableC3!$C$91</f>
        <v>294.40023860201006</v>
      </c>
      <c r="R44" s="740">
        <f>1000*TableA7!$P$91*TableC3!G42/TableC3!$C$91</f>
        <v>2997.3863262894815</v>
      </c>
      <c r="S44" s="740">
        <f>1000*TableA7!$P$91*TableC3!H42/TableC3!$C$91</f>
        <v>9020.2426837244493</v>
      </c>
      <c r="T44" s="740">
        <f>1000*TableA7!$P$91*TableC3!I42/TableC3!$C$91</f>
        <v>38.266481042478844</v>
      </c>
      <c r="U44" s="740">
        <f>1000*TableA7!$P$91*TableC3!J42/TableC3!$C$91</f>
        <v>28641.714043058684</v>
      </c>
      <c r="V44" s="739">
        <f>1000*TableA7!$P$91*TableC3!K42/TableC3!$C$91</f>
        <v>15675.158360708827</v>
      </c>
      <c r="W44" s="678">
        <f>1000*TableA7!$P$91*TableC3!L42/TableC3!$C$91</f>
        <v>8255.9622303344386</v>
      </c>
      <c r="X44" s="593">
        <f>1000*TableA7!$P$91*TableC3!M42/TableC3!$C$91</f>
        <v>7419.1961303743865</v>
      </c>
    </row>
    <row r="45" spans="1:24" ht="14.25" customHeight="1" x14ac:dyDescent="0.35">
      <c r="B45" s="13" t="s">
        <v>0</v>
      </c>
      <c r="C45" s="739">
        <f>1000*TableA7!$P$91*(TableC2!D43+TableC2!O43)/(TableC2!$D$91+TableC2!$O$91)</f>
        <v>142565.30860350179</v>
      </c>
      <c r="D45" s="739">
        <f>1000*TableA7!$P$91*(TableC2!E43+TableC2!P43)/(TableC2!$D$91+TableC2!$O$91)</f>
        <v>43113.120318516296</v>
      </c>
      <c r="E45" s="740">
        <f>1000*TableA7!$P$91*(TableC2!F43+TableC2!Q43)/(TableC2!$D$91+TableC2!$O$91)</f>
        <v>5711.8620992737888</v>
      </c>
      <c r="F45" s="740">
        <f>1000*TableA7!$P$91*(TableC2!G43+TableC2!R43)/(TableC2!$D$91+TableC2!$O$91)</f>
        <v>299.38735507967397</v>
      </c>
      <c r="G45" s="740">
        <f>1000*TableA7!$P$91*(TableC2!H43+TableC2!S43)/(TableC2!$D$91+TableC2!$O$91)</f>
        <v>8360.1987787962989</v>
      </c>
      <c r="H45" s="740">
        <f>1000*TableA7!$P$91*(TableC2!I43+TableC2!T43)/(TableC2!$D$91+TableC2!$O$91)</f>
        <v>14183.70735359657</v>
      </c>
      <c r="I45" s="740">
        <f>1000*TableA7!$P$91*(TableC2!J43+TableC2!U43)/(TableC2!$D$91+TableC2!$O$91)</f>
        <v>145.1178079606745</v>
      </c>
      <c r="J45" s="740">
        <f>1000*TableA7!$P$91*(TableC2!K43+TableC2!V43)/(TableC2!$D$91+TableC2!$O$91)</f>
        <v>14412.846923809282</v>
      </c>
      <c r="K45" s="739">
        <f>1000*TableA7!$P$91*(TableC2!L43+TableC2!W43)/(TableC2!$D$91+TableC2!$O$91)</f>
        <v>99452.188284985503</v>
      </c>
      <c r="L45" s="678">
        <f>1000*TableA7!$P$91*(TableC2!M43+TableC2!X43)/(TableC2!$D$91+TableC2!$O$91)</f>
        <v>13731.49494414153</v>
      </c>
      <c r="M45" s="1328">
        <f>1000*TableA7!$P$91*(TableC2!N43+TableC2!Y43)/(TableC2!$D$91+TableC2!$O$91)</f>
        <v>85720.693340843995</v>
      </c>
      <c r="N45" s="739">
        <f>1000*TableA7!$P$91*TableC3!C43/TableC3!$C$91</f>
        <v>305414.59228542639</v>
      </c>
      <c r="O45" s="739">
        <f>1000*TableA7!$P$91*TableC3!D43/TableC3!$C$91</f>
        <v>171634.08158557015</v>
      </c>
      <c r="P45" s="740">
        <f>1000*TableA7!$P$91*TableC3!E43/TableC3!$C$91</f>
        <v>-10926.456524348805</v>
      </c>
      <c r="Q45" s="740">
        <f>1000*TableA7!$P$91*TableC3!F43/TableC3!$C$91</f>
        <v>0</v>
      </c>
      <c r="R45" s="740">
        <f>1000*TableA7!$P$91*TableC3!G43/TableC3!$C$91</f>
        <v>72323.907323840467</v>
      </c>
      <c r="S45" s="740">
        <f>1000*TableA7!$P$91*TableC3!H43/TableC3!$C$91</f>
        <v>32427.855550896591</v>
      </c>
      <c r="T45" s="740">
        <f>1000*TableA7!$P$91*TableC3!I43/TableC3!$C$91</f>
        <v>2.7944524797700123</v>
      </c>
      <c r="U45" s="740">
        <f>1000*TableA7!$P$91*TableC3!J43/TableC3!$C$91</f>
        <v>77805.980782702114</v>
      </c>
      <c r="V45" s="739">
        <f>1000*TableA7!$P$91*TableC3!K43/TableC3!$C$91</f>
        <v>133780.5106998563</v>
      </c>
      <c r="W45" s="678">
        <f>1000*TableA7!$P$91*TableC3!L43/TableC3!$C$91</f>
        <v>81093.034721715158</v>
      </c>
      <c r="X45" s="593">
        <f>1000*TableA7!$P$91*TableC3!M43/TableC3!$C$91</f>
        <v>52687.475978141149</v>
      </c>
    </row>
    <row r="46" spans="1:24" ht="40" customHeight="1" x14ac:dyDescent="0.35">
      <c r="B46" s="38" t="s">
        <v>99</v>
      </c>
      <c r="C46" s="651">
        <f>1000*TableA7!$P$91*(TableC2!D44+TableC2!O44)/(TableC2!$D$91+TableC2!$O$91)</f>
        <v>102599.15789568896</v>
      </c>
      <c r="D46" s="651">
        <f>1000*TableA7!$P$91*(TableC2!E44+TableC2!P44)/(TableC2!$D$91+TableC2!$O$91)</f>
        <v>24168.578575766107</v>
      </c>
      <c r="E46" s="557">
        <f>1000*TableA7!$P$91*(TableC2!F44+TableC2!Q44)/(TableC2!$D$91+TableC2!$O$91)</f>
        <v>1314.6666118979697</v>
      </c>
      <c r="F46" s="557">
        <f>1000*TableA7!$P$91*(TableC2!G44+TableC2!R44)/(TableC2!$D$91+TableC2!$O$91)</f>
        <v>483.11237721889592</v>
      </c>
      <c r="G46" s="557">
        <f>1000*TableA7!$P$91*(TableC2!H44+TableC2!S44)/(TableC2!$D$91+TableC2!$O$91)</f>
        <v>8661.3083472477738</v>
      </c>
      <c r="H46" s="557">
        <f>1000*TableA7!$P$91*(TableC2!I44+TableC2!T44)/(TableC2!$D$91+TableC2!$O$91)</f>
        <v>6015.4991953982708</v>
      </c>
      <c r="I46" s="557">
        <f>1000*TableA7!$P$91*(TableC2!J44+TableC2!U44)/(TableC2!$D$91+TableC2!$O$91)</f>
        <v>131.07076394522778</v>
      </c>
      <c r="J46" s="557">
        <f>1000*TableA7!$P$91*(TableC2!K44+TableC2!V44)/(TableC2!$D$91+TableC2!$O$91)</f>
        <v>7562.9212800579689</v>
      </c>
      <c r="K46" s="651">
        <f>1000*TableA7!$P$91*(TableC2!L44+TableC2!W44)/(TableC2!$D$91+TableC2!$O$91)</f>
        <v>78430.57931992285</v>
      </c>
      <c r="L46" s="557">
        <f>1000*TableA7!$P$91*(TableC2!M44+TableC2!X44)/(TableC2!$D$91+TableC2!$O$91)</f>
        <v>6439.1141485008411</v>
      </c>
      <c r="M46" s="1319">
        <f>1000*TableA7!$P$91*(TableC2!N44+TableC2!Y44)/(TableC2!$D$91+TableC2!$O$91)</f>
        <v>71991.465171421994</v>
      </c>
      <c r="N46" s="651">
        <f>1000*TableA7!$P$91*TableC3!C44/TableC3!$C$91</f>
        <v>63262.528917943157</v>
      </c>
      <c r="O46" s="651">
        <f>1000*TableA7!$P$91*TableC3!D44/TableC3!$C$91</f>
        <v>6749.7835324544567</v>
      </c>
      <c r="P46" s="740">
        <f>1000*TableA7!$P$91*TableC3!E44/TableC3!$C$91</f>
        <v>3761.8475550589555</v>
      </c>
      <c r="Q46" s="740">
        <f>1000*TableA7!$P$91*TableC3!F44/TableC3!$C$91</f>
        <v>1233.5591768474981</v>
      </c>
      <c r="R46" s="740">
        <f>1000*TableA7!$P$91*TableC3!G44/TableC3!$C$91</f>
        <v>-67.433807822032804</v>
      </c>
      <c r="S46" s="740">
        <f>1000*TableA7!$P$91*TableC3!H44/TableC3!$C$91</f>
        <v>-184.42734347212144</v>
      </c>
      <c r="T46" s="740">
        <f>1000*TableA7!$P$91*TableC3!I44/TableC3!$C$91</f>
        <v>0</v>
      </c>
      <c r="U46" s="740">
        <f>1000*TableA7!$P$91*TableC3!J44/TableC3!$C$91</f>
        <v>2006.2379518421562</v>
      </c>
      <c r="V46" s="651">
        <f>1000*TableA7!$P$91*TableC3!K44/TableC3!$C$91</f>
        <v>56512.745385488721</v>
      </c>
      <c r="W46" s="557">
        <f>1000*TableA7!$P$91*TableC3!L44/TableC3!$C$91</f>
        <v>0</v>
      </c>
      <c r="X46" s="1320">
        <f>1000*TableA7!$P$91*TableC3!M44/TableC3!$C$91</f>
        <v>56512.745385488721</v>
      </c>
    </row>
    <row r="47" spans="1:24" x14ac:dyDescent="0.35">
      <c r="B47" s="95" t="s">
        <v>92</v>
      </c>
      <c r="C47" s="739">
        <f>1000*TableA7!$P$91*(TableC2!D45+TableC2!O45)/(TableC2!$D$91+TableC2!$O$91)</f>
        <v>14212.064614009523</v>
      </c>
      <c r="D47" s="739">
        <f>1000*TableA7!$P$91*(TableC2!E45+TableC2!P45)/(TableC2!$D$91+TableC2!$O$91)</f>
        <v>5267.4280287716601</v>
      </c>
      <c r="E47" s="740">
        <f>1000*TableA7!$P$91*(TableC2!F45+TableC2!Q45)/(TableC2!$D$91+TableC2!$O$91)</f>
        <v>339.21721308535604</v>
      </c>
      <c r="F47" s="740">
        <f>1000*TableA7!$P$91*(TableC2!G45+TableC2!R45)/(TableC2!$D$91+TableC2!$O$91)</f>
        <v>8.4277685719684026E-2</v>
      </c>
      <c r="G47" s="740">
        <f>1000*TableA7!$P$91*(TableC2!H45+TableC2!S45)/(TableC2!$D$91+TableC2!$O$91)</f>
        <v>890.91438861660788</v>
      </c>
      <c r="H47" s="740">
        <f>1000*TableA7!$P$91*(TableC2!I45+TableC2!T45)/(TableC2!$D$91+TableC2!$O$91)</f>
        <v>956.9795768028215</v>
      </c>
      <c r="I47" s="740">
        <f>1000*TableA7!$P$91*(TableC2!J45+TableC2!U45)/(TableC2!$D$91+TableC2!$O$91)</f>
        <v>4.3374947318079906</v>
      </c>
      <c r="J47" s="740">
        <f>1000*TableA7!$P$91*(TableC2!K45+TableC2!V45)/(TableC2!$D$91+TableC2!$O$91)</f>
        <v>3075.8950778493468</v>
      </c>
      <c r="K47" s="739">
        <f>1000*TableA7!$P$91*(TableC2!L45+TableC2!W45)/(TableC2!$D$91+TableC2!$O$91)</f>
        <v>8944.636585237864</v>
      </c>
      <c r="L47" s="678">
        <f>1000*TableA7!$P$91*(TableC2!M45+TableC2!X45)/(TableC2!$D$91+TableC2!$O$91)</f>
        <v>734.35051084179634</v>
      </c>
      <c r="M47" s="1328">
        <f>1000*TableA7!$P$91*(TableC2!N45+TableC2!Y45)/(TableC2!$D$91+TableC2!$O$91)</f>
        <v>8210.2860743960682</v>
      </c>
      <c r="N47" s="739">
        <f>1000*TableA7!$P$91*TableC3!C45/TableC3!$C$91</f>
        <v>6775.7353543263644</v>
      </c>
      <c r="O47" s="739">
        <f>1000*TableA7!$P$91*TableC3!D45/TableC3!$C$91</f>
        <v>6478.845096053381</v>
      </c>
      <c r="P47" s="740">
        <f>1000*TableA7!$P$91*TableC3!E45/TableC3!$C$91</f>
        <v>5390.4333747736109</v>
      </c>
      <c r="Q47" s="740">
        <f>1000*TableA7!$P$91*TableC3!F45/TableC3!$C$91</f>
        <v>5.8645058049907771E-3</v>
      </c>
      <c r="R47" s="740">
        <f>1000*TableA7!$P$91*TableC3!G45/TableC3!$C$91</f>
        <v>-50.734735147346647</v>
      </c>
      <c r="S47" s="740">
        <f>1000*TableA7!$P$91*TableC3!H45/TableC3!$C$91</f>
        <v>487.62319952482221</v>
      </c>
      <c r="T47" s="740">
        <f>1000*TableA7!$P$91*TableC3!I45/TableC3!$C$91</f>
        <v>0</v>
      </c>
      <c r="U47" s="740">
        <f>1000*TableA7!$P$91*TableC3!J45/TableC3!$C$91</f>
        <v>651.51739239648862</v>
      </c>
      <c r="V47" s="739">
        <f>1000*TableA7!$P$91*TableC3!K45/TableC3!$C$91</f>
        <v>296.89025827298275</v>
      </c>
      <c r="W47" s="678">
        <f>1000*TableA7!$P$91*TableC3!L45/TableC3!$C$91</f>
        <v>0</v>
      </c>
      <c r="X47" s="593">
        <f>1000*TableA7!$P$91*TableC3!M45/TableC3!$C$91</f>
        <v>296.89025827298275</v>
      </c>
    </row>
    <row r="48" spans="1:24" x14ac:dyDescent="0.35">
      <c r="A48" s="741" t="s">
        <v>488</v>
      </c>
      <c r="B48" s="31" t="s">
        <v>101</v>
      </c>
      <c r="C48" s="739">
        <f>1000*TableA7!$P$91*(TableC2!D46+TableC2!O46)/(TableC2!$D$91+TableC2!$O$91)</f>
        <v>60525.807931300937</v>
      </c>
      <c r="D48" s="739">
        <f>1000*TableA7!$P$91*(TableC2!E46+TableC2!P46)/(TableC2!$D$91+TableC2!$O$91)</f>
        <v>6129.6719549179952</v>
      </c>
      <c r="E48" s="740">
        <f>1000*TableA7!$P$91*(TableC2!F46+TableC2!Q46)/(TableC2!$D$91+TableC2!$O$91)</f>
        <v>371.35817910358179</v>
      </c>
      <c r="F48" s="740">
        <f>1000*TableA7!$P$91*(TableC2!G46+TableC2!R46)/(TableC2!$D$91+TableC2!$O$91)</f>
        <v>58.572991575180389</v>
      </c>
      <c r="G48" s="740">
        <f>1000*TableA7!$P$91*(TableC2!H46+TableC2!S46)/(TableC2!$D$91+TableC2!$O$91)</f>
        <v>3076.7859166666258</v>
      </c>
      <c r="H48" s="740">
        <f>1000*TableA7!$P$91*(TableC2!I46+TableC2!T46)/(TableC2!$D$91+TableC2!$O$91)</f>
        <v>1321.0129909379252</v>
      </c>
      <c r="I48" s="740">
        <f>1000*TableA7!$P$91*(TableC2!J46+TableC2!U46)/(TableC2!$D$91+TableC2!$O$91)</f>
        <v>3.2411602449649015</v>
      </c>
      <c r="J48" s="740">
        <f>1000*TableA7!$P$91*(TableC2!K46+TableC2!V46)/(TableC2!$D$91+TableC2!$O$91)</f>
        <v>1298.7007163897183</v>
      </c>
      <c r="K48" s="739">
        <f>1000*TableA7!$P$91*(TableC2!L46+TableC2!W46)/(TableC2!$D$91+TableC2!$O$91)</f>
        <v>54396.135976382939</v>
      </c>
      <c r="L48" s="678">
        <f>1000*TableA7!$P$91*(TableC2!M46+TableC2!X46)/(TableC2!$D$91+TableC2!$O$91)</f>
        <v>4465.8975086816627</v>
      </c>
      <c r="M48" s="1328">
        <f>1000*TableA7!$P$91*(TableC2!N46+TableC2!Y46)/(TableC2!$D$91+TableC2!$O$91)</f>
        <v>49930.238467701281</v>
      </c>
      <c r="N48" s="739">
        <f>1000*TableA7!$P$91*TableC3!C46/TableC3!$C$91</f>
        <v>45517.429910554289</v>
      </c>
      <c r="O48" s="739">
        <f>1000*TableA7!$P$91*TableC3!D46/TableC3!$C$91</f>
        <v>6.429968574258031</v>
      </c>
      <c r="P48" s="740">
        <f>1000*TableA7!$P$91*TableC3!E46/TableC3!$C$91</f>
        <v>-984.44212364754083</v>
      </c>
      <c r="Q48" s="740">
        <f>1000*TableA7!$P$91*TableC3!F46/TableC3!$C$91</f>
        <v>13.171128855386481</v>
      </c>
      <c r="R48" s="740">
        <f>1000*TableA7!$P$91*TableC3!G46/TableC3!$C$91</f>
        <v>-14.535702061954456</v>
      </c>
      <c r="S48" s="740">
        <f>1000*TableA7!$P$91*TableC3!H46/TableC3!$C$91</f>
        <v>94.578351022117403</v>
      </c>
      <c r="T48" s="740">
        <f>1000*TableA7!$P$91*TableC3!I46/TableC3!$C$91</f>
        <v>0</v>
      </c>
      <c r="U48" s="740">
        <f>1000*TableA7!$P$91*TableC3!J46/TableC3!$C$91</f>
        <v>897.65831440624947</v>
      </c>
      <c r="V48" s="739">
        <f>1000*TableA7!$P$91*TableC3!K46/TableC3!$C$91</f>
        <v>45510.999941980044</v>
      </c>
      <c r="W48" s="678">
        <f>1000*TableA7!$P$91*TableC3!L46/TableC3!$C$91</f>
        <v>0</v>
      </c>
      <c r="X48" s="593">
        <f>1000*TableA7!$P$91*TableC3!M46/TableC3!$C$91</f>
        <v>45510.999941980044</v>
      </c>
    </row>
    <row r="49" spans="1:24" x14ac:dyDescent="0.35">
      <c r="B49" s="31" t="s">
        <v>93</v>
      </c>
      <c r="C49" s="739">
        <f>1000*TableA7!$P$91*(TableC2!D47+TableC2!O47)/(TableC2!$D$91+TableC2!$O$91)</f>
        <v>1403.6174395306298</v>
      </c>
      <c r="D49" s="739">
        <f>1000*TableA7!$P$91*(TableC2!E47+TableC2!P47)/(TableC2!$D$91+TableC2!$O$91)</f>
        <v>572.88147169047193</v>
      </c>
      <c r="E49" s="740">
        <f>1000*TableA7!$P$91*(TableC2!F47+TableC2!Q47)/(TableC2!$D$91+TableC2!$O$91)</f>
        <v>43.807480493657621</v>
      </c>
      <c r="F49" s="740">
        <f>1000*TableA7!$P$91*(TableC2!G47+TableC2!R47)/(TableC2!$D$91+TableC2!$O$91)</f>
        <v>11.471609026692352</v>
      </c>
      <c r="G49" s="740">
        <f>1000*TableA7!$P$91*(TableC2!H47+TableC2!S47)/(TableC2!$D$91+TableC2!$O$91)</f>
        <v>304.58731788211873</v>
      </c>
      <c r="H49" s="740">
        <f>1000*TableA7!$P$91*(TableC2!I47+TableC2!T47)/(TableC2!$D$91+TableC2!$O$91)</f>
        <v>65.572278886018694</v>
      </c>
      <c r="I49" s="740">
        <f>1000*TableA7!$P$91*(TableC2!J47+TableC2!U47)/(TableC2!$D$91+TableC2!$O$91)</f>
        <v>55.29014764007659</v>
      </c>
      <c r="J49" s="740">
        <f>1000*TableA7!$P$91*(TableC2!K47+TableC2!V47)/(TableC2!$D$91+TableC2!$O$91)</f>
        <v>92.152637761907911</v>
      </c>
      <c r="K49" s="739">
        <f>1000*TableA7!$P$91*(TableC2!L47+TableC2!W47)/(TableC2!$D$91+TableC2!$O$91)</f>
        <v>830.73596784015785</v>
      </c>
      <c r="L49" s="678">
        <f>1000*TableA7!$P$91*(TableC2!M47+TableC2!X47)/(TableC2!$D$91+TableC2!$O$91)</f>
        <v>68.203037266477253</v>
      </c>
      <c r="M49" s="1328">
        <f>1000*TableA7!$P$91*(TableC2!N47+TableC2!Y47)/(TableC2!$D$91+TableC2!$O$91)</f>
        <v>762.53293057368046</v>
      </c>
      <c r="N49" s="739">
        <f>1000*TableA7!$P$91*TableC3!C47/TableC3!$C$91</f>
        <v>998.96635671275953</v>
      </c>
      <c r="O49" s="739">
        <f>1000*TableA7!$P$91*TableC3!D47/TableC3!$C$91</f>
        <v>-2.9477500913507071</v>
      </c>
      <c r="P49" s="740">
        <f>1000*TableA7!$P$91*TableC3!E47/TableC3!$C$91</f>
        <v>-2.9571053279975761</v>
      </c>
      <c r="Q49" s="740">
        <f>1000*TableA7!$P$91*TableC3!F47/TableC3!$C$91</f>
        <v>9.355236646869167E-3</v>
      </c>
      <c r="R49" s="740">
        <f>1000*TableA7!$P$91*TableC3!G47/TableC3!$C$91</f>
        <v>0</v>
      </c>
      <c r="S49" s="740">
        <f>1000*TableA7!$P$91*TableC3!H47/TableC3!$C$91</f>
        <v>0</v>
      </c>
      <c r="T49" s="740">
        <f>1000*TableA7!$P$91*TableC3!I47/TableC3!$C$91</f>
        <v>0</v>
      </c>
      <c r="U49" s="740">
        <f>1000*TableA7!$P$91*TableC3!J47/TableC3!$C$91</f>
        <v>0</v>
      </c>
      <c r="V49" s="739">
        <f>1000*TableA7!$P$91*TableC3!K47/TableC3!$C$91</f>
        <v>1001.9141068041104</v>
      </c>
      <c r="W49" s="678">
        <f>1000*TableA7!$P$91*TableC3!L47/TableC3!$C$91</f>
        <v>0</v>
      </c>
      <c r="X49" s="593">
        <f>1000*TableA7!$P$91*TableC3!M47/TableC3!$C$91</f>
        <v>1001.9141068041104</v>
      </c>
    </row>
    <row r="50" spans="1:24" x14ac:dyDescent="0.35">
      <c r="B50" s="31" t="s">
        <v>94</v>
      </c>
      <c r="C50" s="739">
        <f>1000*TableA7!$P$91*(TableC2!D48+TableC2!O48)/(TableC2!$D$91+TableC2!$O$91)</f>
        <v>1057.5199886874607</v>
      </c>
      <c r="D50" s="739">
        <f>1000*TableA7!$P$91*(TableC2!E48+TableC2!P48)/(TableC2!$D$91+TableC2!$O$91)</f>
        <v>431.62302661610892</v>
      </c>
      <c r="E50" s="678">
        <f>1000*TableA7!$P$91*(TableC2!F48+TableC2!Q48)/(TableC2!$D$91+TableC2!$O$91)</f>
        <v>33.005635988372184</v>
      </c>
      <c r="F50" s="678">
        <f>1000*TableA7!$P$91*(TableC2!G48+TableC2!R48)/(TableC2!$D$91+TableC2!$O$91)</f>
        <v>8.6429931023024587</v>
      </c>
      <c r="G50" s="678">
        <f>1000*TableA7!$P$91*(TableC2!H48+TableC2!S48)/(TableC2!$D$91+TableC2!$O$91)</f>
        <v>229.48359566460999</v>
      </c>
      <c r="H50" s="678">
        <f>1000*TableA7!$P$91*(TableC2!I48+TableC2!T48)/(TableC2!$D$91+TableC2!$O$91)</f>
        <v>49.403771763438748</v>
      </c>
      <c r="I50" s="678">
        <f>1000*TableA7!$P$91*(TableC2!J48+TableC2!U48)/(TableC2!$D$91+TableC2!$O$91)</f>
        <v>41.656960550742639</v>
      </c>
      <c r="J50" s="678">
        <f>1000*TableA7!$P$91*(TableC2!K48+TableC2!V48)/(TableC2!$D$91+TableC2!$O$91)</f>
        <v>69.430069546642926</v>
      </c>
      <c r="K50" s="739">
        <f>1000*TableA7!$P$91*(TableC2!L48+TableC2!W48)/(TableC2!$D$91+TableC2!$O$91)</f>
        <v>625.89696207135182</v>
      </c>
      <c r="L50" s="678">
        <f>1000*TableA7!$P$91*(TableC2!M48+TableC2!X48)/(TableC2!$D$91+TableC2!$O$91)</f>
        <v>51.385849995291089</v>
      </c>
      <c r="M50" s="1328">
        <f>1000*TableA7!$P$91*(TableC2!N48+TableC2!Y48)/(TableC2!$D$91+TableC2!$O$91)</f>
        <v>574.51111207606073</v>
      </c>
      <c r="N50" s="739">
        <f>1000*TableA7!$P$91*TableC3!C48/TableC3!$C$91</f>
        <v>119.20823439778249</v>
      </c>
      <c r="O50" s="739">
        <f>1000*TableA7!$P$91*TableC3!D48/TableC3!$C$91</f>
        <v>-1.4762833314944745</v>
      </c>
      <c r="P50" s="678">
        <f>1000*TableA7!$P$91*TableC3!E48/TableC3!$C$91</f>
        <v>-1.4785526639987729</v>
      </c>
      <c r="Q50" s="678">
        <f>1000*TableA7!$P$91*TableC3!F48/TableC3!$C$91</f>
        <v>2.2693325042984127E-3</v>
      </c>
      <c r="R50" s="678">
        <f>1000*TableA7!$P$91*TableC3!G48/TableC3!$C$91</f>
        <v>0</v>
      </c>
      <c r="S50" s="678">
        <f>1000*TableA7!$P$91*TableC3!H48/TableC3!$C$91</f>
        <v>0</v>
      </c>
      <c r="T50" s="678">
        <f>1000*TableA7!$P$91*TableC3!I48/TableC3!$C$91</f>
        <v>0</v>
      </c>
      <c r="U50" s="678">
        <f>1000*TableA7!$P$91*TableC3!J48/TableC3!$C$91</f>
        <v>0</v>
      </c>
      <c r="V50" s="739">
        <f>1000*TableA7!$P$91*TableC3!K48/TableC3!$C$91</f>
        <v>120.68451772927695</v>
      </c>
      <c r="W50" s="678">
        <f>1000*TableA7!$P$91*TableC3!L48/TableC3!$C$91</f>
        <v>0</v>
      </c>
      <c r="X50" s="593">
        <f>1000*TableA7!$P$91*TableC3!M48/TableC3!$C$91</f>
        <v>120.68451772927695</v>
      </c>
    </row>
    <row r="51" spans="1:24" ht="14.25" customHeight="1" x14ac:dyDescent="0.35">
      <c r="B51" s="31" t="s">
        <v>102</v>
      </c>
      <c r="C51" s="739">
        <f>1000*TableA7!$P$91*(TableC2!D49+TableC2!O49)/(TableC2!$D$91+TableC2!$O$91)</f>
        <v>9476.3990387445938</v>
      </c>
      <c r="D51" s="739">
        <f>1000*TableA7!$P$91*(TableC2!E49+TableC2!P49)/(TableC2!$D$91+TableC2!$O$91)</f>
        <v>2762.2316274337295</v>
      </c>
      <c r="E51" s="740">
        <f>1000*TableA7!$P$91*(TableC2!F49+TableC2!Q49)/(TableC2!$D$91+TableC2!$O$91)</f>
        <v>90.297762300830257</v>
      </c>
      <c r="F51" s="740">
        <f>1000*TableA7!$P$91*(TableC2!G49+TableC2!R49)/(TableC2!$D$91+TableC2!$O$91)</f>
        <v>7.5849917147715615</v>
      </c>
      <c r="G51" s="740">
        <f>1000*TableA7!$P$91*(TableC2!H49+TableC2!S49)/(TableC2!$D$91+TableC2!$O$91)</f>
        <v>2052.7961140941075</v>
      </c>
      <c r="H51" s="740">
        <f>1000*TableA7!$P$91*(TableC2!I49+TableC2!T49)/(TableC2!$D$91+TableC2!$O$91)</f>
        <v>136.84646951055055</v>
      </c>
      <c r="I51" s="740">
        <f>1000*TableA7!$P$91*(TableC2!J49+TableC2!U49)/(TableC2!$D$91+TableC2!$O$91)</f>
        <v>2.3420075135531158</v>
      </c>
      <c r="J51" s="740">
        <f>1000*TableA7!$P$91*(TableC2!K49+TableC2!V49)/(TableC2!$D$91+TableC2!$O$91)</f>
        <v>472.36428229991668</v>
      </c>
      <c r="K51" s="739">
        <f>1000*TableA7!$P$91*(TableC2!L49+TableC2!W49)/(TableC2!$D$91+TableC2!$O$91)</f>
        <v>6714.1674113108638</v>
      </c>
      <c r="L51" s="678">
        <f>1000*TableA7!$P$91*(TableC2!M49+TableC2!X49)/(TableC2!$D$91+TableC2!$O$91)</f>
        <v>551.23002722221349</v>
      </c>
      <c r="M51" s="1328">
        <f>1000*TableA7!$P$91*(TableC2!N49+TableC2!Y49)/(TableC2!$D$91+TableC2!$O$91)</f>
        <v>6162.9373840886501</v>
      </c>
      <c r="N51" s="739">
        <f>1000*TableA7!$P$91*TableC3!C49/TableC3!$C$91</f>
        <v>4676.8156409217545</v>
      </c>
      <c r="O51" s="739">
        <f>1000*TableA7!$P$91*TableC3!D49/TableC3!$C$91</f>
        <v>28.82422035170195</v>
      </c>
      <c r="P51" s="740">
        <f>1000*TableA7!$P$91*TableC3!E49/TableC3!$C$91</f>
        <v>28.043176926202097</v>
      </c>
      <c r="Q51" s="740">
        <f>1000*TableA7!$P$91*TableC3!F49/TableC3!$C$91</f>
        <v>0.78104342549985128</v>
      </c>
      <c r="R51" s="740">
        <f>1000*TableA7!$P$91*TableC3!G49/TableC3!$C$91</f>
        <v>0</v>
      </c>
      <c r="S51" s="740">
        <f>1000*TableA7!$P$91*TableC3!H49/TableC3!$C$91</f>
        <v>0</v>
      </c>
      <c r="T51" s="740">
        <f>1000*TableA7!$P$91*TableC3!I49/TableC3!$C$91</f>
        <v>0</v>
      </c>
      <c r="U51" s="740">
        <f>1000*TableA7!$P$91*TableC3!J49/TableC3!$C$91</f>
        <v>0</v>
      </c>
      <c r="V51" s="739">
        <f>1000*TableA7!$P$91*TableC3!K49/TableC3!$C$91</f>
        <v>4647.9914205700525</v>
      </c>
      <c r="W51" s="678">
        <f>1000*TableA7!$P$91*TableC3!L49/TableC3!$C$91</f>
        <v>0</v>
      </c>
      <c r="X51" s="593">
        <f>1000*TableA7!$P$91*TableC3!M49/TableC3!$C$91</f>
        <v>4647.9914205700525</v>
      </c>
    </row>
    <row r="52" spans="1:24" ht="14.25" customHeight="1" x14ac:dyDescent="0.35">
      <c r="A52" s="741" t="s">
        <v>318</v>
      </c>
      <c r="B52" s="31" t="s">
        <v>103</v>
      </c>
      <c r="C52" s="739">
        <f>1000*TableA7!$P$91*(TableC2!D50+TableC2!O50)/(TableC2!$D$91+TableC2!$O$91)</f>
        <v>11843.104349333909</v>
      </c>
      <c r="D52" s="739">
        <f>1000*TableA7!$P$91*(TableC2!E50+TableC2!P50)/(TableC2!$D$91+TableC2!$O$91)</f>
        <v>7268.3665538305768</v>
      </c>
      <c r="E52" s="740">
        <f>1000*TableA7!$P$91*(TableC2!F50+TableC2!Q50)/(TableC2!$D$91+TableC2!$O$91)</f>
        <v>371.1875899889485</v>
      </c>
      <c r="F52" s="740">
        <f>1000*TableA7!$P$91*(TableC2!G50+TableC2!R50)/(TableC2!$D$91+TableC2!$O$91)</f>
        <v>390.01329925665482</v>
      </c>
      <c r="G52" s="740">
        <f>1000*TableA7!$P$91*(TableC2!H50+TableC2!S50)/(TableC2!$D$91+TableC2!$O$91)</f>
        <v>1241.6960070705322</v>
      </c>
      <c r="H52" s="740">
        <f>1000*TableA7!$P$91*(TableC2!I50+TableC2!T50)/(TableC2!$D$91+TableC2!$O$91)</f>
        <v>3134.9805065173923</v>
      </c>
      <c r="I52" s="740">
        <f>1000*TableA7!$P$91*(TableC2!J50+TableC2!U50)/(TableC2!$D$91+TableC2!$O$91)</f>
        <v>22.019758563461046</v>
      </c>
      <c r="J52" s="740">
        <f>1000*TableA7!$P$91*(TableC2!K50+TableC2!V50)/(TableC2!$D$91+TableC2!$O$91)</f>
        <v>2108.469392433587</v>
      </c>
      <c r="K52" s="739">
        <f>1000*TableA7!$P$91*(TableC2!L50+TableC2!W50)/(TableC2!$D$91+TableC2!$O$91)</f>
        <v>4574.7377955033344</v>
      </c>
      <c r="L52" s="678">
        <f>1000*TableA7!$P$91*(TableC2!M50+TableC2!X50)/(TableC2!$D$91+TableC2!$O$91)</f>
        <v>375.5838490564912</v>
      </c>
      <c r="M52" s="1328">
        <f>1000*TableA7!$P$91*(TableC2!N50+TableC2!Y50)/(TableC2!$D$91+TableC2!$O$91)</f>
        <v>4199.1539464468433</v>
      </c>
      <c r="N52" s="739">
        <f>1000*TableA7!$P$91*TableC3!C50/TableC3!$C$91</f>
        <v>754.94450349072804</v>
      </c>
      <c r="O52" s="739">
        <f>1000*TableA7!$P$91*TableC3!D50/TableC3!$C$91</f>
        <v>717.89514347763361</v>
      </c>
      <c r="P52" s="740">
        <f>1000*TableA7!$P$91*TableC3!E50/TableC3!$C$91</f>
        <v>-186.48232286971802</v>
      </c>
      <c r="Q52" s="740">
        <f>1000*TableA7!$P$91*TableC3!F50/TableC3!$C$91</f>
        <v>1215.4759332200499</v>
      </c>
      <c r="R52" s="740">
        <f>1000*TableA7!$P$91*TableC3!G50/TableC3!$C$91</f>
        <v>-1.5318178930551871</v>
      </c>
      <c r="S52" s="740">
        <f>1000*TableA7!$P$91*TableC3!H50/TableC3!$C$91</f>
        <v>-766.62889401906102</v>
      </c>
      <c r="T52" s="740">
        <f>1000*TableA7!$P$91*TableC3!I50/TableC3!$C$91</f>
        <v>0</v>
      </c>
      <c r="U52" s="740">
        <f>1000*TableA7!$P$91*TableC3!J50/TableC3!$C$91</f>
        <v>457.06224503941792</v>
      </c>
      <c r="V52" s="739">
        <f>1000*TableA7!$P$91*TableC3!K50/TableC3!$C$91</f>
        <v>37.049360013094351</v>
      </c>
      <c r="W52" s="678">
        <f>1000*TableA7!$P$91*TableC3!L50/TableC3!$C$91</f>
        <v>0</v>
      </c>
      <c r="X52" s="593">
        <f>1000*TableA7!$P$91*TableC3!M50/TableC3!$C$91</f>
        <v>37.049360013094351</v>
      </c>
    </row>
    <row r="53" spans="1:24" ht="14.25" customHeight="1" x14ac:dyDescent="0.35">
      <c r="B53" s="13" t="s">
        <v>97</v>
      </c>
      <c r="C53" s="739">
        <f>1000*TableA7!$P$91*(TableC2!D51+TableC2!O51)/(TableC2!$D$91+TableC2!$O$91)</f>
        <v>4080.6445340819</v>
      </c>
      <c r="D53" s="739">
        <f>1000*TableA7!$P$91*(TableC2!E51+TableC2!P51)/(TableC2!$D$91+TableC2!$O$91)</f>
        <v>1736.3759125055637</v>
      </c>
      <c r="E53" s="740">
        <f>1000*TableA7!$P$91*(TableC2!F51+TableC2!Q51)/(TableC2!$D$91+TableC2!$O$91)</f>
        <v>65.792750937223403</v>
      </c>
      <c r="F53" s="740">
        <f>1000*TableA7!$P$91*(TableC2!G51+TableC2!R51)/(TableC2!$D$91+TableC2!$O$91)</f>
        <v>6.7422148575747212</v>
      </c>
      <c r="G53" s="740">
        <f>1000*TableA7!$P$91*(TableC2!H51+TableC2!S51)/(TableC2!$D$91+TableC2!$O$91)</f>
        <v>865.04500725317155</v>
      </c>
      <c r="H53" s="740">
        <f>1000*TableA7!$P$91*(TableC2!I51+TableC2!T51)/(TableC2!$D$91+TableC2!$O$91)</f>
        <v>350.70360098012389</v>
      </c>
      <c r="I53" s="740">
        <f>1000*TableA7!$P$91*(TableC2!J51+TableC2!U51)/(TableC2!$D$91+TableC2!$O$91)</f>
        <v>2.1832347006214894</v>
      </c>
      <c r="J53" s="740">
        <f>1000*TableA7!$P$91*(TableC2!K51+TableC2!V51)/(TableC2!$D$91+TableC2!$O$91)</f>
        <v>445.90910377684901</v>
      </c>
      <c r="K53" s="739">
        <f>1000*TableA7!$P$91*(TableC2!L51+TableC2!W51)/(TableC2!$D$91+TableC2!$O$91)</f>
        <v>2344.268621576336</v>
      </c>
      <c r="L53" s="678">
        <f>1000*TableA7!$P$91*(TableC2!M51+TableC2!X51)/(TableC2!$D$91+TableC2!$O$91)</f>
        <v>192.46336543690848</v>
      </c>
      <c r="M53" s="1328">
        <f>1000*TableA7!$P$91*(TableC2!N51+TableC2!Y51)/(TableC2!$D$91+TableC2!$O$91)</f>
        <v>2151.8052561394275</v>
      </c>
      <c r="N53" s="739">
        <f>1000*TableA7!$P$91*TableC3!C51/TableC3!$C$91</f>
        <v>4419.4289175394879</v>
      </c>
      <c r="O53" s="739">
        <f>1000*TableA7!$P$91*TableC3!D51/TableC3!$C$91</f>
        <v>-477.78686257967377</v>
      </c>
      <c r="P53" s="740">
        <f>1000*TableA7!$P$91*TableC3!E51/TableC3!$C$91</f>
        <v>-481.26889213160285</v>
      </c>
      <c r="Q53" s="740">
        <f>1000*TableA7!$P$91*TableC3!F51/TableC3!$C$91</f>
        <v>4.1135822716056518</v>
      </c>
      <c r="R53" s="740">
        <f>1000*TableA7!$P$91*TableC3!G51/TableC3!$C$91</f>
        <v>-0.63155271967651427</v>
      </c>
      <c r="S53" s="740">
        <f>1000*TableA7!$P$91*TableC3!H51/TableC3!$C$91</f>
        <v>0</v>
      </c>
      <c r="T53" s="740">
        <f>1000*TableA7!$P$91*TableC3!I51/TableC3!$C$91</f>
        <v>0</v>
      </c>
      <c r="U53" s="740">
        <f>1000*TableA7!$P$91*TableC3!J51/TableC3!$C$91</f>
        <v>0</v>
      </c>
      <c r="V53" s="739">
        <f>1000*TableA7!$P$91*TableC3!K51/TableC3!$C$91</f>
        <v>4897.2157801191615</v>
      </c>
      <c r="W53" s="678">
        <f>1000*TableA7!$P$91*TableC3!L51/TableC3!$C$91</f>
        <v>0</v>
      </c>
      <c r="X53" s="593">
        <f>1000*TableA7!$P$91*TableC3!M51/TableC3!$C$91</f>
        <v>4897.2157801191615</v>
      </c>
    </row>
    <row r="54" spans="1:24" ht="40" hidden="1" customHeight="1" x14ac:dyDescent="0.35">
      <c r="B54" s="38" t="s">
        <v>100</v>
      </c>
      <c r="C54" s="739">
        <f>1000*TableA7!$P$91*(TableC2!D52+TableC2!O52)/(TableC2!$D$91+TableC2!$O$91)</f>
        <v>0</v>
      </c>
      <c r="D54" s="306">
        <f>1000*TableA7!$P$91*(TableC2!E52+TableC2!P52)/(TableC2!$D$91+TableC2!$O$91)</f>
        <v>0</v>
      </c>
      <c r="E54" s="557">
        <f>1000*TableA7!$P$91*(TableC2!F52+TableC2!Q52)/(TableC2!$D$91+TableC2!$O$91)</f>
        <v>0</v>
      </c>
      <c r="F54" s="557">
        <f>1000*TableA7!$P$91*(TableC2!G52+TableC2!R52)/(TableC2!$D$91+TableC2!$O$91)</f>
        <v>0</v>
      </c>
      <c r="G54" s="557">
        <f>1000*TableA7!$P$91*(TableC2!H52+TableC2!S52)/(TableC2!$D$91+TableC2!$O$91)</f>
        <v>0</v>
      </c>
      <c r="H54" s="53">
        <f>1000*TableA7!$P$91*(TableC2!I52+TableC2!T52)/(TableC2!$D$91+TableC2!$O$91)</f>
        <v>0</v>
      </c>
      <c r="I54" s="53">
        <f>1000*TableA7!$P$91*(TableC2!J52+TableC2!U52)/(TableC2!$D$91+TableC2!$O$91)</f>
        <v>0</v>
      </c>
      <c r="J54" s="53">
        <f>1000*TableA7!$P$91*(TableC2!K52+TableC2!V52)/(TableC2!$D$91+TableC2!$O$91)</f>
        <v>0</v>
      </c>
      <c r="K54" s="651">
        <f>1000*TableA7!$P$91*(TableC2!L52+TableC2!W52)/(TableC2!$D$91+TableC2!$O$91)</f>
        <v>0</v>
      </c>
      <c r="L54" s="53">
        <f>1000*TableA7!$P$91*(TableC2!M52+TableC2!X52)/(TableC2!$D$91+TableC2!$O$91)</f>
        <v>0</v>
      </c>
      <c r="M54" s="1329">
        <f>1000*TableA7!$P$91*(TableC2!N52+TableC2!Y52)/(TableC2!$D$91+TableC2!$O$91)</f>
        <v>0</v>
      </c>
      <c r="N54" s="663">
        <f>1000*TableA7!$P$91*TableC3!C52/TableC3!$C$91</f>
        <v>117774.18178390477</v>
      </c>
      <c r="O54" s="306">
        <f>1000*TableA7!$P$91*TableC3!D52/TableC3!$C$91</f>
        <v>28541.445791248236</v>
      </c>
      <c r="P54" s="557">
        <f>1000*TableA7!$P$91*TableC3!E52/TableC3!$C$91</f>
        <v>1558.1195951525021</v>
      </c>
      <c r="Q54" s="557">
        <f>1000*TableA7!$P$91*TableC3!F52/TableC3!$C$91</f>
        <v>840.4091000554713</v>
      </c>
      <c r="R54" s="557">
        <f>1000*TableA7!$P$91*TableC3!G52/TableC3!$C$91</f>
        <v>4629.0536109501336</v>
      </c>
      <c r="S54" s="53">
        <f>1000*TableA7!$P$91*TableC3!H52/TableC3!$C$91</f>
        <v>8172.2690706863887</v>
      </c>
      <c r="T54" s="53">
        <f>1000*TableA7!$P$91*TableC3!I52/TableC3!$C$91</f>
        <v>351.96930198982415</v>
      </c>
      <c r="U54" s="53">
        <f>1000*TableA7!$P$91*TableC3!J52/TableC3!$C$91</f>
        <v>12989.625112413916</v>
      </c>
      <c r="V54" s="651">
        <f>1000*TableA7!$P$91*TableC3!K52/TableC3!$C$91</f>
        <v>89232.73599265654</v>
      </c>
      <c r="W54" s="53">
        <f>1000*TableA7!$P$91*TableC3!L52/TableC3!$C$91</f>
        <v>0</v>
      </c>
      <c r="X54" s="54">
        <f>1000*TableA7!$P$91*TableC3!M52/TableC3!$C$91</f>
        <v>89232.73599265654</v>
      </c>
    </row>
    <row r="55" spans="1:24" ht="14.25" hidden="1" customHeight="1" x14ac:dyDescent="0.35">
      <c r="B55" s="264" t="s">
        <v>272</v>
      </c>
      <c r="C55" s="739">
        <f>1000*TableA7!$P$91*(TableC2!D53+TableC2!O53)/(TableC2!$D$91+TableC2!$O$91)</f>
        <v>0</v>
      </c>
      <c r="D55" s="306">
        <f>1000*TableA7!$P$91*(TableC2!E53+TableC2!P53)/(TableC2!$D$91+TableC2!$O$91)</f>
        <v>0</v>
      </c>
      <c r="E55" s="8">
        <f>1000*TableA7!$P$91*(TableC2!F53+TableC2!Q53)/(TableC2!$D$91+TableC2!$O$91)</f>
        <v>0</v>
      </c>
      <c r="F55" s="8">
        <f>1000*TableA7!$P$91*(TableC2!G53+TableC2!R53)/(TableC2!$D$91+TableC2!$O$91)</f>
        <v>0</v>
      </c>
      <c r="G55" s="8">
        <f>1000*TableA7!$P$91*(TableC2!H53+TableC2!S53)/(TableC2!$D$91+TableC2!$O$91)</f>
        <v>0</v>
      </c>
      <c r="H55" s="678">
        <f>1000*TableA7!$P$91*(TableC2!I53+TableC2!T53)/(TableC2!$D$91+TableC2!$O$91)</f>
        <v>0</v>
      </c>
      <c r="I55" s="678">
        <f>1000*TableA7!$P$91*(TableC2!J53+TableC2!U53)/(TableC2!$D$91+TableC2!$O$91)</f>
        <v>0</v>
      </c>
      <c r="J55" s="55">
        <f>1000*TableA7!$P$91*(TableC2!K53+TableC2!V53)/(TableC2!$D$91+TableC2!$O$91)</f>
        <v>0</v>
      </c>
      <c r="K55" s="664">
        <f>1000*TableA7!$P$91*(TableC2!L53+TableC2!W53)/(TableC2!$D$91+TableC2!$O$91)</f>
        <v>0</v>
      </c>
      <c r="L55" s="678">
        <f>1000*TableA7!$P$91*(TableC2!M53+TableC2!X53)/(TableC2!$D$91+TableC2!$O$91)</f>
        <v>0</v>
      </c>
      <c r="M55" s="1328">
        <f>1000*TableA7!$P$91*(TableC2!N53+TableC2!Y53)/(TableC2!$D$91+TableC2!$O$91)</f>
        <v>0</v>
      </c>
      <c r="N55" s="1330">
        <f>1000*TableA7!$P$91*TableC3!C53/TableC3!$C$91</f>
        <v>0.73772236251187029</v>
      </c>
      <c r="O55" s="306">
        <f>1000*TableA7!$P$91*TableC3!D53/TableC3!$C$91</f>
        <v>2.1934471652001422E-2</v>
      </c>
      <c r="P55" s="8">
        <f>1000*TableA7!$P$91*TableC3!E53/TableC3!$C$91</f>
        <v>0</v>
      </c>
      <c r="Q55" s="8">
        <f>1000*TableA7!$P$91*TableC3!F53/TableC3!$C$91</f>
        <v>2.1934471652001422E-2</v>
      </c>
      <c r="R55" s="8">
        <f>1000*TableA7!$P$91*TableC3!G53/TableC3!$C$91</f>
        <v>0</v>
      </c>
      <c r="S55" s="678">
        <f>1000*TableA7!$P$91*TableC3!H53/TableC3!$C$91</f>
        <v>0</v>
      </c>
      <c r="T55" s="678">
        <f>1000*TableA7!$P$91*TableC3!I53/TableC3!$C$91</f>
        <v>0</v>
      </c>
      <c r="U55" s="55">
        <f>1000*TableA7!$P$91*TableC3!J53/TableC3!$C$91</f>
        <v>0</v>
      </c>
      <c r="V55" s="664">
        <f>1000*TableA7!$P$91*TableC3!K53/TableC3!$C$91</f>
        <v>0.71578789085986894</v>
      </c>
      <c r="W55" s="678">
        <f>1000*TableA7!$P$91*TableC3!L53/TableC3!$C$91</f>
        <v>0</v>
      </c>
      <c r="X55" s="593">
        <f>1000*TableA7!$P$91*TableC3!M53/TableC3!$C$91</f>
        <v>0.71578789085986894</v>
      </c>
    </row>
    <row r="56" spans="1:24" ht="14.25" hidden="1" customHeight="1" x14ac:dyDescent="0.35">
      <c r="B56" s="264" t="s">
        <v>273</v>
      </c>
      <c r="C56" s="739">
        <f>1000*TableA7!$P$91*(TableC2!D54+TableC2!O54)/(TableC2!$D$91+TableC2!$O$91)</f>
        <v>0</v>
      </c>
      <c r="D56" s="306">
        <f>1000*TableA7!$P$91*(TableC2!E54+TableC2!P54)/(TableC2!$D$91+TableC2!$O$91)</f>
        <v>0</v>
      </c>
      <c r="E56" s="8">
        <f>1000*TableA7!$P$91*(TableC2!F54+TableC2!Q54)/(TableC2!$D$91+TableC2!$O$91)</f>
        <v>0</v>
      </c>
      <c r="F56" s="8">
        <f>1000*TableA7!$P$91*(TableC2!G54+TableC2!R54)/(TableC2!$D$91+TableC2!$O$91)</f>
        <v>0</v>
      </c>
      <c r="G56" s="8">
        <f>1000*TableA7!$P$91*(TableC2!H54+TableC2!S54)/(TableC2!$D$91+TableC2!$O$91)</f>
        <v>0</v>
      </c>
      <c r="H56" s="678">
        <f>1000*TableA7!$P$91*(TableC2!I54+TableC2!T54)/(TableC2!$D$91+TableC2!$O$91)</f>
        <v>0</v>
      </c>
      <c r="I56" s="678">
        <f>1000*TableA7!$P$91*(TableC2!J54+TableC2!U54)/(TableC2!$D$91+TableC2!$O$91)</f>
        <v>0</v>
      </c>
      <c r="J56" s="55">
        <f>1000*TableA7!$P$91*(TableC2!K54+TableC2!V54)/(TableC2!$D$91+TableC2!$O$91)</f>
        <v>0</v>
      </c>
      <c r="K56" s="664">
        <f>1000*TableA7!$P$91*(TableC2!L54+TableC2!W54)/(TableC2!$D$91+TableC2!$O$91)</f>
        <v>0</v>
      </c>
      <c r="L56" s="678">
        <f>1000*TableA7!$P$91*(TableC2!M54+TableC2!X54)/(TableC2!$D$91+TableC2!$O$91)</f>
        <v>0</v>
      </c>
      <c r="M56" s="1328">
        <f>1000*TableA7!$P$91*(TableC2!N54+TableC2!Y54)/(TableC2!$D$91+TableC2!$O$91)</f>
        <v>0</v>
      </c>
      <c r="N56" s="1330">
        <f>1000*TableA7!$P$91*TableC3!C54/TableC3!$C$91</f>
        <v>65.026064737770454</v>
      </c>
      <c r="O56" s="306">
        <f>1000*TableA7!$P$91*TableC3!D54/TableC3!$C$91</f>
        <v>2.751379621301057E-3</v>
      </c>
      <c r="P56" s="8">
        <f>1000*TableA7!$P$91*TableC3!E54/TableC3!$C$91</f>
        <v>0</v>
      </c>
      <c r="Q56" s="8">
        <f>1000*TableA7!$P$91*TableC3!F54/TableC3!$C$91</f>
        <v>2.751379621301057E-3</v>
      </c>
      <c r="R56" s="8">
        <f>1000*TableA7!$P$91*TableC3!G54/TableC3!$C$91</f>
        <v>0</v>
      </c>
      <c r="S56" s="678">
        <f>1000*TableA7!$P$91*TableC3!H54/TableC3!$C$91</f>
        <v>0</v>
      </c>
      <c r="T56" s="678">
        <f>1000*TableA7!$P$91*TableC3!I54/TableC3!$C$91</f>
        <v>0</v>
      </c>
      <c r="U56" s="55">
        <f>1000*TableA7!$P$91*TableC3!J54/TableC3!$C$91</f>
        <v>0</v>
      </c>
      <c r="V56" s="664">
        <f>1000*TableA7!$P$91*TableC3!K54/TableC3!$C$91</f>
        <v>65.023313358149153</v>
      </c>
      <c r="W56" s="678">
        <f>1000*TableA7!$P$91*TableC3!L54/TableC3!$C$91</f>
        <v>0</v>
      </c>
      <c r="X56" s="593">
        <f>1000*TableA7!$P$91*TableC3!M54/TableC3!$C$91</f>
        <v>65.023313358149153</v>
      </c>
    </row>
    <row r="57" spans="1:24" ht="14.25" hidden="1" customHeight="1" x14ac:dyDescent="0.35">
      <c r="B57" s="289" t="str">
        <f>+TableA1!A56</f>
        <v>Antigua and Barbuda</v>
      </c>
      <c r="C57" s="739">
        <f>1000*TableA7!$P$91*(TableC2!D55+TableC2!O55)/(TableC2!$D$91+TableC2!$O$91)</f>
        <v>0</v>
      </c>
      <c r="D57" s="306">
        <f>1000*TableA7!$P$91*(TableC2!E55+TableC2!P55)/(TableC2!$D$91+TableC2!$O$91)</f>
        <v>0</v>
      </c>
      <c r="E57" s="8">
        <f>1000*TableA7!$P$91*(TableC2!F55+TableC2!Q55)/(TableC2!$D$91+TableC2!$O$91)</f>
        <v>0</v>
      </c>
      <c r="F57" s="8">
        <f>1000*TableA7!$P$91*(TableC2!G55+TableC2!R55)/(TableC2!$D$91+TableC2!$O$91)</f>
        <v>0</v>
      </c>
      <c r="G57" s="8">
        <f>1000*TableA7!$P$91*(TableC2!H55+TableC2!S55)/(TableC2!$D$91+TableC2!$O$91)</f>
        <v>0</v>
      </c>
      <c r="H57" s="678">
        <f>1000*TableA7!$P$91*(TableC2!I55+TableC2!T55)/(TableC2!$D$91+TableC2!$O$91)</f>
        <v>0</v>
      </c>
      <c r="I57" s="678">
        <f>1000*TableA7!$P$91*(TableC2!J55+TableC2!U55)/(TableC2!$D$91+TableC2!$O$91)</f>
        <v>0</v>
      </c>
      <c r="J57" s="55">
        <f>1000*TableA7!$P$91*(TableC2!K55+TableC2!V55)/(TableC2!$D$91+TableC2!$O$91)</f>
        <v>0</v>
      </c>
      <c r="K57" s="664">
        <f>1000*TableA7!$P$91*(TableC2!L55+TableC2!W55)/(TableC2!$D$91+TableC2!$O$91)</f>
        <v>0</v>
      </c>
      <c r="L57" s="678">
        <f>1000*TableA7!$P$91*(TableC2!M55+TableC2!X55)/(TableC2!$D$91+TableC2!$O$91)</f>
        <v>0</v>
      </c>
      <c r="M57" s="1328">
        <f>1000*TableA7!$P$91*(TableC2!N55+TableC2!Y55)/(TableC2!$D$91+TableC2!$O$91)</f>
        <v>0</v>
      </c>
      <c r="N57" s="1332">
        <f>1000*TableA7!$P$91*TableC3!C55/TableC3!$C$91</f>
        <v>4.0389093270906518</v>
      </c>
      <c r="O57" s="306">
        <f>1000*TableA7!$P$91*TableC3!D55/TableC3!$C$91</f>
        <v>8.4497653735671804E-3</v>
      </c>
      <c r="P57" s="8">
        <f>1000*TableA7!$P$91*TableC3!E55/TableC3!$C$91</f>
        <v>0</v>
      </c>
      <c r="Q57" s="8">
        <f>1000*TableA7!$P$91*TableC3!F55/TableC3!$C$91</f>
        <v>8.4497653735671804E-3</v>
      </c>
      <c r="R57" s="8">
        <f>1000*TableA7!$P$91*TableC3!G55/TableC3!$C$91</f>
        <v>0</v>
      </c>
      <c r="S57" s="678">
        <f>1000*TableA7!$P$91*TableC3!H55/TableC3!$C$91</f>
        <v>0</v>
      </c>
      <c r="T57" s="678">
        <f>1000*TableA7!$P$91*TableC3!I55/TableC3!$C$91</f>
        <v>0</v>
      </c>
      <c r="U57" s="55">
        <f>1000*TableA7!$P$91*TableC3!J55/TableC3!$C$91</f>
        <v>0</v>
      </c>
      <c r="V57" s="664">
        <f>1000*TableA7!$P$91*TableC3!K55/TableC3!$C$91</f>
        <v>4.030459561717084</v>
      </c>
      <c r="W57" s="678">
        <f>1000*TableA7!$P$91*TableC3!L55/TableC3!$C$91</f>
        <v>0</v>
      </c>
      <c r="X57" s="593">
        <f>1000*TableA7!$P$91*TableC3!M55/TableC3!$C$91</f>
        <v>4.030459561717084</v>
      </c>
    </row>
    <row r="58" spans="1:24" ht="14.25" hidden="1" customHeight="1" x14ac:dyDescent="0.35">
      <c r="B58" s="264" t="s">
        <v>274</v>
      </c>
      <c r="C58" s="739">
        <f>1000*TableA7!$P$91*(TableC2!D56+TableC2!O56)/(TableC2!$D$91+TableC2!$O$91)</f>
        <v>0</v>
      </c>
      <c r="D58" s="306">
        <f>1000*TableA7!$P$91*(TableC2!E56+TableC2!P56)/(TableC2!$D$91+TableC2!$O$91)</f>
        <v>0</v>
      </c>
      <c r="E58" s="8">
        <f>1000*TableA7!$P$91*(TableC2!F56+TableC2!Q56)/(TableC2!$D$91+TableC2!$O$91)</f>
        <v>0</v>
      </c>
      <c r="F58" s="8">
        <f>1000*TableA7!$P$91*(TableC2!G56+TableC2!R56)/(TableC2!$D$91+TableC2!$O$91)</f>
        <v>0</v>
      </c>
      <c r="G58" s="8">
        <f>1000*TableA7!$P$91*(TableC2!H56+TableC2!S56)/(TableC2!$D$91+TableC2!$O$91)</f>
        <v>0</v>
      </c>
      <c r="H58" s="678">
        <f>1000*TableA7!$P$91*(TableC2!I56+TableC2!T56)/(TableC2!$D$91+TableC2!$O$91)</f>
        <v>0</v>
      </c>
      <c r="I58" s="678">
        <f>1000*TableA7!$P$91*(TableC2!J56+TableC2!U56)/(TableC2!$D$91+TableC2!$O$91)</f>
        <v>0</v>
      </c>
      <c r="J58" s="55">
        <f>1000*TableA7!$P$91*(TableC2!K56+TableC2!V56)/(TableC2!$D$91+TableC2!$O$91)</f>
        <v>0</v>
      </c>
      <c r="K58" s="664">
        <f>1000*TableA7!$P$91*(TableC2!L56+TableC2!W56)/(TableC2!$D$91+TableC2!$O$91)</f>
        <v>0</v>
      </c>
      <c r="L58" s="678">
        <f>1000*TableA7!$P$91*(TableC2!M56+TableC2!X56)/(TableC2!$D$91+TableC2!$O$91)</f>
        <v>0</v>
      </c>
      <c r="M58" s="1328">
        <f>1000*TableA7!$P$91*(TableC2!N56+TableC2!Y56)/(TableC2!$D$91+TableC2!$O$91)</f>
        <v>0</v>
      </c>
      <c r="N58" s="1330">
        <f>1000*TableA7!$P$91*TableC3!C56/TableC3!$C$91</f>
        <v>37.550586458025059</v>
      </c>
      <c r="O58" s="306">
        <f>1000*TableA7!$P$91*TableC3!D56/TableC3!$C$91</f>
        <v>0</v>
      </c>
      <c r="P58" s="8">
        <f>1000*TableA7!$P$91*TableC3!E56/TableC3!$C$91</f>
        <v>0</v>
      </c>
      <c r="Q58" s="8">
        <f>1000*TableA7!$P$91*TableC3!F56/TableC3!$C$91</f>
        <v>0</v>
      </c>
      <c r="R58" s="8">
        <f>1000*TableA7!$P$91*TableC3!G56/TableC3!$C$91</f>
        <v>0</v>
      </c>
      <c r="S58" s="678">
        <f>1000*TableA7!$P$91*TableC3!H56/TableC3!$C$91</f>
        <v>0</v>
      </c>
      <c r="T58" s="678">
        <f>1000*TableA7!$P$91*TableC3!I56/TableC3!$C$91</f>
        <v>0</v>
      </c>
      <c r="U58" s="55">
        <f>1000*TableA7!$P$91*TableC3!J56/TableC3!$C$91</f>
        <v>0</v>
      </c>
      <c r="V58" s="664">
        <f>1000*TableA7!$P$91*TableC3!K56/TableC3!$C$91</f>
        <v>37.550586458025059</v>
      </c>
      <c r="W58" s="678">
        <f>1000*TableA7!$P$91*TableC3!L56/TableC3!$C$91</f>
        <v>0</v>
      </c>
      <c r="X58" s="593">
        <f>1000*TableA7!$P$91*TableC3!M56/TableC3!$C$91</f>
        <v>37.550586458025059</v>
      </c>
    </row>
    <row r="59" spans="1:24" ht="14.25" hidden="1" customHeight="1" x14ac:dyDescent="0.35">
      <c r="A59" s="741" t="s">
        <v>320</v>
      </c>
      <c r="B59" s="264" t="s">
        <v>275</v>
      </c>
      <c r="C59" s="739">
        <f>1000*TableA7!$P$91*(TableC2!D57+TableC2!O57)/(TableC2!$D$91+TableC2!$O$91)</f>
        <v>0</v>
      </c>
      <c r="D59" s="306">
        <f>1000*TableA7!$P$91*(TableC2!E57+TableC2!P57)/(TableC2!$D$91+TableC2!$O$91)</f>
        <v>0</v>
      </c>
      <c r="E59" s="8">
        <f>1000*TableA7!$P$91*(TableC2!F57+TableC2!Q57)/(TableC2!$D$91+TableC2!$O$91)</f>
        <v>0</v>
      </c>
      <c r="F59" s="8">
        <f>1000*TableA7!$P$91*(TableC2!G57+TableC2!R57)/(TableC2!$D$91+TableC2!$O$91)</f>
        <v>0</v>
      </c>
      <c r="G59" s="8">
        <f>1000*TableA7!$P$91*(TableC2!H57+TableC2!S57)/(TableC2!$D$91+TableC2!$O$91)</f>
        <v>0</v>
      </c>
      <c r="H59" s="678">
        <f>1000*TableA7!$P$91*(TableC2!I57+TableC2!T57)/(TableC2!$D$91+TableC2!$O$91)</f>
        <v>0</v>
      </c>
      <c r="I59" s="678">
        <f>1000*TableA7!$P$91*(TableC2!J57+TableC2!U57)/(TableC2!$D$91+TableC2!$O$91)</f>
        <v>0</v>
      </c>
      <c r="J59" s="55">
        <f>1000*TableA7!$P$91*(TableC2!K57+TableC2!V57)/(TableC2!$D$91+TableC2!$O$91)</f>
        <v>0</v>
      </c>
      <c r="K59" s="664">
        <f>1000*TableA7!$P$91*(TableC2!L57+TableC2!W57)/(TableC2!$D$91+TableC2!$O$91)</f>
        <v>0</v>
      </c>
      <c r="L59" s="678">
        <f>1000*TableA7!$P$91*(TableC2!M57+TableC2!X57)/(TableC2!$D$91+TableC2!$O$91)</f>
        <v>0</v>
      </c>
      <c r="M59" s="1328">
        <f>1000*TableA7!$P$91*(TableC2!N57+TableC2!Y57)/(TableC2!$D$91+TableC2!$O$91)</f>
        <v>0</v>
      </c>
      <c r="N59" s="1330">
        <f>1000*TableA7!$P$91*TableC3!C57/TableC3!$C$91</f>
        <v>470.33211303475895</v>
      </c>
      <c r="O59" s="306">
        <f>1000*TableA7!$P$91*TableC3!D57/TableC3!$C$91</f>
        <v>119.0006905971962</v>
      </c>
      <c r="P59" s="8">
        <f>1000*TableA7!$P$91*TableC3!E57/TableC3!$C$91</f>
        <v>0</v>
      </c>
      <c r="Q59" s="8">
        <f>1000*TableA7!$P$91*TableC3!F57/TableC3!$C$91</f>
        <v>0</v>
      </c>
      <c r="R59" s="8">
        <f>1000*TableA7!$P$91*TableC3!G57/TableC3!$C$91</f>
        <v>0</v>
      </c>
      <c r="S59" s="678">
        <f>1000*TableA7!$P$91*TableC3!H57/TableC3!$C$91</f>
        <v>119.0006905971962</v>
      </c>
      <c r="T59" s="678">
        <f>1000*TableA7!$P$91*TableC3!I57/TableC3!$C$91</f>
        <v>0</v>
      </c>
      <c r="U59" s="55">
        <f>1000*TableA7!$P$91*TableC3!J57/TableC3!$C$91</f>
        <v>0</v>
      </c>
      <c r="V59" s="664">
        <f>1000*TableA7!$P$91*TableC3!K57/TableC3!$C$91</f>
        <v>351.33142243756276</v>
      </c>
      <c r="W59" s="678">
        <f>1000*TableA7!$P$91*TableC3!L57/TableC3!$C$91</f>
        <v>0</v>
      </c>
      <c r="X59" s="593">
        <f>1000*TableA7!$P$91*TableC3!M57/TableC3!$C$91</f>
        <v>351.33142243756276</v>
      </c>
    </row>
    <row r="60" spans="1:24" ht="14.25" hidden="1" customHeight="1" x14ac:dyDescent="0.35">
      <c r="A60" s="741" t="s">
        <v>486</v>
      </c>
      <c r="B60" s="264" t="s">
        <v>276</v>
      </c>
      <c r="C60" s="739">
        <f>1000*TableA7!$P$91*(TableC2!D58+TableC2!O58)/(TableC2!$D$91+TableC2!$O$91)</f>
        <v>0</v>
      </c>
      <c r="D60" s="306">
        <f>1000*TableA7!$P$91*(TableC2!E58+TableC2!P58)/(TableC2!$D$91+TableC2!$O$91)</f>
        <v>0</v>
      </c>
      <c r="E60" s="8">
        <f>1000*TableA7!$P$91*(TableC2!F58+TableC2!Q58)/(TableC2!$D$91+TableC2!$O$91)</f>
        <v>0</v>
      </c>
      <c r="F60" s="8">
        <f>1000*TableA7!$P$91*(TableC2!G58+TableC2!R58)/(TableC2!$D$91+TableC2!$O$91)</f>
        <v>0</v>
      </c>
      <c r="G60" s="8">
        <f>1000*TableA7!$P$91*(TableC2!H58+TableC2!S58)/(TableC2!$D$91+TableC2!$O$91)</f>
        <v>0</v>
      </c>
      <c r="H60" s="678">
        <f>1000*TableA7!$P$91*(TableC2!I58+TableC2!T58)/(TableC2!$D$91+TableC2!$O$91)</f>
        <v>0</v>
      </c>
      <c r="I60" s="678">
        <f>1000*TableA7!$P$91*(TableC2!J58+TableC2!U58)/(TableC2!$D$91+TableC2!$O$91)</f>
        <v>0</v>
      </c>
      <c r="J60" s="55">
        <f>1000*TableA7!$P$91*(TableC2!K58+TableC2!V58)/(TableC2!$D$91+TableC2!$O$91)</f>
        <v>0</v>
      </c>
      <c r="K60" s="664">
        <f>1000*TableA7!$P$91*(TableC2!L58+TableC2!W58)/(TableC2!$D$91+TableC2!$O$91)</f>
        <v>0</v>
      </c>
      <c r="L60" s="678">
        <f>1000*TableA7!$P$91*(TableC2!M58+TableC2!X58)/(TableC2!$D$91+TableC2!$O$91)</f>
        <v>0</v>
      </c>
      <c r="M60" s="1328">
        <f>1000*TableA7!$P$91*(TableC2!N58+TableC2!Y58)/(TableC2!$D$91+TableC2!$O$91)</f>
        <v>0</v>
      </c>
      <c r="N60" s="1330">
        <f>1000*TableA7!$P$91*TableC3!C58/TableC3!$C$91</f>
        <v>246.9758327614029</v>
      </c>
      <c r="O60" s="306">
        <f>1000*TableA7!$P$91*TableC3!D58/TableC3!$C$91</f>
        <v>-58.729532920452677</v>
      </c>
      <c r="P60" s="8">
        <f>1000*TableA7!$P$91*TableC3!E58/TableC3!$C$91</f>
        <v>-60.620659223948998</v>
      </c>
      <c r="Q60" s="8">
        <f>1000*TableA7!$P$91*TableC3!F58/TableC3!$C$91</f>
        <v>2.0314713523133228</v>
      </c>
      <c r="R60" s="8">
        <f>1000*TableA7!$P$91*TableC3!G58/TableC3!$C$91</f>
        <v>-0.14034504881700322</v>
      </c>
      <c r="S60" s="678">
        <f>1000*TableA7!$P$91*TableC3!H58/TableC3!$C$91</f>
        <v>0</v>
      </c>
      <c r="T60" s="678">
        <f>1000*TableA7!$P$91*TableC3!I58/TableC3!$C$91</f>
        <v>0</v>
      </c>
      <c r="U60" s="55">
        <f>1000*TableA7!$P$91*TableC3!J58/TableC3!$C$91</f>
        <v>0</v>
      </c>
      <c r="V60" s="664">
        <f>1000*TableA7!$P$91*TableC3!K58/TableC3!$C$91</f>
        <v>305.7053656818556</v>
      </c>
      <c r="W60" s="678">
        <f>1000*TableA7!$P$91*TableC3!L58/TableC3!$C$91</f>
        <v>0</v>
      </c>
      <c r="X60" s="593">
        <f>1000*TableA7!$P$91*TableC3!M58/TableC3!$C$91</f>
        <v>305.7053656818556</v>
      </c>
    </row>
    <row r="61" spans="1:24" ht="14.25" hidden="1" customHeight="1" x14ac:dyDescent="0.35">
      <c r="B61" s="289" t="str">
        <f>+TableA1!A60</f>
        <v>Barbados</v>
      </c>
      <c r="C61" s="739">
        <f>1000*TableA7!$P$91*(TableC2!D59+TableC2!O59)/(TableC2!$D$91+TableC2!$O$91)</f>
        <v>0</v>
      </c>
      <c r="D61" s="306">
        <f>1000*TableA7!$P$91*(TableC2!E59+TableC2!P59)/(TableC2!$D$91+TableC2!$O$91)</f>
        <v>0</v>
      </c>
      <c r="E61" s="8">
        <f>1000*TableA7!$P$91*(TableC2!F59+TableC2!Q59)/(TableC2!$D$91+TableC2!$O$91)</f>
        <v>0</v>
      </c>
      <c r="F61" s="8">
        <f>1000*TableA7!$P$91*(TableC2!G59+TableC2!R59)/(TableC2!$D$91+TableC2!$O$91)</f>
        <v>0</v>
      </c>
      <c r="G61" s="8">
        <f>1000*TableA7!$P$91*(TableC2!H59+TableC2!S59)/(TableC2!$D$91+TableC2!$O$91)</f>
        <v>0</v>
      </c>
      <c r="H61" s="678">
        <f>1000*TableA7!$P$91*(TableC2!I59+TableC2!T59)/(TableC2!$D$91+TableC2!$O$91)</f>
        <v>0</v>
      </c>
      <c r="I61" s="678">
        <f>1000*TableA7!$P$91*(TableC2!J59+TableC2!U59)/(TableC2!$D$91+TableC2!$O$91)</f>
        <v>0</v>
      </c>
      <c r="J61" s="55">
        <f>1000*TableA7!$P$91*(TableC2!K59+TableC2!V59)/(TableC2!$D$91+TableC2!$O$91)</f>
        <v>0</v>
      </c>
      <c r="K61" s="664">
        <f>1000*TableA7!$P$91*(TableC2!L59+TableC2!W59)/(TableC2!$D$91+TableC2!$O$91)</f>
        <v>0</v>
      </c>
      <c r="L61" s="678">
        <f>1000*TableA7!$P$91*(TableC2!M59+TableC2!X59)/(TableC2!$D$91+TableC2!$O$91)</f>
        <v>0</v>
      </c>
      <c r="M61" s="1328">
        <f>1000*TableA7!$P$91*(TableC2!N59+TableC2!Y59)/(TableC2!$D$91+TableC2!$O$91)</f>
        <v>0</v>
      </c>
      <c r="N61" s="1332">
        <f>1000*TableA7!$P$91*TableC3!C59/TableC3!$C$91</f>
        <v>65.838727147551538</v>
      </c>
      <c r="O61" s="306">
        <f>1000*TableA7!$P$91*TableC3!D59/TableC3!$C$91</f>
        <v>7.2430099040587832</v>
      </c>
      <c r="P61" s="8">
        <f>1000*TableA7!$P$91*TableC3!E59/TableC3!$C$91</f>
        <v>0</v>
      </c>
      <c r="Q61" s="8">
        <f>1000*TableA7!$P$91*TableC3!F59/TableC3!$C$91</f>
        <v>4.0712118007945124</v>
      </c>
      <c r="R61" s="8">
        <f>1000*TableA7!$P$91*TableC3!G59/TableC3!$C$91</f>
        <v>3.1717981032642713</v>
      </c>
      <c r="S61" s="678">
        <f>1000*TableA7!$P$91*TableC3!H59/TableC3!$C$91</f>
        <v>0</v>
      </c>
      <c r="T61" s="678">
        <f>1000*TableA7!$P$91*TableC3!I59/TableC3!$C$91</f>
        <v>0</v>
      </c>
      <c r="U61" s="55">
        <f>1000*TableA7!$P$91*TableC3!J59/TableC3!$C$91</f>
        <v>0</v>
      </c>
      <c r="V61" s="664">
        <f>1000*TableA7!$P$91*TableC3!K59/TableC3!$C$91</f>
        <v>58.595717243492757</v>
      </c>
      <c r="W61" s="678">
        <f>1000*TableA7!$P$91*TableC3!L59/TableC3!$C$91</f>
        <v>0</v>
      </c>
      <c r="X61" s="593">
        <f>1000*TableA7!$P$91*TableC3!M59/TableC3!$C$91</f>
        <v>58.595717243492757</v>
      </c>
    </row>
    <row r="62" spans="1:24" ht="14.25" hidden="1" customHeight="1" x14ac:dyDescent="0.35">
      <c r="B62" s="264" t="s">
        <v>277</v>
      </c>
      <c r="C62" s="739">
        <f>1000*TableA7!$P$91*(TableC2!D60+TableC2!O60)/(TableC2!$D$91+TableC2!$O$91)</f>
        <v>0</v>
      </c>
      <c r="D62" s="306">
        <f>1000*TableA7!$P$91*(TableC2!E60+TableC2!P60)/(TableC2!$D$91+TableC2!$O$91)</f>
        <v>0</v>
      </c>
      <c r="E62" s="8">
        <f>1000*TableA7!$P$91*(TableC2!F60+TableC2!Q60)/(TableC2!$D$91+TableC2!$O$91)</f>
        <v>0</v>
      </c>
      <c r="F62" s="8">
        <f>1000*TableA7!$P$91*(TableC2!G60+TableC2!R60)/(TableC2!$D$91+TableC2!$O$91)</f>
        <v>0</v>
      </c>
      <c r="G62" s="8">
        <f>1000*TableA7!$P$91*(TableC2!H60+TableC2!S60)/(TableC2!$D$91+TableC2!$O$91)</f>
        <v>0</v>
      </c>
      <c r="H62" s="678">
        <f>1000*TableA7!$P$91*(TableC2!I60+TableC2!T60)/(TableC2!$D$91+TableC2!$O$91)</f>
        <v>0</v>
      </c>
      <c r="I62" s="678">
        <f>1000*TableA7!$P$91*(TableC2!J60+TableC2!U60)/(TableC2!$D$91+TableC2!$O$91)</f>
        <v>0</v>
      </c>
      <c r="J62" s="55">
        <f>1000*TableA7!$P$91*(TableC2!K60+TableC2!V60)/(TableC2!$D$91+TableC2!$O$91)</f>
        <v>0</v>
      </c>
      <c r="K62" s="664">
        <f>1000*TableA7!$P$91*(TableC2!L60+TableC2!W60)/(TableC2!$D$91+TableC2!$O$91)</f>
        <v>0</v>
      </c>
      <c r="L62" s="678">
        <f>1000*TableA7!$P$91*(TableC2!M60+TableC2!X60)/(TableC2!$D$91+TableC2!$O$91)</f>
        <v>0</v>
      </c>
      <c r="M62" s="1328">
        <f>1000*TableA7!$P$91*(TableC2!N60+TableC2!Y60)/(TableC2!$D$91+TableC2!$O$91)</f>
        <v>0</v>
      </c>
      <c r="N62" s="1330">
        <f>1000*TableA7!$P$91*TableC3!C60/TableC3!$C$91</f>
        <v>1.6035166873960216</v>
      </c>
      <c r="O62" s="306">
        <f>1000*TableA7!$P$91*TableC3!D60/TableC3!$C$91</f>
        <v>2.4556526865550859E-2</v>
      </c>
      <c r="P62" s="8">
        <f>1000*TableA7!$P$91*TableC3!E60/TableC3!$C$91</f>
        <v>0</v>
      </c>
      <c r="Q62" s="8">
        <f>1000*TableA7!$P$91*TableC3!F60/TableC3!$C$91</f>
        <v>0</v>
      </c>
      <c r="R62" s="8">
        <f>1000*TableA7!$P$91*TableC3!G60/TableC3!$C$91</f>
        <v>0</v>
      </c>
      <c r="S62" s="678">
        <f>1000*TableA7!$P$91*TableC3!H60/TableC3!$C$91</f>
        <v>0</v>
      </c>
      <c r="T62" s="678">
        <f>1000*TableA7!$P$91*TableC3!I60/TableC3!$C$91</f>
        <v>2.4556526865550859E-2</v>
      </c>
      <c r="U62" s="55">
        <f>1000*TableA7!$P$91*TableC3!J60/TableC3!$C$91</f>
        <v>0</v>
      </c>
      <c r="V62" s="664">
        <f>1000*TableA7!$P$91*TableC3!K60/TableC3!$C$91</f>
        <v>1.5789601605304706</v>
      </c>
      <c r="W62" s="678">
        <f>1000*TableA7!$P$91*TableC3!L60/TableC3!$C$91</f>
        <v>0</v>
      </c>
      <c r="X62" s="593">
        <f>1000*TableA7!$P$91*TableC3!M60/TableC3!$C$91</f>
        <v>1.5789601605304706</v>
      </c>
    </row>
    <row r="63" spans="1:24" ht="14.25" hidden="1" customHeight="1" x14ac:dyDescent="0.35">
      <c r="B63" s="264" t="s">
        <v>213</v>
      </c>
      <c r="C63" s="739">
        <f>1000*TableA7!$P$91*(TableC2!D61+TableC2!O61)/(TableC2!$D$91+TableC2!$O$91)</f>
        <v>0</v>
      </c>
      <c r="D63" s="306">
        <f>1000*TableA7!$P$91*(TableC2!E61+TableC2!P61)/(TableC2!$D$91+TableC2!$O$91)</f>
        <v>0</v>
      </c>
      <c r="E63" s="8">
        <f>1000*TableA7!$P$91*(TableC2!F61+TableC2!Q61)/(TableC2!$D$91+TableC2!$O$91)</f>
        <v>0</v>
      </c>
      <c r="F63" s="8">
        <f>1000*TableA7!$P$91*(TableC2!G61+TableC2!R61)/(TableC2!$D$91+TableC2!$O$91)</f>
        <v>0</v>
      </c>
      <c r="G63" s="8">
        <f>1000*TableA7!$P$91*(TableC2!H61+TableC2!S61)/(TableC2!$D$91+TableC2!$O$91)</f>
        <v>0</v>
      </c>
      <c r="H63" s="678">
        <f>1000*TableA7!$P$91*(TableC2!I61+TableC2!T61)/(TableC2!$D$91+TableC2!$O$91)</f>
        <v>0</v>
      </c>
      <c r="I63" s="678">
        <f>1000*TableA7!$P$91*(TableC2!J61+TableC2!U61)/(TableC2!$D$91+TableC2!$O$91)</f>
        <v>0</v>
      </c>
      <c r="J63" s="55">
        <f>1000*TableA7!$P$91*(TableC2!K61+TableC2!V61)/(TableC2!$D$91+TableC2!$O$91)</f>
        <v>0</v>
      </c>
      <c r="K63" s="664">
        <f>1000*TableA7!$P$91*(TableC2!L61+TableC2!W61)/(TableC2!$D$91+TableC2!$O$91)</f>
        <v>0</v>
      </c>
      <c r="L63" s="678">
        <f>1000*TableA7!$P$91*(TableC2!M61+TableC2!X61)/(TableC2!$D$91+TableC2!$O$91)</f>
        <v>0</v>
      </c>
      <c r="M63" s="1328">
        <f>1000*TableA7!$P$91*(TableC2!N61+TableC2!Y61)/(TableC2!$D$91+TableC2!$O$91)</f>
        <v>0</v>
      </c>
      <c r="N63" s="1330">
        <f>1000*TableA7!$P$91*TableC3!C61/TableC3!$C$91</f>
        <v>21146.580577208311</v>
      </c>
      <c r="O63" s="306">
        <f>1000*TableA7!$P$91*TableC3!D61/TableC3!$C$91</f>
        <v>13758.068759239346</v>
      </c>
      <c r="P63" s="8">
        <f>1000*TableA7!$P$91*TableC3!E61/TableC3!$C$91</f>
        <v>0</v>
      </c>
      <c r="Q63" s="8">
        <f>1000*TableA7!$P$91*TableC3!F61/TableC3!$C$91</f>
        <v>0</v>
      </c>
      <c r="R63" s="8">
        <f>1000*TableA7!$P$91*TableC3!G61/TableC3!$C$91</f>
        <v>3726.1610460914349</v>
      </c>
      <c r="S63" s="678">
        <f>1000*TableA7!$P$91*TableC3!H61/TableC3!$C$91</f>
        <v>2221.0657772574627</v>
      </c>
      <c r="T63" s="678">
        <f>1000*TableA7!$P$91*TableC3!I61/TableC3!$C$91</f>
        <v>0</v>
      </c>
      <c r="U63" s="55">
        <f>1000*TableA7!$P$91*TableC3!J61/TableC3!$C$91</f>
        <v>7810.8419358904503</v>
      </c>
      <c r="V63" s="664">
        <f>1000*TableA7!$P$91*TableC3!K61/TableC3!$C$91</f>
        <v>7388.5118179689634</v>
      </c>
      <c r="W63" s="678">
        <f>1000*TableA7!$P$91*TableC3!L61/TableC3!$C$91</f>
        <v>0</v>
      </c>
      <c r="X63" s="593">
        <f>1000*TableA7!$P$91*TableC3!M61/TableC3!$C$91</f>
        <v>7388.5118179689634</v>
      </c>
    </row>
    <row r="64" spans="1:24" ht="14.25" hidden="1" customHeight="1" x14ac:dyDescent="0.35">
      <c r="A64" s="741" t="s">
        <v>539</v>
      </c>
      <c r="B64" s="264" t="s">
        <v>278</v>
      </c>
      <c r="C64" s="739">
        <f>1000*TableA7!$P$91*(TableC2!D62+TableC2!O62)/(TableC2!$D$91+TableC2!$O$91)</f>
        <v>0</v>
      </c>
      <c r="D64" s="306">
        <f>1000*TableA7!$P$91*(TableC2!E62+TableC2!P62)/(TableC2!$D$91+TableC2!$O$91)</f>
        <v>0</v>
      </c>
      <c r="E64" s="8">
        <f>1000*TableA7!$P$91*(TableC2!F62+TableC2!Q62)/(TableC2!$D$91+TableC2!$O$91)</f>
        <v>0</v>
      </c>
      <c r="F64" s="8">
        <f>1000*TableA7!$P$91*(TableC2!G62+TableC2!R62)/(TableC2!$D$91+TableC2!$O$91)</f>
        <v>0</v>
      </c>
      <c r="G64" s="8">
        <f>1000*TableA7!$P$91*(TableC2!H62+TableC2!S62)/(TableC2!$D$91+TableC2!$O$91)</f>
        <v>0</v>
      </c>
      <c r="H64" s="678">
        <f>1000*TableA7!$P$91*(TableC2!I62+TableC2!T62)/(TableC2!$D$91+TableC2!$O$91)</f>
        <v>0</v>
      </c>
      <c r="I64" s="678">
        <f>1000*TableA7!$P$91*(TableC2!J62+TableC2!U62)/(TableC2!$D$91+TableC2!$O$91)</f>
        <v>0</v>
      </c>
      <c r="J64" s="55">
        <f>1000*TableA7!$P$91*(TableC2!K62+TableC2!V62)/(TableC2!$D$91+TableC2!$O$91)</f>
        <v>0</v>
      </c>
      <c r="K64" s="664">
        <f>1000*TableA7!$P$91*(TableC2!L62+TableC2!W62)/(TableC2!$D$91+TableC2!$O$91)</f>
        <v>0</v>
      </c>
      <c r="L64" s="678">
        <f>1000*TableA7!$P$91*(TableC2!M62+TableC2!X62)/(TableC2!$D$91+TableC2!$O$91)</f>
        <v>0</v>
      </c>
      <c r="M64" s="1328">
        <f>1000*TableA7!$P$91*(TableC2!N62+TableC2!Y62)/(TableC2!$D$91+TableC2!$O$91)</f>
        <v>0</v>
      </c>
      <c r="N64" s="1330">
        <f>1000*TableA7!$P$91*TableC3!C62/TableC3!$C$91</f>
        <v>-1.627779923219963</v>
      </c>
      <c r="O64" s="306">
        <f>1000*TableA7!$P$91*TableC3!D62/TableC3!$C$91</f>
        <v>0</v>
      </c>
      <c r="P64" s="8">
        <f>1000*TableA7!$P$91*TableC3!E62/TableC3!$C$91</f>
        <v>0</v>
      </c>
      <c r="Q64" s="8">
        <f>1000*TableA7!$P$91*TableC3!F62/TableC3!$C$91</f>
        <v>0</v>
      </c>
      <c r="R64" s="8">
        <f>1000*TableA7!$P$91*TableC3!G62/TableC3!$C$91</f>
        <v>0</v>
      </c>
      <c r="S64" s="678">
        <f>1000*TableA7!$P$91*TableC3!H62/TableC3!$C$91</f>
        <v>0</v>
      </c>
      <c r="T64" s="678">
        <f>1000*TableA7!$P$91*TableC3!I62/TableC3!$C$91</f>
        <v>0</v>
      </c>
      <c r="U64" s="55">
        <f>1000*TableA7!$P$91*TableC3!J62/TableC3!$C$91</f>
        <v>0</v>
      </c>
      <c r="V64" s="664">
        <f>1000*TableA7!$P$91*TableC3!K62/TableC3!$C$91</f>
        <v>-1.627779923219963</v>
      </c>
      <c r="W64" s="678">
        <f>1000*TableA7!$P$91*TableC3!L62/TableC3!$C$91</f>
        <v>0</v>
      </c>
      <c r="X64" s="593">
        <f>1000*TableA7!$P$91*TableC3!M62/TableC3!$C$91</f>
        <v>-1.627779923219963</v>
      </c>
    </row>
    <row r="65" spans="1:24" ht="14.25" hidden="1" customHeight="1" x14ac:dyDescent="0.35">
      <c r="A65" s="741" t="s">
        <v>504</v>
      </c>
      <c r="B65" s="264" t="s">
        <v>279</v>
      </c>
      <c r="C65" s="739">
        <f>1000*TableA7!$P$91*(TableC2!D63+TableC2!O63)/(TableC2!$D$91+TableC2!$O$91)</f>
        <v>0</v>
      </c>
      <c r="D65" s="306">
        <f>1000*TableA7!$P$91*(TableC2!E63+TableC2!P63)/(TableC2!$D$91+TableC2!$O$91)</f>
        <v>0</v>
      </c>
      <c r="E65" s="8">
        <f>1000*TableA7!$P$91*(TableC2!F63+TableC2!Q63)/(TableC2!$D$91+TableC2!$O$91)</f>
        <v>0</v>
      </c>
      <c r="F65" s="8">
        <f>1000*TableA7!$P$91*(TableC2!G63+TableC2!R63)/(TableC2!$D$91+TableC2!$O$91)</f>
        <v>0</v>
      </c>
      <c r="G65" s="8">
        <f>1000*TableA7!$P$91*(TableC2!H63+TableC2!S63)/(TableC2!$D$91+TableC2!$O$91)</f>
        <v>0</v>
      </c>
      <c r="H65" s="678">
        <f>1000*TableA7!$P$91*(TableC2!I63+TableC2!T63)/(TableC2!$D$91+TableC2!$O$91)</f>
        <v>0</v>
      </c>
      <c r="I65" s="678">
        <f>1000*TableA7!$P$91*(TableC2!J63+TableC2!U63)/(TableC2!$D$91+TableC2!$O$91)</f>
        <v>0</v>
      </c>
      <c r="J65" s="55">
        <f>1000*TableA7!$P$91*(TableC2!K63+TableC2!V63)/(TableC2!$D$91+TableC2!$O$91)</f>
        <v>0</v>
      </c>
      <c r="K65" s="664">
        <f>1000*TableA7!$P$91*(TableC2!L63+TableC2!W63)/(TableC2!$D$91+TableC2!$O$91)</f>
        <v>0</v>
      </c>
      <c r="L65" s="678">
        <f>1000*TableA7!$P$91*(TableC2!M63+TableC2!X63)/(TableC2!$D$91+TableC2!$O$91)</f>
        <v>0</v>
      </c>
      <c r="M65" s="1328">
        <f>1000*TableA7!$P$91*(TableC2!N63+TableC2!Y63)/(TableC2!$D$91+TableC2!$O$91)</f>
        <v>0</v>
      </c>
      <c r="N65" s="1330">
        <f>1000*TableA7!$P$91*TableC3!C63/TableC3!$C$91</f>
        <v>47201.396580528846</v>
      </c>
      <c r="O65" s="306">
        <f>1000*TableA7!$P$91*TableC3!D63/TableC3!$C$91</f>
        <v>1604.3813742732282</v>
      </c>
      <c r="P65" s="8">
        <f>1000*TableA7!$P$91*TableC3!E63/TableC3!$C$91</f>
        <v>13.676612141988873</v>
      </c>
      <c r="Q65" s="8">
        <f>1000*TableA7!$P$91*TableC3!F63/TableC3!$C$91</f>
        <v>288.37126268587917</v>
      </c>
      <c r="R65" s="8">
        <f>1000*TableA7!$P$91*TableC3!G63/TableC3!$C$91</f>
        <v>0</v>
      </c>
      <c r="S65" s="678">
        <f>1000*TableA7!$P$91*TableC3!H63/TableC3!$C$91</f>
        <v>1280.8225226724321</v>
      </c>
      <c r="T65" s="678">
        <f>1000*TableA7!$P$91*TableC3!I63/TableC3!$C$91</f>
        <v>0</v>
      </c>
      <c r="U65" s="55">
        <f>1000*TableA7!$P$91*TableC3!J63/TableC3!$C$91</f>
        <v>21.510976772927847</v>
      </c>
      <c r="V65" s="664">
        <f>1000*TableA7!$P$91*TableC3!K63/TableC3!$C$91</f>
        <v>45597.015206255623</v>
      </c>
      <c r="W65" s="678">
        <f>1000*TableA7!$P$91*TableC3!L63/TableC3!$C$91</f>
        <v>0</v>
      </c>
      <c r="X65" s="593">
        <f>1000*TableA7!$P$91*TableC3!M63/TableC3!$C$91</f>
        <v>45597.015206255623</v>
      </c>
    </row>
    <row r="66" spans="1:24" ht="14.25" hidden="1" customHeight="1" x14ac:dyDescent="0.35">
      <c r="B66" s="282" t="s">
        <v>291</v>
      </c>
      <c r="C66" s="739">
        <f>1000*TableA7!$P$91*(TableC2!D64+TableC2!O64)/(TableC2!$D$91+TableC2!$O$91)</f>
        <v>0</v>
      </c>
      <c r="D66" s="306">
        <f>1000*TableA7!$P$91*(TableC2!E64+TableC2!P64)/(TableC2!$D$91+TableC2!$O$91)</f>
        <v>0</v>
      </c>
      <c r="E66" s="8">
        <f>1000*TableA7!$P$91*(TableC2!F64+TableC2!Q64)/(TableC2!$D$91+TableC2!$O$91)</f>
        <v>0</v>
      </c>
      <c r="F66" s="8">
        <f>1000*TableA7!$P$91*(TableC2!G64+TableC2!R64)/(TableC2!$D$91+TableC2!$O$91)</f>
        <v>0</v>
      </c>
      <c r="G66" s="8">
        <f>1000*TableA7!$P$91*(TableC2!H64+TableC2!S64)/(TableC2!$D$91+TableC2!$O$91)</f>
        <v>0</v>
      </c>
      <c r="H66" s="678">
        <f>1000*TableA7!$P$91*(TableC2!I64+TableC2!T64)/(TableC2!$D$91+TableC2!$O$91)</f>
        <v>0</v>
      </c>
      <c r="I66" s="678">
        <f>1000*TableA7!$P$91*(TableC2!J64+TableC2!U64)/(TableC2!$D$91+TableC2!$O$91)</f>
        <v>0</v>
      </c>
      <c r="J66" s="55">
        <f>1000*TableA7!$P$91*(TableC2!K64+TableC2!V64)/(TableC2!$D$91+TableC2!$O$91)</f>
        <v>0</v>
      </c>
      <c r="K66" s="664">
        <f>1000*TableA7!$P$91*(TableC2!L64+TableC2!W64)/(TableC2!$D$91+TableC2!$O$91)</f>
        <v>0</v>
      </c>
      <c r="L66" s="678">
        <f>1000*TableA7!$P$91*(TableC2!M64+TableC2!X64)/(TableC2!$D$91+TableC2!$O$91)</f>
        <v>0</v>
      </c>
      <c r="M66" s="1328">
        <f>1000*TableA7!$P$91*(TableC2!N64+TableC2!Y64)/(TableC2!$D$91+TableC2!$O$91)</f>
        <v>0</v>
      </c>
      <c r="N66" s="1333">
        <f>1000*TableA7!$P$91*TableC3!C64/TableC3!$C$91</f>
        <v>17343.197797932866</v>
      </c>
      <c r="O66" s="306">
        <f>1000*TableA7!$P$91*TableC3!D64/TableC3!$C$91</f>
        <v>4036.1374502633416</v>
      </c>
      <c r="P66" s="8">
        <f>1000*TableA7!$P$91*TableC3!E64/TableC3!$C$91</f>
        <v>35.485263935971403</v>
      </c>
      <c r="Q66" s="8">
        <f>1000*TableA7!$P$91*TableC3!F64/TableC3!$C$91</f>
        <v>0</v>
      </c>
      <c r="R66" s="8">
        <f>1000*TableA7!$P$91*TableC3!G64/TableC3!$C$91</f>
        <v>601.58905175408415</v>
      </c>
      <c r="S66" s="678">
        <f>1000*TableA7!$P$91*TableC3!H64/TableC3!$C$91</f>
        <v>1536.7429536841896</v>
      </c>
      <c r="T66" s="678">
        <f>1000*TableA7!$P$91*TableC3!I64/TableC3!$C$91</f>
        <v>0</v>
      </c>
      <c r="U66" s="55">
        <f>1000*TableA7!$P$91*TableC3!J64/TableC3!$C$91</f>
        <v>1862.3201808890965</v>
      </c>
      <c r="V66" s="664">
        <f>1000*TableA7!$P$91*TableC3!K64/TableC3!$C$91</f>
        <v>13307.060347669525</v>
      </c>
      <c r="W66" s="678">
        <f>1000*TableA7!$P$91*TableC3!L64/TableC3!$C$91</f>
        <v>0</v>
      </c>
      <c r="X66" s="593">
        <f>1000*TableA7!$P$91*TableC3!M64/TableC3!$C$91</f>
        <v>13307.060347669525</v>
      </c>
    </row>
    <row r="67" spans="1:24" ht="14.25" hidden="1" customHeight="1" x14ac:dyDescent="0.35">
      <c r="B67" s="264" t="s">
        <v>280</v>
      </c>
      <c r="C67" s="739">
        <f>1000*TableA7!$P$91*(TableC2!D65+TableC2!O65)/(TableC2!$D$91+TableC2!$O$91)</f>
        <v>0</v>
      </c>
      <c r="D67" s="306">
        <f>1000*TableA7!$P$91*(TableC2!E65+TableC2!P65)/(TableC2!$D$91+TableC2!$O$91)</f>
        <v>0</v>
      </c>
      <c r="E67" s="8">
        <f>1000*TableA7!$P$91*(TableC2!F65+TableC2!Q65)/(TableC2!$D$91+TableC2!$O$91)</f>
        <v>0</v>
      </c>
      <c r="F67" s="8">
        <f>1000*TableA7!$P$91*(TableC2!G65+TableC2!R65)/(TableC2!$D$91+TableC2!$O$91)</f>
        <v>0</v>
      </c>
      <c r="G67" s="8">
        <f>1000*TableA7!$P$91*(TableC2!H65+TableC2!S65)/(TableC2!$D$91+TableC2!$O$91)</f>
        <v>0</v>
      </c>
      <c r="H67" s="678">
        <f>1000*TableA7!$P$91*(TableC2!I65+TableC2!T65)/(TableC2!$D$91+TableC2!$O$91)</f>
        <v>0</v>
      </c>
      <c r="I67" s="678">
        <f>1000*TableA7!$P$91*(TableC2!J65+TableC2!U65)/(TableC2!$D$91+TableC2!$O$91)</f>
        <v>0</v>
      </c>
      <c r="J67" s="55">
        <f>1000*TableA7!$P$91*(TableC2!K65+TableC2!V65)/(TableC2!$D$91+TableC2!$O$91)</f>
        <v>0</v>
      </c>
      <c r="K67" s="664">
        <f>1000*TableA7!$P$91*(TableC2!L65+TableC2!W65)/(TableC2!$D$91+TableC2!$O$91)</f>
        <v>0</v>
      </c>
      <c r="L67" s="678">
        <f>1000*TableA7!$P$91*(TableC2!M65+TableC2!X65)/(TableC2!$D$91+TableC2!$O$91)</f>
        <v>0</v>
      </c>
      <c r="M67" s="1328">
        <f>1000*TableA7!$P$91*(TableC2!N65+TableC2!Y65)/(TableC2!$D$91+TableC2!$O$91)</f>
        <v>0</v>
      </c>
      <c r="N67" s="1330">
        <f>1000*TableA7!$P$91*TableC3!C65/TableC3!$C$91</f>
        <v>35.17383298199519</v>
      </c>
      <c r="O67" s="306">
        <f>1000*TableA7!$P$91*TableC3!D65/TableC3!$C$91</f>
        <v>-4.7572431964161108</v>
      </c>
      <c r="P67" s="8">
        <f>1000*TableA7!$P$91*TableC3!E65/TableC3!$C$91</f>
        <v>-4.7572431964161108</v>
      </c>
      <c r="Q67" s="8">
        <f>1000*TableA7!$P$91*TableC3!F65/TableC3!$C$91</f>
        <v>0</v>
      </c>
      <c r="R67" s="8">
        <f>1000*TableA7!$P$91*TableC3!G65/TableC3!$C$91</f>
        <v>0</v>
      </c>
      <c r="S67" s="678">
        <f>1000*TableA7!$P$91*TableC3!H65/TableC3!$C$91</f>
        <v>0</v>
      </c>
      <c r="T67" s="678">
        <f>1000*TableA7!$P$91*TableC3!I65/TableC3!$C$91</f>
        <v>0</v>
      </c>
      <c r="U67" s="55">
        <f>1000*TableA7!$P$91*TableC3!J65/TableC3!$C$91</f>
        <v>0</v>
      </c>
      <c r="V67" s="664">
        <f>1000*TableA7!$P$91*TableC3!K65/TableC3!$C$91</f>
        <v>39.931076178411303</v>
      </c>
      <c r="W67" s="678">
        <f>1000*TableA7!$P$91*TableC3!L65/TableC3!$C$91</f>
        <v>0</v>
      </c>
      <c r="X67" s="593">
        <f>1000*TableA7!$P$91*TableC3!M65/TableC3!$C$91</f>
        <v>39.931076178411303</v>
      </c>
    </row>
    <row r="68" spans="1:24" ht="14.25" hidden="1" customHeight="1" x14ac:dyDescent="0.35">
      <c r="B68" s="289" t="str">
        <f>+TableA1!A67</f>
        <v>Cyprus</v>
      </c>
      <c r="C68" s="739">
        <f>1000*TableA7!$P$91*(TableC2!D66+TableC2!O66)/(TableC2!$D$91+TableC2!$O$91)</f>
        <v>0</v>
      </c>
      <c r="D68" s="306">
        <f>1000*TableA7!$P$91*(TableC2!E66+TableC2!P66)/(TableC2!$D$91+TableC2!$O$91)</f>
        <v>0</v>
      </c>
      <c r="E68" s="8">
        <f>1000*TableA7!$P$91*(TableC2!F66+TableC2!Q66)/(TableC2!$D$91+TableC2!$O$91)</f>
        <v>0</v>
      </c>
      <c r="F68" s="8">
        <f>1000*TableA7!$P$91*(TableC2!G66+TableC2!R66)/(TableC2!$D$91+TableC2!$O$91)</f>
        <v>0</v>
      </c>
      <c r="G68" s="8">
        <f>1000*TableA7!$P$91*(TableC2!H66+TableC2!S66)/(TableC2!$D$91+TableC2!$O$91)</f>
        <v>0</v>
      </c>
      <c r="H68" s="678">
        <f>1000*TableA7!$P$91*(TableC2!I66+TableC2!T66)/(TableC2!$D$91+TableC2!$O$91)</f>
        <v>0</v>
      </c>
      <c r="I68" s="678">
        <f>1000*TableA7!$P$91*(TableC2!J66+TableC2!U66)/(TableC2!$D$91+TableC2!$O$91)</f>
        <v>0</v>
      </c>
      <c r="J68" s="55">
        <f>1000*TableA7!$P$91*(TableC2!K66+TableC2!V66)/(TableC2!$D$91+TableC2!$O$91)</f>
        <v>0</v>
      </c>
      <c r="K68" s="664">
        <f>1000*TableA7!$P$91*(TableC2!L66+TableC2!W66)/(TableC2!$D$91+TableC2!$O$91)</f>
        <v>0</v>
      </c>
      <c r="L68" s="678">
        <f>1000*TableA7!$P$91*(TableC2!M66+TableC2!X66)/(TableC2!$D$91+TableC2!$O$91)</f>
        <v>0</v>
      </c>
      <c r="M68" s="1328">
        <f>1000*TableA7!$P$91*(TableC2!N66+TableC2!Y66)/(TableC2!$D$91+TableC2!$O$91)</f>
        <v>0</v>
      </c>
      <c r="N68" s="1332">
        <f>1000*TableA7!$P$91*TableC3!C66/TableC3!$C$91</f>
        <v>2214.006180353048</v>
      </c>
      <c r="O68" s="306">
        <f>1000*TableA7!$P$91*TableC3!D66/TableC3!$C$91</f>
        <v>2035.4674076364563</v>
      </c>
      <c r="P68" s="8">
        <f>1000*TableA7!$P$91*TableC3!E66/TableC3!$C$91</f>
        <v>155.83814635732864</v>
      </c>
      <c r="Q68" s="8">
        <f>1000*TableA7!$P$91*TableC3!F66/TableC3!$C$91</f>
        <v>518.49663867267816</v>
      </c>
      <c r="R68" s="8">
        <f>1000*TableA7!$P$91*TableC3!G66/TableC3!$C$91</f>
        <v>12.947331895337683</v>
      </c>
      <c r="S68" s="678">
        <f>1000*TableA7!$P$91*TableC3!H66/TableC3!$C$91</f>
        <v>125.92239929610872</v>
      </c>
      <c r="T68" s="678">
        <f>1000*TableA7!$P$91*TableC3!I66/TableC3!$C$91</f>
        <v>3.044032680940234</v>
      </c>
      <c r="U68" s="55">
        <f>1000*TableA7!$P$91*TableC3!J66/TableC3!$C$91</f>
        <v>1219.2188587340631</v>
      </c>
      <c r="V68" s="664">
        <f>1000*TableA7!$P$91*TableC3!K66/TableC3!$C$91</f>
        <v>178.53877271659169</v>
      </c>
      <c r="W68" s="678">
        <f>1000*TableA7!$P$91*TableC3!L66/TableC3!$C$91</f>
        <v>0</v>
      </c>
      <c r="X68" s="593">
        <f>1000*TableA7!$P$91*TableC3!M66/TableC3!$C$91</f>
        <v>178.53877271659169</v>
      </c>
    </row>
    <row r="69" spans="1:24" ht="14.25" hidden="1" customHeight="1" x14ac:dyDescent="0.35">
      <c r="B69" s="264" t="s">
        <v>281</v>
      </c>
      <c r="C69" s="739">
        <f>1000*TableA7!$P$91*(TableC2!D67+TableC2!O67)/(TableC2!$D$91+TableC2!$O$91)</f>
        <v>0</v>
      </c>
      <c r="D69" s="306">
        <f>1000*TableA7!$P$91*(TableC2!E67+TableC2!P67)/(TableC2!$D$91+TableC2!$O$91)</f>
        <v>0</v>
      </c>
      <c r="E69" s="8">
        <f>1000*TableA7!$P$91*(TableC2!F67+TableC2!Q67)/(TableC2!$D$91+TableC2!$O$91)</f>
        <v>0</v>
      </c>
      <c r="F69" s="8">
        <f>1000*TableA7!$P$91*(TableC2!G67+TableC2!R67)/(TableC2!$D$91+TableC2!$O$91)</f>
        <v>0</v>
      </c>
      <c r="G69" s="8">
        <f>1000*TableA7!$P$91*(TableC2!H67+TableC2!S67)/(TableC2!$D$91+TableC2!$O$91)</f>
        <v>0</v>
      </c>
      <c r="H69" s="678">
        <f>1000*TableA7!$P$91*(TableC2!I67+TableC2!T67)/(TableC2!$D$91+TableC2!$O$91)</f>
        <v>0</v>
      </c>
      <c r="I69" s="678">
        <f>1000*TableA7!$P$91*(TableC2!J67+TableC2!U67)/(TableC2!$D$91+TableC2!$O$91)</f>
        <v>0</v>
      </c>
      <c r="J69" s="55">
        <f>1000*TableA7!$P$91*(TableC2!K67+TableC2!V67)/(TableC2!$D$91+TableC2!$O$91)</f>
        <v>0</v>
      </c>
      <c r="K69" s="664">
        <f>1000*TableA7!$P$91*(TableC2!L67+TableC2!W67)/(TableC2!$D$91+TableC2!$O$91)</f>
        <v>0</v>
      </c>
      <c r="L69" s="678">
        <f>1000*TableA7!$P$91*(TableC2!M67+TableC2!X67)/(TableC2!$D$91+TableC2!$O$91)</f>
        <v>0</v>
      </c>
      <c r="M69" s="1328">
        <f>1000*TableA7!$P$91*(TableC2!N67+TableC2!Y67)/(TableC2!$D$91+TableC2!$O$91)</f>
        <v>0</v>
      </c>
      <c r="N69" s="1330">
        <f>1000*TableA7!$P$91*TableC3!C67/TableC3!$C$91</f>
        <v>1030.0509120990355</v>
      </c>
      <c r="O69" s="306">
        <f>1000*TableA7!$P$91*TableC3!D67/TableC3!$C$91</f>
        <v>881.08186818656247</v>
      </c>
      <c r="P69" s="8">
        <f>1000*TableA7!$P$91*TableC3!E67/TableC3!$C$91</f>
        <v>-4.7247078481723968</v>
      </c>
      <c r="Q69" s="8">
        <f>1000*TableA7!$P$91*TableC3!F67/TableC3!$C$91</f>
        <v>0.88307377084193128</v>
      </c>
      <c r="R69" s="8">
        <f>1000*TableA7!$P$91*TableC3!G67/TableC3!$C$91</f>
        <v>202.26083639376603</v>
      </c>
      <c r="S69" s="678">
        <f>1000*TableA7!$P$91*TableC3!H67/TableC3!$C$91</f>
        <v>682.66266587012694</v>
      </c>
      <c r="T69" s="678">
        <f>1000*TableA7!$P$91*TableC3!I67/TableC3!$C$91</f>
        <v>0</v>
      </c>
      <c r="U69" s="55">
        <f>1000*TableA7!$P$91*TableC3!J67/TableC3!$C$91</f>
        <v>0</v>
      </c>
      <c r="V69" s="664">
        <f>1000*TableA7!$P$91*TableC3!K67/TableC3!$C$91</f>
        <v>148.96904391247296</v>
      </c>
      <c r="W69" s="678">
        <f>1000*TableA7!$P$91*TableC3!L67/TableC3!$C$91</f>
        <v>0</v>
      </c>
      <c r="X69" s="593">
        <f>1000*TableA7!$P$91*TableC3!M67/TableC3!$C$91</f>
        <v>148.96904391247296</v>
      </c>
    </row>
    <row r="70" spans="1:24" ht="14.25" hidden="1" customHeight="1" x14ac:dyDescent="0.35">
      <c r="B70" s="289" t="str">
        <f>+TableA1!A69</f>
        <v>Grenada</v>
      </c>
      <c r="C70" s="739">
        <f>1000*TableA7!$P$91*(TableC2!D68+TableC2!O68)/(TableC2!$D$91+TableC2!$O$91)</f>
        <v>0</v>
      </c>
      <c r="D70" s="306">
        <f>1000*TableA7!$P$91*(TableC2!E68+TableC2!P68)/(TableC2!$D$91+TableC2!$O$91)</f>
        <v>0</v>
      </c>
      <c r="E70" s="8">
        <f>1000*TableA7!$P$91*(TableC2!F68+TableC2!Q68)/(TableC2!$D$91+TableC2!$O$91)</f>
        <v>0</v>
      </c>
      <c r="F70" s="8">
        <f>1000*TableA7!$P$91*(TableC2!G68+TableC2!R68)/(TableC2!$D$91+TableC2!$O$91)</f>
        <v>0</v>
      </c>
      <c r="G70" s="8">
        <f>1000*TableA7!$P$91*(TableC2!H68+TableC2!S68)/(TableC2!$D$91+TableC2!$O$91)</f>
        <v>0</v>
      </c>
      <c r="H70" s="678">
        <f>1000*TableA7!$P$91*(TableC2!I68+TableC2!T68)/(TableC2!$D$91+TableC2!$O$91)</f>
        <v>0</v>
      </c>
      <c r="I70" s="678">
        <f>1000*TableA7!$P$91*(TableC2!J68+TableC2!U68)/(TableC2!$D$91+TableC2!$O$91)</f>
        <v>0</v>
      </c>
      <c r="J70" s="55">
        <f>1000*TableA7!$P$91*(TableC2!K68+TableC2!V68)/(TableC2!$D$91+TableC2!$O$91)</f>
        <v>0</v>
      </c>
      <c r="K70" s="664">
        <f>1000*TableA7!$P$91*(TableC2!L68+TableC2!W68)/(TableC2!$D$91+TableC2!$O$91)</f>
        <v>0</v>
      </c>
      <c r="L70" s="678">
        <f>1000*TableA7!$P$91*(TableC2!M68+TableC2!X68)/(TableC2!$D$91+TableC2!$O$91)</f>
        <v>0</v>
      </c>
      <c r="M70" s="1328">
        <f>1000*TableA7!$P$91*(TableC2!N68+TableC2!Y68)/(TableC2!$D$91+TableC2!$O$91)</f>
        <v>0</v>
      </c>
      <c r="N70" s="1332">
        <f>1000*TableA7!$P$91*TableC3!C68/TableC3!$C$91</f>
        <v>1.2703666340431101</v>
      </c>
      <c r="O70" s="306">
        <f>1000*TableA7!$P$91*TableC3!D68/TableC3!$C$91</f>
        <v>5.1830039407714794E-2</v>
      </c>
      <c r="P70" s="8">
        <f>1000*TableA7!$P$91*TableC3!E68/TableC3!$C$91</f>
        <v>0</v>
      </c>
      <c r="Q70" s="8">
        <f>1000*TableA7!$P$91*TableC3!F68/TableC3!$C$91</f>
        <v>5.1830039407714794E-2</v>
      </c>
      <c r="R70" s="8">
        <f>1000*TableA7!$P$91*TableC3!G68/TableC3!$C$91</f>
        <v>0</v>
      </c>
      <c r="S70" s="678">
        <f>1000*TableA7!$P$91*TableC3!H68/TableC3!$C$91</f>
        <v>0</v>
      </c>
      <c r="T70" s="678">
        <f>1000*TableA7!$P$91*TableC3!I68/TableC3!$C$91</f>
        <v>0</v>
      </c>
      <c r="U70" s="55">
        <f>1000*TableA7!$P$91*TableC3!J68/TableC3!$C$91</f>
        <v>0</v>
      </c>
      <c r="V70" s="664">
        <f>1000*TableA7!$P$91*TableC3!K68/TableC3!$C$91</f>
        <v>1.2185365946353954</v>
      </c>
      <c r="W70" s="678">
        <f>1000*TableA7!$P$91*TableC3!L68/TableC3!$C$91</f>
        <v>0</v>
      </c>
      <c r="X70" s="593">
        <f>1000*TableA7!$P$91*TableC3!M68/TableC3!$C$91</f>
        <v>1.2185365946353954</v>
      </c>
    </row>
    <row r="71" spans="1:24" ht="14.25" hidden="1" customHeight="1" x14ac:dyDescent="0.35">
      <c r="B71" s="264" t="s">
        <v>282</v>
      </c>
      <c r="C71" s="739">
        <f>1000*TableA7!$P$91*(TableC2!D69+TableC2!O69)/(TableC2!$D$91+TableC2!$O$91)</f>
        <v>0</v>
      </c>
      <c r="D71" s="306">
        <f>1000*TableA7!$P$91*(TableC2!E69+TableC2!P69)/(TableC2!$D$91+TableC2!$O$91)</f>
        <v>0</v>
      </c>
      <c r="E71" s="8">
        <f>1000*TableA7!$P$91*(TableC2!F69+TableC2!Q69)/(TableC2!$D$91+TableC2!$O$91)</f>
        <v>0</v>
      </c>
      <c r="F71" s="8">
        <f>1000*TableA7!$P$91*(TableC2!G69+TableC2!R69)/(TableC2!$D$91+TableC2!$O$91)</f>
        <v>0</v>
      </c>
      <c r="G71" s="8">
        <f>1000*TableA7!$P$91*(TableC2!H69+TableC2!S69)/(TableC2!$D$91+TableC2!$O$91)</f>
        <v>0</v>
      </c>
      <c r="H71" s="678">
        <f>1000*TableA7!$P$91*(TableC2!I69+TableC2!T69)/(TableC2!$D$91+TableC2!$O$91)</f>
        <v>0</v>
      </c>
      <c r="I71" s="678">
        <f>1000*TableA7!$P$91*(TableC2!J69+TableC2!U69)/(TableC2!$D$91+TableC2!$O$91)</f>
        <v>0</v>
      </c>
      <c r="J71" s="55">
        <f>1000*TableA7!$P$91*(TableC2!K69+TableC2!V69)/(TableC2!$D$91+TableC2!$O$91)</f>
        <v>0</v>
      </c>
      <c r="K71" s="664">
        <f>1000*TableA7!$P$91*(TableC2!L69+TableC2!W69)/(TableC2!$D$91+TableC2!$O$91)</f>
        <v>0</v>
      </c>
      <c r="L71" s="678">
        <f>1000*TableA7!$P$91*(TableC2!M69+TableC2!X69)/(TableC2!$D$91+TableC2!$O$91)</f>
        <v>0</v>
      </c>
      <c r="M71" s="1328">
        <f>1000*TableA7!$P$91*(TableC2!N69+TableC2!Y69)/(TableC2!$D$91+TableC2!$O$91)</f>
        <v>0</v>
      </c>
      <c r="N71" s="1330">
        <f>1000*TableA7!$P$91*TableC3!C69/TableC3!$C$91</f>
        <v>291.14582108783492</v>
      </c>
      <c r="O71" s="306">
        <f>1000*TableA7!$P$91*TableC3!D69/TableC3!$C$91</f>
        <v>235.10089649287249</v>
      </c>
      <c r="P71" s="8">
        <f>1000*TableA7!$P$91*TableC3!E69/TableC3!$C$91</f>
        <v>-14.415888473988213</v>
      </c>
      <c r="Q71" s="8">
        <f>1000*TableA7!$P$91*TableC3!F69/TableC3!$C$91</f>
        <v>10.979132823527676</v>
      </c>
      <c r="R71" s="8">
        <f>1000*TableA7!$P$91*TableC3!G69/TableC3!$C$91</f>
        <v>0</v>
      </c>
      <c r="S71" s="678">
        <f>1000*TableA7!$P$91*TableC3!H69/TableC3!$C$91</f>
        <v>238.53765214333305</v>
      </c>
      <c r="T71" s="678">
        <f>1000*TableA7!$P$91*TableC3!I69/TableC3!$C$91</f>
        <v>0</v>
      </c>
      <c r="U71" s="55">
        <f>1000*TableA7!$P$91*TableC3!J69/TableC3!$C$91</f>
        <v>0</v>
      </c>
      <c r="V71" s="664">
        <f>1000*TableA7!$P$91*TableC3!K69/TableC3!$C$91</f>
        <v>56.044924594962403</v>
      </c>
      <c r="W71" s="678">
        <f>1000*TableA7!$P$91*TableC3!L69/TableC3!$C$91</f>
        <v>0</v>
      </c>
      <c r="X71" s="593">
        <f>1000*TableA7!$P$91*TableC3!M69/TableC3!$C$91</f>
        <v>56.044924594962403</v>
      </c>
    </row>
    <row r="72" spans="1:24" ht="14.25" hidden="1" customHeight="1" x14ac:dyDescent="0.35">
      <c r="A72" s="741" t="s">
        <v>295</v>
      </c>
      <c r="B72" s="264" t="s">
        <v>283</v>
      </c>
      <c r="C72" s="739">
        <f>1000*TableA7!$P$91*(TableC2!D70+TableC2!O70)/(TableC2!$D$91+TableC2!$O$91)</f>
        <v>0</v>
      </c>
      <c r="D72" s="306">
        <f>1000*TableA7!$P$91*(TableC2!E70+TableC2!P70)/(TableC2!$D$91+TableC2!$O$91)</f>
        <v>0</v>
      </c>
      <c r="E72" s="8">
        <f>1000*TableA7!$P$91*(TableC2!F70+TableC2!Q70)/(TableC2!$D$91+TableC2!$O$91)</f>
        <v>0</v>
      </c>
      <c r="F72" s="8">
        <f>1000*TableA7!$P$91*(TableC2!G70+TableC2!R70)/(TableC2!$D$91+TableC2!$O$91)</f>
        <v>0</v>
      </c>
      <c r="G72" s="8">
        <f>1000*TableA7!$P$91*(TableC2!H70+TableC2!S70)/(TableC2!$D$91+TableC2!$O$91)</f>
        <v>0</v>
      </c>
      <c r="H72" s="678">
        <f>1000*TableA7!$P$91*(TableC2!I70+TableC2!T70)/(TableC2!$D$91+TableC2!$O$91)</f>
        <v>0</v>
      </c>
      <c r="I72" s="678">
        <f>1000*TableA7!$P$91*(TableC2!J70+TableC2!U70)/(TableC2!$D$91+TableC2!$O$91)</f>
        <v>0</v>
      </c>
      <c r="J72" s="55">
        <f>1000*TableA7!$P$91*(TableC2!K70+TableC2!V70)/(TableC2!$D$91+TableC2!$O$91)</f>
        <v>0</v>
      </c>
      <c r="K72" s="664">
        <f>1000*TableA7!$P$91*(TableC2!L70+TableC2!W70)/(TableC2!$D$91+TableC2!$O$91)</f>
        <v>0</v>
      </c>
      <c r="L72" s="678">
        <f>1000*TableA7!$P$91*(TableC2!M70+TableC2!X70)/(TableC2!$D$91+TableC2!$O$91)</f>
        <v>0</v>
      </c>
      <c r="M72" s="1328">
        <f>1000*TableA7!$P$91*(TableC2!N70+TableC2!Y70)/(TableC2!$D$91+TableC2!$O$91)</f>
        <v>0</v>
      </c>
      <c r="N72" s="1330">
        <f>1000*TableA7!$P$91*TableC3!C70/TableC3!$C$91</f>
        <v>994.46818349126033</v>
      </c>
      <c r="O72" s="306">
        <f>1000*TableA7!$P$91*TableC3!D70/TableC3!$C$91</f>
        <v>925.39106048854103</v>
      </c>
      <c r="P72" s="8">
        <f>1000*TableA7!$P$91*TableC3!E70/TableC3!$C$91</f>
        <v>0.57817418515492569</v>
      </c>
      <c r="Q72" s="8">
        <f>1000*TableA7!$P$91*TableC3!F70/TableC3!$C$91</f>
        <v>1.3553656206114577</v>
      </c>
      <c r="R72" s="8">
        <f>1000*TableA7!$P$91*TableC3!G70/TableC3!$C$91</f>
        <v>0</v>
      </c>
      <c r="S72" s="678">
        <f>1000*TableA7!$P$91*TableC3!H70/TableC3!$C$91</f>
        <v>839.11040208204543</v>
      </c>
      <c r="T72" s="678">
        <f>1000*TableA7!$P$91*TableC3!I70/TableC3!$C$91</f>
        <v>0</v>
      </c>
      <c r="U72" s="55">
        <f>1000*TableA7!$P$91*TableC3!J70/TableC3!$C$91</f>
        <v>84.347118600729303</v>
      </c>
      <c r="V72" s="664">
        <f>1000*TableA7!$P$91*TableC3!K70/TableC3!$C$91</f>
        <v>69.077123002719389</v>
      </c>
      <c r="W72" s="678">
        <f>1000*TableA7!$P$91*TableC3!L70/TableC3!$C$91</f>
        <v>0</v>
      </c>
      <c r="X72" s="593">
        <f>1000*TableA7!$P$91*TableC3!M70/TableC3!$C$91</f>
        <v>69.077123002719389</v>
      </c>
    </row>
    <row r="73" spans="1:24" ht="14.25" hidden="1" customHeight="1" x14ac:dyDescent="0.35">
      <c r="A73" s="741" t="s">
        <v>481</v>
      </c>
      <c r="B73" s="264" t="s">
        <v>220</v>
      </c>
      <c r="C73" s="739">
        <f>1000*TableA7!$P$91*(TableC2!D71+TableC2!O71)/(TableC2!$D$91+TableC2!$O$91)</f>
        <v>0</v>
      </c>
      <c r="D73" s="306">
        <f>1000*TableA7!$P$91*(TableC2!E71+TableC2!P71)/(TableC2!$D$91+TableC2!$O$91)</f>
        <v>0</v>
      </c>
      <c r="E73" s="8">
        <f>1000*TableA7!$P$91*(TableC2!F71+TableC2!Q71)/(TableC2!$D$91+TableC2!$O$91)</f>
        <v>0</v>
      </c>
      <c r="F73" s="8">
        <f>1000*TableA7!$P$91*(TableC2!G71+TableC2!R71)/(TableC2!$D$91+TableC2!$O$91)</f>
        <v>0</v>
      </c>
      <c r="G73" s="8">
        <f>1000*TableA7!$P$91*(TableC2!H71+TableC2!S71)/(TableC2!$D$91+TableC2!$O$91)</f>
        <v>0</v>
      </c>
      <c r="H73" s="678">
        <f>1000*TableA7!$P$91*(TableC2!I71+TableC2!T71)/(TableC2!$D$91+TableC2!$O$91)</f>
        <v>0</v>
      </c>
      <c r="I73" s="678">
        <f>1000*TableA7!$P$91*(TableC2!J71+TableC2!U71)/(TableC2!$D$91+TableC2!$O$91)</f>
        <v>0</v>
      </c>
      <c r="J73" s="55">
        <f>1000*TableA7!$P$91*(TableC2!K71+TableC2!V71)/(TableC2!$D$91+TableC2!$O$91)</f>
        <v>0</v>
      </c>
      <c r="K73" s="664">
        <f>1000*TableA7!$P$91*(TableC2!L71+TableC2!W71)/(TableC2!$D$91+TableC2!$O$91)</f>
        <v>0</v>
      </c>
      <c r="L73" s="678">
        <f>1000*TableA7!$P$91*(TableC2!M71+TableC2!X71)/(TableC2!$D$91+TableC2!$O$91)</f>
        <v>0</v>
      </c>
      <c r="M73" s="1328">
        <f>1000*TableA7!$P$91*(TableC2!N71+TableC2!Y71)/(TableC2!$D$91+TableC2!$O$91)</f>
        <v>0</v>
      </c>
      <c r="N73" s="1330">
        <f>1000*TableA7!$P$91*TableC3!C71/TableC3!$C$91</f>
        <v>13604.580329620732</v>
      </c>
      <c r="O73" s="306">
        <f>1000*TableA7!$P$91*TableC3!D71/TableC3!$C$91</f>
        <v>3130.2611736094477</v>
      </c>
      <c r="P73" s="8">
        <f>1000*TableA7!$P$91*TableC3!E71/TableC3!$C$91</f>
        <v>1301.1263443189314</v>
      </c>
      <c r="Q73" s="8">
        <f>1000*TableA7!$P$91*TableC3!F71/TableC3!$C$91</f>
        <v>3.140011509267894</v>
      </c>
      <c r="R73" s="8">
        <f>1000*TableA7!$P$91*TableC3!G71/TableC3!$C$91</f>
        <v>18.034338772984906</v>
      </c>
      <c r="S73" s="678">
        <f>1000*TableA7!$P$91*TableC3!H71/TableC3!$C$91</f>
        <v>511.99779616804352</v>
      </c>
      <c r="T73" s="678">
        <f>1000*TableA7!$P$91*TableC3!I71/TableC3!$C$91</f>
        <v>0</v>
      </c>
      <c r="U73" s="55">
        <f>1000*TableA7!$P$91*TableC3!J71/TableC3!$C$91</f>
        <v>1295.9626828402206</v>
      </c>
      <c r="V73" s="664">
        <f>1000*TableA7!$P$91*TableC3!K71/TableC3!$C$91</f>
        <v>10474.319156011286</v>
      </c>
      <c r="W73" s="678">
        <f>1000*TableA7!$P$91*TableC3!L71/TableC3!$C$91</f>
        <v>0</v>
      </c>
      <c r="X73" s="593">
        <f>1000*TableA7!$P$91*TableC3!M71/TableC3!$C$91</f>
        <v>10474.319156011286</v>
      </c>
    </row>
    <row r="74" spans="1:24" ht="14.25" hidden="1" customHeight="1" x14ac:dyDescent="0.35">
      <c r="B74" s="264" t="s">
        <v>284</v>
      </c>
      <c r="C74" s="739">
        <f>1000*TableA7!$P$91*(TableC2!D72+TableC2!O72)/(TableC2!$D$91+TableC2!$O$91)</f>
        <v>0</v>
      </c>
      <c r="D74" s="306">
        <f>1000*TableA7!$P$91*(TableC2!E72+TableC2!P72)/(TableC2!$D$91+TableC2!$O$91)</f>
        <v>0</v>
      </c>
      <c r="E74" s="8">
        <f>1000*TableA7!$P$91*(TableC2!F72+TableC2!Q72)/(TableC2!$D$91+TableC2!$O$91)</f>
        <v>0</v>
      </c>
      <c r="F74" s="8">
        <f>1000*TableA7!$P$91*(TableC2!G72+TableC2!R72)/(TableC2!$D$91+TableC2!$O$91)</f>
        <v>0</v>
      </c>
      <c r="G74" s="8">
        <f>1000*TableA7!$P$91*(TableC2!H72+TableC2!S72)/(TableC2!$D$91+TableC2!$O$91)</f>
        <v>0</v>
      </c>
      <c r="H74" s="678">
        <f>1000*TableA7!$P$91*(TableC2!I72+TableC2!T72)/(TableC2!$D$91+TableC2!$O$91)</f>
        <v>0</v>
      </c>
      <c r="I74" s="678">
        <f>1000*TableA7!$P$91*(TableC2!J72+TableC2!U72)/(TableC2!$D$91+TableC2!$O$91)</f>
        <v>0</v>
      </c>
      <c r="J74" s="55">
        <f>1000*TableA7!$P$91*(TableC2!K72+TableC2!V72)/(TableC2!$D$91+TableC2!$O$91)</f>
        <v>0</v>
      </c>
      <c r="K74" s="664">
        <f>1000*TableA7!$P$91*(TableC2!L72+TableC2!W72)/(TableC2!$D$91+TableC2!$O$91)</f>
        <v>0</v>
      </c>
      <c r="L74" s="678">
        <f>1000*TableA7!$P$91*(TableC2!M72+TableC2!X72)/(TableC2!$D$91+TableC2!$O$91)</f>
        <v>0</v>
      </c>
      <c r="M74" s="1328">
        <f>1000*TableA7!$P$91*(TableC2!N72+TableC2!Y72)/(TableC2!$D$91+TableC2!$O$91)</f>
        <v>0</v>
      </c>
      <c r="N74" s="1330">
        <f>1000*TableA7!$P$91*TableC3!C72/TableC3!$C$91</f>
        <v>46.95633363227423</v>
      </c>
      <c r="O74" s="306">
        <f>1000*TableA7!$P$91*TableC3!D72/TableC3!$C$91</f>
        <v>1.5613156932531289</v>
      </c>
      <c r="P74" s="8">
        <f>1000*TableA7!$P$91*TableC3!E72/TableC3!$C$91</f>
        <v>0</v>
      </c>
      <c r="Q74" s="8">
        <f>1000*TableA7!$P$91*TableC3!F72/TableC3!$C$91</f>
        <v>1.4312942885033053</v>
      </c>
      <c r="R74" s="8">
        <f>1000*TableA7!$P$91*TableC3!G72/TableC3!$C$91</f>
        <v>0</v>
      </c>
      <c r="S74" s="678">
        <f>1000*TableA7!$P$91*TableC3!H72/TableC3!$C$91</f>
        <v>0</v>
      </c>
      <c r="T74" s="678">
        <f>1000*TableA7!$P$91*TableC3!I72/TableC3!$C$91</f>
        <v>0.1300214047498236</v>
      </c>
      <c r="U74" s="55">
        <f>1000*TableA7!$P$91*TableC3!J72/TableC3!$C$91</f>
        <v>0</v>
      </c>
      <c r="V74" s="664">
        <f>1000*TableA7!$P$91*TableC3!K72/TableC3!$C$91</f>
        <v>45.395017939021102</v>
      </c>
      <c r="W74" s="678">
        <f>1000*TableA7!$P$91*TableC3!L72/TableC3!$C$91</f>
        <v>0</v>
      </c>
      <c r="X74" s="593">
        <f>1000*TableA7!$P$91*TableC3!M72/TableC3!$C$91</f>
        <v>45.395017939021102</v>
      </c>
    </row>
    <row r="75" spans="1:24" ht="14.25" hidden="1" customHeight="1" x14ac:dyDescent="0.35">
      <c r="B75" s="264" t="s">
        <v>285</v>
      </c>
      <c r="C75" s="739">
        <f>1000*TableA7!$P$91*(TableC2!D73+TableC2!O73)/(TableC2!$D$91+TableC2!$O$91)</f>
        <v>0</v>
      </c>
      <c r="D75" s="306">
        <f>1000*TableA7!$P$91*(TableC2!E73+TableC2!P73)/(TableC2!$D$91+TableC2!$O$91)</f>
        <v>0</v>
      </c>
      <c r="E75" s="8">
        <f>1000*TableA7!$P$91*(TableC2!F73+TableC2!Q73)/(TableC2!$D$91+TableC2!$O$91)</f>
        <v>0</v>
      </c>
      <c r="F75" s="8">
        <f>1000*TableA7!$P$91*(TableC2!G73+TableC2!R73)/(TableC2!$D$91+TableC2!$O$91)</f>
        <v>0</v>
      </c>
      <c r="G75" s="8">
        <f>1000*TableA7!$P$91*(TableC2!H73+TableC2!S73)/(TableC2!$D$91+TableC2!$O$91)</f>
        <v>0</v>
      </c>
      <c r="H75" s="678">
        <f>1000*TableA7!$P$91*(TableC2!I73+TableC2!T73)/(TableC2!$D$91+TableC2!$O$91)</f>
        <v>0</v>
      </c>
      <c r="I75" s="678">
        <f>1000*TableA7!$P$91*(TableC2!J73+TableC2!U73)/(TableC2!$D$91+TableC2!$O$91)</f>
        <v>0</v>
      </c>
      <c r="J75" s="55">
        <f>1000*TableA7!$P$91*(TableC2!K73+TableC2!V73)/(TableC2!$D$91+TableC2!$O$91)</f>
        <v>0</v>
      </c>
      <c r="K75" s="664">
        <f>1000*TableA7!$P$91*(TableC2!L73+TableC2!W73)/(TableC2!$D$91+TableC2!$O$91)</f>
        <v>0</v>
      </c>
      <c r="L75" s="678">
        <f>1000*TableA7!$P$91*(TableC2!M73+TableC2!X73)/(TableC2!$D$91+TableC2!$O$91)</f>
        <v>0</v>
      </c>
      <c r="M75" s="1328">
        <f>1000*TableA7!$P$91*(TableC2!N73+TableC2!Y73)/(TableC2!$D$91+TableC2!$O$91)</f>
        <v>0</v>
      </c>
      <c r="N75" s="1330">
        <f>1000*TableA7!$P$91*TableC3!C73/TableC3!$C$91</f>
        <v>66.022287465158499</v>
      </c>
      <c r="O75" s="306">
        <f>1000*TableA7!$P$91*TableC3!D73/TableC3!$C$91</f>
        <v>35.546919619245962</v>
      </c>
      <c r="P75" s="8">
        <f>1000*TableA7!$P$91*TableC3!E73/TableC3!$C$91</f>
        <v>28.831776947976426</v>
      </c>
      <c r="Q75" s="8">
        <f>1000*TableA7!$P$91*TableC3!F73/TableC3!$C$91</f>
        <v>6.7151426712695281</v>
      </c>
      <c r="R75" s="8">
        <f>1000*TableA7!$P$91*TableC3!G73/TableC3!$C$91</f>
        <v>0</v>
      </c>
      <c r="S75" s="678">
        <f>1000*TableA7!$P$91*TableC3!H73/TableC3!$C$91</f>
        <v>0</v>
      </c>
      <c r="T75" s="678">
        <f>1000*TableA7!$P$91*TableC3!I73/TableC3!$C$91</f>
        <v>0</v>
      </c>
      <c r="U75" s="55">
        <f>1000*TableA7!$P$91*TableC3!J73/TableC3!$C$91</f>
        <v>0</v>
      </c>
      <c r="V75" s="664">
        <f>1000*TableA7!$P$91*TableC3!K73/TableC3!$C$91</f>
        <v>30.475367845912544</v>
      </c>
      <c r="W75" s="678">
        <f>1000*TableA7!$P$91*TableC3!L73/TableC3!$C$91</f>
        <v>0</v>
      </c>
      <c r="X75" s="593">
        <f>1000*TableA7!$P$91*TableC3!M73/TableC3!$C$91</f>
        <v>30.475367845912544</v>
      </c>
    </row>
    <row r="76" spans="1:24" ht="14.25" hidden="1" customHeight="1" x14ac:dyDescent="0.35">
      <c r="B76" s="264" t="s">
        <v>286</v>
      </c>
      <c r="C76" s="739">
        <f>1000*TableA7!$P$91*(TableC2!D74+TableC2!O74)/(TableC2!$D$91+TableC2!$O$91)</f>
        <v>0</v>
      </c>
      <c r="D76" s="306">
        <f>1000*TableA7!$P$91*(TableC2!E74+TableC2!P74)/(TableC2!$D$91+TableC2!$O$91)</f>
        <v>0</v>
      </c>
      <c r="E76" s="8">
        <f>1000*TableA7!$P$91*(TableC2!F74+TableC2!Q74)/(TableC2!$D$91+TableC2!$O$91)</f>
        <v>0</v>
      </c>
      <c r="F76" s="8">
        <f>1000*TableA7!$P$91*(TableC2!G74+TableC2!R74)/(TableC2!$D$91+TableC2!$O$91)</f>
        <v>0</v>
      </c>
      <c r="G76" s="8">
        <f>1000*TableA7!$P$91*(TableC2!H74+TableC2!S74)/(TableC2!$D$91+TableC2!$O$91)</f>
        <v>0</v>
      </c>
      <c r="H76" s="678">
        <f>1000*TableA7!$P$91*(TableC2!I74+TableC2!T74)/(TableC2!$D$91+TableC2!$O$91)</f>
        <v>0</v>
      </c>
      <c r="I76" s="678">
        <f>1000*TableA7!$P$91*(TableC2!J74+TableC2!U74)/(TableC2!$D$91+TableC2!$O$91)</f>
        <v>0</v>
      </c>
      <c r="J76" s="55">
        <f>1000*TableA7!$P$91*(TableC2!K74+TableC2!V74)/(TableC2!$D$91+TableC2!$O$91)</f>
        <v>0</v>
      </c>
      <c r="K76" s="664">
        <f>1000*TableA7!$P$91*(TableC2!L74+TableC2!W74)/(TableC2!$D$91+TableC2!$O$91)</f>
        <v>0</v>
      </c>
      <c r="L76" s="678">
        <f>1000*TableA7!$P$91*(TableC2!M74+TableC2!X74)/(TableC2!$D$91+TableC2!$O$91)</f>
        <v>0</v>
      </c>
      <c r="M76" s="1328">
        <f>1000*TableA7!$P$91*(TableC2!N74+TableC2!Y74)/(TableC2!$D$91+TableC2!$O$91)</f>
        <v>0</v>
      </c>
      <c r="N76" s="1330">
        <f>1000*TableA7!$P$91*TableC3!C74/TableC3!$C$91</f>
        <v>294.95312442733831</v>
      </c>
      <c r="O76" s="306">
        <f>1000*TableA7!$P$91*TableC3!D74/TableC3!$C$91</f>
        <v>182.96436291668348</v>
      </c>
      <c r="P76" s="8">
        <f>1000*TableA7!$P$91*TableC3!E74/TableC3!$C$91</f>
        <v>0</v>
      </c>
      <c r="Q76" s="8">
        <f>1000*TableA7!$P$91*TableC3!F74/TableC3!$C$91</f>
        <v>0</v>
      </c>
      <c r="R76" s="8">
        <f>1000*TableA7!$P$91*TableC3!G74/TableC3!$C$91</f>
        <v>0</v>
      </c>
      <c r="S76" s="678">
        <f>1000*TableA7!$P$91*TableC3!H74/TableC3!$C$91</f>
        <v>182.96436291668348</v>
      </c>
      <c r="T76" s="678">
        <f>1000*TableA7!$P$91*TableC3!I74/TableC3!$C$91</f>
        <v>0</v>
      </c>
      <c r="U76" s="55">
        <f>1000*TableA7!$P$91*TableC3!J74/TableC3!$C$91</f>
        <v>0</v>
      </c>
      <c r="V76" s="664">
        <f>1000*TableA7!$P$91*TableC3!K74/TableC3!$C$91</f>
        <v>111.98876151065484</v>
      </c>
      <c r="W76" s="678">
        <f>1000*TableA7!$P$91*TableC3!L74/TableC3!$C$91</f>
        <v>0</v>
      </c>
      <c r="X76" s="593">
        <f>1000*TableA7!$P$91*TableC3!M74/TableC3!$C$91</f>
        <v>111.98876151065484</v>
      </c>
    </row>
    <row r="77" spans="1:24" ht="14.25" hidden="1" customHeight="1" x14ac:dyDescent="0.35">
      <c r="A77" s="741" t="s">
        <v>480</v>
      </c>
      <c r="B77" s="264" t="s">
        <v>287</v>
      </c>
      <c r="C77" s="739">
        <f>1000*TableA7!$P$91*(TableC2!D75+TableC2!O75)/(TableC2!$D$91+TableC2!$O$91)</f>
        <v>0</v>
      </c>
      <c r="D77" s="306">
        <f>1000*TableA7!$P$91*(TableC2!E75+TableC2!P75)/(TableC2!$D$91+TableC2!$O$91)</f>
        <v>0</v>
      </c>
      <c r="E77" s="8">
        <f>1000*TableA7!$P$91*(TableC2!F75+TableC2!Q75)/(TableC2!$D$91+TableC2!$O$91)</f>
        <v>0</v>
      </c>
      <c r="F77" s="8">
        <f>1000*TableA7!$P$91*(TableC2!G75+TableC2!R75)/(TableC2!$D$91+TableC2!$O$91)</f>
        <v>0</v>
      </c>
      <c r="G77" s="8">
        <f>1000*TableA7!$P$91*(TableC2!H75+TableC2!S75)/(TableC2!$D$91+TableC2!$O$91)</f>
        <v>0</v>
      </c>
      <c r="H77" s="678">
        <f>1000*TableA7!$P$91*(TableC2!I75+TableC2!T75)/(TableC2!$D$91+TableC2!$O$91)</f>
        <v>0</v>
      </c>
      <c r="I77" s="678">
        <f>1000*TableA7!$P$91*(TableC2!J75+TableC2!U75)/(TableC2!$D$91+TableC2!$O$91)</f>
        <v>0</v>
      </c>
      <c r="J77" s="55">
        <f>1000*TableA7!$P$91*(TableC2!K75+TableC2!V75)/(TableC2!$D$91+TableC2!$O$91)</f>
        <v>0</v>
      </c>
      <c r="K77" s="664">
        <f>1000*TableA7!$P$91*(TableC2!L75+TableC2!W75)/(TableC2!$D$91+TableC2!$O$91)</f>
        <v>0</v>
      </c>
      <c r="L77" s="678">
        <f>1000*TableA7!$P$91*(TableC2!M75+TableC2!X75)/(TableC2!$D$91+TableC2!$O$91)</f>
        <v>0</v>
      </c>
      <c r="M77" s="1328">
        <f>1000*TableA7!$P$91*(TableC2!N75+TableC2!Y75)/(TableC2!$D$91+TableC2!$O$91)</f>
        <v>0</v>
      </c>
      <c r="N77" s="1330">
        <f>1000*TableA7!$P$91*TableC3!C75/TableC3!$C$91</f>
        <v>812.76666003177377</v>
      </c>
      <c r="O77" s="306">
        <f>1000*TableA7!$P$91*TableC3!D75/TableC3!$C$91</f>
        <v>0.13639600191341961</v>
      </c>
      <c r="P77" s="8">
        <f>1000*TableA7!$P$91*TableC3!E75/TableC3!$C$91</f>
        <v>0</v>
      </c>
      <c r="Q77" s="8">
        <f>1000*TableA7!$P$91*TableC3!F75/TableC3!$C$91</f>
        <v>0.13639600191341961</v>
      </c>
      <c r="R77" s="8">
        <f>1000*TableA7!$P$91*TableC3!G75/TableC3!$C$91</f>
        <v>0</v>
      </c>
      <c r="S77" s="678">
        <f>1000*TableA7!$P$91*TableC3!H75/TableC3!$C$91</f>
        <v>0</v>
      </c>
      <c r="T77" s="678">
        <f>1000*TableA7!$P$91*TableC3!I75/TableC3!$C$91</f>
        <v>0</v>
      </c>
      <c r="U77" s="55">
        <f>1000*TableA7!$P$91*TableC3!J75/TableC3!$C$91</f>
        <v>0</v>
      </c>
      <c r="V77" s="664">
        <f>1000*TableA7!$P$91*TableC3!K75/TableC3!$C$91</f>
        <v>812.63026402986043</v>
      </c>
      <c r="W77" s="678">
        <f>1000*TableA7!$P$91*TableC3!L75/TableC3!$C$91</f>
        <v>0</v>
      </c>
      <c r="X77" s="593">
        <f>1000*TableA7!$P$91*TableC3!M75/TableC3!$C$91</f>
        <v>812.63026402986043</v>
      </c>
    </row>
    <row r="78" spans="1:24" ht="14.25" hidden="1" customHeight="1" x14ac:dyDescent="0.35">
      <c r="B78" s="289" t="s">
        <v>301</v>
      </c>
      <c r="C78" s="739">
        <f>1000*TableA7!$P$91*(TableC2!D76+TableC2!O76)/(TableC2!$D$91+TableC2!$O$91)</f>
        <v>0</v>
      </c>
      <c r="D78" s="306">
        <f>1000*TableA7!$P$91*(TableC2!E76+TableC2!P76)/(TableC2!$D$91+TableC2!$O$91)</f>
        <v>0</v>
      </c>
      <c r="E78" s="8">
        <f>1000*TableA7!$P$91*(TableC2!F76+TableC2!Q76)/(TableC2!$D$91+TableC2!$O$91)</f>
        <v>0</v>
      </c>
      <c r="F78" s="8">
        <f>1000*TableA7!$P$91*(TableC2!G76+TableC2!R76)/(TableC2!$D$91+TableC2!$O$91)</f>
        <v>0</v>
      </c>
      <c r="G78" s="8">
        <f>1000*TableA7!$P$91*(TableC2!H76+TableC2!S76)/(TableC2!$D$91+TableC2!$O$91)</f>
        <v>0</v>
      </c>
      <c r="H78" s="678">
        <f>1000*TableA7!$P$91*(TableC2!I76+TableC2!T76)/(TableC2!$D$91+TableC2!$O$91)</f>
        <v>0</v>
      </c>
      <c r="I78" s="678">
        <f>1000*TableA7!$P$91*(TableC2!J76+TableC2!U76)/(TableC2!$D$91+TableC2!$O$91)</f>
        <v>0</v>
      </c>
      <c r="J78" s="55">
        <f>1000*TableA7!$P$91*(TableC2!K76+TableC2!V76)/(TableC2!$D$91+TableC2!$O$91)</f>
        <v>0</v>
      </c>
      <c r="K78" s="664">
        <f>1000*TableA7!$P$91*(TableC2!L76+TableC2!W76)/(TableC2!$D$91+TableC2!$O$91)</f>
        <v>0</v>
      </c>
      <c r="L78" s="678">
        <f>1000*TableA7!$P$91*(TableC2!M76+TableC2!X76)/(TableC2!$D$91+TableC2!$O$91)</f>
        <v>0</v>
      </c>
      <c r="M78" s="1334">
        <f>1000*TableA7!$P$91*(TableC2!N76+TableC2!Y76)/(TableC2!$D$91+TableC2!$O$91)</f>
        <v>0</v>
      </c>
      <c r="N78" s="1332">
        <f>1000*TableA7!$P$91*TableC3!C76/TableC3!$C$91</f>
        <v>641.33237716663587</v>
      </c>
      <c r="O78" s="306">
        <f>1000*TableA7!$P$91*TableC3!D76/TableC3!$C$91</f>
        <v>639.19346927191225</v>
      </c>
      <c r="P78" s="8">
        <f>1000*TableA7!$P$91*TableC3!E76/TableC3!$C$91</f>
        <v>126.51635725757681</v>
      </c>
      <c r="Q78" s="8">
        <f>1000*TableA7!$P$91*TableC3!F76/TableC3!$C$91</f>
        <v>1.8534603864968E-2</v>
      </c>
      <c r="R78" s="8">
        <f>1000*TableA7!$P$91*TableC3!G76/TableC3!$C$91</f>
        <v>65.029552988079089</v>
      </c>
      <c r="S78" s="678">
        <f>1000*TableA7!$P$91*TableC3!H76/TableC3!$C$91</f>
        <v>98.858333045122791</v>
      </c>
      <c r="T78" s="678">
        <f>1000*TableA7!$P$91*TableC3!I76/TableC3!$C$91</f>
        <v>348.77069137726852</v>
      </c>
      <c r="U78" s="55">
        <f>1000*TableA7!$P$91*TableC3!J76/TableC3!$C$91</f>
        <v>0</v>
      </c>
      <c r="V78" s="664">
        <f>1000*TableA7!$P$91*TableC3!K76/TableC3!$C$91</f>
        <v>2.1389078947235669</v>
      </c>
      <c r="W78" s="678">
        <f>1000*TableA7!$P$91*TableC3!L76/TableC3!$C$91</f>
        <v>0</v>
      </c>
      <c r="X78" s="1335">
        <f>1000*TableA7!$P$91*TableC3!M76/TableC3!$C$91</f>
        <v>2.1389078947235669</v>
      </c>
    </row>
    <row r="79" spans="1:24" ht="14.25" hidden="1" customHeight="1" x14ac:dyDescent="0.35">
      <c r="A79" s="741" t="s">
        <v>478</v>
      </c>
      <c r="B79" s="289" t="s">
        <v>302</v>
      </c>
      <c r="C79" s="739">
        <f>1000*TableA7!$P$91*(TableC2!D77+TableC2!O77)/(TableC2!$D$91+TableC2!$O$91)</f>
        <v>0</v>
      </c>
      <c r="D79" s="306">
        <f>1000*TableA7!$P$91*(TableC2!E77+TableC2!P77)/(TableC2!$D$91+TableC2!$O$91)</f>
        <v>0</v>
      </c>
      <c r="E79" s="8">
        <f>1000*TableA7!$P$91*(TableC2!F77+TableC2!Q77)/(TableC2!$D$91+TableC2!$O$91)</f>
        <v>0</v>
      </c>
      <c r="F79" s="8">
        <f>1000*TableA7!$P$91*(TableC2!G77+TableC2!R77)/(TableC2!$D$91+TableC2!$O$91)</f>
        <v>0</v>
      </c>
      <c r="G79" s="8">
        <f>1000*TableA7!$P$91*(TableC2!H77+TableC2!S77)/(TableC2!$D$91+TableC2!$O$91)</f>
        <v>0</v>
      </c>
      <c r="H79" s="678">
        <f>1000*TableA7!$P$91*(TableC2!I77+TableC2!T77)/(TableC2!$D$91+TableC2!$O$91)</f>
        <v>0</v>
      </c>
      <c r="I79" s="678">
        <f>1000*TableA7!$P$91*(TableC2!J77+TableC2!U77)/(TableC2!$D$91+TableC2!$O$91)</f>
        <v>0</v>
      </c>
      <c r="J79" s="55">
        <f>1000*TableA7!$P$91*(TableC2!K77+TableC2!V77)/(TableC2!$D$91+TableC2!$O$91)</f>
        <v>0</v>
      </c>
      <c r="K79" s="664">
        <f>1000*TableA7!$P$91*(TableC2!L77+TableC2!W77)/(TableC2!$D$91+TableC2!$O$91)</f>
        <v>0</v>
      </c>
      <c r="L79" s="678">
        <f>1000*TableA7!$P$91*(TableC2!M77+TableC2!X77)/(TableC2!$D$91+TableC2!$O$91)</f>
        <v>0</v>
      </c>
      <c r="M79" s="1328">
        <f>1000*TableA7!$P$91*(TableC2!N77+TableC2!Y77)/(TableC2!$D$91+TableC2!$O$91)</f>
        <v>0</v>
      </c>
      <c r="N79" s="1332">
        <f>1000*TableA7!$P$91*TableC3!C77/TableC3!$C$91</f>
        <v>326.28514977470184</v>
      </c>
      <c r="O79" s="306">
        <f>1000*TableA7!$P$91*TableC3!D77/TableC3!$C$91</f>
        <v>98.237965836923934</v>
      </c>
      <c r="P79" s="8">
        <f>1000*TableA7!$P$91*TableC3!E77/TableC3!$C$91</f>
        <v>98.323752155919934</v>
      </c>
      <c r="Q79" s="8">
        <f>1000*TableA7!$P$91*TableC3!F77/TableC3!$C$91</f>
        <v>-8.5786318996009983E-2</v>
      </c>
      <c r="R79" s="8">
        <f>1000*TableA7!$P$91*TableC3!G77/TableC3!$C$91</f>
        <v>0</v>
      </c>
      <c r="S79" s="678">
        <f>1000*TableA7!$P$91*TableC3!H77/TableC3!$C$91</f>
        <v>0</v>
      </c>
      <c r="T79" s="678">
        <f>1000*TableA7!$P$91*TableC3!I77/TableC3!$C$91</f>
        <v>0</v>
      </c>
      <c r="U79" s="55">
        <f>1000*TableA7!$P$91*TableC3!J77/TableC3!$C$91</f>
        <v>0</v>
      </c>
      <c r="V79" s="664">
        <f>1000*TableA7!$P$91*TableC3!K77/TableC3!$C$91</f>
        <v>228.0471839377779</v>
      </c>
      <c r="W79" s="678">
        <f>1000*TableA7!$P$91*TableC3!L77/TableC3!$C$91</f>
        <v>0</v>
      </c>
      <c r="X79" s="593">
        <f>1000*TableA7!$P$91*TableC3!M77/TableC3!$C$91</f>
        <v>228.0471839377779</v>
      </c>
    </row>
    <row r="80" spans="1:24" ht="14.25" hidden="1" customHeight="1" x14ac:dyDescent="0.35">
      <c r="B80" s="289" t="str">
        <f>+TableA1!A79</f>
        <v>Monaco</v>
      </c>
      <c r="C80" s="739">
        <f>1000*TableA7!$P$91*(TableC2!D78+TableC2!O78)/(TableC2!$D$91+TableC2!$O$91)</f>
        <v>0</v>
      </c>
      <c r="D80" s="306">
        <f>1000*TableA7!$P$91*(TableC2!E78+TableC2!P78)/(TableC2!$D$91+TableC2!$O$91)</f>
        <v>0</v>
      </c>
      <c r="E80" s="8">
        <f>1000*TableA7!$P$91*(TableC2!F78+TableC2!Q78)/(TableC2!$D$91+TableC2!$O$91)</f>
        <v>0</v>
      </c>
      <c r="F80" s="8">
        <f>1000*TableA7!$P$91*(TableC2!G78+TableC2!R78)/(TableC2!$D$91+TableC2!$O$91)</f>
        <v>0</v>
      </c>
      <c r="G80" s="8">
        <f>1000*TableA7!$P$91*(TableC2!H78+TableC2!S78)/(TableC2!$D$91+TableC2!$O$91)</f>
        <v>0</v>
      </c>
      <c r="H80" s="678">
        <f>1000*TableA7!$P$91*(TableC2!I78+TableC2!T78)/(TableC2!$D$91+TableC2!$O$91)</f>
        <v>0</v>
      </c>
      <c r="I80" s="678">
        <f>1000*TableA7!$P$91*(TableC2!J78+TableC2!U78)/(TableC2!$D$91+TableC2!$O$91)</f>
        <v>0</v>
      </c>
      <c r="J80" s="55">
        <f>1000*TableA7!$P$91*(TableC2!K78+TableC2!V78)/(TableC2!$D$91+TableC2!$O$91)</f>
        <v>0</v>
      </c>
      <c r="K80" s="664">
        <f>1000*TableA7!$P$91*(TableC2!L78+TableC2!W78)/(TableC2!$D$91+TableC2!$O$91)</f>
        <v>0</v>
      </c>
      <c r="L80" s="678">
        <f>1000*TableA7!$P$91*(TableC2!M78+TableC2!X78)/(TableC2!$D$91+TableC2!$O$91)</f>
        <v>0</v>
      </c>
      <c r="M80" s="1328">
        <f>1000*TableA7!$P$91*(TableC2!N78+TableC2!Y78)/(TableC2!$D$91+TableC2!$O$91)</f>
        <v>0</v>
      </c>
      <c r="N80" s="1332">
        <f>1000*TableA7!$P$91*TableC3!C78/TableC3!$C$91</f>
        <v>0.6701641778232591</v>
      </c>
      <c r="O80" s="306">
        <f>1000*TableA7!$P$91*TableC3!D78/TableC3!$C$91</f>
        <v>0</v>
      </c>
      <c r="P80" s="8">
        <f>1000*TableA7!$P$91*TableC3!E78/TableC3!$C$91</f>
        <v>0</v>
      </c>
      <c r="Q80" s="8">
        <f>1000*TableA7!$P$91*TableC3!F78/TableC3!$C$91</f>
        <v>0</v>
      </c>
      <c r="R80" s="8">
        <f>1000*TableA7!$P$91*TableC3!G78/TableC3!$C$91</f>
        <v>0</v>
      </c>
      <c r="S80" s="678">
        <f>1000*TableA7!$P$91*TableC3!H78/TableC3!$C$91</f>
        <v>0</v>
      </c>
      <c r="T80" s="678">
        <f>1000*TableA7!$P$91*TableC3!I78/TableC3!$C$91</f>
        <v>0</v>
      </c>
      <c r="U80" s="55">
        <f>1000*TableA7!$P$91*TableC3!J78/TableC3!$C$91</f>
        <v>0</v>
      </c>
      <c r="V80" s="664">
        <f>1000*TableA7!$P$91*TableC3!K78/TableC3!$C$91</f>
        <v>0.6701641778232591</v>
      </c>
      <c r="W80" s="678">
        <f>1000*TableA7!$P$91*TableC3!L78/TableC3!$C$91</f>
        <v>0</v>
      </c>
      <c r="X80" s="593">
        <f>1000*TableA7!$P$91*TableC3!M78/TableC3!$C$91</f>
        <v>0.6701641778232591</v>
      </c>
    </row>
    <row r="81" spans="1:24" ht="14.25" hidden="1" customHeight="1" x14ac:dyDescent="0.35">
      <c r="B81" s="264" t="s">
        <v>288</v>
      </c>
      <c r="C81" s="739">
        <f>1000*TableA7!$P$91*(TableC2!D79+TableC2!O79)/(TableC2!$D$91+TableC2!$O$91)</f>
        <v>0</v>
      </c>
      <c r="D81" s="306">
        <f>1000*TableA7!$P$91*(TableC2!E79+TableC2!P79)/(TableC2!$D$91+TableC2!$O$91)</f>
        <v>0</v>
      </c>
      <c r="E81" s="8">
        <f>1000*TableA7!$P$91*(TableC2!F79+TableC2!Q79)/(TableC2!$D$91+TableC2!$O$91)</f>
        <v>0</v>
      </c>
      <c r="F81" s="8">
        <f>1000*TableA7!$P$91*(TableC2!G79+TableC2!R79)/(TableC2!$D$91+TableC2!$O$91)</f>
        <v>0</v>
      </c>
      <c r="G81" s="8">
        <f>1000*TableA7!$P$91*(TableC2!H79+TableC2!S79)/(TableC2!$D$91+TableC2!$O$91)</f>
        <v>0</v>
      </c>
      <c r="H81" s="678">
        <f>1000*TableA7!$P$91*(TableC2!I79+TableC2!T79)/(TableC2!$D$91+TableC2!$O$91)</f>
        <v>0</v>
      </c>
      <c r="I81" s="678">
        <f>1000*TableA7!$P$91*(TableC2!J79+TableC2!U79)/(TableC2!$D$91+TableC2!$O$91)</f>
        <v>0</v>
      </c>
      <c r="J81" s="55">
        <f>1000*TableA7!$P$91*(TableC2!K79+TableC2!V79)/(TableC2!$D$91+TableC2!$O$91)</f>
        <v>0</v>
      </c>
      <c r="K81" s="664">
        <f>1000*TableA7!$P$91*(TableC2!L79+TableC2!W79)/(TableC2!$D$91+TableC2!$O$91)</f>
        <v>0</v>
      </c>
      <c r="L81" s="678">
        <f>1000*TableA7!$P$91*(TableC2!M79+TableC2!X79)/(TableC2!$D$91+TableC2!$O$91)</f>
        <v>0</v>
      </c>
      <c r="M81" s="1328">
        <f>1000*TableA7!$P$91*(TableC2!N79+TableC2!Y79)/(TableC2!$D$91+TableC2!$O$91)</f>
        <v>0</v>
      </c>
      <c r="N81" s="1330">
        <f>1000*TableA7!$P$91*TableC3!C79/TableC3!$C$91</f>
        <v>9.6804546550809096</v>
      </c>
      <c r="O81" s="306">
        <f>1000*TableA7!$P$91*TableC3!D79/TableC3!$C$91</f>
        <v>0</v>
      </c>
      <c r="P81" s="8">
        <f>1000*TableA7!$P$91*TableC3!E79/TableC3!$C$91</f>
        <v>0</v>
      </c>
      <c r="Q81" s="8">
        <f>1000*TableA7!$P$91*TableC3!F79/TableC3!$C$91</f>
        <v>0</v>
      </c>
      <c r="R81" s="8">
        <f>1000*TableA7!$P$91*TableC3!G79/TableC3!$C$91</f>
        <v>0</v>
      </c>
      <c r="S81" s="678">
        <f>1000*TableA7!$P$91*TableC3!H79/TableC3!$C$91</f>
        <v>0</v>
      </c>
      <c r="T81" s="678">
        <f>1000*TableA7!$P$91*TableC3!I79/TableC3!$C$91</f>
        <v>0</v>
      </c>
      <c r="U81" s="55">
        <f>1000*TableA7!$P$91*TableC3!J79/TableC3!$C$91</f>
        <v>0</v>
      </c>
      <c r="V81" s="664">
        <f>1000*TableA7!$P$91*TableC3!K79/TableC3!$C$91</f>
        <v>9.6804546550809096</v>
      </c>
      <c r="W81" s="678">
        <f>1000*TableA7!$P$91*TableC3!L79/TableC3!$C$91</f>
        <v>0</v>
      </c>
      <c r="X81" s="593">
        <f>1000*TableA7!$P$91*TableC3!M79/TableC3!$C$91</f>
        <v>9.6804546550809096</v>
      </c>
    </row>
    <row r="82" spans="1:24" ht="14.25" hidden="1" customHeight="1" x14ac:dyDescent="0.35">
      <c r="B82" s="264" t="s">
        <v>289</v>
      </c>
      <c r="C82" s="739">
        <f>1000*TableA7!$P$91*(TableC2!D80+TableC2!O80)/(TableC2!$D$91+TableC2!$O$91)</f>
        <v>0</v>
      </c>
      <c r="D82" s="306">
        <f>1000*TableA7!$P$91*(TableC2!E80+TableC2!P80)/(TableC2!$D$91+TableC2!$O$91)</f>
        <v>0</v>
      </c>
      <c r="E82" s="8">
        <f>1000*TableA7!$P$91*(TableC2!F80+TableC2!Q80)/(TableC2!$D$91+TableC2!$O$91)</f>
        <v>0</v>
      </c>
      <c r="F82" s="8">
        <f>1000*TableA7!$P$91*(TableC2!G80+TableC2!R80)/(TableC2!$D$91+TableC2!$O$91)</f>
        <v>0</v>
      </c>
      <c r="G82" s="8">
        <f>1000*TableA7!$P$91*(TableC2!H80+TableC2!S80)/(TableC2!$D$91+TableC2!$O$91)</f>
        <v>0</v>
      </c>
      <c r="H82" s="678">
        <f>1000*TableA7!$P$91*(TableC2!I80+TableC2!T80)/(TableC2!$D$91+TableC2!$O$91)</f>
        <v>0</v>
      </c>
      <c r="I82" s="678">
        <f>1000*TableA7!$P$91*(TableC2!J80+TableC2!U80)/(TableC2!$D$91+TableC2!$O$91)</f>
        <v>0</v>
      </c>
      <c r="J82" s="55">
        <f>1000*TableA7!$P$91*(TableC2!K80+TableC2!V80)/(TableC2!$D$91+TableC2!$O$91)</f>
        <v>0</v>
      </c>
      <c r="K82" s="664">
        <f>1000*TableA7!$P$91*(TableC2!L80+TableC2!W80)/(TableC2!$D$91+TableC2!$O$91)</f>
        <v>0</v>
      </c>
      <c r="L82" s="678">
        <f>1000*TableA7!$P$91*(TableC2!M80+TableC2!X80)/(TableC2!$D$91+TableC2!$O$91)</f>
        <v>0</v>
      </c>
      <c r="M82" s="1328">
        <f>1000*TableA7!$P$91*(TableC2!N80+TableC2!Y80)/(TableC2!$D$91+TableC2!$O$91)</f>
        <v>0</v>
      </c>
      <c r="N82" s="1330">
        <f>1000*TableA7!$P$91*TableC3!C80/TableC3!$C$91</f>
        <v>960.55840091503774</v>
      </c>
      <c r="O82" s="306">
        <f>1000*TableA7!$P$91*TableC3!D80/TableC3!$C$91</f>
        <v>1.8472285571699145</v>
      </c>
      <c r="P82" s="8">
        <f>1000*TableA7!$P$91*TableC3!E80/TableC3!$C$91</f>
        <v>-0.24396118955980259</v>
      </c>
      <c r="Q82" s="8">
        <f>1000*TableA7!$P$91*TableC3!F80/TableC3!$C$91</f>
        <v>2.0911897467297171</v>
      </c>
      <c r="R82" s="8">
        <f>1000*TableA7!$P$91*TableC3!G80/TableC3!$C$91</f>
        <v>0</v>
      </c>
      <c r="S82" s="678">
        <f>1000*TableA7!$P$91*TableC3!H80/TableC3!$C$91</f>
        <v>0</v>
      </c>
      <c r="T82" s="678">
        <f>1000*TableA7!$P$91*TableC3!I80/TableC3!$C$91</f>
        <v>0</v>
      </c>
      <c r="U82" s="55">
        <f>1000*TableA7!$P$91*TableC3!J80/TableC3!$C$91</f>
        <v>0</v>
      </c>
      <c r="V82" s="664">
        <f>1000*TableA7!$P$91*TableC3!K80/TableC3!$C$91</f>
        <v>958.71117235786801</v>
      </c>
      <c r="W82" s="678">
        <f>1000*TableA7!$P$91*TableC3!L80/TableC3!$C$91</f>
        <v>0</v>
      </c>
      <c r="X82" s="593">
        <f>1000*TableA7!$P$91*TableC3!M80/TableC3!$C$91</f>
        <v>958.71117235786801</v>
      </c>
    </row>
    <row r="83" spans="1:24" ht="14.25" hidden="1" customHeight="1" x14ac:dyDescent="0.35">
      <c r="B83" s="289" t="str">
        <f>+TableA1!A82</f>
        <v>Seychelles</v>
      </c>
      <c r="C83" s="739">
        <f>1000*TableA7!$P$91*(TableC2!D81+TableC2!O81)/(TableC2!$D$91+TableC2!$O$91)</f>
        <v>0</v>
      </c>
      <c r="D83" s="306">
        <f>1000*TableA7!$P$91*(TableC2!E81+TableC2!P81)/(TableC2!$D$91+TableC2!$O$91)</f>
        <v>0</v>
      </c>
      <c r="E83" s="8">
        <f>1000*TableA7!$P$91*(TableC2!F81+TableC2!Q81)/(TableC2!$D$91+TableC2!$O$91)</f>
        <v>0</v>
      </c>
      <c r="F83" s="8">
        <f>1000*TableA7!$P$91*(TableC2!G81+TableC2!R81)/(TableC2!$D$91+TableC2!$O$91)</f>
        <v>0</v>
      </c>
      <c r="G83" s="8">
        <f>1000*TableA7!$P$91*(TableC2!H81+TableC2!S81)/(TableC2!$D$91+TableC2!$O$91)</f>
        <v>0</v>
      </c>
      <c r="H83" s="678">
        <f>1000*TableA7!$P$91*(TableC2!I81+TableC2!T81)/(TableC2!$D$91+TableC2!$O$91)</f>
        <v>0</v>
      </c>
      <c r="I83" s="678">
        <f>1000*TableA7!$P$91*(TableC2!J81+TableC2!U81)/(TableC2!$D$91+TableC2!$O$91)</f>
        <v>0</v>
      </c>
      <c r="J83" s="55">
        <f>1000*TableA7!$P$91*(TableC2!K81+TableC2!V81)/(TableC2!$D$91+TableC2!$O$91)</f>
        <v>0</v>
      </c>
      <c r="K83" s="664">
        <f>1000*TableA7!$P$91*(TableC2!L81+TableC2!W81)/(TableC2!$D$91+TableC2!$O$91)</f>
        <v>0</v>
      </c>
      <c r="L83" s="678">
        <f>1000*TableA7!$P$91*(TableC2!M81+TableC2!X81)/(TableC2!$D$91+TableC2!$O$91)</f>
        <v>0</v>
      </c>
      <c r="M83" s="1328">
        <f>1000*TableA7!$P$91*(TableC2!N81+TableC2!Y81)/(TableC2!$D$91+TableC2!$O$91)</f>
        <v>0</v>
      </c>
      <c r="N83" s="1332">
        <f>1000*TableA7!$P$91*TableC3!C81/TableC3!$C$91</f>
        <v>45.509516321954692</v>
      </c>
      <c r="O83" s="306">
        <f>1000*TableA7!$P$91*TableC3!D81/TableC3!$C$91</f>
        <v>8.6095600665294286E-2</v>
      </c>
      <c r="P83" s="8">
        <f>1000*TableA7!$P$91*TableC3!E81/TableC3!$C$91</f>
        <v>0</v>
      </c>
      <c r="Q83" s="8">
        <f>1000*TableA7!$P$91*TableC3!F81/TableC3!$C$91</f>
        <v>8.6095600665294286E-2</v>
      </c>
      <c r="R83" s="8">
        <f>1000*TableA7!$P$91*TableC3!G81/TableC3!$C$91</f>
        <v>0</v>
      </c>
      <c r="S83" s="678">
        <f>1000*TableA7!$P$91*TableC3!H81/TableC3!$C$91</f>
        <v>0</v>
      </c>
      <c r="T83" s="678">
        <f>1000*TableA7!$P$91*TableC3!I81/TableC3!$C$91</f>
        <v>0</v>
      </c>
      <c r="U83" s="55">
        <f>1000*TableA7!$P$91*TableC3!J81/TableC3!$C$91</f>
        <v>0</v>
      </c>
      <c r="V83" s="664">
        <f>1000*TableA7!$P$91*TableC3!K81/TableC3!$C$91</f>
        <v>45.423420721289389</v>
      </c>
      <c r="W83" s="678">
        <f>1000*TableA7!$P$91*TableC3!L81/TableC3!$C$91</f>
        <v>0</v>
      </c>
      <c r="X83" s="593">
        <f>1000*TableA7!$P$91*TableC3!M81/TableC3!$C$91</f>
        <v>45.423420721289389</v>
      </c>
    </row>
    <row r="84" spans="1:24" hidden="1" x14ac:dyDescent="0.35">
      <c r="B84" s="264" t="s">
        <v>225</v>
      </c>
      <c r="C84" s="739">
        <f>1000*TableA7!$P$91*(TableC2!D82+TableC2!O82)/(TableC2!$D$91+TableC2!$O$91)</f>
        <v>0</v>
      </c>
      <c r="D84" s="306">
        <f>1000*TableA7!$P$91*(TableC2!E82+TableC2!P82)/(TableC2!$D$91+TableC2!$O$91)</f>
        <v>0</v>
      </c>
      <c r="E84" s="8">
        <f>1000*TableA7!$P$91*(TableC2!F82+TableC2!Q82)/(TableC2!$D$91+TableC2!$O$91)</f>
        <v>0</v>
      </c>
      <c r="F84" s="8">
        <f>1000*TableA7!$P$91*(TableC2!G82+TableC2!R82)/(TableC2!$D$91+TableC2!$O$91)</f>
        <v>0</v>
      </c>
      <c r="G84" s="8">
        <f>1000*TableA7!$P$91*(TableC2!H82+TableC2!S82)/(TableC2!$D$91+TableC2!$O$91)</f>
        <v>0</v>
      </c>
      <c r="H84" s="678">
        <f>1000*TableA7!$P$91*(TableC2!I82+TableC2!T82)/(TableC2!$D$91+TableC2!$O$91)</f>
        <v>0</v>
      </c>
      <c r="I84" s="678">
        <f>1000*TableA7!$P$91*(TableC2!J82+TableC2!U82)/(TableC2!$D$91+TableC2!$O$91)</f>
        <v>0</v>
      </c>
      <c r="J84" s="55">
        <f>1000*TableA7!$P$91*(TableC2!K82+TableC2!V82)/(TableC2!$D$91+TableC2!$O$91)</f>
        <v>0</v>
      </c>
      <c r="K84" s="664">
        <f>1000*TableA7!$P$91*(TableC2!L82+TableC2!W82)/(TableC2!$D$91+TableC2!$O$91)</f>
        <v>0</v>
      </c>
      <c r="L84" s="678">
        <f>1000*TableA7!$P$91*(TableC2!M82+TableC2!X82)/(TableC2!$D$91+TableC2!$O$91)</f>
        <v>0</v>
      </c>
      <c r="M84" s="1328">
        <f>1000*TableA7!$P$91*(TableC2!N82+TableC2!Y82)/(TableC2!$D$91+TableC2!$O$91)</f>
        <v>0</v>
      </c>
      <c r="N84" s="1330">
        <f>1000*TableA7!$P$91*TableC3!C82/TableC3!$C$91</f>
        <v>9233.5573283388803</v>
      </c>
      <c r="O84" s="306">
        <f>1000*TableA7!$P$91*TableC3!D82/TableC3!$C$91</f>
        <v>919.28523448351496</v>
      </c>
      <c r="P84" s="8">
        <f>1000*TableA7!$P$91*TableC3!E82/TableC3!$C$91</f>
        <v>-111.26108796590918</v>
      </c>
      <c r="Q84" s="8">
        <f>1000*TableA7!$P$91*TableC3!F82/TableC3!$C$91</f>
        <v>0.53944880935275707</v>
      </c>
      <c r="R84" s="8">
        <f>1000*TableA7!$P$91*TableC3!G82/TableC3!$C$91</f>
        <v>0</v>
      </c>
      <c r="S84" s="678">
        <f>1000*TableA7!$P$91*TableC3!H82/TableC3!$C$91</f>
        <v>334.58351495364332</v>
      </c>
      <c r="T84" s="678">
        <f>1000*TableA7!$P$91*TableC3!I82/TableC3!$C$91</f>
        <v>0</v>
      </c>
      <c r="U84" s="55">
        <f>1000*TableA7!$P$91*TableC3!J82/TableC3!$C$91</f>
        <v>695.42335868642806</v>
      </c>
      <c r="V84" s="664">
        <f>1000*TableA7!$P$91*TableC3!K82/TableC3!$C$91</f>
        <v>8314.2720938553648</v>
      </c>
      <c r="W84" s="678">
        <f>1000*TableA7!$P$91*TableC3!L82/TableC3!$C$91</f>
        <v>0</v>
      </c>
      <c r="X84" s="593">
        <f>1000*TableA7!$P$91*TableC3!M82/TableC3!$C$91</f>
        <v>8314.2720938553648</v>
      </c>
    </row>
    <row r="85" spans="1:24" hidden="1" x14ac:dyDescent="0.35">
      <c r="B85" s="289" t="str">
        <f>+TableA1!A84</f>
        <v>St. Kitts and Nevis</v>
      </c>
      <c r="C85" s="739">
        <f>1000*TableA7!$P$91*(TableC2!D83+TableC2!O83)/(TableC2!$D$91+TableC2!$O$91)</f>
        <v>0</v>
      </c>
      <c r="D85" s="306">
        <f>1000*TableA7!$P$91*(TableC2!E83+TableC2!P83)/(TableC2!$D$91+TableC2!$O$91)</f>
        <v>0</v>
      </c>
      <c r="E85" s="8">
        <f>1000*TableA7!$P$91*(TableC2!F83+TableC2!Q83)/(TableC2!$D$91+TableC2!$O$91)</f>
        <v>0</v>
      </c>
      <c r="F85" s="8">
        <f>1000*TableA7!$P$91*(TableC2!G83+TableC2!R83)/(TableC2!$D$91+TableC2!$O$91)</f>
        <v>0</v>
      </c>
      <c r="G85" s="8">
        <f>1000*TableA7!$P$91*(TableC2!H83+TableC2!S83)/(TableC2!$D$91+TableC2!$O$91)</f>
        <v>0</v>
      </c>
      <c r="H85" s="678">
        <f>1000*TableA7!$P$91*(TableC2!I83+TableC2!T83)/(TableC2!$D$91+TableC2!$O$91)</f>
        <v>0</v>
      </c>
      <c r="I85" s="678">
        <f>1000*TableA7!$P$91*(TableC2!J83+TableC2!U83)/(TableC2!$D$91+TableC2!$O$91)</f>
        <v>0</v>
      </c>
      <c r="J85" s="55">
        <f>1000*TableA7!$P$91*(TableC2!K83+TableC2!V83)/(TableC2!$D$91+TableC2!$O$91)</f>
        <v>0</v>
      </c>
      <c r="K85" s="664">
        <f>1000*TableA7!$P$91*(TableC2!L83+TableC2!W83)/(TableC2!$D$91+TableC2!$O$91)</f>
        <v>0</v>
      </c>
      <c r="L85" s="678">
        <f>1000*TableA7!$P$91*(TableC2!M83+TableC2!X83)/(TableC2!$D$91+TableC2!$O$91)</f>
        <v>0</v>
      </c>
      <c r="M85" s="1328">
        <f>1000*TableA7!$P$91*(TableC2!N83+TableC2!Y83)/(TableC2!$D$91+TableC2!$O$91)</f>
        <v>0</v>
      </c>
      <c r="N85" s="1332">
        <f>1000*TableA7!$P$91*TableC3!C83/TableC3!$C$91</f>
        <v>-3.0624530771837317E-2</v>
      </c>
      <c r="O85" s="306">
        <f>1000*TableA7!$P$91*TableC3!D83/TableC3!$C$91</f>
        <v>2.4645560930034922E-3</v>
      </c>
      <c r="P85" s="8">
        <f>1000*TableA7!$P$91*TableC3!E83/TableC3!$C$91</f>
        <v>0</v>
      </c>
      <c r="Q85" s="8">
        <f>1000*TableA7!$P$91*TableC3!F83/TableC3!$C$91</f>
        <v>2.4645560930034922E-3</v>
      </c>
      <c r="R85" s="8">
        <f>1000*TableA7!$P$91*TableC3!G83/TableC3!$C$91</f>
        <v>0</v>
      </c>
      <c r="S85" s="678">
        <f>1000*TableA7!$P$91*TableC3!H83/TableC3!$C$91</f>
        <v>0</v>
      </c>
      <c r="T85" s="678">
        <f>1000*TableA7!$P$91*TableC3!I83/TableC3!$C$91</f>
        <v>0</v>
      </c>
      <c r="U85" s="55">
        <f>1000*TableA7!$P$91*TableC3!J83/TableC3!$C$91</f>
        <v>0</v>
      </c>
      <c r="V85" s="664">
        <f>1000*TableA7!$P$91*TableC3!K83/TableC3!$C$91</f>
        <v>-3.3089086864840807E-2</v>
      </c>
      <c r="W85" s="678">
        <f>1000*TableA7!$P$91*TableC3!L83/TableC3!$C$91</f>
        <v>0</v>
      </c>
      <c r="X85" s="593">
        <f>1000*TableA7!$P$91*TableC3!M83/TableC3!$C$91</f>
        <v>-3.3089086864840807E-2</v>
      </c>
    </row>
    <row r="86" spans="1:24" hidden="1" x14ac:dyDescent="0.35">
      <c r="B86" s="289" t="str">
        <f>+TableA1!A85</f>
        <v>St. Lucia</v>
      </c>
      <c r="C86" s="739">
        <f>1000*TableA7!$P$91*(TableC2!D84+TableC2!O84)/(TableC2!$D$91+TableC2!$O$91)</f>
        <v>0</v>
      </c>
      <c r="D86" s="306">
        <f>1000*TableA7!$P$91*(TableC2!E84+TableC2!P84)/(TableC2!$D$91+TableC2!$O$91)</f>
        <v>0</v>
      </c>
      <c r="E86" s="8">
        <f>1000*TableA7!$P$91*(TableC2!F84+TableC2!Q84)/(TableC2!$D$91+TableC2!$O$91)</f>
        <v>0</v>
      </c>
      <c r="F86" s="8">
        <f>1000*TableA7!$P$91*(TableC2!G84+TableC2!R84)/(TableC2!$D$91+TableC2!$O$91)</f>
        <v>0</v>
      </c>
      <c r="G86" s="8">
        <f>1000*TableA7!$P$91*(TableC2!H84+TableC2!S84)/(TableC2!$D$91+TableC2!$O$91)</f>
        <v>0</v>
      </c>
      <c r="H86" s="678">
        <f>1000*TableA7!$P$91*(TableC2!I84+TableC2!T84)/(TableC2!$D$91+TableC2!$O$91)</f>
        <v>0</v>
      </c>
      <c r="I86" s="678">
        <f>1000*TableA7!$P$91*(TableC2!J84+TableC2!U84)/(TableC2!$D$91+TableC2!$O$91)</f>
        <v>0</v>
      </c>
      <c r="J86" s="55">
        <f>1000*TableA7!$P$91*(TableC2!K84+TableC2!V84)/(TableC2!$D$91+TableC2!$O$91)</f>
        <v>0</v>
      </c>
      <c r="K86" s="664">
        <f>1000*TableA7!$P$91*(TableC2!L84+TableC2!W84)/(TableC2!$D$91+TableC2!$O$91)</f>
        <v>0</v>
      </c>
      <c r="L86" s="678">
        <f>1000*TableA7!$P$91*(TableC2!M84+TableC2!X84)/(TableC2!$D$91+TableC2!$O$91)</f>
        <v>0</v>
      </c>
      <c r="M86" s="1328">
        <f>1000*TableA7!$P$91*(TableC2!N84+TableC2!Y84)/(TableC2!$D$91+TableC2!$O$91)</f>
        <v>0</v>
      </c>
      <c r="N86" s="1332">
        <f>1000*TableA7!$P$91*TableC3!C84/TableC3!$C$91</f>
        <v>-11.955246298263701</v>
      </c>
      <c r="O86" s="306">
        <f>1000*TableA7!$P$91*TableC3!D84/TableC3!$C$91</f>
        <v>-0.33657358131131687</v>
      </c>
      <c r="P86" s="8">
        <f>1000*TableA7!$P$91*TableC3!E84/TableC3!$C$91</f>
        <v>-0.3696381659997009</v>
      </c>
      <c r="Q86" s="8">
        <f>1000*TableA7!$P$91*TableC3!F84/TableC3!$C$91</f>
        <v>3.3064584688384017E-2</v>
      </c>
      <c r="R86" s="8">
        <f>1000*TableA7!$P$91*TableC3!G84/TableC3!$C$91</f>
        <v>0</v>
      </c>
      <c r="S86" s="678">
        <f>1000*TableA7!$P$91*TableC3!H84/TableC3!$C$91</f>
        <v>0</v>
      </c>
      <c r="T86" s="678">
        <f>1000*TableA7!$P$91*TableC3!I84/TableC3!$C$91</f>
        <v>0</v>
      </c>
      <c r="U86" s="55">
        <f>1000*TableA7!$P$91*TableC3!J84/TableC3!$C$91</f>
        <v>0</v>
      </c>
      <c r="V86" s="664">
        <f>1000*TableA7!$P$91*TableC3!K84/TableC3!$C$91</f>
        <v>-11.618672716952382</v>
      </c>
      <c r="W86" s="678">
        <f>1000*TableA7!$P$91*TableC3!L84/TableC3!$C$91</f>
        <v>0</v>
      </c>
      <c r="X86" s="593">
        <f>1000*TableA7!$P$91*TableC3!M84/TableC3!$C$91</f>
        <v>-11.618672716952382</v>
      </c>
    </row>
    <row r="87" spans="1:24" hidden="1" x14ac:dyDescent="0.35">
      <c r="B87" s="289" t="str">
        <f>+TableA1!A86</f>
        <v>St. Vincent and the Grenadines</v>
      </c>
      <c r="C87" s="739">
        <f>1000*TableA7!$P$91*(TableC2!D85+TableC2!O85)/(TableC2!$D$91+TableC2!$O$91)</f>
        <v>0</v>
      </c>
      <c r="D87" s="306">
        <f>1000*TableA7!$P$91*(TableC2!E85+TableC2!P85)/(TableC2!$D$91+TableC2!$O$91)</f>
        <v>0</v>
      </c>
      <c r="E87" s="8">
        <f>1000*TableA7!$P$91*(TableC2!F85+TableC2!Q85)/(TableC2!$D$91+TableC2!$O$91)</f>
        <v>0</v>
      </c>
      <c r="F87" s="8">
        <f>1000*TableA7!$P$91*(TableC2!G85+TableC2!R85)/(TableC2!$D$91+TableC2!$O$91)</f>
        <v>0</v>
      </c>
      <c r="G87" s="8">
        <f>1000*TableA7!$P$91*(TableC2!H85+TableC2!S85)/(TableC2!$D$91+TableC2!$O$91)</f>
        <v>0</v>
      </c>
      <c r="H87" s="678">
        <f>1000*TableA7!$P$91*(TableC2!I85+TableC2!T85)/(TableC2!$D$91+TableC2!$O$91)</f>
        <v>0</v>
      </c>
      <c r="I87" s="678">
        <f>1000*TableA7!$P$91*(TableC2!J85+TableC2!U85)/(TableC2!$D$91+TableC2!$O$91)</f>
        <v>0</v>
      </c>
      <c r="J87" s="55">
        <f>1000*TableA7!$P$91*(TableC2!K85+TableC2!V85)/(TableC2!$D$91+TableC2!$O$91)</f>
        <v>0</v>
      </c>
      <c r="K87" s="664">
        <f>1000*TableA7!$P$91*(TableC2!L85+TableC2!W85)/(TableC2!$D$91+TableC2!$O$91)</f>
        <v>0</v>
      </c>
      <c r="L87" s="678">
        <f>1000*TableA7!$P$91*(TableC2!M85+TableC2!X85)/(TableC2!$D$91+TableC2!$O$91)</f>
        <v>0</v>
      </c>
      <c r="M87" s="1328">
        <f>1000*TableA7!$P$91*(TableC2!N85+TableC2!Y85)/(TableC2!$D$91+TableC2!$O$91)</f>
        <v>0</v>
      </c>
      <c r="N87" s="1332">
        <f>1000*TableA7!$P$91*TableC3!C85/TableC3!$C$91</f>
        <v>2.8419343387101836</v>
      </c>
      <c r="O87" s="306">
        <f>1000*TableA7!$P$91*TableC3!D85/TableC3!$C$91</f>
        <v>1.0022714416423105E-3</v>
      </c>
      <c r="P87" s="8">
        <f>1000*TableA7!$P$91*TableC3!E85/TableC3!$C$91</f>
        <v>0</v>
      </c>
      <c r="Q87" s="8">
        <f>1000*TableA7!$P$91*TableC3!F85/TableC3!$C$91</f>
        <v>1.0022714416423105E-3</v>
      </c>
      <c r="R87" s="8">
        <f>1000*TableA7!$P$91*TableC3!G85/TableC3!$C$91</f>
        <v>0</v>
      </c>
      <c r="S87" s="678">
        <f>1000*TableA7!$P$91*TableC3!H85/TableC3!$C$91</f>
        <v>0</v>
      </c>
      <c r="T87" s="678">
        <f>1000*TableA7!$P$91*TableC3!I85/TableC3!$C$91</f>
        <v>0</v>
      </c>
      <c r="U87" s="55">
        <f>1000*TableA7!$P$91*TableC3!J85/TableC3!$C$91</f>
        <v>0</v>
      </c>
      <c r="V87" s="664">
        <f>1000*TableA7!$P$91*TableC3!K85/TableC3!$C$91</f>
        <v>2.840932067268541</v>
      </c>
      <c r="W87" s="678">
        <f>1000*TableA7!$P$91*TableC3!L85/TableC3!$C$91</f>
        <v>0</v>
      </c>
      <c r="X87" s="593">
        <f>1000*TableA7!$P$91*TableC3!M85/TableC3!$C$91</f>
        <v>2.840932067268541</v>
      </c>
    </row>
    <row r="88" spans="1:24" ht="23" hidden="1" x14ac:dyDescent="0.35">
      <c r="A88" s="741" t="s">
        <v>505</v>
      </c>
      <c r="B88" s="289" t="str">
        <f>+TableA1!A87</f>
        <v>Turks and Caicos</v>
      </c>
      <c r="C88" s="739">
        <f>1000*TableA7!$P$91*(TableC2!D86+TableC2!O86)/(TableC2!$D$91+TableC2!$O$91)</f>
        <v>0</v>
      </c>
      <c r="D88" s="306">
        <f>1000*TableA7!$P$91*(TableC2!E86+TableC2!P86)/(TableC2!$D$91+TableC2!$O$91)</f>
        <v>0</v>
      </c>
      <c r="E88" s="8">
        <f>1000*TableA7!$P$91*(TableC2!F86+TableC2!Q86)/(TableC2!$D$91+TableC2!$O$91)</f>
        <v>0</v>
      </c>
      <c r="F88" s="8">
        <f>1000*TableA7!$P$91*(TableC2!G86+TableC2!R86)/(TableC2!$D$91+TableC2!$O$91)</f>
        <v>0</v>
      </c>
      <c r="G88" s="8">
        <f>1000*TableA7!$P$91*(TableC2!H86+TableC2!S86)/(TableC2!$D$91+TableC2!$O$91)</f>
        <v>0</v>
      </c>
      <c r="H88" s="678">
        <f>1000*TableA7!$P$91*(TableC2!I86+TableC2!T86)/(TableC2!$D$91+TableC2!$O$91)</f>
        <v>0</v>
      </c>
      <c r="I88" s="678">
        <f>1000*TableA7!$P$91*(TableC2!J86+TableC2!U86)/(TableC2!$D$91+TableC2!$O$91)</f>
        <v>0</v>
      </c>
      <c r="J88" s="55">
        <f>1000*TableA7!$P$91*(TableC2!K86+TableC2!V86)/(TableC2!$D$91+TableC2!$O$91)</f>
        <v>0</v>
      </c>
      <c r="K88" s="664">
        <f>1000*TableA7!$P$91*(TableC2!L86+TableC2!W86)/(TableC2!$D$91+TableC2!$O$91)</f>
        <v>0</v>
      </c>
      <c r="L88" s="678">
        <f>1000*TableA7!$P$91*(TableC2!M86+TableC2!X86)/(TableC2!$D$91+TableC2!$O$91)</f>
        <v>0</v>
      </c>
      <c r="M88" s="1328">
        <f>1000*TableA7!$P$91*(TableC2!N86+TableC2!Y86)/(TableC2!$D$91+TableC2!$O$91)</f>
        <v>0</v>
      </c>
      <c r="N88" s="1332">
        <f>1000*TableA7!$P$91*TableC3!C86/TableC3!$C$91</f>
        <v>0.39878143799435534</v>
      </c>
      <c r="O88" s="306">
        <f>1000*TableA7!$P$91*TableC3!D86/TableC3!$C$91</f>
        <v>3.919939303612981E-3</v>
      </c>
      <c r="P88" s="8">
        <f>1000*TableA7!$P$91*TableC3!E86/TableC3!$C$91</f>
        <v>0</v>
      </c>
      <c r="Q88" s="8">
        <f>1000*TableA7!$P$91*TableC3!F86/TableC3!$C$91</f>
        <v>3.919939303612981E-3</v>
      </c>
      <c r="R88" s="8">
        <f>1000*TableA7!$P$91*TableC3!G86/TableC3!$C$91</f>
        <v>0</v>
      </c>
      <c r="S88" s="678">
        <f>1000*TableA7!$P$91*TableC3!H86/TableC3!$C$91</f>
        <v>0</v>
      </c>
      <c r="T88" s="678">
        <f>1000*TableA7!$P$91*TableC3!I86/TableC3!$C$91</f>
        <v>0</v>
      </c>
      <c r="U88" s="55">
        <f>1000*TableA7!$P$91*TableC3!J86/TableC3!$C$91</f>
        <v>0</v>
      </c>
      <c r="V88" s="664">
        <f>1000*TableA7!$P$91*TableC3!K86/TableC3!$C$91</f>
        <v>0.39486149869074239</v>
      </c>
      <c r="W88" s="678">
        <f>1000*TableA7!$P$91*TableC3!L86/TableC3!$C$91</f>
        <v>0</v>
      </c>
      <c r="X88" s="593">
        <f>1000*TableA7!$P$91*TableC3!M86/TableC3!$C$91</f>
        <v>0.39486149869074239</v>
      </c>
    </row>
    <row r="89" spans="1:24" hidden="1" x14ac:dyDescent="0.35">
      <c r="B89" s="289" t="str">
        <f>+TableA1!A88</f>
        <v>Panama</v>
      </c>
      <c r="C89" s="739">
        <f>1000*TableA7!$P$91*(TableC2!D87+TableC2!O87)/(TableC2!$D$91+TableC2!$O$91)</f>
        <v>0</v>
      </c>
      <c r="D89" s="306">
        <f>1000*TableA7!$P$91*(TableC2!E87+TableC2!P87)/(TableC2!$D$91+TableC2!$O$91)</f>
        <v>0</v>
      </c>
      <c r="E89" s="8">
        <f>1000*TableA7!$P$91*(TableC2!F87+TableC2!Q87)/(TableC2!$D$91+TableC2!$O$91)</f>
        <v>0</v>
      </c>
      <c r="F89" s="8">
        <f>1000*TableA7!$P$91*(TableC2!G87+TableC2!R87)/(TableC2!$D$91+TableC2!$O$91)</f>
        <v>0</v>
      </c>
      <c r="G89" s="8">
        <f>1000*TableA7!$P$91*(TableC2!H87+TableC2!S87)/(TableC2!$D$91+TableC2!$O$91)</f>
        <v>0</v>
      </c>
      <c r="H89" s="678">
        <f>1000*TableA7!$P$91*(TableC2!I87+TableC2!T87)/(TableC2!$D$91+TableC2!$O$91)</f>
        <v>0</v>
      </c>
      <c r="I89" s="678">
        <f>1000*TableA7!$P$91*(TableC2!J87+TableC2!U87)/(TableC2!$D$91+TableC2!$O$91)</f>
        <v>0</v>
      </c>
      <c r="J89" s="55">
        <f>1000*TableA7!$P$91*(TableC2!K87+TableC2!V87)/(TableC2!$D$91+TableC2!$O$91)</f>
        <v>0</v>
      </c>
      <c r="K89" s="664">
        <f>1000*TableA7!$P$91*(TableC2!L87+TableC2!W87)/(TableC2!$D$91+TableC2!$O$91)</f>
        <v>0</v>
      </c>
      <c r="L89" s="678">
        <f>1000*TableA7!$P$91*(TableC2!M87+TableC2!X87)/(TableC2!$D$91+TableC2!$O$91)</f>
        <v>0</v>
      </c>
      <c r="M89" s="1328">
        <f>1000*TableA7!$P$91*(TableC2!N87+TableC2!Y87)/(TableC2!$D$91+TableC2!$O$91)</f>
        <v>0</v>
      </c>
      <c r="N89" s="1332">
        <f>1000*TableA7!$P$91*TableC3!C87/TableC3!$C$91</f>
        <v>571.71512965333045</v>
      </c>
      <c r="O89" s="306">
        <f>1000*TableA7!$P$91*TableC3!D87/TableC3!$C$91</f>
        <v>-5.8404466756785327</v>
      </c>
      <c r="P89" s="8">
        <f>1000*TableA7!$P$91*TableC3!E87/TableC3!$C$91</f>
        <v>-5.8636460843517675</v>
      </c>
      <c r="Q89" s="8">
        <f>1000*TableA7!$P$91*TableC3!F87/TableC3!$C$91</f>
        <v>2.3199408673233588E-2</v>
      </c>
      <c r="R89" s="8">
        <f>1000*TableA7!$P$91*TableC3!G87/TableC3!$C$91</f>
        <v>0</v>
      </c>
      <c r="S89" s="678">
        <f>1000*TableA7!$P$91*TableC3!H87/TableC3!$C$91</f>
        <v>0</v>
      </c>
      <c r="T89" s="678">
        <f>1000*TableA7!$P$91*TableC3!I87/TableC3!$C$91</f>
        <v>0</v>
      </c>
      <c r="U89" s="55">
        <f>1000*TableA7!$P$91*TableC3!J87/TableC3!$C$91</f>
        <v>0</v>
      </c>
      <c r="V89" s="664">
        <f>1000*TableA7!$P$91*TableC3!K87/TableC3!$C$91</f>
        <v>577.555576329009</v>
      </c>
      <c r="W89" s="678">
        <f>1000*TableA7!$P$91*TableC3!L87/TableC3!$C$91</f>
        <v>0</v>
      </c>
      <c r="X89" s="593">
        <f>1000*TableA7!$P$91*TableC3!M87/TableC3!$C$91</f>
        <v>577.555576329009</v>
      </c>
    </row>
    <row r="90" spans="1:24" hidden="1" x14ac:dyDescent="0.35">
      <c r="B90" s="264" t="s">
        <v>290</v>
      </c>
      <c r="C90" s="739">
        <f>1000*TableA7!$P$91*(TableC2!D88+TableC2!O88)/(TableC2!$D$91+TableC2!$O$91)</f>
        <v>0</v>
      </c>
      <c r="D90" s="306">
        <f>1000*TableA7!$P$91*(TableC2!E88+TableC2!P88)/(TableC2!$D$91+TableC2!$O$91)</f>
        <v>0</v>
      </c>
      <c r="E90" s="8">
        <f>1000*TableA7!$P$91*(TableC2!F88+TableC2!Q88)/(TableC2!$D$91+TableC2!$O$91)</f>
        <v>0</v>
      </c>
      <c r="F90" s="8">
        <f>1000*TableA7!$P$91*(TableC2!G88+TableC2!R88)/(TableC2!$D$91+TableC2!$O$91)</f>
        <v>0</v>
      </c>
      <c r="G90" s="8">
        <f>1000*TableA7!$P$91*(TableC2!H88+TableC2!S88)/(TableC2!$D$91+TableC2!$O$91)</f>
        <v>0</v>
      </c>
      <c r="H90" s="678">
        <f>1000*TableA7!$P$91*(TableC2!I88+TableC2!T88)/(TableC2!$D$91+TableC2!$O$91)</f>
        <v>0</v>
      </c>
      <c r="I90" s="678">
        <f>1000*TableA7!$P$91*(TableC2!J88+TableC2!U88)/(TableC2!$D$91+TableC2!$O$91)</f>
        <v>0</v>
      </c>
      <c r="J90" s="55">
        <f>1000*TableA7!$P$91*(TableC2!K88+TableC2!V88)/(TableC2!$D$91+TableC2!$O$91)</f>
        <v>0</v>
      </c>
      <c r="K90" s="664">
        <f>1000*TableA7!$P$91*(TableC2!L88+TableC2!W88)/(TableC2!$D$91+TableC2!$O$91)</f>
        <v>0</v>
      </c>
      <c r="L90" s="678">
        <f>1000*TableA7!$P$91*(TableC2!M88+TableC2!X88)/(TableC2!$D$91+TableC2!$O$91)</f>
        <v>0</v>
      </c>
      <c r="M90" s="1328">
        <f>1000*TableA7!$P$91*(TableC2!N88+TableC2!Y88)/(TableC2!$D$91+TableC2!$O$91)</f>
        <v>0</v>
      </c>
      <c r="N90" s="1330">
        <f>1000*TableA7!$P$91*TableC3!C88/TableC3!$C$91</f>
        <v>20.573737865888862</v>
      </c>
      <c r="O90" s="306">
        <f>1000*TableA7!$P$91*TableC3!D88/TableC3!$C$91</f>
        <v>0</v>
      </c>
      <c r="P90" s="8">
        <f>1000*TableA7!$P$91*TableC3!E88/TableC3!$C$91</f>
        <v>0</v>
      </c>
      <c r="Q90" s="8">
        <f>1000*TableA7!$P$91*TableC3!F88/TableC3!$C$91</f>
        <v>0</v>
      </c>
      <c r="R90" s="8">
        <f>1000*TableA7!$P$91*TableC3!G88/TableC3!$C$91</f>
        <v>0</v>
      </c>
      <c r="S90" s="678">
        <f>1000*TableA7!$P$91*TableC3!H88/TableC3!$C$91</f>
        <v>0</v>
      </c>
      <c r="T90" s="678">
        <f>1000*TableA7!$P$91*TableC3!I88/TableC3!$C$91</f>
        <v>0</v>
      </c>
      <c r="U90" s="55">
        <f>1000*TableA7!$P$91*TableC3!J88/TableC3!$C$91</f>
        <v>0</v>
      </c>
      <c r="V90" s="664">
        <f>1000*TableA7!$P$91*TableC3!K88/TableC3!$C$91</f>
        <v>20.573737865888862</v>
      </c>
      <c r="W90" s="678">
        <f>1000*TableA7!$P$91*TableC3!L88/TableC3!$C$91</f>
        <v>0</v>
      </c>
      <c r="X90" s="593">
        <f>1000*TableA7!$P$91*TableC3!M88/TableC3!$C$91</f>
        <v>20.573737865888862</v>
      </c>
    </row>
    <row r="91" spans="1:24" ht="40" customHeight="1" x14ac:dyDescent="0.35">
      <c r="B91" s="585" t="s">
        <v>498</v>
      </c>
      <c r="C91" s="748">
        <f>1000*TableA7!$P$91*(TableC2!D89+TableC2!O89)/(TableC2!$D$91+TableC2!$O$91)</f>
        <v>78718.222161267098</v>
      </c>
      <c r="D91" s="906">
        <f>1000*TableA7!$P$91*(TableC2!E89+TableC2!P89)/(TableC2!$D$91+TableC2!$O$91)</f>
        <v>32128.448563024544</v>
      </c>
      <c r="E91" s="644">
        <f>1000*TableA7!$P$91*(TableC2!F89+TableC2!Q89)/(TableC2!$D$91+TableC2!$O$91)</f>
        <v>2456.8195224799219</v>
      </c>
      <c r="F91" s="644">
        <f>1000*TableA7!$P$91*(TableC2!G89+TableC2!R89)/(TableC2!$D$91+TableC2!$O$91)</f>
        <v>643.35297746956837</v>
      </c>
      <c r="G91" s="644">
        <f>1000*TableA7!$P$91*(TableC2!H89+TableC2!S89)/(TableC2!$D$91+TableC2!$O$91)</f>
        <v>17081.92437547115</v>
      </c>
      <c r="H91" s="936">
        <f>1000*TableA7!$P$91*(TableC2!I89+TableC2!T89)/(TableC2!$D$91+TableC2!$O$91)</f>
        <v>3677.4371199912403</v>
      </c>
      <c r="I91" s="936">
        <f>1000*TableA7!$P$91*(TableC2!J89+TableC2!U89)/(TableC2!$D$91+TableC2!$O$91)</f>
        <v>3100.7926635407334</v>
      </c>
      <c r="J91" s="936">
        <f>1000*TableA7!$P$91*(TableC2!K89+TableC2!V89)/(TableC2!$D$91+TableC2!$O$91)</f>
        <v>5168.1219040719297</v>
      </c>
      <c r="K91" s="643">
        <f>1000*TableA7!$P$91*(TableC2!L89+TableC2!W89)/(TableC2!$D$91+TableC2!$O$91)</f>
        <v>46589.773598242551</v>
      </c>
      <c r="L91" s="937">
        <f>1000*TableA7!$P$91*(TableC2!M89+TableC2!X89)/(TableC2!$D$91+TableC2!$O$91)</f>
        <v>3824.9758160131223</v>
      </c>
      <c r="M91" s="938">
        <f>1000*TableA7!$P$91*(TableC2!N89+TableC2!Y89)/(TableC2!$D$91+TableC2!$O$91)</f>
        <v>42764.518051625309</v>
      </c>
      <c r="N91" s="749">
        <f>1000*TableA7!$P$91*TableC3!C89/TableC3!$C$91</f>
        <v>19924.194321217819</v>
      </c>
      <c r="O91" s="906">
        <f>1000*TableA7!$P$91*TableC3!D89/TableC3!$C$91</f>
        <v>2481.041013123614</v>
      </c>
      <c r="P91" s="644">
        <f>1000*TableA7!$P$91*TableC3!E89/TableC3!$C$91</f>
        <v>516.06991313591834</v>
      </c>
      <c r="Q91" s="644">
        <f>1000*TableA7!$P$91*TableC3!F89/TableC3!$C$91</f>
        <v>48.035185488895884</v>
      </c>
      <c r="R91" s="644">
        <f>1000*TableA7!$P$91*TableC3!G89/TableC3!$C$91</f>
        <v>15.894548048324211</v>
      </c>
      <c r="S91" s="936">
        <f>1000*TableA7!$P$91*TableC3!H89/TableC3!$C$91</f>
        <v>1490.2721495788899</v>
      </c>
      <c r="T91" s="936">
        <f>1000*TableA7!$P$91*TableC3!I89/TableC3!$C$91</f>
        <v>15.481920664578277</v>
      </c>
      <c r="U91" s="936">
        <f>1000*TableA7!$P$91*TableC3!J89/TableC3!$C$91</f>
        <v>395.28729620700761</v>
      </c>
      <c r="V91" s="643">
        <f>1000*TableA7!$P$91*TableC3!K89/TableC3!$C$91</f>
        <v>17443.153308094203</v>
      </c>
      <c r="W91" s="937">
        <f>1000*TableA7!$P$91*TableC3!L89/TableC3!$C$91</f>
        <v>0</v>
      </c>
      <c r="X91" s="1317">
        <f>1000*TableA7!$P$91*TableC3!M89/TableC3!$C$91</f>
        <v>17443.15330809417</v>
      </c>
    </row>
    <row r="92" spans="1:24" ht="40" hidden="1" customHeight="1" x14ac:dyDescent="0.35">
      <c r="B92" s="1318"/>
      <c r="C92" s="748"/>
      <c r="D92" s="674">
        <f>1000*TableA7!$P$91*(TableC2!E90+TableC2!P90)/(TableC2!$D$91+TableC2!$O$91)</f>
        <v>365238.93315114221</v>
      </c>
      <c r="E92" s="556">
        <f>1000*TableA7!$P$91*(TableC2!F90+TableC2!Q90)/(TableC2!$D$91+TableC2!$O$91)</f>
        <v>45844.245734219949</v>
      </c>
      <c r="F92" s="557">
        <f>1000*TableA7!$P$91*(TableC2!G90+TableC2!R90)/(TableC2!$D$91+TableC2!$O$91)</f>
        <v>2352.407244170844</v>
      </c>
      <c r="G92" s="557">
        <f>1000*TableA7!$P$91*(TableC2!H90+TableC2!S90)/(TableC2!$D$91+TableC2!$O$91)</f>
        <v>103151.35752398905</v>
      </c>
      <c r="H92" s="557">
        <f>1000*TableA7!$P$91*(TableC2!I90+TableC2!T90)/(TableC2!$D$91+TableC2!$O$91)</f>
        <v>105662.19970888982</v>
      </c>
      <c r="I92" s="557">
        <f>1000*TableA7!$P$91*(TableC2!J90+TableC2!U90)/(TableC2!$D$91+TableC2!$O$91)</f>
        <v>4443.316159951034</v>
      </c>
      <c r="J92" s="557">
        <f>1000*TableA7!$P$91*(TableC2!K90+TableC2!V90)/(TableC2!$D$91+TableC2!$O$91)</f>
        <v>103785.40677992148</v>
      </c>
      <c r="K92" s="674">
        <f>1000*TableA7!$P$91*(TableC2!L90+TableC2!W90)/(TableC2!$D$91+TableC2!$O$91)</f>
        <v>429517.45933133346</v>
      </c>
      <c r="L92" s="556">
        <f>1000*TableA7!$P$91*(TableC2!M90+TableC2!X90)/(TableC2!$D$91+TableC2!$O$91)</f>
        <v>81651.693762084658</v>
      </c>
      <c r="M92" s="1319">
        <f>1000*TableA7!$P$91*(TableC2!N90+TableC2!Y90)/(TableC2!$D$91+TableC2!$O$91)</f>
        <v>347865.48583864461</v>
      </c>
      <c r="N92" s="745">
        <f>1000*TableA7!$P$91*TableC3!C90/TableC3!$C$91</f>
        <v>868002.53217534442</v>
      </c>
      <c r="O92" s="674">
        <f>1000*TableA7!$P$91*TableC3!D90/TableC3!$C$91</f>
        <v>459297.79397170607</v>
      </c>
      <c r="P92" s="747">
        <f>1000*TableA7!$P$91*TableC3!E90/TableC3!$C$91</f>
        <v>71500.362708890883</v>
      </c>
      <c r="Q92" s="557">
        <f>1000*TableA7!$P$91*TableC3!F90/TableC3!$C$91</f>
        <v>3539.6243167895782</v>
      </c>
      <c r="R92" s="557">
        <f>1000*TableA7!$P$91*TableC3!G90/TableC3!$C$91</f>
        <v>93481.910458023936</v>
      </c>
      <c r="S92" s="557">
        <f>1000*TableA7!$P$91*TableC3!H90/TableC3!$C$91</f>
        <v>69133.518962590024</v>
      </c>
      <c r="T92" s="557">
        <f>1000*TableA7!$P$91*TableC3!I90/TableC3!$C$91</f>
        <v>493.08451550928419</v>
      </c>
      <c r="U92" s="1319">
        <f>1000*TableA7!$P$91*TableC3!J90/TableC3!$C$91</f>
        <v>221149.29300990238</v>
      </c>
      <c r="V92" s="557">
        <f>1000*TableA7!$P$91*TableC3!K90/TableC3!$C$91</f>
        <v>408704.73820363841</v>
      </c>
      <c r="W92" s="747">
        <f>1000*TableA7!$P$91*TableC3!L90/TableC3!$C$91</f>
        <v>157092.40869758427</v>
      </c>
      <c r="X92" s="1320">
        <f>1000*TableA7!$P$91*TableC3!M90/TableC3!$C$91</f>
        <v>251612.32950605408</v>
      </c>
    </row>
    <row r="93" spans="1:24" ht="40" customHeight="1" thickBot="1" x14ac:dyDescent="0.4">
      <c r="B93" s="584" t="str">
        <f>+TableC3!B91</f>
        <v>Non-haven total</v>
      </c>
      <c r="C93" s="1632">
        <f>1000*TableA7!$P$91*(TableC2!D91+TableC2!O91)/(TableC2!$D$91+TableC2!$O$91)</f>
        <v>616461.62984891725</v>
      </c>
      <c r="D93" s="729">
        <f>1000*TableA7!$P$91*(TableC2!E91+TableC2!P91)/(TableC2!$D$91+TableC2!$O$91)</f>
        <v>291090.05346102006</v>
      </c>
      <c r="E93" s="1323">
        <f>1000*TableA7!$P$91*(TableC2!F91+TableC2!Q91)/(TableC2!$D$91+TableC2!$O$91)</f>
        <v>33765.495023400748</v>
      </c>
      <c r="F93" s="1324">
        <f>1000*TableA7!$P$91*(TableC2!G91+TableC2!R91)/(TableC2!$D$91+TableC2!$O$91)</f>
        <v>2250.1600095749436</v>
      </c>
      <c r="G93" s="1324">
        <f>1000*TableA7!$P$91*(TableC2!H91+TableC2!S91)/(TableC2!$D$91+TableC2!$O$91)</f>
        <v>88827.178117135452</v>
      </c>
      <c r="H93" s="1324">
        <f>1000*TableA7!$P$91*(TableC2!I91+TableC2!T91)/(TableC2!$D$91+TableC2!$O$91)</f>
        <v>87677.932773085748</v>
      </c>
      <c r="I93" s="1324">
        <f>1000*TableA7!$P$91*(TableC2!J91+TableC2!U91)/(TableC2!$D$91+TableC2!$O$91)</f>
        <v>4302.8044063658681</v>
      </c>
      <c r="J93" s="1324">
        <f>1000*TableA7!$P$91*(TableC2!K91+TableC2!V91)/(TableC2!$D$91+TableC2!$O$91)</f>
        <v>74266.483131457338</v>
      </c>
      <c r="K93" s="729">
        <f>1000*TableA7!$P$91*(TableC2!L91+TableC2!W91)/(TableC2!$D$91+TableC2!$O$91)</f>
        <v>325371.57638789725</v>
      </c>
      <c r="L93" s="1323">
        <f>1000*TableA7!$P$91*(TableC2!M91+TableC2!X91)/(TableC2!$D$91+TableC2!$O$91)</f>
        <v>50102.998963108526</v>
      </c>
      <c r="M93" s="1325">
        <f>1000*TableA7!$P$91*(TableC2!N91+TableC2!Y91)/(TableC2!$D$91+TableC2!$O$91)</f>
        <v>275268.29769418464</v>
      </c>
      <c r="N93" s="1322">
        <f>1000*TableA7!$P$91*TableC3!C91/TableC3!$C$91</f>
        <v>616461.62984891725</v>
      </c>
      <c r="O93" s="729">
        <f>1000*TableA7!$P$91*TableC3!D91/TableC3!$C$91</f>
        <v>330315.39864829625</v>
      </c>
      <c r="P93" s="1323">
        <f>1000*TableA7!$P$91*TableC3!E91/TableC3!$C$91</f>
        <v>43540.778884011284</v>
      </c>
      <c r="Q93" s="1324">
        <f>1000*TableA7!$P$91*TableC3!F91/TableC3!$C$91</f>
        <v>2396.4948511104612</v>
      </c>
      <c r="R93" s="1324">
        <f>1000*TableA7!$P$91*TableC3!G91/TableC3!$C$91</f>
        <v>78897.468002116642</v>
      </c>
      <c r="S93" s="1324">
        <f>1000*TableA7!$P$91*TableC3!H91/TableC3!$C$91</f>
        <v>47150.492455035346</v>
      </c>
      <c r="T93" s="1324">
        <f>1000*TableA7!$P$91*TableC3!I91/TableC3!$C$91</f>
        <v>113.9596180394183</v>
      </c>
      <c r="U93" s="1325">
        <f>1000*TableA7!$P$91*TableC3!J91/TableC3!$C$91</f>
        <v>158216.20483798312</v>
      </c>
      <c r="V93" s="1324">
        <f>1000*TableA7!$P$91*TableC3!K91/TableC3!$C$91</f>
        <v>286146.23120062106</v>
      </c>
      <c r="W93" s="1323">
        <f>1000*TableA7!$P$91*TableC3!L91/TableC3!$C$91</f>
        <v>131202.60740954758</v>
      </c>
      <c r="X93" s="1326">
        <f>1000*TableA7!$P$91*TableC3!M91/TableC3!$C$91</f>
        <v>154943.62379107342</v>
      </c>
    </row>
    <row r="94" spans="1:24" s="2" customFormat="1" ht="16" thickTop="1" x14ac:dyDescent="0.35">
      <c r="D94" s="1"/>
      <c r="E94" s="1"/>
      <c r="F94" s="1"/>
      <c r="G94" s="1"/>
      <c r="H94" s="1"/>
      <c r="I94" s="1"/>
      <c r="J94" s="1"/>
      <c r="K94" s="1"/>
      <c r="L94" s="1"/>
      <c r="M94" s="1"/>
      <c r="O94" s="1"/>
      <c r="P94" s="1"/>
      <c r="Q94" s="1"/>
      <c r="R94" s="1"/>
      <c r="S94" s="1"/>
      <c r="T94" s="1"/>
      <c r="U94" s="1"/>
      <c r="V94" s="1"/>
      <c r="W94" s="1"/>
      <c r="X94" s="1"/>
    </row>
  </sheetData>
  <mergeCells count="9">
    <mergeCell ref="B5:X5"/>
    <mergeCell ref="C7:M7"/>
    <mergeCell ref="N7:X7"/>
    <mergeCell ref="D8:D9"/>
    <mergeCell ref="K8:K9"/>
    <mergeCell ref="O8:O9"/>
    <mergeCell ref="V8:V9"/>
    <mergeCell ref="C8:C9"/>
    <mergeCell ref="N8:N9"/>
  </mergeCells>
  <pageMargins left="0.7" right="0.7" top="0.75" bottom="0.75" header="0.3" footer="0.3"/>
  <pageSetup scale="35" orientation="landscape"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2:R97"/>
  <sheetViews>
    <sheetView zoomScale="50" zoomScaleNormal="50" workbookViewId="0">
      <pane xSplit="2" ySplit="10" topLeftCell="C11" activePane="bottomRight" state="frozen"/>
      <selection activeCell="AR8" sqref="AR8"/>
      <selection pane="topRight" activeCell="AR8" sqref="AR8"/>
      <selection pane="bottomLeft" activeCell="AR8" sqref="AR8"/>
      <selection pane="bottomRight" activeCell="C18" sqref="C18"/>
    </sheetView>
  </sheetViews>
  <sheetFormatPr baseColWidth="10" defaultColWidth="10.81640625" defaultRowHeight="15.5" x14ac:dyDescent="0.35"/>
  <cols>
    <col min="1" max="1" width="17.453125" style="1" hidden="1" customWidth="1"/>
    <col min="2" max="2" width="19" style="1" customWidth="1"/>
    <col min="3" max="8" width="13" style="1" customWidth="1"/>
    <col min="9" max="11" width="19.6328125" style="1" customWidth="1"/>
    <col min="12" max="12" width="10.81640625" style="1"/>
    <col min="13" max="13" width="19.453125" style="1" customWidth="1"/>
    <col min="14" max="14" width="13.6328125" style="1" customWidth="1"/>
    <col min="15" max="16384" width="10.81640625" style="1"/>
  </cols>
  <sheetData>
    <row r="2" spans="2:18" ht="16" thickBot="1" x14ac:dyDescent="0.4">
      <c r="B2" s="27"/>
      <c r="C2" s="27"/>
      <c r="E2" s="27"/>
      <c r="F2" s="27"/>
      <c r="H2" s="27"/>
      <c r="I2" s="27"/>
      <c r="J2" s="27"/>
      <c r="K2" s="27"/>
    </row>
    <row r="3" spans="2:18" ht="16" hidden="1" thickBot="1" x14ac:dyDescent="0.4"/>
    <row r="4" spans="2:18" ht="32.25" customHeight="1" thickTop="1" x14ac:dyDescent="0.35">
      <c r="B4" s="2048" t="s">
        <v>782</v>
      </c>
      <c r="C4" s="2049"/>
      <c r="D4" s="2049"/>
      <c r="E4" s="2049"/>
      <c r="F4" s="2049"/>
      <c r="G4" s="2049"/>
      <c r="H4" s="2050"/>
      <c r="I4" s="944"/>
      <c r="J4" s="944"/>
      <c r="K4" s="944"/>
    </row>
    <row r="5" spans="2:18" ht="15" customHeight="1" x14ac:dyDescent="0.35">
      <c r="B5" s="11"/>
      <c r="C5" s="1312"/>
      <c r="D5" s="1312"/>
      <c r="E5" s="1312"/>
      <c r="F5" s="1312"/>
      <c r="G5" s="1312"/>
      <c r="H5" s="12"/>
      <c r="I5" s="1312"/>
      <c r="J5" s="1312"/>
      <c r="K5" s="1312"/>
    </row>
    <row r="6" spans="2:18" ht="13" customHeight="1" x14ac:dyDescent="0.35">
      <c r="B6" s="11"/>
      <c r="C6" s="409" t="s">
        <v>20</v>
      </c>
      <c r="D6" s="409" t="s">
        <v>21</v>
      </c>
      <c r="E6" s="409" t="s">
        <v>22</v>
      </c>
      <c r="F6" s="409" t="s">
        <v>23</v>
      </c>
      <c r="G6" s="409" t="s">
        <v>24</v>
      </c>
      <c r="H6" s="14" t="s">
        <v>25</v>
      </c>
      <c r="I6" s="1187"/>
      <c r="J6" s="1187"/>
      <c r="K6" s="1187"/>
    </row>
    <row r="7" spans="2:18" ht="32.25" customHeight="1" x14ac:dyDescent="0.35">
      <c r="B7" s="11"/>
      <c r="C7" s="2424" t="s">
        <v>586</v>
      </c>
      <c r="D7" s="2425"/>
      <c r="E7" s="2425"/>
      <c r="F7" s="2425"/>
      <c r="G7" s="2425"/>
      <c r="H7" s="2426"/>
      <c r="I7" s="944"/>
      <c r="J7" s="944"/>
      <c r="K7" s="944"/>
    </row>
    <row r="8" spans="2:18" ht="21" customHeight="1" x14ac:dyDescent="0.35">
      <c r="B8" s="13"/>
      <c r="C8" s="2230" t="s">
        <v>783</v>
      </c>
      <c r="D8" s="2231" t="s">
        <v>541</v>
      </c>
      <c r="E8" s="2231"/>
      <c r="F8" s="2423" t="s">
        <v>784</v>
      </c>
      <c r="G8" s="2231" t="s">
        <v>541</v>
      </c>
      <c r="H8" s="2315"/>
      <c r="I8" s="949"/>
      <c r="J8" s="949"/>
      <c r="K8" s="949"/>
    </row>
    <row r="9" spans="2:18" ht="85" customHeight="1" x14ac:dyDescent="0.35">
      <c r="B9" s="13"/>
      <c r="C9" s="2182" t="s">
        <v>542</v>
      </c>
      <c r="D9" s="1372" t="s">
        <v>533</v>
      </c>
      <c r="E9" s="1344" t="s">
        <v>487</v>
      </c>
      <c r="F9" s="2182" t="s">
        <v>542</v>
      </c>
      <c r="G9" s="1510" t="s">
        <v>533</v>
      </c>
      <c r="H9" s="1511" t="s">
        <v>487</v>
      </c>
      <c r="I9" s="950"/>
      <c r="J9" s="950"/>
      <c r="K9" s="950"/>
    </row>
    <row r="10" spans="2:18" ht="33" customHeight="1" x14ac:dyDescent="0.35">
      <c r="B10" s="13"/>
      <c r="C10" s="2135"/>
      <c r="D10" s="1311"/>
      <c r="E10" s="1342"/>
      <c r="F10" s="2135"/>
      <c r="G10" s="1311"/>
      <c r="H10" s="1362"/>
      <c r="I10" s="951"/>
      <c r="J10" s="951"/>
      <c r="K10" s="951"/>
    </row>
    <row r="11" spans="2:18" ht="40" customHeight="1" x14ac:dyDescent="0.35">
      <c r="B11" s="39" t="s">
        <v>98</v>
      </c>
      <c r="C11" s="97">
        <f>+TableC4!C10/TableC4!$C$93</f>
        <v>0.70587402154876455</v>
      </c>
      <c r="D11" s="573">
        <f>+SUM(D12:D46)</f>
        <v>0.38087208506354664</v>
      </c>
      <c r="E11" s="954">
        <f>+SUM(E12:E46)</f>
        <v>0.32500193648521808</v>
      </c>
      <c r="F11" s="97">
        <f>+SUM(F12:F46)</f>
        <v>0.86505774372437672</v>
      </c>
      <c r="G11" s="573">
        <f>+SUM(G12:G46)</f>
        <v>0.52085086655175883</v>
      </c>
      <c r="H11" s="635">
        <f>+SUM(H12:H46)</f>
        <v>0.34420687717261789</v>
      </c>
      <c r="I11" s="559"/>
      <c r="J11" s="559"/>
      <c r="K11" s="559"/>
    </row>
    <row r="12" spans="2:18" x14ac:dyDescent="0.35">
      <c r="B12" s="95" t="s">
        <v>54</v>
      </c>
      <c r="C12" s="296">
        <f>(TableC2!D9+TableC2!O9)/(TableC2!$D$91+TableC2!$O$91)</f>
        <v>2.1021737609983656E-2</v>
      </c>
      <c r="D12" s="1349">
        <f>(TableC2!E9+TableC2!P9)/(TableC2!$D$91+TableC2!$O$91)</f>
        <v>6.6750267731805852E-3</v>
      </c>
      <c r="E12" s="1345">
        <f>(TableC2!L9+TableC2!W9)/(TableC2!$D$91+TableC2!$O$91)</f>
        <v>1.4346710836803072E-2</v>
      </c>
      <c r="F12" s="296">
        <f>TableC3!C9/TableC3!$C$91</f>
        <v>2.8404206518584008E-3</v>
      </c>
      <c r="G12" s="1349">
        <f>TableC3!D9/TableC3!$C$91</f>
        <v>-2.5196647000411961E-4</v>
      </c>
      <c r="H12" s="1506">
        <f>TableC3!K9/TableC3!$C$91</f>
        <v>3.0923871218625203E-3</v>
      </c>
      <c r="I12" s="40"/>
      <c r="L12" s="376"/>
    </row>
    <row r="13" spans="2:18" x14ac:dyDescent="0.35">
      <c r="B13" s="95" t="s">
        <v>55</v>
      </c>
      <c r="C13" s="296">
        <f>(TableC2!D10+TableC2!O10)/(TableC2!$D$91+TableC2!$O$91)</f>
        <v>5.82264755250121E-3</v>
      </c>
      <c r="D13" s="1349">
        <f>(TableC2!E10+TableC2!P10)/(TableC2!$D$91+TableC2!$O$91)</f>
        <v>3.3670081433932872E-3</v>
      </c>
      <c r="E13" s="1345">
        <f>(TableC2!L10+TableC2!W10)/(TableC2!$D$91+TableC2!$O$91)</f>
        <v>2.4556394091079228E-3</v>
      </c>
      <c r="F13" s="296">
        <f>TableC3!C10/TableC3!$C$91</f>
        <v>3.6145624085180085E-3</v>
      </c>
      <c r="G13" s="1349">
        <f>TableC3!D10/TableC3!$C$91</f>
        <v>6.0140321530970813E-4</v>
      </c>
      <c r="H13" s="1506">
        <f>TableC3!K10/TableC3!$C$91</f>
        <v>3.0131591932083001E-3</v>
      </c>
      <c r="I13" s="40"/>
    </row>
    <row r="14" spans="2:18" x14ac:dyDescent="0.35">
      <c r="B14" s="95" t="s">
        <v>2</v>
      </c>
      <c r="C14" s="296"/>
      <c r="D14" s="1349"/>
      <c r="E14" s="1345"/>
      <c r="F14" s="296"/>
      <c r="G14" s="1349"/>
      <c r="H14" s="1506"/>
      <c r="I14" s="40"/>
      <c r="K14" s="376"/>
      <c r="L14" s="376"/>
      <c r="P14" s="232"/>
    </row>
    <row r="15" spans="2:18" x14ac:dyDescent="0.35">
      <c r="B15" s="95" t="s">
        <v>56</v>
      </c>
      <c r="C15" s="296">
        <f>(TableC2!D12+TableC2!O12)/(TableC2!$D$91+TableC2!$O$91)</f>
        <v>3.0684925593354808E-2</v>
      </c>
      <c r="D15" s="1349">
        <f>(TableC2!E12+TableC2!P12)/(TableC2!$D$91+TableC2!$O$91)</f>
        <v>5.4133122782757366E-3</v>
      </c>
      <c r="E15" s="1345">
        <f>(TableC2!L12+TableC2!W12)/(TableC2!$D$91+TableC2!$O$91)</f>
        <v>2.5271613315079069E-2</v>
      </c>
      <c r="F15" s="296">
        <f>TableC3!C12/TableC3!$C$91</f>
        <v>2.6650346645084155E-2</v>
      </c>
      <c r="G15" s="1349">
        <f>TableC3!D12/TableC3!$C$91</f>
        <v>6.9912959887628153E-3</v>
      </c>
      <c r="H15" s="1506">
        <f>TableC3!K12/TableC3!$C$91</f>
        <v>1.9659050656321338E-2</v>
      </c>
      <c r="I15" s="40"/>
      <c r="J15" s="376"/>
      <c r="P15" s="232"/>
    </row>
    <row r="16" spans="2:18" x14ac:dyDescent="0.35">
      <c r="B16" s="95" t="s">
        <v>57</v>
      </c>
      <c r="C16" s="296">
        <f>(TableC2!D13+TableC2!O13)/(TableC2!$D$91+TableC2!$O$91)</f>
        <v>8.4058992865969403E-3</v>
      </c>
      <c r="D16" s="1349">
        <f>(TableC2!E13+TableC2!P13)/(TableC2!$D$91+TableC2!$O$91)</f>
        <v>1.6353969920800094E-3</v>
      </c>
      <c r="E16" s="1345">
        <f>(TableC2!L13+TableC2!W13)/(TableC2!$D$91+TableC2!$O$91)</f>
        <v>6.7705022945169302E-3</v>
      </c>
      <c r="F16" s="296">
        <f>TableC3!C13/TableC3!$C$91</f>
        <v>-1.6942126680622059E-4</v>
      </c>
      <c r="G16" s="1349">
        <f>TableC3!D13/TableC3!$C$91</f>
        <v>-1.9748978475139494E-4</v>
      </c>
      <c r="H16" s="1506">
        <f>TableC3!K13/TableC3!$C$91</f>
        <v>2.8068517945174332E-5</v>
      </c>
      <c r="I16" s="40"/>
      <c r="J16" s="376"/>
      <c r="P16" s="265"/>
      <c r="R16" s="265"/>
    </row>
    <row r="17" spans="1:11" x14ac:dyDescent="0.35">
      <c r="B17" s="95" t="s">
        <v>58</v>
      </c>
      <c r="C17" s="296">
        <f>(TableC2!D14+TableC2!O14)/(TableC2!$D$91+TableC2!$O$91)</f>
        <v>2.8560228364121493E-3</v>
      </c>
      <c r="D17" s="1349">
        <f>(TableC2!E14+TableC2!P14)/(TableC2!$D$91+TableC2!$O$91)</f>
        <v>2.2860542786128542E-3</v>
      </c>
      <c r="E17" s="1345">
        <f>(TableC2!L14+TableC2!W14)/(TableC2!$D$91+TableC2!$O$91)</f>
        <v>5.6996855779929581E-4</v>
      </c>
      <c r="F17" s="296">
        <f>TableC3!C14/TableC3!$C$91</f>
        <v>7.6599920805821666E-4</v>
      </c>
      <c r="G17" s="1349">
        <f>TableC3!D14/TableC3!$C$91</f>
        <v>7.6578137957773165E-4</v>
      </c>
      <c r="H17" s="1506">
        <f>TableC3!K14/TableC3!$C$91</f>
        <v>2.178284804850922E-7</v>
      </c>
      <c r="I17" s="40"/>
      <c r="J17" s="376"/>
    </row>
    <row r="18" spans="1:11" x14ac:dyDescent="0.35">
      <c r="B18" s="95" t="s">
        <v>59</v>
      </c>
      <c r="C18" s="296">
        <f>(TableC2!D15+TableC2!O15)/(TableC2!$D$91+TableC2!$O$91)</f>
        <v>4.8044615088280365E-3</v>
      </c>
      <c r="D18" s="1349">
        <f>(TableC2!E15+TableC2!P15)/(TableC2!$D$91+TableC2!$O$91)</f>
        <v>3.7822125941102767E-3</v>
      </c>
      <c r="E18" s="1345">
        <f>(TableC2!L15+TableC2!W15)/(TableC2!$D$91+TableC2!$O$91)</f>
        <v>1.0222489147177602E-3</v>
      </c>
      <c r="F18" s="296">
        <f>TableC3!C15/TableC3!$C$91</f>
        <v>5.8962721771943895E-3</v>
      </c>
      <c r="G18" s="1349">
        <f>TableC3!D15/TableC3!$C$91</f>
        <v>3.43131694936655E-3</v>
      </c>
      <c r="H18" s="1506">
        <f>TableC3!K15/TableC3!$C$91</f>
        <v>2.4649552278278399E-3</v>
      </c>
      <c r="I18" s="40"/>
      <c r="J18" s="376"/>
    </row>
    <row r="19" spans="1:11" x14ac:dyDescent="0.35">
      <c r="B19" s="455" t="s">
        <v>60</v>
      </c>
      <c r="C19" s="296">
        <f>(TableC2!D16+TableC2!O16)/(TableC2!$D$91+TableC2!$O$91)</f>
        <v>3.9531008102053458E-4</v>
      </c>
      <c r="D19" s="1349">
        <f>(TableC2!E16+TableC2!P16)/(TableC2!$D$91+TableC2!$O$91)</f>
        <v>2.8345998339088485E-4</v>
      </c>
      <c r="E19" s="1345">
        <f>(TableC2!L16+TableC2!W16)/(TableC2!$D$91+TableC2!$O$91)</f>
        <v>1.1185009762964971E-4</v>
      </c>
      <c r="F19" s="296">
        <f>TableC3!C16/TableC3!$C$91</f>
        <v>-6.5788442055548207E-6</v>
      </c>
      <c r="G19" s="1349">
        <f>TableC3!D16/TableC3!$C$91</f>
        <v>-6.5788442055548207E-6</v>
      </c>
      <c r="H19" s="1506">
        <f>TableC3!K16/TableC3!$C$91</f>
        <v>0</v>
      </c>
      <c r="I19" s="40"/>
      <c r="J19" s="40"/>
      <c r="K19" s="40"/>
    </row>
    <row r="20" spans="1:11" x14ac:dyDescent="0.35">
      <c r="B20" s="95" t="s">
        <v>61</v>
      </c>
      <c r="C20" s="296">
        <f>(TableC2!D17+TableC2!O17)/(TableC2!$D$91+TableC2!$O$91)</f>
        <v>4.4039551436498578E-3</v>
      </c>
      <c r="D20" s="1349">
        <f>(TableC2!E17+TableC2!P17)/(TableC2!$D$91+TableC2!$O$91)</f>
        <v>2.8302274286766856E-3</v>
      </c>
      <c r="E20" s="1345">
        <f>(TableC2!L17+TableC2!W17)/(TableC2!$D$91+TableC2!$O$91)</f>
        <v>1.5737277149731727E-3</v>
      </c>
      <c r="F20" s="296">
        <f>TableC3!C17/TableC3!$C$91</f>
        <v>3.6656033683078785E-3</v>
      </c>
      <c r="G20" s="1349">
        <f>TableC3!D17/TableC3!$C$91</f>
        <v>3.3101657497969189E-3</v>
      </c>
      <c r="H20" s="1506">
        <f>TableC3!K17/TableC3!$C$91</f>
        <v>3.5543761851095952E-4</v>
      </c>
      <c r="I20" s="40"/>
      <c r="J20" s="40"/>
      <c r="K20" s="40"/>
    </row>
    <row r="21" spans="1:11" x14ac:dyDescent="0.35">
      <c r="B21" s="455" t="s">
        <v>48</v>
      </c>
      <c r="C21" s="296">
        <f>(TableC2!D18+TableC2!O18)/(TableC2!$D$91+TableC2!$O$91)</f>
        <v>5.2045623496965038E-2</v>
      </c>
      <c r="D21" s="1349">
        <f>(TableC2!E18+TableC2!P18)/(TableC2!$D$91+TableC2!$O$91)</f>
        <v>3.9249564185540896E-2</v>
      </c>
      <c r="E21" s="1345">
        <f>(TableC2!L18+TableC2!W18)/(TableC2!$D$91+TableC2!$O$91)</f>
        <v>1.2796059311424142E-2</v>
      </c>
      <c r="F21" s="296">
        <f>TableC3!C18/TableC3!$C$91</f>
        <v>0.10441825619376749</v>
      </c>
      <c r="G21" s="1349">
        <f>TableC3!D18/TableC3!$C$91</f>
        <v>8.2532164381501433E-2</v>
      </c>
      <c r="H21" s="1506">
        <f>TableC3!K18/TableC3!$C$91</f>
        <v>2.1886091812266056E-2</v>
      </c>
      <c r="I21" s="40"/>
      <c r="J21" s="40"/>
      <c r="K21" s="40"/>
    </row>
    <row r="22" spans="1:11" x14ac:dyDescent="0.35">
      <c r="B22" s="95" t="s">
        <v>62</v>
      </c>
      <c r="C22" s="296">
        <f>(TableC2!D19+TableC2!O19)/(TableC2!$D$91+TableC2!$O$91)</f>
        <v>8.9063675549600485E-2</v>
      </c>
      <c r="D22" s="1349">
        <f>(TableC2!E19+TableC2!P19)/(TableC2!$D$91+TableC2!$O$91)</f>
        <v>6.7456966852832936E-2</v>
      </c>
      <c r="E22" s="1345">
        <f>(TableC2!L19+TableC2!W19)/(TableC2!$D$91+TableC2!$O$91)</f>
        <v>2.1606708696767545E-2</v>
      </c>
      <c r="F22" s="296">
        <f>TableC3!C19/TableC3!$C$91</f>
        <v>5.7823145865388073E-2</v>
      </c>
      <c r="G22" s="1349">
        <f>TableC3!D19/TableC3!$C$91</f>
        <v>4.1156945290732022E-2</v>
      </c>
      <c r="H22" s="1506">
        <f>TableC3!K19/TableC3!$C$91</f>
        <v>1.6666200574656051E-2</v>
      </c>
      <c r="I22" s="40"/>
      <c r="J22" s="40"/>
      <c r="K22" s="40"/>
    </row>
    <row r="23" spans="1:11" x14ac:dyDescent="0.35">
      <c r="B23" s="95" t="s">
        <v>63</v>
      </c>
      <c r="C23" s="296">
        <f>(TableC2!D20+TableC2!O20)/(TableC2!$D$91+TableC2!$O$91)</f>
        <v>1.6976116752829837E-3</v>
      </c>
      <c r="D23" s="1349">
        <f>(TableC2!E20+TableC2!P20)/(TableC2!$D$91+TableC2!$O$91)</f>
        <v>1.4823105108580754E-3</v>
      </c>
      <c r="E23" s="1345">
        <f>(TableC2!L20+TableC2!W20)/(TableC2!$D$91+TableC2!$O$91)</f>
        <v>2.1530116442490836E-4</v>
      </c>
      <c r="F23" s="296">
        <f>TableC3!C20/TableC3!$C$91</f>
        <v>7.1306011159063653E-4</v>
      </c>
      <c r="G23" s="1349">
        <f>TableC3!D20/TableC3!$C$91</f>
        <v>7.1176275979277384E-4</v>
      </c>
      <c r="H23" s="1506">
        <f>TableC3!K20/TableC3!$C$91</f>
        <v>1.2973517978626554E-6</v>
      </c>
      <c r="I23" s="40"/>
      <c r="J23" s="40"/>
      <c r="K23" s="40"/>
    </row>
    <row r="24" spans="1:11" x14ac:dyDescent="0.35">
      <c r="B24" s="95" t="s">
        <v>64</v>
      </c>
      <c r="C24" s="296">
        <f>(TableC2!D21+TableC2!O21)/(TableC2!$D$91+TableC2!$O$91)</f>
        <v>3.8848955685644531E-3</v>
      </c>
      <c r="D24" s="1349">
        <f>(TableC2!E21+TableC2!P21)/(TableC2!$D$91+TableC2!$O$91)</f>
        <v>2.7405788962712643E-3</v>
      </c>
      <c r="E24" s="1345">
        <f>(TableC2!L21+TableC2!W21)/(TableC2!$D$91+TableC2!$O$91)</f>
        <v>1.1443166722931886E-3</v>
      </c>
      <c r="F24" s="296">
        <f>TableC3!C21/TableC3!$C$91</f>
        <v>8.1136048608404672E-4</v>
      </c>
      <c r="G24" s="1349">
        <f>TableC3!D21/TableC3!$C$91</f>
        <v>8.00066392350301E-4</v>
      </c>
      <c r="H24" s="1506">
        <f>TableC3!K21/TableC3!$C$91</f>
        <v>1.1294093733745736E-5</v>
      </c>
      <c r="I24" s="40"/>
      <c r="J24" s="40"/>
      <c r="K24" s="40"/>
    </row>
    <row r="25" spans="1:11" x14ac:dyDescent="0.35">
      <c r="B25" s="95" t="s">
        <v>65</v>
      </c>
      <c r="C25" s="296">
        <f>(TableC2!D22+TableC2!O22)/(TableC2!$D$91+TableC2!$O$91)</f>
        <v>7.1009571555630366E-4</v>
      </c>
      <c r="D25" s="1349">
        <f>(TableC2!E22+TableC2!P22)/(TableC2!$D$91+TableC2!$O$91)</f>
        <v>5.4771874682887532E-4</v>
      </c>
      <c r="E25" s="1345">
        <f>(TableC2!L22+TableC2!W22)/(TableC2!$D$91+TableC2!$O$91)</f>
        <v>1.6237696872742832E-4</v>
      </c>
      <c r="F25" s="296">
        <f>TableC3!C22/TableC3!$C$91</f>
        <v>2.2230156226074102E-5</v>
      </c>
      <c r="G25" s="1349">
        <f>TableC3!D22/TableC3!$C$91</f>
        <v>2.1116591630353685E-5</v>
      </c>
      <c r="H25" s="1506">
        <f>TableC3!K22/TableC3!$C$91</f>
        <v>1.1135645957204155E-6</v>
      </c>
      <c r="I25" s="40"/>
      <c r="J25" s="40"/>
      <c r="K25" s="40"/>
    </row>
    <row r="26" spans="1:11" x14ac:dyDescent="0.35">
      <c r="B26" s="95" t="s">
        <v>19</v>
      </c>
      <c r="C26" s="296"/>
      <c r="D26" s="1349"/>
      <c r="E26" s="1345"/>
      <c r="F26" s="296"/>
      <c r="G26" s="1349"/>
      <c r="H26" s="1506"/>
      <c r="I26" s="40"/>
      <c r="J26" s="40"/>
      <c r="K26" s="40"/>
    </row>
    <row r="27" spans="1:11" x14ac:dyDescent="0.35">
      <c r="B27" s="95" t="s">
        <v>95</v>
      </c>
      <c r="C27" s="296">
        <f>(TableC2!D24+TableC2!O24)/(TableC2!$D$91+TableC2!$O$91)</f>
        <v>1.1041373656270896E-3</v>
      </c>
      <c r="D27" s="1349">
        <f>(TableC2!E24+TableC2!P24)/(TableC2!$D$91+TableC2!$O$91)</f>
        <v>4.5064974340900858E-4</v>
      </c>
      <c r="E27" s="1345">
        <f>(TableC2!L24+TableC2!W24)/(TableC2!$D$91+TableC2!$O$91)</f>
        <v>6.5348762221808122E-4</v>
      </c>
      <c r="F27" s="296">
        <f>TableC3!C24/TableC3!$C$91</f>
        <v>8.6645707578461952E-4</v>
      </c>
      <c r="G27" s="1349">
        <f>TableC3!D24/TableC3!$C$91</f>
        <v>1.0725485471853397E-4</v>
      </c>
      <c r="H27" s="1506">
        <f>TableC3!K24/TableC3!$C$91</f>
        <v>7.5920222106608552E-4</v>
      </c>
      <c r="I27" s="40"/>
      <c r="J27" s="40"/>
      <c r="K27" s="40"/>
    </row>
    <row r="28" spans="1:11" x14ac:dyDescent="0.35">
      <c r="B28" s="95" t="s">
        <v>66</v>
      </c>
      <c r="C28" s="296">
        <f>(TableC2!D25+TableC2!O25)/(TableC2!$D$91+TableC2!$O$91)</f>
        <v>3.682708195005676E-2</v>
      </c>
      <c r="D28" s="1349">
        <f>(TableC2!E25+TableC2!P25)/(TableC2!$D$91+TableC2!$O$91)</f>
        <v>3.1556258652291218E-2</v>
      </c>
      <c r="E28" s="1345">
        <f>(TableC2!L25+TableC2!W25)/(TableC2!$D$91+TableC2!$O$91)</f>
        <v>5.2708232977655379E-3</v>
      </c>
      <c r="F28" s="296">
        <f>TableC3!C25/TableC3!$C$91</f>
        <v>6.0726364144830826E-3</v>
      </c>
      <c r="G28" s="1349">
        <f>TableC3!D25/TableC3!$C$91</f>
        <v>4.0889015586713954E-3</v>
      </c>
      <c r="H28" s="1506">
        <f>TableC3!K25/TableC3!$C$91</f>
        <v>1.9837348558116867E-3</v>
      </c>
      <c r="I28" s="40"/>
      <c r="J28" s="40"/>
      <c r="K28" s="40"/>
    </row>
    <row r="29" spans="1:11" x14ac:dyDescent="0.35">
      <c r="B29" s="95" t="s">
        <v>67</v>
      </c>
      <c r="C29" s="296">
        <f>(TableC2!D26+TableC2!O26)/(TableC2!$D$91+TableC2!$O$91)</f>
        <v>1.3876571305089987E-2</v>
      </c>
      <c r="D29" s="1349">
        <f>(TableC2!E26+TableC2!P26)/(TableC2!$D$91+TableC2!$O$91)</f>
        <v>7.3709554940593605E-3</v>
      </c>
      <c r="E29" s="1345">
        <f>(TableC2!L26+TableC2!W26)/(TableC2!$D$91+TableC2!$O$91)</f>
        <v>6.5056158110306265E-3</v>
      </c>
      <c r="F29" s="296">
        <f>TableC3!C26/TableC3!$C$91</f>
        <v>3.1301650078711656E-2</v>
      </c>
      <c r="G29" s="1349">
        <f>TableC3!D26/TableC3!$C$91</f>
        <v>1.377043049053416E-2</v>
      </c>
      <c r="H29" s="1506">
        <f>TableC3!K26/TableC3!$C$91</f>
        <v>1.7531219588177497E-2</v>
      </c>
      <c r="I29" s="40"/>
      <c r="J29" s="40"/>
      <c r="K29" s="40"/>
    </row>
    <row r="30" spans="1:11" x14ac:dyDescent="0.35">
      <c r="A30" s="1" t="s">
        <v>222</v>
      </c>
      <c r="B30" s="95" t="s">
        <v>68</v>
      </c>
      <c r="C30" s="296">
        <f>(TableC2!D27+TableC2!O27)/(TableC2!$D$91+TableC2!$O$91)</f>
        <v>7.8425511361631256E-3</v>
      </c>
      <c r="D30" s="1349">
        <f>(TableC2!E27+TableC2!P27)/(TableC2!$D$91+TableC2!$O$91)</f>
        <v>1.877390591860687E-3</v>
      </c>
      <c r="E30" s="1345">
        <f>(TableC2!L27+TableC2!W27)/(TableC2!$D$91+TableC2!$O$91)</f>
        <v>5.9651605443024379E-3</v>
      </c>
      <c r="F30" s="296">
        <f>TableC3!C27/TableC3!$C$91</f>
        <v>2.5393428097699022E-3</v>
      </c>
      <c r="G30" s="1349">
        <f>TableC3!D27/TableC3!$C$91</f>
        <v>1.2649280154906743E-3</v>
      </c>
      <c r="H30" s="1506">
        <f>TableC3!K27/TableC3!$C$91</f>
        <v>1.2744147942792281E-3</v>
      </c>
      <c r="I30" s="40"/>
      <c r="J30" s="40"/>
      <c r="K30" s="40"/>
    </row>
    <row r="31" spans="1:11" x14ac:dyDescent="0.35">
      <c r="B31" s="13" t="s">
        <v>69</v>
      </c>
      <c r="C31" s="296">
        <f>(TableC2!D28+TableC2!O28)/(TableC2!$D$91+TableC2!$O$91)</f>
        <v>3.2602023798818466E-4</v>
      </c>
      <c r="D31" s="1349">
        <f>(TableC2!E28+TableC2!P28)/(TableC2!$D$91+TableC2!$O$91)</f>
        <v>2.2825175041912686E-4</v>
      </c>
      <c r="E31" s="1345">
        <f>(TableC2!L28+TableC2!W28)/(TableC2!$D$91+TableC2!$O$91)</f>
        <v>9.7768487569057844E-5</v>
      </c>
      <c r="F31" s="296">
        <f>TableC3!C28/TableC3!$C$91</f>
        <v>-2.1049007270863145E-6</v>
      </c>
      <c r="G31" s="1349">
        <f>TableC3!D28/TableC3!$C$91</f>
        <v>-2.2427443755588904E-6</v>
      </c>
      <c r="H31" s="1506">
        <f>TableC3!K28/TableC3!$C$91</f>
        <v>1.3784364847257572E-7</v>
      </c>
      <c r="I31" s="40"/>
      <c r="J31" s="40"/>
      <c r="K31" s="40"/>
    </row>
    <row r="32" spans="1:11" x14ac:dyDescent="0.35">
      <c r="B32" s="13" t="s">
        <v>70</v>
      </c>
      <c r="C32" s="296"/>
      <c r="D32" s="1349"/>
      <c r="E32" s="1345"/>
      <c r="F32" s="296"/>
      <c r="G32" s="1349"/>
      <c r="H32" s="1506"/>
      <c r="I32" s="40"/>
      <c r="J32" s="40"/>
      <c r="K32" s="40"/>
    </row>
    <row r="33" spans="1:11" x14ac:dyDescent="0.35">
      <c r="B33" s="13" t="s">
        <v>71</v>
      </c>
      <c r="C33" s="296">
        <f>(TableC2!D30+TableC2!O30)/(TableC2!$D$91+TableC2!$O$91)</f>
        <v>2.1243640995602324E-2</v>
      </c>
      <c r="D33" s="1349">
        <f>(TableC2!E30+TableC2!P30)/(TableC2!$D$91+TableC2!$O$91)</f>
        <v>6.5493995468567708E-3</v>
      </c>
      <c r="E33" s="1345">
        <f>(TableC2!L30+TableC2!W30)/(TableC2!$D$91+TableC2!$O$91)</f>
        <v>1.4694241448745555E-2</v>
      </c>
      <c r="F33" s="296">
        <f>TableC3!C30/TableC3!$C$91</f>
        <v>5.8976661446118392E-3</v>
      </c>
      <c r="G33" s="1349">
        <f>TableC3!D30/TableC3!$C$91</f>
        <v>4.8772930427810907E-3</v>
      </c>
      <c r="H33" s="1506">
        <f>TableC3!K30/TableC3!$C$91</f>
        <v>1.0203731018307491E-3</v>
      </c>
      <c r="I33" s="40"/>
      <c r="J33" s="40"/>
      <c r="K33" s="40"/>
    </row>
    <row r="34" spans="1:11" x14ac:dyDescent="0.35">
      <c r="B34" s="13" t="s">
        <v>72</v>
      </c>
      <c r="C34" s="296"/>
      <c r="D34" s="1349"/>
      <c r="E34" s="1345"/>
      <c r="F34" s="296"/>
      <c r="G34" s="1349"/>
      <c r="H34" s="1506"/>
      <c r="I34" s="40"/>
      <c r="J34" s="40"/>
      <c r="K34" s="40"/>
    </row>
    <row r="35" spans="1:11" x14ac:dyDescent="0.35">
      <c r="B35" s="13" t="s">
        <v>73</v>
      </c>
      <c r="C35" s="296">
        <f>(TableC2!D32+TableC2!O32)/(TableC2!$D$91+TableC2!$O$91)</f>
        <v>2.4712704271089023E-3</v>
      </c>
      <c r="D35" s="1349">
        <f>(TableC2!E32+TableC2!P32)/(TableC2!$D$91+TableC2!$O$91)</f>
        <v>8.1230099055695185E-4</v>
      </c>
      <c r="E35" s="1345">
        <f>(TableC2!L32+TableC2!W32)/(TableC2!$D$91+TableC2!$O$91)</f>
        <v>1.6589694365519499E-3</v>
      </c>
      <c r="F35" s="296">
        <f>TableC3!C32/TableC3!$C$91</f>
        <v>1.077429398093936E-3</v>
      </c>
      <c r="G35" s="1349">
        <f>TableC3!D32/TableC3!$C$91</f>
        <v>-1.7600926495356614E-4</v>
      </c>
      <c r="H35" s="1506">
        <f>TableC3!K32/TableC3!$C$91</f>
        <v>1.2534386630475021E-3</v>
      </c>
      <c r="I35" s="40"/>
      <c r="J35" s="40"/>
      <c r="K35" s="40"/>
    </row>
    <row r="36" spans="1:11" x14ac:dyDescent="0.35">
      <c r="B36" s="13" t="s">
        <v>74</v>
      </c>
      <c r="C36" s="296">
        <f>(TableC2!D33+TableC2!O33)/(TableC2!$D$91+TableC2!$O$91)</f>
        <v>8.4606477579900353E-3</v>
      </c>
      <c r="D36" s="1349">
        <f>(TableC2!E33+TableC2!P33)/(TableC2!$D$91+TableC2!$O$91)</f>
        <v>4.7751731912853692E-3</v>
      </c>
      <c r="E36" s="1345">
        <f>(TableC2!L33+TableC2!W33)/(TableC2!$D$91+TableC2!$O$91)</f>
        <v>3.6854745667046647E-3</v>
      </c>
      <c r="F36" s="296">
        <f>TableC3!C33/TableC3!$C$91</f>
        <v>8.8116191446949432E-3</v>
      </c>
      <c r="G36" s="1349">
        <f>TableC3!D33/TableC3!$C$91</f>
        <v>6.2282428164049239E-3</v>
      </c>
      <c r="H36" s="1506">
        <f>TableC3!K33/TableC3!$C$91</f>
        <v>2.5833763282900189E-3</v>
      </c>
      <c r="I36" s="40"/>
      <c r="J36" s="40"/>
      <c r="K36" s="40"/>
    </row>
    <row r="37" spans="1:11" x14ac:dyDescent="0.35">
      <c r="B37" s="13" t="s">
        <v>75</v>
      </c>
      <c r="C37" s="296">
        <f>(TableC2!D34+TableC2!O34)/(TableC2!$D$91+TableC2!$O$91)</f>
        <v>5.9952902423293514E-3</v>
      </c>
      <c r="D37" s="1349">
        <f>(TableC2!E34+TableC2!P34)/(TableC2!$D$91+TableC2!$O$91)</f>
        <v>4.1537261335864752E-3</v>
      </c>
      <c r="E37" s="1345">
        <f>(TableC2!L34+TableC2!W34)/(TableC2!$D$91+TableC2!$O$91)</f>
        <v>1.8415641087428753E-3</v>
      </c>
      <c r="F37" s="296">
        <f>TableC3!C34/TableC3!$C$91</f>
        <v>-4.0991621296697991E-3</v>
      </c>
      <c r="G37" s="1349">
        <f>TableC3!D34/TableC3!$C$91</f>
        <v>-4.1021427542822925E-3</v>
      </c>
      <c r="H37" s="1506">
        <f>TableC3!K34/TableC3!$C$91</f>
        <v>2.9806246124936239E-6</v>
      </c>
      <c r="I37" s="40"/>
      <c r="J37" s="40"/>
      <c r="K37" s="40"/>
    </row>
    <row r="38" spans="1:11" x14ac:dyDescent="0.35">
      <c r="B38" s="13" t="s">
        <v>76</v>
      </c>
      <c r="C38" s="296">
        <f>(TableC2!D35+TableC2!O35)/(TableC2!$D$91+TableC2!$O$91)</f>
        <v>4.2795563651134329E-3</v>
      </c>
      <c r="D38" s="1349">
        <f>(TableC2!E35+TableC2!P35)/(TableC2!$D$91+TableC2!$O$91)</f>
        <v>3.8232602558087698E-3</v>
      </c>
      <c r="E38" s="1345">
        <f>(TableC2!L35+TableC2!W35)/(TableC2!$D$91+TableC2!$O$91)</f>
        <v>4.5629610930466268E-4</v>
      </c>
      <c r="F38" s="296">
        <f>TableC3!C35/TableC3!$C$91</f>
        <v>4.5096719166581585E-4</v>
      </c>
      <c r="G38" s="1349">
        <f>TableC3!D35/TableC3!$C$91</f>
        <v>5.1514052295589449E-6</v>
      </c>
      <c r="H38" s="1506">
        <f>TableC3!K35/TableC3!$C$91</f>
        <v>4.458157864362569E-4</v>
      </c>
      <c r="I38" s="40"/>
      <c r="J38" s="40"/>
      <c r="K38" s="40"/>
    </row>
    <row r="39" spans="1:11" x14ac:dyDescent="0.35">
      <c r="A39" s="376" t="s">
        <v>77</v>
      </c>
      <c r="B39" s="13" t="s">
        <v>96</v>
      </c>
      <c r="C39" s="296">
        <f>(TableC2!D36+TableC2!O36)/(TableC2!$D$91+TableC2!$O$91)</f>
        <v>1.0330141075741322E-3</v>
      </c>
      <c r="D39" s="1349">
        <f>(TableC2!E36+TableC2!P36)/(TableC2!$D$91+TableC2!$O$91)</f>
        <v>8.6841688287720418E-4</v>
      </c>
      <c r="E39" s="1345">
        <f>(TableC2!L36+TableC2!W36)/(TableC2!$D$91+TableC2!$O$91)</f>
        <v>1.6459722469692808E-4</v>
      </c>
      <c r="F39" s="296">
        <f>TableC3!C36/TableC3!$C$91</f>
        <v>1.4587367164912179E-4</v>
      </c>
      <c r="G39" s="1349">
        <f>TableC3!D36/TableC3!$C$91</f>
        <v>1.4012277340320144E-4</v>
      </c>
      <c r="H39" s="1506">
        <f>TableC3!K36/TableC3!$C$91</f>
        <v>5.7508982459203629E-6</v>
      </c>
      <c r="I39" s="40"/>
      <c r="J39" s="40"/>
      <c r="K39" s="40"/>
    </row>
    <row r="40" spans="1:11" x14ac:dyDescent="0.35">
      <c r="B40" s="13" t="s">
        <v>78</v>
      </c>
      <c r="C40" s="296">
        <f>(TableC2!D37+TableC2!O37)/(TableC2!$D$91+TableC2!$O$91)</f>
        <v>3.654712624260153E-4</v>
      </c>
      <c r="D40" s="1349">
        <f>(TableC2!E37+TableC2!P37)/(TableC2!$D$91+TableC2!$O$91)</f>
        <v>1.8671176507977259E-4</v>
      </c>
      <c r="E40" s="1345">
        <f>(TableC2!L37+TableC2!W37)/(TableC2!$D$91+TableC2!$O$91)</f>
        <v>1.7875949734624271E-4</v>
      </c>
      <c r="F40" s="296">
        <f>TableC3!C37/TableC3!$C$91</f>
        <v>-1.1446836980557663E-5</v>
      </c>
      <c r="G40" s="1349">
        <f>TableC3!D37/TableC3!$C$91</f>
        <v>-1.2300149141209749E-5</v>
      </c>
      <c r="H40" s="1506">
        <f>TableC3!K37/TableC3!$C$91</f>
        <v>8.5331216065208515E-7</v>
      </c>
      <c r="I40" s="40"/>
      <c r="J40" s="40"/>
      <c r="K40" s="40"/>
    </row>
    <row r="41" spans="1:11" x14ac:dyDescent="0.35">
      <c r="B41" s="13" t="s">
        <v>79</v>
      </c>
      <c r="C41" s="296">
        <f>(TableC2!D38+TableC2!O38)/(TableC2!$D$91+TableC2!$O$91)</f>
        <v>2.3297591975226153E-2</v>
      </c>
      <c r="D41" s="1349">
        <f>(TableC2!E38+TableC2!P38)/(TableC2!$D$91+TableC2!$O$91)</f>
        <v>1.8340982873649415E-2</v>
      </c>
      <c r="E41" s="1345">
        <f>(TableC2!L38+TableC2!W38)/(TableC2!$D$91+TableC2!$O$91)</f>
        <v>4.9566091015767338E-3</v>
      </c>
      <c r="F41" s="296">
        <f>TableC3!C38/TableC3!$C$91</f>
        <v>5.0284979279168118E-3</v>
      </c>
      <c r="G41" s="1349">
        <f>TableC3!D38/TableC3!$C$91</f>
        <v>1.7890199695092034E-3</v>
      </c>
      <c r="H41" s="1506">
        <f>TableC3!K38/TableC3!$C$91</f>
        <v>3.2394779584076078E-3</v>
      </c>
      <c r="I41" s="40"/>
      <c r="J41" s="40"/>
      <c r="K41" s="40"/>
    </row>
    <row r="42" spans="1:11" s="118" customFormat="1" x14ac:dyDescent="0.35">
      <c r="B42" s="15" t="s">
        <v>80</v>
      </c>
      <c r="C42" s="296">
        <f>(TableC2!D39+TableC2!O39)/(TableC2!$D$91+TableC2!$O$91)</f>
        <v>1.3855022996481142E-2</v>
      </c>
      <c r="D42" s="1349">
        <f>(TableC2!E39+TableC2!P39)/(TableC2!$D$91+TableC2!$O$91)</f>
        <v>1.0822004319987177E-2</v>
      </c>
      <c r="E42" s="1345">
        <f>(TableC2!L39+TableC2!W39)/(TableC2!$D$91+TableC2!$O$91)</f>
        <v>3.0330186764939652E-3</v>
      </c>
      <c r="F42" s="296">
        <f>TableC3!C39/TableC3!$C$91</f>
        <v>1.5382207518861577E-2</v>
      </c>
      <c r="G42" s="1349">
        <f>TableC3!D39/TableC3!$C$91</f>
        <v>1.0928225256139026E-2</v>
      </c>
      <c r="H42" s="1506">
        <f>TableC3!K39/TableC3!$C$91</f>
        <v>4.4539822627225499E-3</v>
      </c>
      <c r="I42" s="40"/>
      <c r="J42" s="40"/>
      <c r="K42" s="40"/>
    </row>
    <row r="43" spans="1:11" x14ac:dyDescent="0.35">
      <c r="B43" s="13" t="s">
        <v>1</v>
      </c>
      <c r="C43" s="296"/>
      <c r="D43" s="1349"/>
      <c r="E43" s="1345"/>
      <c r="F43" s="296"/>
      <c r="G43" s="1349"/>
      <c r="H43" s="1506"/>
      <c r="I43" s="40"/>
      <c r="J43" s="40"/>
      <c r="K43" s="40"/>
    </row>
    <row r="44" spans="1:11" x14ac:dyDescent="0.35">
      <c r="B44" s="13" t="s">
        <v>81</v>
      </c>
      <c r="C44" s="296">
        <f>(TableC2!D41+TableC2!O41)/(TableC2!$D$91+TableC2!$O$91)</f>
        <v>8.0710502968516559E-3</v>
      </c>
      <c r="D44" s="1349">
        <f>(TableC2!E41+TableC2!P41)/(TableC2!$D$91+TableC2!$O$91)</f>
        <v>2.6221025158661578E-3</v>
      </c>
      <c r="E44" s="1345">
        <f>(TableC2!L41+TableC2!W41)/(TableC2!$D$91+TableC2!$O$91)</f>
        <v>5.4489477809854976E-3</v>
      </c>
      <c r="F44" s="296">
        <f>TableC3!C41/TableC3!$C$91</f>
        <v>7.5929868107591164E-4</v>
      </c>
      <c r="G44" s="1349">
        <f>TableC3!D41/TableC3!$C$91</f>
        <v>7.2760750836909944E-4</v>
      </c>
      <c r="H44" s="1506">
        <f>TableC3!K41/TableC3!$C$91</f>
        <v>3.1691172706812175E-5</v>
      </c>
      <c r="I44" s="40"/>
      <c r="J44" s="40"/>
      <c r="K44" s="40"/>
    </row>
    <row r="45" spans="1:11" x14ac:dyDescent="0.35">
      <c r="B45" s="13" t="s">
        <v>82</v>
      </c>
      <c r="C45" s="296">
        <f>(TableC2!D42+TableC2!O42)/(TableC2!$D$91+TableC2!$O$91)</f>
        <v>9.9764361162460416E-2</v>
      </c>
      <c r="D45" s="1349">
        <f>(TableC2!E42+TableC2!P42)/(TableC2!$D$91+TableC2!$O$91)</f>
        <v>7.8748241297624449E-2</v>
      </c>
      <c r="E45" s="1345">
        <f>(TableC2!L42+TableC2!W42)/(TableC2!$D$91+TableC2!$O$91)</f>
        <v>2.1016119864835987E-2</v>
      </c>
      <c r="F45" s="296">
        <f>TableC3!C42/TableC3!$C$91</f>
        <v>8.8359920842053602E-2</v>
      </c>
      <c r="G45" s="1349">
        <f>TableC3!D42/TableC3!$C$91</f>
        <v>6.293229063488158E-2</v>
      </c>
      <c r="H45" s="1506">
        <f>TableC3!K42/TableC3!$C$91</f>
        <v>2.5427630207172022E-2</v>
      </c>
      <c r="I45" s="40"/>
      <c r="J45" s="40"/>
      <c r="K45" s="40"/>
    </row>
    <row r="46" spans="1:11" x14ac:dyDescent="0.35">
      <c r="B46" s="13" t="s">
        <v>0</v>
      </c>
      <c r="C46" s="296">
        <f>(TableC2!D43+TableC2!O43)/(TableC2!$D$91+TableC2!$O$91)</f>
        <v>0.23126388034635956</v>
      </c>
      <c r="D46" s="1349">
        <f>(TableC2!E43+TableC2!P43)/(TableC2!$D$91+TableC2!$O$91)</f>
        <v>6.993642139427636E-2</v>
      </c>
      <c r="E46" s="1345">
        <f>(TableC2!L43+TableC2!W43)/(TableC2!$D$91+TableC2!$O$91)</f>
        <v>0.1613274589520832</v>
      </c>
      <c r="F46" s="296">
        <f>TableC3!C43/TableC3!$C$91</f>
        <v>0.49543163353131575</v>
      </c>
      <c r="G46" s="1349">
        <f>TableC3!D43/TableC3!$C$91</f>
        <v>0.27841810953851953</v>
      </c>
      <c r="H46" s="1506">
        <f>TableC3!K43/TableC3!$C$91</f>
        <v>0.21701352399279628</v>
      </c>
      <c r="I46" s="40"/>
      <c r="J46" s="40"/>
      <c r="K46" s="40"/>
    </row>
    <row r="47" spans="1:11" ht="31" x14ac:dyDescent="0.35">
      <c r="B47" s="38" t="s">
        <v>99</v>
      </c>
      <c r="C47" s="588">
        <f>(TableC2!D44+TableC2!O44)/(TableC2!$D$91+TableC2!$O$91)</f>
        <v>0.16643235025160288</v>
      </c>
      <c r="D47" s="589">
        <f>(TableC2!E44+TableC2!P44)/(TableC2!$D$91+TableC2!$O$91)</f>
        <v>3.9205325044625004E-2</v>
      </c>
      <c r="E47" s="955">
        <f>(TableC2!L44+TableC2!W44)/(TableC2!$D$91+TableC2!$O$91)</f>
        <v>0.12722702520697785</v>
      </c>
      <c r="F47" s="588">
        <f>TableC3!C44/TableC3!$C$91</f>
        <v>0.10262200574178083</v>
      </c>
      <c r="G47" s="589">
        <f>TableC3!D44/TableC3!$C$91</f>
        <v>1.0949235452186533E-2</v>
      </c>
      <c r="H47" s="1507">
        <f>TableC3!K44/TableC3!$C$91</f>
        <v>9.1672770289594335E-2</v>
      </c>
      <c r="I47" s="589"/>
      <c r="J47" s="589"/>
      <c r="K47" s="589"/>
    </row>
    <row r="48" spans="1:11" x14ac:dyDescent="0.35">
      <c r="B48" s="95" t="s">
        <v>92</v>
      </c>
      <c r="C48" s="296">
        <f>(TableC2!D45+TableC2!O45)/(TableC2!$D$91+TableC2!$O$91)</f>
        <v>2.3054256625011073E-2</v>
      </c>
      <c r="D48" s="1349">
        <f>(TableC2!E45+TableC2!P45)/(TableC2!$D$91+TableC2!$O$91)</f>
        <v>8.5446161994909633E-3</v>
      </c>
      <c r="E48" s="1345">
        <f>(TableC2!L45+TableC2!W45)/(TableC2!$D$91+TableC2!$O$91)</f>
        <v>1.4509640425520109E-2</v>
      </c>
      <c r="F48" s="296">
        <f>TableC3!C45/TableC3!$C$91</f>
        <v>1.0991333484919354E-2</v>
      </c>
      <c r="G48" s="1349">
        <f>TableC3!D45/TableC3!$C$91</f>
        <v>1.0509729693381273E-2</v>
      </c>
      <c r="H48" s="1506">
        <f>TableC3!K45/TableC3!$C$91</f>
        <v>4.8160379153807954E-4</v>
      </c>
      <c r="I48" s="40"/>
      <c r="J48" s="40"/>
      <c r="K48" s="40"/>
    </row>
    <row r="49" spans="1:11" x14ac:dyDescent="0.35">
      <c r="A49" s="741" t="s">
        <v>488</v>
      </c>
      <c r="B49" s="31" t="s">
        <v>101</v>
      </c>
      <c r="C49" s="296">
        <f>(TableC2!D46+TableC2!O46)/(TableC2!$D$91+TableC2!$O$91)</f>
        <v>9.8182603751241798E-2</v>
      </c>
      <c r="D49" s="1349">
        <f>(TableC2!E46+TableC2!P46)/(TableC2!$D$91+TableC2!$O$91)</f>
        <v>9.9433146494782784E-3</v>
      </c>
      <c r="E49" s="1345">
        <f>(TableC2!L46+TableC2!W46)/(TableC2!$D$91+TableC2!$O$91)</f>
        <v>8.8239289101763527E-2</v>
      </c>
      <c r="F49" s="296">
        <f>TableC3!C46/TableC3!$C$91</f>
        <v>7.3836598592048192E-2</v>
      </c>
      <c r="G49" s="1349">
        <f>TableC3!D46/TableC3!$C$91</f>
        <v>1.0430444107014237E-5</v>
      </c>
      <c r="H49" s="1506">
        <f>TableC3!K46/TableC3!$C$91</f>
        <v>7.3826168147941185E-2</v>
      </c>
      <c r="I49" s="40"/>
      <c r="J49" s="40"/>
      <c r="K49" s="40"/>
    </row>
    <row r="50" spans="1:11" x14ac:dyDescent="0.35">
      <c r="B50" s="31" t="s">
        <v>93</v>
      </c>
      <c r="C50" s="296">
        <f>(TableC2!D47+TableC2!O47)/(TableC2!$D$91+TableC2!$O$91)</f>
        <v>2.2768934375925862E-3</v>
      </c>
      <c r="D50" s="1349">
        <f>(TableC2!E47+TableC2!P47)/(TableC2!$D$91+TableC2!$O$91)</f>
        <v>9.293059680468256E-4</v>
      </c>
      <c r="E50" s="1345">
        <f>(TableC2!L47+TableC2!W47)/(TableC2!$D$91+TableC2!$O$91)</f>
        <v>1.3475874695457607E-3</v>
      </c>
      <c r="F50" s="296">
        <f>TableC3!C47/TableC3!$C$91</f>
        <v>1.6204842415862718E-3</v>
      </c>
      <c r="G50" s="1349">
        <f>TableC3!D47/TableC3!$C$91</f>
        <v>-4.78172516929098E-6</v>
      </c>
      <c r="H50" s="1506">
        <f>TableC3!K47/TableC3!$C$91</f>
        <v>1.6252659667555626E-3</v>
      </c>
      <c r="I50" s="40"/>
      <c r="J50" s="40"/>
      <c r="K50" s="40"/>
    </row>
    <row r="51" spans="1:11" x14ac:dyDescent="0.35">
      <c r="B51" s="31" t="s">
        <v>94</v>
      </c>
      <c r="C51" s="296">
        <f>(TableC2!D48+TableC2!O48)/(TableC2!$D$91+TableC2!$O$91)</f>
        <v>1.7154676584601677E-3</v>
      </c>
      <c r="D51" s="1349">
        <f>(TableC2!E48+TableC2!P48)/(TableC2!$D$91+TableC2!$O$91)</f>
        <v>7.0016203072021093E-4</v>
      </c>
      <c r="E51" s="1345">
        <f>(TableC2!L48+TableC2!W48)/(TableC2!$D$91+TableC2!$O$91)</f>
        <v>1.0153056277399568E-3</v>
      </c>
      <c r="F51" s="296">
        <f>TableC3!C48/TableC3!$C$91</f>
        <v>1.9337494602380704E-4</v>
      </c>
      <c r="G51" s="1349">
        <f>TableC3!D48/TableC3!$C$91</f>
        <v>-2.3947692119236731E-6</v>
      </c>
      <c r="H51" s="1506">
        <f>TableC3!K48/TableC3!$C$91</f>
        <v>1.9576971523573071E-4</v>
      </c>
      <c r="I51" s="40"/>
      <c r="J51" s="40"/>
      <c r="K51" s="40"/>
    </row>
    <row r="52" spans="1:11" x14ac:dyDescent="0.35">
      <c r="B52" s="31" t="s">
        <v>102</v>
      </c>
      <c r="C52" s="296">
        <f>(TableC2!D49+TableC2!O49)/(TableC2!$D$91+TableC2!$O$91)</f>
        <v>1.5372244726840623E-2</v>
      </c>
      <c r="D52" s="1349">
        <f>(TableC2!E49+TableC2!P49)/(TableC2!$D$91+TableC2!$O$91)</f>
        <v>4.4807843565392684E-3</v>
      </c>
      <c r="E52" s="1345">
        <f>(TableC2!L49+TableC2!W49)/(TableC2!$D$91+TableC2!$O$91)</f>
        <v>1.0891460370301352E-2</v>
      </c>
      <c r="F52" s="296">
        <f>TableC3!C49/TableC3!$C$91</f>
        <v>7.5865478311569054E-3</v>
      </c>
      <c r="G52" s="1349">
        <f>TableC3!D49/TableC3!$C$91</f>
        <v>4.6757525458261219E-5</v>
      </c>
      <c r="H52" s="1506">
        <f>TableC3!K49/TableC3!$C$91</f>
        <v>7.5397903056986446E-3</v>
      </c>
      <c r="I52" s="40"/>
      <c r="J52" s="40"/>
      <c r="K52" s="40"/>
    </row>
    <row r="53" spans="1:11" x14ac:dyDescent="0.35">
      <c r="A53" s="741" t="s">
        <v>318</v>
      </c>
      <c r="B53" s="31" t="s">
        <v>103</v>
      </c>
      <c r="C53" s="296">
        <f>(TableC2!D50+TableC2!O50)/(TableC2!$D$91+TableC2!$O$91)</f>
        <v>1.9211421726663545E-2</v>
      </c>
      <c r="D53" s="1349">
        <f>(TableC2!E50+TableC2!P50)/(TableC2!$D$91+TableC2!$O$91)</f>
        <v>1.1790460593000592E-2</v>
      </c>
      <c r="E53" s="1345">
        <f>(TableC2!L50+TableC2!W50)/(TableC2!$D$91+TableC2!$O$91)</f>
        <v>7.4209611336629559E-3</v>
      </c>
      <c r="F53" s="296">
        <f>TableC3!C50/TableC3!$C$91</f>
        <v>1.224641513658766E-3</v>
      </c>
      <c r="G53" s="1349">
        <f>TableC3!D50/TableC3!$C$91</f>
        <v>1.1645414876082E-3</v>
      </c>
      <c r="H53" s="1506">
        <f>TableC3!K50/TableC3!$C$91</f>
        <v>6.0100026050566073E-5</v>
      </c>
      <c r="I53" s="40"/>
      <c r="J53" s="40"/>
      <c r="K53" s="40"/>
    </row>
    <row r="54" spans="1:11" x14ac:dyDescent="0.35">
      <c r="B54" s="13" t="s">
        <v>97</v>
      </c>
      <c r="C54" s="296">
        <f>(TableC2!D51+TableC2!O51)/(TableC2!$D$91+TableC2!$O$91)</f>
        <v>6.6194623257930692E-3</v>
      </c>
      <c r="D54" s="1349">
        <f>(TableC2!E51+TableC2!P51)/(TableC2!$D$91+TableC2!$O$91)</f>
        <v>2.8166812473488672E-3</v>
      </c>
      <c r="E54" s="1345">
        <f>(TableC2!L51+TableC2!W51)/(TableC2!$D$91+TableC2!$O$91)</f>
        <v>3.802781078444202E-3</v>
      </c>
      <c r="F54" s="296">
        <f>TableC3!C51/TableC3!$C$91</f>
        <v>7.1690251323875643E-3</v>
      </c>
      <c r="G54" s="1349">
        <f>TableC3!D51/TableC3!$C$91</f>
        <v>-7.7504720398700237E-4</v>
      </c>
      <c r="H54" s="1506">
        <f>TableC3!K51/TableC3!$C$91</f>
        <v>7.944072336374567E-3</v>
      </c>
      <c r="I54" s="40"/>
      <c r="J54" s="40"/>
      <c r="K54" s="40"/>
    </row>
    <row r="55" spans="1:11" ht="40" hidden="1" customHeight="1" x14ac:dyDescent="0.35">
      <c r="B55" s="38" t="s">
        <v>100</v>
      </c>
      <c r="C55" s="404"/>
      <c r="D55" s="559"/>
      <c r="E55" s="955"/>
      <c r="F55" s="404"/>
      <c r="G55" s="559"/>
      <c r="H55" s="1507"/>
      <c r="I55" s="589"/>
      <c r="J55" s="589"/>
      <c r="K55" s="589"/>
    </row>
    <row r="56" spans="1:11" ht="14.25" hidden="1" customHeight="1" x14ac:dyDescent="0.35">
      <c r="B56" s="264" t="s">
        <v>272</v>
      </c>
      <c r="C56" s="1346"/>
      <c r="D56" s="559"/>
      <c r="E56" s="957"/>
      <c r="F56" s="1346"/>
      <c r="G56" s="559"/>
      <c r="H56" s="16"/>
      <c r="I56" s="9"/>
      <c r="J56" s="9"/>
      <c r="K56" s="9"/>
    </row>
    <row r="57" spans="1:11" ht="14.25" hidden="1" customHeight="1" x14ac:dyDescent="0.35">
      <c r="B57" s="264" t="s">
        <v>273</v>
      </c>
      <c r="C57" s="1346"/>
      <c r="D57" s="559"/>
      <c r="E57" s="957"/>
      <c r="F57" s="1346"/>
      <c r="G57" s="559"/>
      <c r="H57" s="16"/>
      <c r="I57" s="9"/>
      <c r="J57" s="9"/>
      <c r="K57" s="9"/>
    </row>
    <row r="58" spans="1:11" ht="14.25" hidden="1" customHeight="1" x14ac:dyDescent="0.35">
      <c r="B58" s="289" t="str">
        <f>+TableA1!A56</f>
        <v>Antigua and Barbuda</v>
      </c>
      <c r="C58" s="1347"/>
      <c r="D58" s="559"/>
      <c r="E58" s="957"/>
      <c r="F58" s="1347"/>
      <c r="G58" s="559"/>
      <c r="H58" s="16"/>
      <c r="I58" s="9"/>
      <c r="J58" s="9"/>
      <c r="K58" s="9"/>
    </row>
    <row r="59" spans="1:11" ht="14.25" hidden="1" customHeight="1" x14ac:dyDescent="0.35">
      <c r="B59" s="264" t="s">
        <v>274</v>
      </c>
      <c r="C59" s="1346"/>
      <c r="D59" s="559"/>
      <c r="E59" s="957"/>
      <c r="F59" s="1346"/>
      <c r="G59" s="559"/>
      <c r="H59" s="16"/>
      <c r="I59" s="9"/>
      <c r="J59" s="9"/>
      <c r="K59" s="9"/>
    </row>
    <row r="60" spans="1:11" ht="14.25" hidden="1" customHeight="1" x14ac:dyDescent="0.35">
      <c r="A60" s="741" t="s">
        <v>320</v>
      </c>
      <c r="B60" s="264" t="s">
        <v>275</v>
      </c>
      <c r="C60" s="1346"/>
      <c r="D60" s="559"/>
      <c r="E60" s="957"/>
      <c r="F60" s="1346"/>
      <c r="G60" s="559"/>
      <c r="H60" s="16"/>
      <c r="I60" s="9"/>
      <c r="J60" s="9"/>
      <c r="K60" s="9"/>
    </row>
    <row r="61" spans="1:11" ht="14.25" hidden="1" customHeight="1" x14ac:dyDescent="0.35">
      <c r="A61" s="741" t="s">
        <v>486</v>
      </c>
      <c r="B61" s="264" t="s">
        <v>276</v>
      </c>
      <c r="C61" s="1346"/>
      <c r="D61" s="559"/>
      <c r="E61" s="957"/>
      <c r="F61" s="1346"/>
      <c r="G61" s="559"/>
      <c r="H61" s="16"/>
      <c r="I61" s="9"/>
      <c r="J61" s="9"/>
      <c r="K61" s="9"/>
    </row>
    <row r="62" spans="1:11" ht="14.25" hidden="1" customHeight="1" x14ac:dyDescent="0.35">
      <c r="B62" s="289" t="str">
        <f>+TableA1!A60</f>
        <v>Barbados</v>
      </c>
      <c r="C62" s="1347"/>
      <c r="D62" s="559"/>
      <c r="E62" s="957"/>
      <c r="F62" s="1347"/>
      <c r="G62" s="559"/>
      <c r="H62" s="16"/>
      <c r="I62" s="9"/>
      <c r="J62" s="9"/>
      <c r="K62" s="9"/>
    </row>
    <row r="63" spans="1:11" ht="14.25" hidden="1" customHeight="1" x14ac:dyDescent="0.35">
      <c r="B63" s="264" t="s">
        <v>277</v>
      </c>
      <c r="C63" s="1346"/>
      <c r="D63" s="559"/>
      <c r="E63" s="957"/>
      <c r="F63" s="1346"/>
      <c r="G63" s="559"/>
      <c r="H63" s="16"/>
      <c r="I63" s="9"/>
      <c r="J63" s="9"/>
      <c r="K63" s="9"/>
    </row>
    <row r="64" spans="1:11" ht="14.25" hidden="1" customHeight="1" x14ac:dyDescent="0.35">
      <c r="B64" s="264" t="s">
        <v>213</v>
      </c>
      <c r="C64" s="1346"/>
      <c r="D64" s="559"/>
      <c r="E64" s="957"/>
      <c r="F64" s="1346"/>
      <c r="G64" s="559"/>
      <c r="H64" s="16"/>
      <c r="I64" s="9"/>
      <c r="J64" s="9"/>
      <c r="K64" s="9"/>
    </row>
    <row r="65" spans="1:11" ht="14.25" hidden="1" customHeight="1" x14ac:dyDescent="0.35">
      <c r="A65" s="741" t="s">
        <v>539</v>
      </c>
      <c r="B65" s="264" t="s">
        <v>278</v>
      </c>
      <c r="C65" s="1346"/>
      <c r="D65" s="559"/>
      <c r="E65" s="957"/>
      <c r="F65" s="1346"/>
      <c r="G65" s="559"/>
      <c r="H65" s="16"/>
      <c r="I65" s="9"/>
      <c r="J65" s="9"/>
      <c r="K65" s="9"/>
    </row>
    <row r="66" spans="1:11" ht="14.25" hidden="1" customHeight="1" x14ac:dyDescent="0.35">
      <c r="A66" s="741" t="s">
        <v>504</v>
      </c>
      <c r="B66" s="264" t="s">
        <v>279</v>
      </c>
      <c r="C66" s="1346"/>
      <c r="D66" s="559"/>
      <c r="E66" s="957"/>
      <c r="F66" s="1346"/>
      <c r="G66" s="559"/>
      <c r="H66" s="16"/>
      <c r="I66" s="9"/>
      <c r="J66" s="9"/>
      <c r="K66" s="9"/>
    </row>
    <row r="67" spans="1:11" ht="14.25" hidden="1" customHeight="1" x14ac:dyDescent="0.35">
      <c r="B67" s="282" t="s">
        <v>291</v>
      </c>
      <c r="C67" s="1348"/>
      <c r="D67" s="559"/>
      <c r="E67" s="957"/>
      <c r="F67" s="1348"/>
      <c r="G67" s="559"/>
      <c r="H67" s="16"/>
      <c r="I67" s="9"/>
      <c r="J67" s="9"/>
      <c r="K67" s="9"/>
    </row>
    <row r="68" spans="1:11" ht="14.25" hidden="1" customHeight="1" x14ac:dyDescent="0.35">
      <c r="B68" s="264" t="s">
        <v>280</v>
      </c>
      <c r="C68" s="1346"/>
      <c r="D68" s="559"/>
      <c r="E68" s="957"/>
      <c r="F68" s="1346"/>
      <c r="G68" s="559"/>
      <c r="H68" s="16"/>
      <c r="I68" s="9"/>
      <c r="J68" s="9"/>
      <c r="K68" s="9"/>
    </row>
    <row r="69" spans="1:11" ht="14.25" hidden="1" customHeight="1" x14ac:dyDescent="0.35">
      <c r="B69" s="289" t="str">
        <f>+TableA1!A67</f>
        <v>Cyprus</v>
      </c>
      <c r="C69" s="1347"/>
      <c r="D69" s="559"/>
      <c r="E69" s="957"/>
      <c r="F69" s="1347"/>
      <c r="G69" s="559"/>
      <c r="H69" s="16"/>
      <c r="I69" s="9"/>
      <c r="J69" s="9"/>
      <c r="K69" s="9"/>
    </row>
    <row r="70" spans="1:11" ht="14.25" hidden="1" customHeight="1" x14ac:dyDescent="0.35">
      <c r="B70" s="264" t="s">
        <v>281</v>
      </c>
      <c r="C70" s="1346"/>
      <c r="D70" s="559"/>
      <c r="E70" s="957"/>
      <c r="F70" s="1346"/>
      <c r="G70" s="559"/>
      <c r="H70" s="16"/>
      <c r="I70" s="9"/>
      <c r="J70" s="9"/>
      <c r="K70" s="9"/>
    </row>
    <row r="71" spans="1:11" ht="14.25" hidden="1" customHeight="1" x14ac:dyDescent="0.35">
      <c r="B71" s="289" t="str">
        <f>+TableA1!A69</f>
        <v>Grenada</v>
      </c>
      <c r="C71" s="1347"/>
      <c r="D71" s="559"/>
      <c r="E71" s="957"/>
      <c r="F71" s="1347"/>
      <c r="G71" s="559"/>
      <c r="H71" s="16"/>
      <c r="I71" s="9"/>
      <c r="J71" s="9"/>
      <c r="K71" s="9"/>
    </row>
    <row r="72" spans="1:11" ht="14.25" hidden="1" customHeight="1" x14ac:dyDescent="0.35">
      <c r="B72" s="264" t="s">
        <v>282</v>
      </c>
      <c r="C72" s="1346"/>
      <c r="D72" s="559"/>
      <c r="E72" s="957"/>
      <c r="F72" s="1346"/>
      <c r="G72" s="559"/>
      <c r="H72" s="16"/>
      <c r="I72" s="9"/>
      <c r="J72" s="9"/>
      <c r="K72" s="9"/>
    </row>
    <row r="73" spans="1:11" ht="14.25" hidden="1" customHeight="1" x14ac:dyDescent="0.35">
      <c r="A73" s="741" t="s">
        <v>295</v>
      </c>
      <c r="B73" s="264" t="s">
        <v>283</v>
      </c>
      <c r="C73" s="1346"/>
      <c r="D73" s="559"/>
      <c r="E73" s="957"/>
      <c r="F73" s="1346"/>
      <c r="G73" s="559"/>
      <c r="H73" s="16"/>
      <c r="I73" s="9"/>
      <c r="J73" s="9"/>
      <c r="K73" s="9"/>
    </row>
    <row r="74" spans="1:11" ht="14.25" hidden="1" customHeight="1" x14ac:dyDescent="0.35">
      <c r="A74" s="741" t="s">
        <v>481</v>
      </c>
      <c r="B74" s="264" t="s">
        <v>220</v>
      </c>
      <c r="C74" s="1346"/>
      <c r="D74" s="559"/>
      <c r="E74" s="957"/>
      <c r="F74" s="1346"/>
      <c r="G74" s="559"/>
      <c r="H74" s="16"/>
      <c r="I74" s="9"/>
      <c r="J74" s="9"/>
      <c r="K74" s="9"/>
    </row>
    <row r="75" spans="1:11" ht="14.25" hidden="1" customHeight="1" x14ac:dyDescent="0.35">
      <c r="B75" s="264" t="s">
        <v>284</v>
      </c>
      <c r="C75" s="1346"/>
      <c r="D75" s="559"/>
      <c r="E75" s="957"/>
      <c r="F75" s="1346"/>
      <c r="G75" s="559"/>
      <c r="H75" s="16"/>
      <c r="I75" s="9"/>
      <c r="J75" s="9"/>
      <c r="K75" s="9"/>
    </row>
    <row r="76" spans="1:11" ht="14.25" hidden="1" customHeight="1" x14ac:dyDescent="0.35">
      <c r="B76" s="264" t="s">
        <v>285</v>
      </c>
      <c r="C76" s="1346"/>
      <c r="D76" s="559"/>
      <c r="E76" s="957"/>
      <c r="F76" s="1346"/>
      <c r="G76" s="559"/>
      <c r="H76" s="16"/>
      <c r="I76" s="9"/>
      <c r="J76" s="9"/>
      <c r="K76" s="962"/>
    </row>
    <row r="77" spans="1:11" ht="14.25" hidden="1" customHeight="1" x14ac:dyDescent="0.35">
      <c r="B77" s="264" t="s">
        <v>286</v>
      </c>
      <c r="C77" s="1346"/>
      <c r="D77" s="559"/>
      <c r="E77" s="957"/>
      <c r="F77" s="1346"/>
      <c r="G77" s="559"/>
      <c r="H77" s="16"/>
      <c r="I77" s="9"/>
      <c r="J77" s="9"/>
      <c r="K77" s="9"/>
    </row>
    <row r="78" spans="1:11" ht="14.25" hidden="1" customHeight="1" x14ac:dyDescent="0.35">
      <c r="A78" s="741" t="s">
        <v>480</v>
      </c>
      <c r="B78" s="264" t="s">
        <v>287</v>
      </c>
      <c r="C78" s="1346"/>
      <c r="D78" s="559"/>
      <c r="E78" s="957"/>
      <c r="F78" s="1346"/>
      <c r="G78" s="559"/>
      <c r="H78" s="16"/>
      <c r="I78" s="9"/>
      <c r="J78" s="9"/>
      <c r="K78" s="9"/>
    </row>
    <row r="79" spans="1:11" ht="14.25" hidden="1" customHeight="1" x14ac:dyDescent="0.35">
      <c r="B79" s="289" t="s">
        <v>301</v>
      </c>
      <c r="C79" s="1347"/>
      <c r="D79" s="559"/>
      <c r="E79" s="957"/>
      <c r="F79" s="1347"/>
      <c r="G79" s="559"/>
      <c r="H79" s="16"/>
      <c r="I79" s="9"/>
      <c r="J79" s="9"/>
      <c r="K79" s="9"/>
    </row>
    <row r="80" spans="1:11" ht="14.25" hidden="1" customHeight="1" x14ac:dyDescent="0.35">
      <c r="A80" s="741" t="s">
        <v>478</v>
      </c>
      <c r="B80" s="289" t="s">
        <v>302</v>
      </c>
      <c r="C80" s="1347"/>
      <c r="D80" s="559"/>
      <c r="E80" s="957"/>
      <c r="F80" s="1347"/>
      <c r="G80" s="559"/>
      <c r="H80" s="16"/>
      <c r="I80" s="9"/>
      <c r="J80" s="9"/>
      <c r="K80" s="9"/>
    </row>
    <row r="81" spans="1:11" ht="14.25" hidden="1" customHeight="1" x14ac:dyDescent="0.35">
      <c r="B81" s="289" t="str">
        <f>+TableA1!A79</f>
        <v>Monaco</v>
      </c>
      <c r="C81" s="1347"/>
      <c r="D81" s="559"/>
      <c r="E81" s="957"/>
      <c r="F81" s="1347"/>
      <c r="G81" s="559"/>
      <c r="H81" s="16"/>
      <c r="I81" s="9"/>
      <c r="J81" s="9"/>
      <c r="K81" s="9"/>
    </row>
    <row r="82" spans="1:11" ht="14.25" hidden="1" customHeight="1" x14ac:dyDescent="0.35">
      <c r="B82" s="264" t="s">
        <v>288</v>
      </c>
      <c r="C82" s="1346"/>
      <c r="D82" s="559"/>
      <c r="E82" s="957"/>
      <c r="F82" s="1346"/>
      <c r="G82" s="559"/>
      <c r="H82" s="16"/>
      <c r="I82" s="9"/>
      <c r="J82" s="9"/>
      <c r="K82" s="9"/>
    </row>
    <row r="83" spans="1:11" ht="14.25" hidden="1" customHeight="1" x14ac:dyDescent="0.35">
      <c r="B83" s="264" t="s">
        <v>289</v>
      </c>
      <c r="C83" s="1346"/>
      <c r="D83" s="559"/>
      <c r="E83" s="957"/>
      <c r="F83" s="1346"/>
      <c r="G83" s="559"/>
      <c r="H83" s="16"/>
      <c r="I83" s="9"/>
      <c r="J83" s="9"/>
      <c r="K83" s="9"/>
    </row>
    <row r="84" spans="1:11" ht="14.25" hidden="1" customHeight="1" x14ac:dyDescent="0.35">
      <c r="B84" s="289" t="str">
        <f>+TableA1!A82</f>
        <v>Seychelles</v>
      </c>
      <c r="C84" s="1347"/>
      <c r="D84" s="559"/>
      <c r="E84" s="957"/>
      <c r="F84" s="1347"/>
      <c r="G84" s="559"/>
      <c r="H84" s="16"/>
      <c r="I84" s="9"/>
      <c r="J84" s="9"/>
      <c r="K84" s="9"/>
    </row>
    <row r="85" spans="1:11" hidden="1" x14ac:dyDescent="0.35">
      <c r="B85" s="264" t="s">
        <v>225</v>
      </c>
      <c r="C85" s="1346"/>
      <c r="D85" s="559"/>
      <c r="E85" s="957"/>
      <c r="F85" s="1346"/>
      <c r="G85" s="559"/>
      <c r="H85" s="16"/>
      <c r="I85" s="9"/>
      <c r="J85" s="9"/>
      <c r="K85" s="9"/>
    </row>
    <row r="86" spans="1:11" hidden="1" x14ac:dyDescent="0.35">
      <c r="B86" s="289" t="str">
        <f>+TableA1!A84</f>
        <v>St. Kitts and Nevis</v>
      </c>
      <c r="C86" s="1347"/>
      <c r="D86" s="559"/>
      <c r="E86" s="957"/>
      <c r="F86" s="1347"/>
      <c r="G86" s="559"/>
      <c r="H86" s="16"/>
      <c r="I86" s="9"/>
      <c r="J86" s="9"/>
      <c r="K86" s="9"/>
    </row>
    <row r="87" spans="1:11" hidden="1" x14ac:dyDescent="0.35">
      <c r="B87" s="289" t="str">
        <f>+TableA1!A85</f>
        <v>St. Lucia</v>
      </c>
      <c r="C87" s="1347"/>
      <c r="D87" s="559"/>
      <c r="E87" s="957"/>
      <c r="F87" s="1347"/>
      <c r="G87" s="559"/>
      <c r="H87" s="16"/>
      <c r="I87" s="9"/>
      <c r="J87" s="9"/>
      <c r="K87" s="9"/>
    </row>
    <row r="88" spans="1:11" hidden="1" x14ac:dyDescent="0.35">
      <c r="B88" s="289" t="str">
        <f>+TableA1!A86</f>
        <v>St. Vincent and the Grenadines</v>
      </c>
      <c r="C88" s="1347"/>
      <c r="D88" s="559"/>
      <c r="E88" s="957"/>
      <c r="F88" s="1347"/>
      <c r="G88" s="559"/>
      <c r="H88" s="16"/>
      <c r="I88" s="9"/>
      <c r="J88" s="9"/>
      <c r="K88" s="9"/>
    </row>
    <row r="89" spans="1:11" ht="23" hidden="1" x14ac:dyDescent="0.35">
      <c r="A89" s="741" t="s">
        <v>505</v>
      </c>
      <c r="B89" s="289" t="str">
        <f>+TableA1!A87</f>
        <v>Turks and Caicos</v>
      </c>
      <c r="C89" s="1347"/>
      <c r="D89" s="559"/>
      <c r="E89" s="957"/>
      <c r="F89" s="1347"/>
      <c r="G89" s="559"/>
      <c r="H89" s="16"/>
      <c r="I89" s="9"/>
      <c r="J89" s="9"/>
      <c r="K89" s="9"/>
    </row>
    <row r="90" spans="1:11" hidden="1" x14ac:dyDescent="0.35">
      <c r="B90" s="289" t="str">
        <f>+TableA1!A88</f>
        <v>Panama</v>
      </c>
      <c r="C90" s="1347"/>
      <c r="D90" s="559"/>
      <c r="E90" s="957"/>
      <c r="F90" s="1347"/>
      <c r="G90" s="559"/>
      <c r="H90" s="16"/>
      <c r="I90" s="9"/>
      <c r="J90" s="9"/>
      <c r="K90" s="9"/>
    </row>
    <row r="91" spans="1:11" hidden="1" x14ac:dyDescent="0.35">
      <c r="B91" s="264" t="s">
        <v>290</v>
      </c>
      <c r="C91" s="1346"/>
      <c r="D91" s="559"/>
      <c r="E91" s="957"/>
      <c r="F91" s="1346"/>
      <c r="G91" s="559"/>
      <c r="H91" s="16"/>
      <c r="I91" s="9"/>
      <c r="J91" s="9"/>
      <c r="K91" s="9"/>
    </row>
    <row r="92" spans="1:11" ht="40" customHeight="1" x14ac:dyDescent="0.35">
      <c r="B92" s="585" t="s">
        <v>498</v>
      </c>
      <c r="C92" s="613">
        <f>(TableC2!D89+TableC2!O89)/(TableC2!$D$91+TableC2!$O$91)</f>
        <v>0.12769362819963248</v>
      </c>
      <c r="D92" s="611">
        <f>(TableC2!E89+TableC2!P89)/(TableC2!$D$91+TableC2!$O$91)</f>
        <v>5.2117515523064435E-2</v>
      </c>
      <c r="E92" s="614">
        <f>(TableC2!L89+TableC2!W89)/(TableC2!$D$91+TableC2!$O$91)</f>
        <v>7.5576112676568039E-2</v>
      </c>
      <c r="F92" s="613">
        <f>TableC3!C89/TableC3!$C$91</f>
        <v>3.2320250533842396E-2</v>
      </c>
      <c r="G92" s="611">
        <f>TableC3!D89/TableC3!$C$91</f>
        <v>4.0246479147966899E-3</v>
      </c>
      <c r="H92" s="1508">
        <f>TableC3!K89/TableC3!$C$91</f>
        <v>2.82956026190457E-2</v>
      </c>
      <c r="I92" s="589"/>
      <c r="J92" s="589"/>
      <c r="K92" s="589"/>
    </row>
    <row r="93" spans="1:11" ht="40" hidden="1" customHeight="1" x14ac:dyDescent="0.35">
      <c r="B93" s="1318"/>
      <c r="C93" s="588"/>
      <c r="D93" s="589"/>
      <c r="E93" s="589"/>
      <c r="F93" s="588"/>
      <c r="G93" s="589"/>
      <c r="H93" s="1507"/>
      <c r="I93" s="589"/>
      <c r="J93" s="589"/>
      <c r="K93" s="589"/>
    </row>
    <row r="94" spans="1:11" ht="40" customHeight="1" thickBot="1" x14ac:dyDescent="0.4">
      <c r="B94" s="584" t="str">
        <f>+TableC3!B91</f>
        <v>Non-haven total</v>
      </c>
      <c r="C94" s="619">
        <f>(TableC2!D91+TableC2!O91)/(TableC2!$D$91+TableC2!$O$91)</f>
        <v>1</v>
      </c>
      <c r="D94" s="639">
        <f>(TableC2!E91+TableC2!P91)/(TableC2!$D$91+TableC2!$O$91)</f>
        <v>0.47219492563123605</v>
      </c>
      <c r="E94" s="639">
        <f>(TableC2!L91+TableC2!W91)/(TableC2!$D$91+TableC2!$O$91)</f>
        <v>0.527805074368764</v>
      </c>
      <c r="F94" s="619">
        <f>TableC3!C91/TableC3!$C$91</f>
        <v>1</v>
      </c>
      <c r="G94" s="639">
        <f>TableC3!D91/TableC3!$C$91</f>
        <v>0.53582474991874207</v>
      </c>
      <c r="H94" s="1509">
        <f>TableC3!K91/TableC3!$C$91</f>
        <v>0.46417525008125793</v>
      </c>
      <c r="I94" s="559"/>
      <c r="J94" s="559"/>
      <c r="K94" s="559"/>
    </row>
    <row r="95" spans="1:11" s="2" customFormat="1" ht="16" thickTop="1" x14ac:dyDescent="0.35">
      <c r="D95" s="1"/>
      <c r="E95" s="1"/>
      <c r="G95" s="1"/>
      <c r="H95" s="1"/>
      <c r="I95" s="1"/>
      <c r="J95" s="1"/>
      <c r="K95" s="1"/>
    </row>
    <row r="97" spans="2:11" s="2" customFormat="1" x14ac:dyDescent="0.35">
      <c r="B97" s="1"/>
      <c r="C97" s="1"/>
      <c r="D97" s="1"/>
      <c r="E97" s="1"/>
      <c r="F97" s="1"/>
      <c r="G97" s="1"/>
      <c r="H97" s="1"/>
      <c r="I97" s="1"/>
      <c r="J97" s="1"/>
      <c r="K97" s="1"/>
    </row>
  </sheetData>
  <mergeCells count="6">
    <mergeCell ref="B4:H4"/>
    <mergeCell ref="C8:E8"/>
    <mergeCell ref="F8:H8"/>
    <mergeCell ref="C9:C10"/>
    <mergeCell ref="F9:F10"/>
    <mergeCell ref="C7:H7"/>
  </mergeCells>
  <pageMargins left="0.7" right="0.7" top="0.75" bottom="0.75" header="0.3" footer="0.3"/>
  <pageSetup scale="69" orientation="portrait" horizontalDpi="4294967292" verticalDpi="429496729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S95"/>
  <sheetViews>
    <sheetView zoomScale="80" zoomScaleNormal="80" zoomScalePageLayoutView="70" workbookViewId="0">
      <pane xSplit="2" ySplit="8" topLeftCell="C9" activePane="bottomRight" state="frozen"/>
      <selection activeCell="AR8" sqref="AR8"/>
      <selection pane="topRight" activeCell="AR8" sqref="AR8"/>
      <selection pane="bottomLeft" activeCell="AR8" sqref="AR8"/>
      <selection pane="bottomRight" activeCell="D14" sqref="D14"/>
    </sheetView>
  </sheetViews>
  <sheetFormatPr baseColWidth="10" defaultColWidth="10.81640625" defaultRowHeight="15.5" x14ac:dyDescent="0.35"/>
  <cols>
    <col min="1" max="1" width="17.453125" style="1" hidden="1" customWidth="1"/>
    <col min="2" max="2" width="19" style="1" customWidth="1"/>
    <col min="3" max="9" width="12.81640625" style="1" customWidth="1"/>
    <col min="10" max="12" width="19.6328125" style="1" customWidth="1"/>
    <col min="13" max="13" width="10.81640625" style="1"/>
    <col min="14" max="14" width="19.453125" style="1" customWidth="1"/>
    <col min="15" max="15" width="13.6328125" style="1" customWidth="1"/>
    <col min="16" max="16384" width="10.81640625" style="1"/>
  </cols>
  <sheetData>
    <row r="1" spans="2:19" ht="16" hidden="1" thickBot="1" x14ac:dyDescent="0.4"/>
    <row r="2" spans="2:19" ht="24.5" customHeight="1" x14ac:dyDescent="0.35">
      <c r="B2" s="2427" t="s">
        <v>788</v>
      </c>
      <c r="C2" s="2213"/>
      <c r="D2" s="2213"/>
      <c r="E2" s="2213"/>
      <c r="F2" s="2213"/>
      <c r="G2" s="2213"/>
      <c r="H2" s="2213"/>
      <c r="I2" s="2428"/>
      <c r="J2" s="944"/>
      <c r="K2" s="944"/>
      <c r="L2" s="944"/>
    </row>
    <row r="3" spans="2:19" ht="21" customHeight="1" x14ac:dyDescent="0.35">
      <c r="B3" s="291"/>
      <c r="C3" s="1312"/>
      <c r="D3" s="1312"/>
      <c r="E3" s="1312"/>
      <c r="F3" s="1312"/>
      <c r="G3" s="1312"/>
      <c r="H3" s="1312"/>
      <c r="I3" s="1523"/>
      <c r="J3" s="1312"/>
      <c r="K3" s="1312"/>
      <c r="L3" s="1312"/>
    </row>
    <row r="4" spans="2:19" ht="16.5" customHeight="1" x14ac:dyDescent="0.35">
      <c r="B4" s="291"/>
      <c r="C4" s="409" t="s">
        <v>20</v>
      </c>
      <c r="D4" s="409" t="s">
        <v>21</v>
      </c>
      <c r="E4" s="409" t="s">
        <v>22</v>
      </c>
      <c r="F4" s="409" t="s">
        <v>23</v>
      </c>
      <c r="G4" s="409" t="s">
        <v>24</v>
      </c>
      <c r="H4" s="409" t="s">
        <v>25</v>
      </c>
      <c r="I4" s="1189" t="s">
        <v>26</v>
      </c>
      <c r="J4" s="1187"/>
      <c r="K4" s="1187"/>
      <c r="L4" s="1187"/>
    </row>
    <row r="5" spans="2:19" ht="32.25" customHeight="1" x14ac:dyDescent="0.35">
      <c r="B5" s="291"/>
      <c r="C5" s="2432" t="s">
        <v>588</v>
      </c>
      <c r="D5" s="2429" t="s">
        <v>587</v>
      </c>
      <c r="E5" s="2425"/>
      <c r="F5" s="2425"/>
      <c r="G5" s="2425"/>
      <c r="H5" s="2425"/>
      <c r="I5" s="2430"/>
      <c r="J5" s="944"/>
      <c r="K5" s="944"/>
      <c r="L5" s="944"/>
    </row>
    <row r="6" spans="2:19" ht="21" customHeight="1" x14ac:dyDescent="0.35">
      <c r="B6" s="292"/>
      <c r="C6" s="2433"/>
      <c r="D6" s="2231" t="s">
        <v>783</v>
      </c>
      <c r="E6" s="2231"/>
      <c r="F6" s="2231"/>
      <c r="G6" s="2230" t="s">
        <v>784</v>
      </c>
      <c r="H6" s="2231" t="s">
        <v>541</v>
      </c>
      <c r="I6" s="2232"/>
      <c r="J6" s="949"/>
      <c r="K6" s="949"/>
      <c r="L6" s="949"/>
    </row>
    <row r="7" spans="2:19" ht="59.5" customHeight="1" x14ac:dyDescent="0.35">
      <c r="B7" s="292"/>
      <c r="C7" s="2433"/>
      <c r="D7" s="2431" t="s">
        <v>542</v>
      </c>
      <c r="E7" s="1510" t="s">
        <v>533</v>
      </c>
      <c r="F7" s="1512" t="s">
        <v>487</v>
      </c>
      <c r="G7" s="2182" t="s">
        <v>542</v>
      </c>
      <c r="H7" s="1510" t="s">
        <v>533</v>
      </c>
      <c r="I7" s="1518" t="s">
        <v>487</v>
      </c>
      <c r="J7" s="950"/>
      <c r="K7" s="950"/>
      <c r="L7" s="950"/>
    </row>
    <row r="8" spans="2:19" ht="13" customHeight="1" x14ac:dyDescent="0.35">
      <c r="B8" s="292"/>
      <c r="C8" s="2434"/>
      <c r="D8" s="2199"/>
      <c r="E8" s="1513"/>
      <c r="F8" s="1514"/>
      <c r="G8" s="2135"/>
      <c r="H8" s="1513"/>
      <c r="I8" s="1519"/>
      <c r="J8" s="951"/>
      <c r="K8" s="951"/>
      <c r="L8" s="951"/>
    </row>
    <row r="9" spans="2:19" ht="40" customHeight="1" x14ac:dyDescent="0.35">
      <c r="B9" s="268" t="s">
        <v>98</v>
      </c>
      <c r="C9" s="1358">
        <f>+SUM(C10:C44)</f>
        <v>5813.7273350245077</v>
      </c>
      <c r="D9" s="97">
        <f>TableC4!C10/(C9*1000)</f>
        <v>7.4847722419050605E-2</v>
      </c>
      <c r="E9" s="1525">
        <f>+TableC4!D10/(TableC4c!$C9*1000)</f>
        <v>4.0385971476118374E-2</v>
      </c>
      <c r="F9" s="1515">
        <f>+D9-E9</f>
        <v>3.4461750942932232E-2</v>
      </c>
      <c r="G9" s="97">
        <f>TableC4!N10/(C9*1000)</f>
        <v>9.1726851962435241E-2</v>
      </c>
      <c r="H9" s="1525">
        <f>+TableC4!O10/(TableC4c!$C9*1000)</f>
        <v>5.5228695052201772E-2</v>
      </c>
      <c r="I9" s="1520">
        <f>+G9-H9</f>
        <v>3.6498156910233469E-2</v>
      </c>
      <c r="J9" s="559"/>
      <c r="K9" s="559"/>
      <c r="L9" s="559"/>
    </row>
    <row r="10" spans="2:19" ht="14.25" customHeight="1" x14ac:dyDescent="0.35">
      <c r="B10" s="294" t="s">
        <v>54</v>
      </c>
      <c r="C10" s="1373">
        <f>+TableA2!F10</f>
        <v>178.84741076861815</v>
      </c>
      <c r="D10" s="296">
        <f>TableC4!C11/(C10*1000)</f>
        <v>7.2458944603187428E-2</v>
      </c>
      <c r="E10" s="1526">
        <f>+TableC4!D11/(TableC4c!$C10*1000)</f>
        <v>2.3007869480445912E-2</v>
      </c>
      <c r="F10" s="1516">
        <f t="shared" ref="F10:F73" si="0">+D10-E10</f>
        <v>4.9451075122741515E-2</v>
      </c>
      <c r="G10" s="296">
        <f>TableC4!N11/(C10*1000)</f>
        <v>9.7905266672633235E-3</v>
      </c>
      <c r="H10" s="1526">
        <f>+TableC4!O11/(TableC4c!$C10*1000)</f>
        <v>-8.6849264464315527E-4</v>
      </c>
      <c r="I10" s="1521">
        <f t="shared" ref="I10:I73" si="1">+G10-H10</f>
        <v>1.0659019311906479E-2</v>
      </c>
      <c r="J10" s="40"/>
      <c r="K10" s="559"/>
      <c r="L10" s="559"/>
    </row>
    <row r="11" spans="2:19" ht="14.25" customHeight="1" x14ac:dyDescent="0.35">
      <c r="B11" s="294" t="s">
        <v>55</v>
      </c>
      <c r="C11" s="1373">
        <f>+TableA2!F11</f>
        <v>47.957043627358011</v>
      </c>
      <c r="D11" s="296">
        <f>TableC4!C12/(C11*1000)</f>
        <v>7.4846957375892961E-2</v>
      </c>
      <c r="E11" s="1526">
        <f>+TableC4!D12/(TableC4c!$C11*1000)</f>
        <v>4.3281052600304973E-2</v>
      </c>
      <c r="F11" s="1516">
        <f t="shared" si="0"/>
        <v>3.1565904775587988E-2</v>
      </c>
      <c r="G11" s="296">
        <f>TableC4!N12/(C11*1000)</f>
        <v>4.6463227609687303E-2</v>
      </c>
      <c r="H11" s="1526">
        <f>+TableC4!O12/(TableC4c!$C11*1000)</f>
        <v>7.7307101994649454E-3</v>
      </c>
      <c r="I11" s="1521">
        <f t="shared" si="1"/>
        <v>3.8732517410222357E-2</v>
      </c>
      <c r="J11" s="40"/>
      <c r="K11" s="559"/>
      <c r="L11" s="559"/>
    </row>
    <row r="12" spans="2:19" ht="14.25" customHeight="1" x14ac:dyDescent="0.35">
      <c r="B12" s="294" t="s">
        <v>2</v>
      </c>
      <c r="C12" s="1373"/>
      <c r="D12" s="296"/>
      <c r="E12" s="1526"/>
      <c r="F12" s="1516"/>
      <c r="G12" s="296"/>
      <c r="H12" s="1526"/>
      <c r="I12" s="1521"/>
      <c r="J12" s="40"/>
      <c r="K12" s="559"/>
      <c r="L12" s="559"/>
      <c r="Q12" s="232"/>
    </row>
    <row r="13" spans="2:19" ht="14.25" customHeight="1" x14ac:dyDescent="0.35">
      <c r="B13" s="294" t="s">
        <v>56</v>
      </c>
      <c r="C13" s="1373">
        <f>+TableA2!F13</f>
        <v>142.9569900038934</v>
      </c>
      <c r="D13" s="296">
        <f>TableC4!C14/(C13*1000)</f>
        <v>0.13232007222981604</v>
      </c>
      <c r="E13" s="1526">
        <f>+TableC4!D14/(TableC4c!$C13*1000)</f>
        <v>2.3343379780562886E-2</v>
      </c>
      <c r="F13" s="1516">
        <f t="shared" si="0"/>
        <v>0.10897669244925315</v>
      </c>
      <c r="G13" s="296">
        <f>TableC4!N14/(C13*1000)</f>
        <v>0.11492209040229349</v>
      </c>
      <c r="H13" s="1526">
        <f>+TableC4!O14/(TableC4c!$C13*1000)</f>
        <v>3.0147988705354976E-2</v>
      </c>
      <c r="I13" s="1521">
        <f t="shared" si="1"/>
        <v>8.4774101696938525E-2</v>
      </c>
      <c r="J13" s="40"/>
      <c r="K13" s="559"/>
      <c r="L13" s="559"/>
      <c r="Q13" s="232"/>
    </row>
    <row r="14" spans="2:19" ht="14.25" customHeight="1" x14ac:dyDescent="0.35">
      <c r="B14" s="294" t="s">
        <v>57</v>
      </c>
      <c r="C14" s="1373">
        <f>+TableA2!F14</f>
        <v>67.542484958596845</v>
      </c>
      <c r="D14" s="296">
        <f>TableC4!C15/(C14*1000)</f>
        <v>7.6720813244254851E-2</v>
      </c>
      <c r="E14" s="1526">
        <f>+TableC4!D15/(TableC4c!$C14*1000)</f>
        <v>1.4926301509422632E-2</v>
      </c>
      <c r="F14" s="1516">
        <f t="shared" si="0"/>
        <v>6.1794511734832219E-2</v>
      </c>
      <c r="G14" s="296">
        <f>TableC4!N15/(C14*1000)</f>
        <v>-1.5463113376781026E-3</v>
      </c>
      <c r="H14" s="1526">
        <f>+TableC4!O15/(TableC4c!$C14*1000)</f>
        <v>-1.8024932701393155E-3</v>
      </c>
      <c r="I14" s="1521">
        <f t="shared" si="1"/>
        <v>2.5618193246121292E-4</v>
      </c>
      <c r="J14" s="40"/>
      <c r="K14" s="559"/>
      <c r="L14" s="559"/>
      <c r="Q14" s="265"/>
      <c r="S14" s="265"/>
    </row>
    <row r="15" spans="2:19" ht="14.25" customHeight="1" x14ac:dyDescent="0.35">
      <c r="B15" s="294" t="s">
        <v>58</v>
      </c>
      <c r="C15" s="1373">
        <f>+TableA2!F15</f>
        <v>33.577437877940952</v>
      </c>
      <c r="D15" s="296">
        <f>TableC4!C16/(C15*1000)</f>
        <v>5.2434867097975471E-2</v>
      </c>
      <c r="E15" s="1526">
        <f>+TableC4!D16/(TableC4c!$C15*1000)</f>
        <v>4.1970586071506132E-2</v>
      </c>
      <c r="F15" s="1516">
        <f t="shared" si="0"/>
        <v>1.0464281026469339E-2</v>
      </c>
      <c r="G15" s="296">
        <f>TableC4!N16/(C15*1000)</f>
        <v>1.4063286245338298E-2</v>
      </c>
      <c r="H15" s="1526">
        <f>+TableC4!O16/(TableC4c!$C15*1000)</f>
        <v>1.4059287045024221E-2</v>
      </c>
      <c r="I15" s="1521">
        <f t="shared" si="1"/>
        <v>3.9992003140771476E-6</v>
      </c>
      <c r="J15" s="40"/>
      <c r="K15" s="559"/>
      <c r="L15" s="559"/>
    </row>
    <row r="16" spans="2:19" ht="14.25" customHeight="1" x14ac:dyDescent="0.35">
      <c r="B16" s="294" t="s">
        <v>59</v>
      </c>
      <c r="C16" s="1373">
        <f>+TableA2!F16</f>
        <v>51.69259919912686</v>
      </c>
      <c r="D16" s="296">
        <f>TableC4!C17/(C16*1000)</f>
        <v>5.7295748679020701E-2</v>
      </c>
      <c r="E16" s="1526">
        <f>+TableC4!D17/(TableC4c!$C16*1000)</f>
        <v>4.5104888829805748E-2</v>
      </c>
      <c r="F16" s="1516">
        <f t="shared" si="0"/>
        <v>1.2190859849214954E-2</v>
      </c>
      <c r="G16" s="296">
        <f>TableC4!N17/(C16*1000)</f>
        <v>7.0316169291163688E-2</v>
      </c>
      <c r="H16" s="1526">
        <f>+TableC4!O17/(TableC4c!$C16*1000)</f>
        <v>4.0920272377606565E-2</v>
      </c>
      <c r="I16" s="1521">
        <f t="shared" si="1"/>
        <v>2.9395896913557124E-2</v>
      </c>
      <c r="J16" s="40"/>
      <c r="K16" s="559"/>
      <c r="L16" s="559"/>
    </row>
    <row r="17" spans="1:12" ht="14.25" customHeight="1" x14ac:dyDescent="0.35">
      <c r="B17" s="742" t="s">
        <v>60</v>
      </c>
      <c r="C17" s="1373">
        <f>+TableA2!F17</f>
        <v>4.0797019715879275</v>
      </c>
      <c r="D17" s="296">
        <f>TableC4!C18/(C17*1000)</f>
        <v>5.9733161524731265E-2</v>
      </c>
      <c r="E17" s="1526">
        <f>+TableC4!D18/(TableC4c!$C17*1000)</f>
        <v>4.2832100132568655E-2</v>
      </c>
      <c r="F17" s="1516">
        <f t="shared" si="0"/>
        <v>1.690106139216261E-2</v>
      </c>
      <c r="G17" s="296">
        <f>TableC4!N18/(C17*1000)</f>
        <v>-9.9409345332641583E-4</v>
      </c>
      <c r="H17" s="1526">
        <f>+TableC4!O18/(TableC4c!$C17*1000)</f>
        <v>-9.9409345332641583E-4</v>
      </c>
      <c r="I17" s="1521">
        <f t="shared" si="1"/>
        <v>0</v>
      </c>
      <c r="J17" s="40"/>
      <c r="K17" s="559"/>
      <c r="L17" s="559"/>
    </row>
    <row r="18" spans="1:12" ht="14.25" customHeight="1" x14ac:dyDescent="0.35">
      <c r="B18" s="294" t="s">
        <v>61</v>
      </c>
      <c r="C18" s="1373">
        <f>+TableA2!F18</f>
        <v>25.094852932206081</v>
      </c>
      <c r="D18" s="296">
        <f>TableC4!C19/(C18*1000)</f>
        <v>0.10818431066203703</v>
      </c>
      <c r="E18" s="1526">
        <f>+TableC4!D19/(TableC4c!$C18*1000)</f>
        <v>6.9525277483734646E-2</v>
      </c>
      <c r="F18" s="1516">
        <f t="shared" si="0"/>
        <v>3.8659033178302382E-2</v>
      </c>
      <c r="G18" s="296">
        <f>TableC4!N19/(C18*1000)</f>
        <v>9.0046506066856047E-2</v>
      </c>
      <c r="H18" s="1526">
        <f>+TableC4!O19/(TableC4c!$C18*1000)</f>
        <v>8.1315087946621567E-2</v>
      </c>
      <c r="I18" s="1521">
        <f t="shared" si="1"/>
        <v>8.7314181202344798E-3</v>
      </c>
      <c r="J18" s="40"/>
      <c r="K18" s="559"/>
      <c r="L18" s="559"/>
    </row>
    <row r="19" spans="1:12" ht="14.25" customHeight="1" x14ac:dyDescent="0.35">
      <c r="B19" s="742" t="s">
        <v>48</v>
      </c>
      <c r="C19" s="1373">
        <f>+TableA2!F19</f>
        <v>187.65852722592464</v>
      </c>
      <c r="D19" s="296">
        <f>TableC4!C20/(C19*1000)</f>
        <v>0.17097080725149064</v>
      </c>
      <c r="E19" s="1526">
        <f>+TableC4!D20/(TableC4c!$C19*1000)</f>
        <v>0.12893552276230175</v>
      </c>
      <c r="F19" s="1516">
        <f t="shared" si="0"/>
        <v>4.203528448918889E-2</v>
      </c>
      <c r="G19" s="296">
        <f>TableC4!N20/(C19*1000)</f>
        <v>0.34301584559328852</v>
      </c>
      <c r="H19" s="1526">
        <f>+TableC4!O20/(TableC4c!$C19*1000)</f>
        <v>0.27111964119981879</v>
      </c>
      <c r="I19" s="1521">
        <f t="shared" si="1"/>
        <v>7.189620439346972E-2</v>
      </c>
      <c r="J19" s="40"/>
      <c r="K19" s="40"/>
      <c r="L19" s="40"/>
    </row>
    <row r="20" spans="1:12" ht="14.25" customHeight="1" x14ac:dyDescent="0.35">
      <c r="B20" s="294" t="s">
        <v>62</v>
      </c>
      <c r="C20" s="1373">
        <f>+TableA2!F20</f>
        <v>553.04943443142031</v>
      </c>
      <c r="D20" s="296">
        <f>TableC4!C21/(C20*1000)</f>
        <v>9.9275643679281572E-2</v>
      </c>
      <c r="E20" s="1526">
        <f>+TableC4!D21/(TableC4c!$C20*1000)</f>
        <v>7.519152745091251E-2</v>
      </c>
      <c r="F20" s="1516">
        <f t="shared" si="0"/>
        <v>2.4084116228369062E-2</v>
      </c>
      <c r="G20" s="296">
        <f>TableC4!N21/(C20*1000)</f>
        <v>6.4453100435434924E-2</v>
      </c>
      <c r="H20" s="1526">
        <f>+TableC4!O21/(TableC4c!$C20*1000)</f>
        <v>4.5875966946085985E-2</v>
      </c>
      <c r="I20" s="1521">
        <f t="shared" si="1"/>
        <v>1.8577133489348939E-2</v>
      </c>
      <c r="J20" s="40"/>
      <c r="K20" s="40"/>
      <c r="L20" s="40"/>
    </row>
    <row r="21" spans="1:12" ht="14.25" customHeight="1" x14ac:dyDescent="0.35">
      <c r="B21" s="294" t="s">
        <v>63</v>
      </c>
      <c r="C21" s="1373">
        <f>+TableA2!F21</f>
        <v>22.607784095761257</v>
      </c>
      <c r="D21" s="296">
        <f>TableC4!C22/(C21*1000)</f>
        <v>4.6289917479869699E-2</v>
      </c>
      <c r="E21" s="1526">
        <f>+TableC4!D22/(TableC4c!$C21*1000)</f>
        <v>4.0419156056832502E-2</v>
      </c>
      <c r="F21" s="1516">
        <f t="shared" si="0"/>
        <v>5.8707614230371977E-3</v>
      </c>
      <c r="G21" s="296">
        <f>TableC4!N22/(C21*1000)</f>
        <v>1.9443488875755435E-2</v>
      </c>
      <c r="H21" s="1526">
        <f>+TableC4!O22/(TableC4c!$C21*1000)</f>
        <v>1.9408113113123845E-2</v>
      </c>
      <c r="I21" s="1521">
        <f t="shared" si="1"/>
        <v>3.5375762631590507E-5</v>
      </c>
      <c r="J21" s="40"/>
      <c r="K21" s="40"/>
      <c r="L21" s="40"/>
    </row>
    <row r="22" spans="1:12" ht="14.25" customHeight="1" x14ac:dyDescent="0.35">
      <c r="B22" s="294" t="s">
        <v>64</v>
      </c>
      <c r="C22" s="1373">
        <f>+TableA2!F22</f>
        <v>20.668289583202817</v>
      </c>
      <c r="D22" s="296">
        <f>TableC4!C23/(C22*1000)</f>
        <v>0.11587262914762006</v>
      </c>
      <c r="E22" s="1526">
        <f>+TableC4!D23/(TableC4c!$C22*1000)</f>
        <v>8.1741729344549194E-2</v>
      </c>
      <c r="F22" s="1516">
        <f t="shared" si="0"/>
        <v>3.4130899803070866E-2</v>
      </c>
      <c r="G22" s="296">
        <f>TableC4!N23/(C22*1000)</f>
        <v>2.4199999987075511E-2</v>
      </c>
      <c r="H22" s="1526">
        <f>+TableC4!O23/(TableC4c!$C22*1000)</f>
        <v>2.3863137306555027E-2</v>
      </c>
      <c r="I22" s="1521">
        <f t="shared" si="1"/>
        <v>3.3686268052048399E-4</v>
      </c>
      <c r="J22" s="40"/>
      <c r="K22" s="40"/>
      <c r="L22" s="40"/>
    </row>
    <row r="23" spans="1:12" ht="14.25" customHeight="1" x14ac:dyDescent="0.35">
      <c r="B23" s="294" t="s">
        <v>65</v>
      </c>
      <c r="C23" s="1373">
        <f>+TableA2!F23</f>
        <v>2.1489969781260903</v>
      </c>
      <c r="D23" s="296">
        <f>TableC4!C24/(C23*1000)</f>
        <v>0.20369817483051286</v>
      </c>
      <c r="E23" s="1526">
        <f>+TableC4!D24/(TableC4c!$C23*1000)</f>
        <v>0.15711869062903999</v>
      </c>
      <c r="F23" s="1516">
        <f t="shared" si="0"/>
        <v>4.657948420147287E-2</v>
      </c>
      <c r="G23" s="296">
        <f>TableC4!N24/(C23*1000)</f>
        <v>6.3769463049089615E-3</v>
      </c>
      <c r="H23" s="1526">
        <f>+TableC4!O24/(TableC4c!$C23*1000)</f>
        <v>6.0575089801443386E-3</v>
      </c>
      <c r="I23" s="1521">
        <f t="shared" si="1"/>
        <v>3.1943732476462285E-4</v>
      </c>
      <c r="J23" s="40"/>
      <c r="K23" s="40"/>
      <c r="L23" s="40"/>
    </row>
    <row r="24" spans="1:12" ht="14.25" customHeight="1" x14ac:dyDescent="0.35">
      <c r="B24" s="294" t="s">
        <v>19</v>
      </c>
      <c r="C24" s="1373"/>
      <c r="D24" s="296"/>
      <c r="E24" s="1526"/>
      <c r="F24" s="1516"/>
      <c r="G24" s="296"/>
      <c r="H24" s="1526"/>
      <c r="I24" s="1521"/>
      <c r="J24" s="40"/>
      <c r="K24" s="40"/>
      <c r="L24" s="40"/>
    </row>
    <row r="25" spans="1:12" ht="14.25" customHeight="1" x14ac:dyDescent="0.35">
      <c r="B25" s="294" t="s">
        <v>95</v>
      </c>
      <c r="C25" s="1373">
        <f>+TableA2!F25</f>
        <v>53.821062621875072</v>
      </c>
      <c r="D25" s="296">
        <f>TableC4!C26/(C25*1000)</f>
        <v>1.264669047457488E-2</v>
      </c>
      <c r="E25" s="1526">
        <f>+TableC4!D26/(TableC4c!$C25*1000)</f>
        <v>5.1617017907037979E-3</v>
      </c>
      <c r="F25" s="1516">
        <f t="shared" si="0"/>
        <v>7.4849886838710819E-3</v>
      </c>
      <c r="G25" s="296">
        <f>TableC4!N26/(C25*1000)</f>
        <v>9.9243217266992076E-3</v>
      </c>
      <c r="H25" s="1526">
        <f>+TableC4!O26/(TableC4c!$C25*1000)</f>
        <v>1.2284874977946463E-3</v>
      </c>
      <c r="I25" s="1521">
        <f t="shared" si="1"/>
        <v>8.6958342289045615E-3</v>
      </c>
      <c r="J25" s="40"/>
      <c r="K25" s="40"/>
      <c r="L25" s="40"/>
    </row>
    <row r="26" spans="1:12" ht="14.25" customHeight="1" x14ac:dyDescent="0.35">
      <c r="B26" s="294" t="s">
        <v>66</v>
      </c>
      <c r="C26" s="1373">
        <f>+TableA2!F26</f>
        <v>211.89440797463348</v>
      </c>
      <c r="D26" s="296">
        <f>TableC4!C27/(C26*1000)</f>
        <v>0.10714054787245454</v>
      </c>
      <c r="E26" s="1526">
        <f>+TableC4!D27/(TableC4c!$C26*1000)</f>
        <v>9.1806210586993134E-2</v>
      </c>
      <c r="F26" s="1516">
        <f t="shared" si="0"/>
        <v>1.5334337285461408E-2</v>
      </c>
      <c r="G26" s="296">
        <f>TableC4!N27/(C26*1000)</f>
        <v>1.7667041699374521E-2</v>
      </c>
      <c r="H26" s="1526">
        <f>+TableC4!O27/(TableC4c!$C26*1000)</f>
        <v>1.1895787827737774E-2</v>
      </c>
      <c r="I26" s="1521">
        <f t="shared" si="1"/>
        <v>5.7712538716367476E-3</v>
      </c>
      <c r="J26" s="40"/>
      <c r="K26" s="40"/>
      <c r="L26" s="40"/>
    </row>
    <row r="27" spans="1:12" ht="14.25" customHeight="1" x14ac:dyDescent="0.35">
      <c r="B27" s="294" t="s">
        <v>67</v>
      </c>
      <c r="C27" s="1373">
        <f>+TableA2!F27</f>
        <v>634.13536380108962</v>
      </c>
      <c r="D27" s="296">
        <f>TableC4!C28/(C27*1000)</f>
        <v>1.3489822917577826E-2</v>
      </c>
      <c r="E27" s="1526">
        <f>+TableC4!D28/(TableC4c!$C27*1000)</f>
        <v>7.1655225316167069E-3</v>
      </c>
      <c r="F27" s="1516">
        <f t="shared" si="0"/>
        <v>6.3243003859611195E-3</v>
      </c>
      <c r="G27" s="296">
        <f>TableC4!N28/(C27*1000)</f>
        <v>3.042925426650038E-2</v>
      </c>
      <c r="H27" s="1526">
        <f>+TableC4!O28/(TableC4c!$C27*1000)</f>
        <v>1.3386640311355755E-2</v>
      </c>
      <c r="I27" s="1521">
        <f t="shared" si="1"/>
        <v>1.7042613955144625E-2</v>
      </c>
      <c r="J27" s="40"/>
      <c r="K27" s="40"/>
      <c r="L27" s="40"/>
    </row>
    <row r="28" spans="1:12" ht="14.25" customHeight="1" x14ac:dyDescent="0.35">
      <c r="A28" s="1" t="s">
        <v>222</v>
      </c>
      <c r="B28" s="294" t="s">
        <v>68</v>
      </c>
      <c r="C28" s="1373">
        <f>+TableA2!F28</f>
        <v>248.21706968304588</v>
      </c>
      <c r="D28" s="296">
        <f>TableC4!C29/(C28*1000)</f>
        <v>1.9477435060151389E-2</v>
      </c>
      <c r="E28" s="1526">
        <f>+TableC4!D29/(TableC4c!$C28*1000)</f>
        <v>4.6626094877330387E-3</v>
      </c>
      <c r="F28" s="1516">
        <f t="shared" si="0"/>
        <v>1.4814825572418349E-2</v>
      </c>
      <c r="G28" s="296">
        <f>TableC4!N29/(C28*1000)</f>
        <v>6.3066065893646554E-3</v>
      </c>
      <c r="H28" s="1526">
        <f>+TableC4!O29/(TableC4c!$C28*1000)</f>
        <v>3.1415228093162819E-3</v>
      </c>
      <c r="I28" s="1521">
        <f t="shared" si="1"/>
        <v>3.1650837800483735E-3</v>
      </c>
      <c r="J28" s="40"/>
      <c r="K28" s="40"/>
      <c r="L28" s="40"/>
    </row>
    <row r="29" spans="1:12" ht="14.25" customHeight="1" x14ac:dyDescent="0.35">
      <c r="B29" s="292" t="s">
        <v>69</v>
      </c>
      <c r="C29" s="1373">
        <f>+TableA2!F29</f>
        <v>4.1858751479217755</v>
      </c>
      <c r="D29" s="296">
        <f>TableC4!C30/(C29*1000)</f>
        <v>4.8013607709659296E-2</v>
      </c>
      <c r="E29" s="1526">
        <f>+TableC4!D30/(TableC4c!$C29*1000)</f>
        <v>3.3615060437027819E-2</v>
      </c>
      <c r="F29" s="1516">
        <f t="shared" si="0"/>
        <v>1.4398547272631478E-2</v>
      </c>
      <c r="G29" s="296">
        <f>TableC4!N30/(C29*1000)</f>
        <v>-3.099926507683906E-4</v>
      </c>
      <c r="H29" s="1526">
        <f>+TableC4!O30/(TableC4c!$C29*1000)</f>
        <v>-3.302931416332255E-4</v>
      </c>
      <c r="I29" s="1521">
        <f t="shared" si="1"/>
        <v>2.0300490864834896E-5</v>
      </c>
      <c r="J29" s="40"/>
      <c r="K29" s="40"/>
      <c r="L29" s="40"/>
    </row>
    <row r="30" spans="1:12" ht="14.25" customHeight="1" x14ac:dyDescent="0.35">
      <c r="B30" s="292" t="s">
        <v>70</v>
      </c>
      <c r="C30" s="295"/>
      <c r="D30" s="296"/>
      <c r="E30" s="1526"/>
      <c r="F30" s="1516"/>
      <c r="G30" s="296"/>
      <c r="H30" s="1526"/>
      <c r="I30" s="1521"/>
      <c r="J30" s="40"/>
      <c r="K30" s="40"/>
      <c r="L30" s="40"/>
    </row>
    <row r="31" spans="1:12" ht="14.25" customHeight="1" x14ac:dyDescent="0.35">
      <c r="B31" s="292" t="s">
        <v>71</v>
      </c>
      <c r="C31" s="1373">
        <f>+TableA2!F31</f>
        <v>325.04468785135941</v>
      </c>
      <c r="D31" s="296">
        <f>TableC4!C32/(C31*1000)</f>
        <v>4.0289504925128755E-2</v>
      </c>
      <c r="E31" s="1526">
        <f>+TableC4!D32/(TableC4c!$C31*1000)</f>
        <v>1.2421225973191057E-2</v>
      </c>
      <c r="F31" s="1516">
        <f t="shared" si="0"/>
        <v>2.7868278951937699E-2</v>
      </c>
      <c r="G31" s="296">
        <f>TableC4!N32/(C31*1000)</f>
        <v>1.1185184744427409E-2</v>
      </c>
      <c r="H31" s="1526">
        <f>+TableC4!O32/(TableC4c!$C31*1000)</f>
        <v>9.2500020175027165E-3</v>
      </c>
      <c r="I31" s="1521">
        <f t="shared" si="1"/>
        <v>1.9351827269246929E-3</v>
      </c>
      <c r="J31" s="40"/>
      <c r="K31" s="40"/>
      <c r="L31" s="40"/>
    </row>
    <row r="32" spans="1:12" ht="14.25" customHeight="1" x14ac:dyDescent="0.35">
      <c r="B32" s="292" t="s">
        <v>72</v>
      </c>
      <c r="C32" s="295"/>
      <c r="D32" s="296"/>
      <c r="E32" s="1526"/>
      <c r="F32" s="1516"/>
      <c r="G32" s="296"/>
      <c r="H32" s="1526"/>
      <c r="I32" s="1521"/>
      <c r="J32" s="40"/>
      <c r="K32" s="40"/>
      <c r="L32" s="40"/>
    </row>
    <row r="33" spans="1:12" ht="14.25" customHeight="1" x14ac:dyDescent="0.35">
      <c r="B33" s="292" t="s">
        <v>73</v>
      </c>
      <c r="C33" s="1373">
        <f>+TableA2!F33</f>
        <v>43.62366684525152</v>
      </c>
      <c r="D33" s="296">
        <f>TableC4!C34/(C33*1000)</f>
        <v>3.4922405782557731E-2</v>
      </c>
      <c r="E33" s="1526">
        <f>+TableC4!D34/(TableC4c!$C33*1000)</f>
        <v>1.1478915661605733E-2</v>
      </c>
      <c r="F33" s="1516">
        <f t="shared" si="0"/>
        <v>2.3443490120951996E-2</v>
      </c>
      <c r="G33" s="296">
        <f>TableC4!N34/(C33*1000)</f>
        <v>1.5225539960963272E-2</v>
      </c>
      <c r="H33" s="1526">
        <f>+TableC4!O34/(TableC4c!$C33*1000)</f>
        <v>-2.4872498390995749E-3</v>
      </c>
      <c r="I33" s="1521">
        <f t="shared" si="1"/>
        <v>1.7712789800062849E-2</v>
      </c>
      <c r="J33" s="40"/>
      <c r="K33" s="40"/>
      <c r="L33" s="40"/>
    </row>
    <row r="34" spans="1:12" ht="14.25" customHeight="1" x14ac:dyDescent="0.35">
      <c r="B34" s="292" t="s">
        <v>74</v>
      </c>
      <c r="C34" s="1373">
        <f>+TableA2!F34</f>
        <v>76.129871814410606</v>
      </c>
      <c r="D34" s="296">
        <f>TableC4!C35/(C34*1000)</f>
        <v>6.851009442368261E-2</v>
      </c>
      <c r="E34" s="1526">
        <f>+TableC4!D35/(TableC4c!$C34*1000)</f>
        <v>3.8666964466810248E-2</v>
      </c>
      <c r="F34" s="1516">
        <f t="shared" si="0"/>
        <v>2.9843129956872362E-2</v>
      </c>
      <c r="G34" s="296">
        <f>TableC4!N35/(C34*1000)</f>
        <v>7.1352085194478679E-2</v>
      </c>
      <c r="H34" s="1526">
        <f>+TableC4!O35/(TableC4c!$C34*1000)</f>
        <v>5.0433195619397027E-2</v>
      </c>
      <c r="I34" s="1521">
        <f t="shared" si="1"/>
        <v>2.0918889575081652E-2</v>
      </c>
      <c r="J34" s="40"/>
      <c r="K34" s="40"/>
      <c r="L34" s="40"/>
    </row>
    <row r="35" spans="1:12" ht="14.25" customHeight="1" x14ac:dyDescent="0.35">
      <c r="B35" s="292" t="s">
        <v>75</v>
      </c>
      <c r="C35" s="1373">
        <f>+TableA2!F35</f>
        <v>87.784586815227485</v>
      </c>
      <c r="D35" s="296">
        <f>TableC4!C36/(C35*1000)</f>
        <v>4.2101541150758842E-2</v>
      </c>
      <c r="E35" s="1526">
        <f>+TableC4!D36/(TableC4c!$C35*1000)</f>
        <v>2.9169275326731796E-2</v>
      </c>
      <c r="F35" s="1516">
        <f t="shared" si="0"/>
        <v>1.2932265824027046E-2</v>
      </c>
      <c r="G35" s="296">
        <f>TableC4!N36/(C35*1000)</f>
        <v>-2.8786103109308743E-2</v>
      </c>
      <c r="H35" s="1526">
        <f>+TableC4!O36/(TableC4c!$C35*1000)</f>
        <v>-2.8807034354453781E-2</v>
      </c>
      <c r="I35" s="1521">
        <f t="shared" si="1"/>
        <v>2.0931245145038024E-5</v>
      </c>
      <c r="J35" s="40"/>
      <c r="K35" s="40"/>
      <c r="L35" s="40"/>
    </row>
    <row r="36" spans="1:12" ht="14.25" customHeight="1" x14ac:dyDescent="0.35">
      <c r="B36" s="292" t="s">
        <v>76</v>
      </c>
      <c r="C36" s="1373">
        <f>+TableA2!F36</f>
        <v>26.618072907828797</v>
      </c>
      <c r="D36" s="296">
        <f>TableC4!C37/(C36*1000)</f>
        <v>9.9112445179763697E-2</v>
      </c>
      <c r="E36" s="1526">
        <f>+TableC4!D37/(TableC4c!$C36*1000)</f>
        <v>8.8544849087826449E-2</v>
      </c>
      <c r="F36" s="1516">
        <f t="shared" si="0"/>
        <v>1.0567596091937248E-2</v>
      </c>
      <c r="G36" s="296">
        <f>TableC4!N37/(C36*1000)</f>
        <v>1.0444180949738572E-2</v>
      </c>
      <c r="H36" s="1526">
        <f>+TableC4!O37/(TableC4c!$C36*1000)</f>
        <v>1.1930404108601477E-4</v>
      </c>
      <c r="I36" s="1521">
        <f t="shared" si="1"/>
        <v>1.0324876908652556E-2</v>
      </c>
      <c r="J36" s="40"/>
      <c r="K36" s="40"/>
      <c r="L36" s="40"/>
    </row>
    <row r="37" spans="1:12" ht="14.25" customHeight="1" x14ac:dyDescent="0.35">
      <c r="A37" s="376" t="s">
        <v>77</v>
      </c>
      <c r="B37" s="292" t="s">
        <v>96</v>
      </c>
      <c r="C37" s="1373">
        <f>+TableA2!F37</f>
        <v>11.604550057172386</v>
      </c>
      <c r="D37" s="296">
        <f>TableC4!C38/(C37*1000)</f>
        <v>5.4876195740004671E-2</v>
      </c>
      <c r="E37" s="1526">
        <f>+TableC4!D38/(TableC4c!$C37*1000)</f>
        <v>4.6132394997591329E-2</v>
      </c>
      <c r="F37" s="1516">
        <f t="shared" si="0"/>
        <v>8.7438007424133421E-3</v>
      </c>
      <c r="G37" s="296">
        <f>TableC4!N38/(C37*1000)</f>
        <v>7.749160539083845E-3</v>
      </c>
      <c r="H37" s="1526">
        <f>+TableC4!O38/(TableC4c!$C37*1000)</f>
        <v>7.4436589825125771E-3</v>
      </c>
      <c r="I37" s="1521">
        <f t="shared" si="1"/>
        <v>3.0550155657126793E-4</v>
      </c>
      <c r="J37" s="40"/>
      <c r="K37" s="40"/>
      <c r="L37" s="40"/>
    </row>
    <row r="38" spans="1:12" ht="14.25" customHeight="1" x14ac:dyDescent="0.35">
      <c r="B38" s="292" t="s">
        <v>78</v>
      </c>
      <c r="C38" s="1373">
        <f>+TableA2!F38</f>
        <v>3.417758487410429</v>
      </c>
      <c r="D38" s="296">
        <f>TableC4!C39/(C38*1000)</f>
        <v>6.5920108435978911E-2</v>
      </c>
      <c r="E38" s="1526">
        <f>+TableC4!D39/(TableC4c!$C38*1000)</f>
        <v>3.3677230101842086E-2</v>
      </c>
      <c r="F38" s="1516">
        <f t="shared" si="0"/>
        <v>3.2242878334136825E-2</v>
      </c>
      <c r="G38" s="296">
        <f>TableC4!N39/(C38*1000)</f>
        <v>-2.0646677662107243E-3</v>
      </c>
      <c r="H38" s="1526">
        <f>+TableC4!O39/(TableC4c!$C38*1000)</f>
        <v>-2.2185798133208911E-3</v>
      </c>
      <c r="I38" s="1521">
        <f t="shared" si="1"/>
        <v>1.5391204711016687E-4</v>
      </c>
      <c r="J38" s="40"/>
      <c r="K38" s="40"/>
      <c r="L38" s="40"/>
    </row>
    <row r="39" spans="1:12" ht="14.25" customHeight="1" x14ac:dyDescent="0.35">
      <c r="B39" s="292" t="s">
        <v>79</v>
      </c>
      <c r="C39" s="1373">
        <f>+TableA2!F39</f>
        <v>158.95366208289389</v>
      </c>
      <c r="D39" s="296">
        <f>TableC4!C40/(C39*1000)</f>
        <v>9.0353825966671894E-2</v>
      </c>
      <c r="E39" s="1526">
        <f>+TableC4!D40/(TableC4c!$C39*1000)</f>
        <v>7.1130869507269878E-2</v>
      </c>
      <c r="F39" s="1516">
        <f t="shared" si="0"/>
        <v>1.9222956459402016E-2</v>
      </c>
      <c r="G39" s="296">
        <f>TableC4!N40/(C39*1000)</f>
        <v>1.9501759114671571E-2</v>
      </c>
      <c r="H39" s="1526">
        <f>+TableC4!O40/(TableC4c!$C39*1000)</f>
        <v>6.9382620808117286E-3</v>
      </c>
      <c r="I39" s="1521">
        <f t="shared" si="1"/>
        <v>1.2563497033859842E-2</v>
      </c>
      <c r="J39" s="40"/>
      <c r="K39" s="40"/>
      <c r="L39" s="40"/>
    </row>
    <row r="40" spans="1:12" s="118" customFormat="1" ht="14.25" customHeight="1" x14ac:dyDescent="0.35">
      <c r="B40" s="310" t="s">
        <v>80</v>
      </c>
      <c r="C40" s="1373">
        <f>+TableA2!F40</f>
        <v>63.367762356160583</v>
      </c>
      <c r="D40" s="296">
        <f>TableC4!C41/(C40*1000)</f>
        <v>0.13478604483458828</v>
      </c>
      <c r="E40" s="1526">
        <f>+TableC4!D41/(TableC4c!$C40*1000)</f>
        <v>0.10527988007269021</v>
      </c>
      <c r="F40" s="1516">
        <f t="shared" si="0"/>
        <v>2.9506164761898074E-2</v>
      </c>
      <c r="G40" s="296">
        <f>TableC4!N41/(C40*1000)</f>
        <v>0.14964297878240906</v>
      </c>
      <c r="H40" s="1526">
        <f>+TableC4!O41/(TableC4c!$C40*1000)</f>
        <v>0.10631323092791226</v>
      </c>
      <c r="I40" s="1521">
        <f t="shared" si="1"/>
        <v>4.3329747854496808E-2</v>
      </c>
      <c r="J40" s="40"/>
      <c r="K40" s="40"/>
      <c r="L40" s="40"/>
    </row>
    <row r="41" spans="1:12" ht="14.25" customHeight="1" x14ac:dyDescent="0.35">
      <c r="B41" s="292" t="s">
        <v>1</v>
      </c>
      <c r="C41" s="295"/>
      <c r="D41" s="296"/>
      <c r="E41" s="1526"/>
      <c r="F41" s="1516"/>
      <c r="G41" s="296"/>
      <c r="H41" s="1526"/>
      <c r="I41" s="1521"/>
      <c r="J41" s="40"/>
      <c r="K41" s="40"/>
      <c r="L41" s="40"/>
    </row>
    <row r="42" spans="1:12" ht="14.25" customHeight="1" x14ac:dyDescent="0.35">
      <c r="B42" s="292" t="s">
        <v>81</v>
      </c>
      <c r="C42" s="1373">
        <f>+TableA2!F42</f>
        <v>212.59949330572061</v>
      </c>
      <c r="D42" s="296">
        <f>TableC4!C43/(C42*1000)</f>
        <v>2.3403126429068864E-2</v>
      </c>
      <c r="E42" s="1526">
        <f>+TableC4!D43/(TableC4c!$C42*1000)</f>
        <v>7.6031488383528668E-3</v>
      </c>
      <c r="F42" s="1516">
        <f t="shared" si="0"/>
        <v>1.5799977590715997E-2</v>
      </c>
      <c r="G42" s="296">
        <f>TableC4!N43/(C42*1000)</f>
        <v>2.2016915242835844E-3</v>
      </c>
      <c r="H42" s="1526">
        <f>+TableC4!O43/(TableC4c!$C42*1000)</f>
        <v>2.1097985866528656E-3</v>
      </c>
      <c r="I42" s="1521">
        <f t="shared" si="1"/>
        <v>9.1892937630718829E-5</v>
      </c>
      <c r="J42" s="40"/>
      <c r="K42" s="40"/>
      <c r="L42" s="40"/>
    </row>
    <row r="43" spans="1:12" ht="14.25" customHeight="1" x14ac:dyDescent="0.35">
      <c r="B43" s="292" t="s">
        <v>82</v>
      </c>
      <c r="C43" s="1373">
        <f>+TableA2!F43</f>
        <v>425.05098961874262</v>
      </c>
      <c r="D43" s="296">
        <f>TableC4!C44/(C43*1000)</f>
        <v>0.14469064226438044</v>
      </c>
      <c r="E43" s="1526">
        <f>+TableC4!D44/(TableC4c!$C43*1000)</f>
        <v>0.11421046030645161</v>
      </c>
      <c r="F43" s="1516">
        <f t="shared" si="0"/>
        <v>3.0480181957928829E-2</v>
      </c>
      <c r="G43" s="296">
        <f>TableC4!N44/(C43*1000)</f>
        <v>0.12815050934117811</v>
      </c>
      <c r="H43" s="1526">
        <f>+TableC4!O44/(TableC4c!$C43*1000)</f>
        <v>9.1272208281888839E-2</v>
      </c>
      <c r="I43" s="1521">
        <f t="shared" si="1"/>
        <v>3.687830105928927E-2</v>
      </c>
      <c r="J43" s="40"/>
      <c r="K43" s="40"/>
      <c r="L43" s="40"/>
    </row>
    <row r="44" spans="1:12" ht="14.25" customHeight="1" x14ac:dyDescent="0.35">
      <c r="B44" s="292" t="s">
        <v>0</v>
      </c>
      <c r="C44" s="1373">
        <f>+TableA2!F44</f>
        <v>1889.3969000000002</v>
      </c>
      <c r="D44" s="296">
        <f>TableC4!C45/(C44*1000)</f>
        <v>7.5455458090093075E-2</v>
      </c>
      <c r="E44" s="1526">
        <f>+TableC4!D45/(TableC4c!$C44*1000)</f>
        <v>2.2818456153133465E-2</v>
      </c>
      <c r="F44" s="1516">
        <f t="shared" si="0"/>
        <v>5.263700193695961E-2</v>
      </c>
      <c r="G44" s="296">
        <f>TableC4!N45/(C44*1000)</f>
        <v>0.1616466038900701</v>
      </c>
      <c r="H44" s="1526">
        <f>+TableC4!O45/(TableC4c!$C44*1000)</f>
        <v>9.0840670684687874E-2</v>
      </c>
      <c r="I44" s="1521">
        <f t="shared" si="1"/>
        <v>7.0805933205382227E-2</v>
      </c>
      <c r="J44" s="40"/>
      <c r="K44" s="40"/>
      <c r="L44" s="40"/>
    </row>
    <row r="45" spans="1:12" ht="40" customHeight="1" x14ac:dyDescent="0.35">
      <c r="B45" s="1186" t="s">
        <v>99</v>
      </c>
      <c r="C45" s="1359">
        <f>SUM(C46:C52)</f>
        <v>3157.101545061153</v>
      </c>
      <c r="D45" s="588">
        <f>TableC4!C46/(C45*1000)</f>
        <v>3.2497896070587624E-2</v>
      </c>
      <c r="E45" s="589">
        <f>+TableC4!D46/(TableC4c!$C45*1000)</f>
        <v>7.6553060555098369E-3</v>
      </c>
      <c r="F45" s="955">
        <f t="shared" si="0"/>
        <v>2.4842590015077787E-2</v>
      </c>
      <c r="G45" s="588">
        <f>TableC4!N46/(C45*1000)</f>
        <v>2.0038167292055778E-2</v>
      </c>
      <c r="H45" s="589">
        <f>+TableC4!O46/(TableC4c!$C45*1000)</f>
        <v>2.1379684612975328E-3</v>
      </c>
      <c r="I45" s="959">
        <f t="shared" si="1"/>
        <v>1.7900198830758246E-2</v>
      </c>
      <c r="J45" s="589"/>
      <c r="K45" s="589"/>
      <c r="L45" s="589"/>
    </row>
    <row r="46" spans="1:12" x14ac:dyDescent="0.35">
      <c r="B46" s="294" t="s">
        <v>92</v>
      </c>
      <c r="C46" s="1373">
        <f>+TableA2!F46</f>
        <v>274.33569999999997</v>
      </c>
      <c r="D46" s="296">
        <f>TableC4!C47/(C46*1000)</f>
        <v>5.180537791475745E-2</v>
      </c>
      <c r="E46" s="1526">
        <f>+TableC4!D47/(TableC4c!$C46*1000)</f>
        <v>1.9200665566937374E-2</v>
      </c>
      <c r="F46" s="1516">
        <f t="shared" si="0"/>
        <v>3.2604712347820072E-2</v>
      </c>
      <c r="G46" s="296">
        <f>TableC4!N47/(C46*1000)</f>
        <v>2.4698700731717985E-2</v>
      </c>
      <c r="H46" s="1526">
        <f>+TableC4!O47/(TableC4c!$C46*1000)</f>
        <v>2.3616485554207426E-2</v>
      </c>
      <c r="I46" s="1521">
        <f t="shared" si="1"/>
        <v>1.0822151775105593E-3</v>
      </c>
      <c r="J46" s="40"/>
      <c r="K46" s="40"/>
      <c r="L46" s="40"/>
    </row>
    <row r="47" spans="1:12" x14ac:dyDescent="0.35">
      <c r="A47" s="741" t="s">
        <v>488</v>
      </c>
      <c r="B47" s="301" t="s">
        <v>101</v>
      </c>
      <c r="C47" s="1373">
        <f>+TableA2!F47</f>
        <v>2068.7040725409047</v>
      </c>
      <c r="D47" s="296">
        <f>TableC4!C48/(C47*1000)</f>
        <v>2.9257837664987803E-2</v>
      </c>
      <c r="E47" s="1526">
        <f>+TableC4!D48/(TableC4c!$C47*1000)</f>
        <v>2.9630492037409535E-3</v>
      </c>
      <c r="F47" s="1516">
        <f t="shared" si="0"/>
        <v>2.6294788461246849E-2</v>
      </c>
      <c r="G47" s="296">
        <f>TableC4!N48/(C47*1000)</f>
        <v>2.2002871514941763E-2</v>
      </c>
      <c r="H47" s="1526">
        <f>+TableC4!O48/(TableC4c!$C47*1000)</f>
        <v>3.1082109131057896E-6</v>
      </c>
      <c r="I47" s="1521">
        <f t="shared" si="1"/>
        <v>2.1999763304028658E-2</v>
      </c>
      <c r="J47" s="40"/>
      <c r="K47" s="40"/>
      <c r="L47" s="40"/>
    </row>
    <row r="48" spans="1:12" x14ac:dyDescent="0.35">
      <c r="B48" s="301" t="s">
        <v>93</v>
      </c>
      <c r="C48" s="1373">
        <f>+TableA2!F48</f>
        <v>58.600733808963028</v>
      </c>
      <c r="D48" s="296">
        <f>TableC4!C49/(C48*1000)</f>
        <v>2.3952216095217999E-2</v>
      </c>
      <c r="E48" s="1526">
        <f>+TableC4!D49/(TableC4c!$C48*1000)</f>
        <v>9.7760119106708055E-3</v>
      </c>
      <c r="F48" s="1516">
        <f t="shared" si="0"/>
        <v>1.4176204184547193E-2</v>
      </c>
      <c r="G48" s="296">
        <f>TableC4!N49/(C48*1000)</f>
        <v>1.7046993984228348E-2</v>
      </c>
      <c r="H48" s="1526">
        <f>+TableC4!O49/(TableC4c!$C48*1000)</f>
        <v>-5.0302272680753466E-5</v>
      </c>
      <c r="I48" s="1521">
        <f t="shared" si="1"/>
        <v>1.7097296256909103E-2</v>
      </c>
      <c r="J48" s="40"/>
      <c r="K48" s="40"/>
      <c r="L48" s="40"/>
    </row>
    <row r="49" spans="1:12" x14ac:dyDescent="0.35">
      <c r="B49" s="301" t="s">
        <v>94</v>
      </c>
      <c r="C49" s="1373">
        <f>+TableA2!F49</f>
        <v>13.202740172271037</v>
      </c>
      <c r="D49" s="296">
        <f>TableC4!C50/(C49*1000)</f>
        <v>8.0098523101174837E-2</v>
      </c>
      <c r="E49" s="1526">
        <f>+TableC4!D50/(TableC4c!$C49*1000)</f>
        <v>3.2691927659276532E-2</v>
      </c>
      <c r="F49" s="1516">
        <f t="shared" si="0"/>
        <v>4.7406595441898305E-2</v>
      </c>
      <c r="G49" s="296">
        <f>TableC4!N50/(C49*1000)</f>
        <v>9.0290525180635427E-3</v>
      </c>
      <c r="H49" s="1526">
        <f>+TableC4!O50/(TableC4c!$C49*1000)</f>
        <v>-1.1181643448494339E-4</v>
      </c>
      <c r="I49" s="1521">
        <f t="shared" si="1"/>
        <v>9.1408689525484862E-3</v>
      </c>
      <c r="J49" s="40"/>
      <c r="K49" s="40"/>
      <c r="L49" s="40"/>
    </row>
    <row r="50" spans="1:12" ht="14.25" customHeight="1" x14ac:dyDescent="0.35">
      <c r="B50" s="301" t="s">
        <v>102</v>
      </c>
      <c r="C50" s="1373">
        <f>+TableA2!F50</f>
        <v>376.12710693199818</v>
      </c>
      <c r="D50" s="296">
        <f>TableC4!C51/(C50*1000)</f>
        <v>2.5194671865162534E-2</v>
      </c>
      <c r="E50" s="1526">
        <f>+TableC4!D51/(TableC4c!$C50*1000)</f>
        <v>7.3438781106864677E-3</v>
      </c>
      <c r="F50" s="1516">
        <f t="shared" si="0"/>
        <v>1.7850793754476065E-2</v>
      </c>
      <c r="G50" s="296">
        <f>TableC4!N51/(C50*1000)</f>
        <v>1.2434136106460677E-2</v>
      </c>
      <c r="H50" s="1526">
        <f>+TableC4!O51/(TableC4c!$C50*1000)</f>
        <v>7.6634254273285382E-5</v>
      </c>
      <c r="I50" s="1521">
        <f t="shared" si="1"/>
        <v>1.2357501852187392E-2</v>
      </c>
      <c r="J50" s="40"/>
      <c r="K50" s="40"/>
      <c r="L50" s="40"/>
    </row>
    <row r="51" spans="1:12" ht="14.25" customHeight="1" x14ac:dyDescent="0.35">
      <c r="A51" s="741" t="s">
        <v>318</v>
      </c>
      <c r="B51" s="301" t="s">
        <v>103</v>
      </c>
      <c r="C51" s="1373">
        <f>+TableA2!F51</f>
        <v>289.6640115913587</v>
      </c>
      <c r="D51" s="296">
        <f>TableC4!C52/(C51*1000)</f>
        <v>4.0885660197378881E-2</v>
      </c>
      <c r="E51" s="1526">
        <f>+TableC4!D52/(TableC4c!$C51*1000)</f>
        <v>2.5092404520325327E-2</v>
      </c>
      <c r="F51" s="1516">
        <f t="shared" si="0"/>
        <v>1.5793255677053555E-2</v>
      </c>
      <c r="G51" s="296">
        <f>TableC4!N52/(C51*1000)</f>
        <v>2.6062764902799189E-3</v>
      </c>
      <c r="H51" s="1526">
        <f>+TableC4!O52/(TableC4c!$C51*1000)</f>
        <v>2.4783718886362683E-3</v>
      </c>
      <c r="I51" s="1521">
        <f t="shared" si="1"/>
        <v>1.2790460164365056E-4</v>
      </c>
      <c r="J51" s="40"/>
      <c r="K51" s="40"/>
      <c r="L51" s="40"/>
    </row>
    <row r="52" spans="1:12" ht="14.25" customHeight="1" x14ac:dyDescent="0.35">
      <c r="B52" s="292" t="s">
        <v>97</v>
      </c>
      <c r="C52" s="1373">
        <f>+TableA2!F52</f>
        <v>76.467180015656993</v>
      </c>
      <c r="D52" s="296">
        <f>TableC4!C53/(C52*1000)</f>
        <v>5.3364653087067809E-2</v>
      </c>
      <c r="E52" s="1526">
        <f>+TableC4!D53/(TableC4c!$C52*1000)</f>
        <v>2.2707466290113394E-2</v>
      </c>
      <c r="F52" s="1516">
        <f t="shared" si="0"/>
        <v>3.0657186796954415E-2</v>
      </c>
      <c r="G52" s="296">
        <f>TableC4!N53/(C52*1000)</f>
        <v>5.7795107870260029E-2</v>
      </c>
      <c r="H52" s="1526">
        <f>+TableC4!O53/(TableC4c!$C52*1000)</f>
        <v>-6.2482605280048875E-3</v>
      </c>
      <c r="I52" s="1521">
        <f t="shared" si="1"/>
        <v>6.404336839826491E-2</v>
      </c>
      <c r="J52" s="40"/>
      <c r="K52" s="40"/>
      <c r="L52" s="40"/>
    </row>
    <row r="53" spans="1:12" ht="40" hidden="1" customHeight="1" x14ac:dyDescent="0.35">
      <c r="B53" s="1186" t="s">
        <v>100</v>
      </c>
      <c r="C53" s="663"/>
      <c r="D53" s="404" t="e">
        <f>TableC4!C54/(C53*1000)</f>
        <v>#DIV/0!</v>
      </c>
      <c r="E53" s="1527" t="e">
        <f>+TableC4!D54/(TableC4c!$C53*1000)</f>
        <v>#DIV/0!</v>
      </c>
      <c r="F53" s="1517" t="e">
        <f t="shared" si="0"/>
        <v>#DIV/0!</v>
      </c>
      <c r="G53" s="404" t="e">
        <f>TableC4!N54/(C53*1000)</f>
        <v>#DIV/0!</v>
      </c>
      <c r="H53" s="1527" t="e">
        <f>+TableC4!O54/(TableC4c!$C53*1000)</f>
        <v>#DIV/0!</v>
      </c>
      <c r="I53" s="1522" t="e">
        <f t="shared" si="1"/>
        <v>#DIV/0!</v>
      </c>
      <c r="J53" s="589"/>
      <c r="K53" s="589"/>
      <c r="L53" s="589"/>
    </row>
    <row r="54" spans="1:12" ht="14.25" hidden="1" customHeight="1" x14ac:dyDescent="0.35">
      <c r="B54" s="302" t="s">
        <v>272</v>
      </c>
      <c r="C54" s="1374"/>
      <c r="D54" s="1346" t="e">
        <f>TableC4!C55/(C54*1000)</f>
        <v>#DIV/0!</v>
      </c>
      <c r="E54" s="1527" t="e">
        <f>+TableC4!D55/(TableC4c!$C54*1000)</f>
        <v>#DIV/0!</v>
      </c>
      <c r="F54" s="1516" t="e">
        <f t="shared" si="0"/>
        <v>#DIV/0!</v>
      </c>
      <c r="G54" s="1346" t="e">
        <f>TableC4!N55/(C54*1000)</f>
        <v>#DIV/0!</v>
      </c>
      <c r="H54" s="1527" t="e">
        <f>+TableC4!O55/(TableC4c!$C54*1000)</f>
        <v>#DIV/0!</v>
      </c>
      <c r="I54" s="1521" t="e">
        <f t="shared" si="1"/>
        <v>#DIV/0!</v>
      </c>
      <c r="J54" s="9"/>
      <c r="K54" s="9"/>
      <c r="L54" s="9"/>
    </row>
    <row r="55" spans="1:12" ht="14.25" hidden="1" customHeight="1" x14ac:dyDescent="0.35">
      <c r="B55" s="302" t="s">
        <v>273</v>
      </c>
      <c r="C55" s="1374"/>
      <c r="D55" s="1346" t="e">
        <f>TableC4!C56/(C55*1000)</f>
        <v>#DIV/0!</v>
      </c>
      <c r="E55" s="1527" t="e">
        <f>+TableC4!D56/(TableC4c!$C55*1000)</f>
        <v>#DIV/0!</v>
      </c>
      <c r="F55" s="1516" t="e">
        <f t="shared" si="0"/>
        <v>#DIV/0!</v>
      </c>
      <c r="G55" s="1346" t="e">
        <f>TableC4!N56/(C55*1000)</f>
        <v>#DIV/0!</v>
      </c>
      <c r="H55" s="1527" t="e">
        <f>+TableC4!O56/(TableC4c!$C55*1000)</f>
        <v>#DIV/0!</v>
      </c>
      <c r="I55" s="1521" t="e">
        <f t="shared" si="1"/>
        <v>#DIV/0!</v>
      </c>
      <c r="J55" s="9"/>
      <c r="K55" s="9"/>
      <c r="L55" s="9"/>
    </row>
    <row r="56" spans="1:12" ht="14.25" hidden="1" customHeight="1" x14ac:dyDescent="0.35">
      <c r="B56" s="304" t="str">
        <f>+TableA1!A56</f>
        <v>Antigua and Barbuda</v>
      </c>
      <c r="C56" s="1375"/>
      <c r="D56" s="1347" t="e">
        <f>TableC4!C57/(C56*1000)</f>
        <v>#DIV/0!</v>
      </c>
      <c r="E56" s="1527" t="e">
        <f>+TableC4!D57/(TableC4c!$C56*1000)</f>
        <v>#DIV/0!</v>
      </c>
      <c r="F56" s="1516" t="e">
        <f t="shared" si="0"/>
        <v>#DIV/0!</v>
      </c>
      <c r="G56" s="1347" t="e">
        <f>TableC4!N57/(C56*1000)</f>
        <v>#DIV/0!</v>
      </c>
      <c r="H56" s="1527" t="e">
        <f>+TableC4!O57/(TableC4c!$C56*1000)</f>
        <v>#DIV/0!</v>
      </c>
      <c r="I56" s="1521" t="e">
        <f t="shared" si="1"/>
        <v>#DIV/0!</v>
      </c>
      <c r="J56" s="9"/>
      <c r="K56" s="9"/>
      <c r="L56" s="9"/>
    </row>
    <row r="57" spans="1:12" ht="14.25" hidden="1" customHeight="1" x14ac:dyDescent="0.35">
      <c r="B57" s="302" t="s">
        <v>274</v>
      </c>
      <c r="C57" s="1374"/>
      <c r="D57" s="1346" t="e">
        <f>TableC4!C58/(C57*1000)</f>
        <v>#DIV/0!</v>
      </c>
      <c r="E57" s="1527" t="e">
        <f>+TableC4!D58/(TableC4c!$C57*1000)</f>
        <v>#DIV/0!</v>
      </c>
      <c r="F57" s="1516" t="e">
        <f t="shared" si="0"/>
        <v>#DIV/0!</v>
      </c>
      <c r="G57" s="1346" t="e">
        <f>TableC4!N58/(C57*1000)</f>
        <v>#DIV/0!</v>
      </c>
      <c r="H57" s="1527" t="e">
        <f>+TableC4!O58/(TableC4c!$C57*1000)</f>
        <v>#DIV/0!</v>
      </c>
      <c r="I57" s="1521" t="e">
        <f t="shared" si="1"/>
        <v>#DIV/0!</v>
      </c>
      <c r="J57" s="9"/>
      <c r="K57" s="9"/>
      <c r="L57" s="9"/>
    </row>
    <row r="58" spans="1:12" ht="14.25" hidden="1" customHeight="1" x14ac:dyDescent="0.35">
      <c r="A58" s="741" t="s">
        <v>320</v>
      </c>
      <c r="B58" s="302" t="s">
        <v>275</v>
      </c>
      <c r="C58" s="1374"/>
      <c r="D58" s="1346" t="e">
        <f>TableC4!C59/(C58*1000)</f>
        <v>#DIV/0!</v>
      </c>
      <c r="E58" s="1527" t="e">
        <f>+TableC4!D59/(TableC4c!$C58*1000)</f>
        <v>#DIV/0!</v>
      </c>
      <c r="F58" s="1516" t="e">
        <f t="shared" si="0"/>
        <v>#DIV/0!</v>
      </c>
      <c r="G58" s="1346" t="e">
        <f>TableC4!N59/(C58*1000)</f>
        <v>#DIV/0!</v>
      </c>
      <c r="H58" s="1527" t="e">
        <f>+TableC4!O59/(TableC4c!$C58*1000)</f>
        <v>#DIV/0!</v>
      </c>
      <c r="I58" s="1521" t="e">
        <f t="shared" si="1"/>
        <v>#DIV/0!</v>
      </c>
      <c r="J58" s="9"/>
      <c r="K58" s="9"/>
      <c r="L58" s="9"/>
    </row>
    <row r="59" spans="1:12" ht="14.25" hidden="1" customHeight="1" x14ac:dyDescent="0.35">
      <c r="A59" s="741" t="s">
        <v>486</v>
      </c>
      <c r="B59" s="302" t="s">
        <v>276</v>
      </c>
      <c r="C59" s="1374"/>
      <c r="D59" s="1346" t="e">
        <f>TableC4!C60/(C59*1000)</f>
        <v>#DIV/0!</v>
      </c>
      <c r="E59" s="1527" t="e">
        <f>+TableC4!D60/(TableC4c!$C59*1000)</f>
        <v>#DIV/0!</v>
      </c>
      <c r="F59" s="1516" t="e">
        <f t="shared" si="0"/>
        <v>#DIV/0!</v>
      </c>
      <c r="G59" s="1346" t="e">
        <f>TableC4!N60/(C59*1000)</f>
        <v>#DIV/0!</v>
      </c>
      <c r="H59" s="1527" t="e">
        <f>+TableC4!O60/(TableC4c!$C59*1000)</f>
        <v>#DIV/0!</v>
      </c>
      <c r="I59" s="1521" t="e">
        <f t="shared" si="1"/>
        <v>#DIV/0!</v>
      </c>
      <c r="J59" s="9"/>
      <c r="K59" s="9"/>
      <c r="L59" s="9"/>
    </row>
    <row r="60" spans="1:12" ht="14.25" hidden="1" customHeight="1" x14ac:dyDescent="0.35">
      <c r="B60" s="304" t="str">
        <f>+TableA1!A60</f>
        <v>Barbados</v>
      </c>
      <c r="C60" s="1375"/>
      <c r="D60" s="1347" t="e">
        <f>TableC4!C61/(C60*1000)</f>
        <v>#DIV/0!</v>
      </c>
      <c r="E60" s="1527" t="e">
        <f>+TableC4!D61/(TableC4c!$C60*1000)</f>
        <v>#DIV/0!</v>
      </c>
      <c r="F60" s="1516" t="e">
        <f t="shared" si="0"/>
        <v>#DIV/0!</v>
      </c>
      <c r="G60" s="1347" t="e">
        <f>TableC4!N61/(C60*1000)</f>
        <v>#DIV/0!</v>
      </c>
      <c r="H60" s="1527" t="e">
        <f>+TableC4!O61/(TableC4c!$C60*1000)</f>
        <v>#DIV/0!</v>
      </c>
      <c r="I60" s="1521" t="e">
        <f t="shared" si="1"/>
        <v>#DIV/0!</v>
      </c>
      <c r="J60" s="9"/>
      <c r="K60" s="9"/>
      <c r="L60" s="9"/>
    </row>
    <row r="61" spans="1:12" ht="14.25" hidden="1" customHeight="1" x14ac:dyDescent="0.35">
      <c r="B61" s="302" t="s">
        <v>277</v>
      </c>
      <c r="C61" s="1374"/>
      <c r="D61" s="1346" t="e">
        <f>TableC4!C62/(C61*1000)</f>
        <v>#DIV/0!</v>
      </c>
      <c r="E61" s="1527" t="e">
        <f>+TableC4!D62/(TableC4c!$C61*1000)</f>
        <v>#DIV/0!</v>
      </c>
      <c r="F61" s="1516" t="e">
        <f t="shared" si="0"/>
        <v>#DIV/0!</v>
      </c>
      <c r="G61" s="1346" t="e">
        <f>TableC4!N62/(C61*1000)</f>
        <v>#DIV/0!</v>
      </c>
      <c r="H61" s="1527" t="e">
        <f>+TableC4!O62/(TableC4c!$C61*1000)</f>
        <v>#DIV/0!</v>
      </c>
      <c r="I61" s="1521" t="e">
        <f t="shared" si="1"/>
        <v>#DIV/0!</v>
      </c>
      <c r="J61" s="9"/>
      <c r="K61" s="9"/>
      <c r="L61" s="9"/>
    </row>
    <row r="62" spans="1:12" ht="14.25" hidden="1" customHeight="1" x14ac:dyDescent="0.35">
      <c r="B62" s="302" t="s">
        <v>213</v>
      </c>
      <c r="C62" s="1374"/>
      <c r="D62" s="1346" t="e">
        <f>TableC4!C63/(C62*1000)</f>
        <v>#DIV/0!</v>
      </c>
      <c r="E62" s="1527" t="e">
        <f>+TableC4!D63/(TableC4c!$C62*1000)</f>
        <v>#DIV/0!</v>
      </c>
      <c r="F62" s="1516" t="e">
        <f t="shared" si="0"/>
        <v>#DIV/0!</v>
      </c>
      <c r="G62" s="1346" t="e">
        <f>TableC4!N63/(C62*1000)</f>
        <v>#DIV/0!</v>
      </c>
      <c r="H62" s="1527" t="e">
        <f>+TableC4!O63/(TableC4c!$C62*1000)</f>
        <v>#DIV/0!</v>
      </c>
      <c r="I62" s="1521" t="e">
        <f t="shared" si="1"/>
        <v>#DIV/0!</v>
      </c>
      <c r="J62" s="9"/>
      <c r="K62" s="9"/>
      <c r="L62" s="9"/>
    </row>
    <row r="63" spans="1:12" ht="14.25" hidden="1" customHeight="1" x14ac:dyDescent="0.35">
      <c r="A63" s="741" t="s">
        <v>539</v>
      </c>
      <c r="B63" s="302" t="s">
        <v>278</v>
      </c>
      <c r="C63" s="1374"/>
      <c r="D63" s="1346" t="e">
        <f>TableC4!C64/(C63*1000)</f>
        <v>#DIV/0!</v>
      </c>
      <c r="E63" s="1527" t="e">
        <f>+TableC4!D64/(TableC4c!$C63*1000)</f>
        <v>#DIV/0!</v>
      </c>
      <c r="F63" s="1516" t="e">
        <f t="shared" si="0"/>
        <v>#DIV/0!</v>
      </c>
      <c r="G63" s="1346" t="e">
        <f>TableC4!N64/(C63*1000)</f>
        <v>#DIV/0!</v>
      </c>
      <c r="H63" s="1527" t="e">
        <f>+TableC4!O64/(TableC4c!$C63*1000)</f>
        <v>#DIV/0!</v>
      </c>
      <c r="I63" s="1521" t="e">
        <f t="shared" si="1"/>
        <v>#DIV/0!</v>
      </c>
      <c r="J63" s="9"/>
      <c r="K63" s="9"/>
      <c r="L63" s="9"/>
    </row>
    <row r="64" spans="1:12" ht="14.25" hidden="1" customHeight="1" x14ac:dyDescent="0.35">
      <c r="A64" s="741" t="s">
        <v>504</v>
      </c>
      <c r="B64" s="302" t="s">
        <v>279</v>
      </c>
      <c r="C64" s="1374"/>
      <c r="D64" s="1346" t="e">
        <f>TableC4!C65/(C64*1000)</f>
        <v>#DIV/0!</v>
      </c>
      <c r="E64" s="1527" t="e">
        <f>+TableC4!D65/(TableC4c!$C64*1000)</f>
        <v>#DIV/0!</v>
      </c>
      <c r="F64" s="1516" t="e">
        <f t="shared" si="0"/>
        <v>#DIV/0!</v>
      </c>
      <c r="G64" s="1346" t="e">
        <f>TableC4!N65/(C64*1000)</f>
        <v>#DIV/0!</v>
      </c>
      <c r="H64" s="1527" t="e">
        <f>+TableC4!O65/(TableC4c!$C64*1000)</f>
        <v>#DIV/0!</v>
      </c>
      <c r="I64" s="1521" t="e">
        <f t="shared" si="1"/>
        <v>#DIV/0!</v>
      </c>
      <c r="J64" s="9"/>
      <c r="K64" s="9"/>
      <c r="L64" s="9"/>
    </row>
    <row r="65" spans="1:12" ht="14.25" hidden="1" customHeight="1" x14ac:dyDescent="0.35">
      <c r="B65" s="303" t="s">
        <v>291</v>
      </c>
      <c r="C65" s="1376"/>
      <c r="D65" s="1348" t="e">
        <f>TableC4!C66/(C65*1000)</f>
        <v>#DIV/0!</v>
      </c>
      <c r="E65" s="1527" t="e">
        <f>+TableC4!D66/(TableC4c!$C65*1000)</f>
        <v>#DIV/0!</v>
      </c>
      <c r="F65" s="1516" t="e">
        <f t="shared" si="0"/>
        <v>#DIV/0!</v>
      </c>
      <c r="G65" s="1348" t="e">
        <f>TableC4!N66/(C65*1000)</f>
        <v>#DIV/0!</v>
      </c>
      <c r="H65" s="1527" t="e">
        <f>+TableC4!O66/(TableC4c!$C65*1000)</f>
        <v>#DIV/0!</v>
      </c>
      <c r="I65" s="1521" t="e">
        <f t="shared" si="1"/>
        <v>#DIV/0!</v>
      </c>
      <c r="J65" s="9"/>
      <c r="K65" s="9"/>
      <c r="L65" s="9"/>
    </row>
    <row r="66" spans="1:12" ht="14.25" hidden="1" customHeight="1" x14ac:dyDescent="0.35">
      <c r="B66" s="302" t="s">
        <v>280</v>
      </c>
      <c r="C66" s="1374"/>
      <c r="D66" s="1346" t="e">
        <f>TableC4!C67/(C66*1000)</f>
        <v>#DIV/0!</v>
      </c>
      <c r="E66" s="1527" t="e">
        <f>+TableC4!D67/(TableC4c!$C66*1000)</f>
        <v>#DIV/0!</v>
      </c>
      <c r="F66" s="1516" t="e">
        <f t="shared" si="0"/>
        <v>#DIV/0!</v>
      </c>
      <c r="G66" s="1346" t="e">
        <f>TableC4!N67/(C66*1000)</f>
        <v>#DIV/0!</v>
      </c>
      <c r="H66" s="1527" t="e">
        <f>+TableC4!O67/(TableC4c!$C66*1000)</f>
        <v>#DIV/0!</v>
      </c>
      <c r="I66" s="1521" t="e">
        <f t="shared" si="1"/>
        <v>#DIV/0!</v>
      </c>
      <c r="J66" s="9"/>
      <c r="K66" s="9"/>
      <c r="L66" s="9"/>
    </row>
    <row r="67" spans="1:12" ht="14.25" hidden="1" customHeight="1" x14ac:dyDescent="0.35">
      <c r="B67" s="304" t="str">
        <f>+TableA1!A67</f>
        <v>Cyprus</v>
      </c>
      <c r="C67" s="1375"/>
      <c r="D67" s="1347" t="e">
        <f>TableC4!C68/(C67*1000)</f>
        <v>#DIV/0!</v>
      </c>
      <c r="E67" s="1527" t="e">
        <f>+TableC4!D68/(TableC4c!$C67*1000)</f>
        <v>#DIV/0!</v>
      </c>
      <c r="F67" s="1516" t="e">
        <f t="shared" si="0"/>
        <v>#DIV/0!</v>
      </c>
      <c r="G67" s="1347" t="e">
        <f>TableC4!N68/(C67*1000)</f>
        <v>#DIV/0!</v>
      </c>
      <c r="H67" s="1527" t="e">
        <f>+TableC4!O68/(TableC4c!$C67*1000)</f>
        <v>#DIV/0!</v>
      </c>
      <c r="I67" s="1521" t="e">
        <f t="shared" si="1"/>
        <v>#DIV/0!</v>
      </c>
      <c r="J67" s="9"/>
      <c r="K67" s="9"/>
      <c r="L67" s="9"/>
    </row>
    <row r="68" spans="1:12" ht="14.25" hidden="1" customHeight="1" x14ac:dyDescent="0.35">
      <c r="B68" s="302" t="s">
        <v>281</v>
      </c>
      <c r="C68" s="1374"/>
      <c r="D68" s="1346" t="e">
        <f>TableC4!C69/(C68*1000)</f>
        <v>#DIV/0!</v>
      </c>
      <c r="E68" s="1527" t="e">
        <f>+TableC4!D69/(TableC4c!$C68*1000)</f>
        <v>#DIV/0!</v>
      </c>
      <c r="F68" s="1516" t="e">
        <f t="shared" si="0"/>
        <v>#DIV/0!</v>
      </c>
      <c r="G68" s="1346" t="e">
        <f>TableC4!N69/(C68*1000)</f>
        <v>#DIV/0!</v>
      </c>
      <c r="H68" s="1527" t="e">
        <f>+TableC4!O69/(TableC4c!$C68*1000)</f>
        <v>#DIV/0!</v>
      </c>
      <c r="I68" s="1521" t="e">
        <f t="shared" si="1"/>
        <v>#DIV/0!</v>
      </c>
      <c r="J68" s="9"/>
      <c r="K68" s="9"/>
      <c r="L68" s="9"/>
    </row>
    <row r="69" spans="1:12" ht="14.25" hidden="1" customHeight="1" x14ac:dyDescent="0.35">
      <c r="B69" s="304" t="str">
        <f>+TableA1!A69</f>
        <v>Grenada</v>
      </c>
      <c r="C69" s="1375"/>
      <c r="D69" s="1347" t="e">
        <f>TableC4!C70/(C69*1000)</f>
        <v>#DIV/0!</v>
      </c>
      <c r="E69" s="1527" t="e">
        <f>+TableC4!D70/(TableC4c!$C69*1000)</f>
        <v>#DIV/0!</v>
      </c>
      <c r="F69" s="1516" t="e">
        <f t="shared" si="0"/>
        <v>#DIV/0!</v>
      </c>
      <c r="G69" s="1347" t="e">
        <f>TableC4!N70/(C69*1000)</f>
        <v>#DIV/0!</v>
      </c>
      <c r="H69" s="1527" t="e">
        <f>+TableC4!O70/(TableC4c!$C69*1000)</f>
        <v>#DIV/0!</v>
      </c>
      <c r="I69" s="1521" t="e">
        <f t="shared" si="1"/>
        <v>#DIV/0!</v>
      </c>
      <c r="J69" s="9"/>
      <c r="K69" s="9"/>
      <c r="L69" s="9"/>
    </row>
    <row r="70" spans="1:12" ht="14.25" hidden="1" customHeight="1" x14ac:dyDescent="0.35">
      <c r="B70" s="302" t="s">
        <v>282</v>
      </c>
      <c r="C70" s="1374"/>
      <c r="D70" s="1346" t="e">
        <f>TableC4!C71/(C70*1000)</f>
        <v>#DIV/0!</v>
      </c>
      <c r="E70" s="1527" t="e">
        <f>+TableC4!D71/(TableC4c!$C70*1000)</f>
        <v>#DIV/0!</v>
      </c>
      <c r="F70" s="1516" t="e">
        <f t="shared" si="0"/>
        <v>#DIV/0!</v>
      </c>
      <c r="G70" s="1346" t="e">
        <f>TableC4!N71/(C70*1000)</f>
        <v>#DIV/0!</v>
      </c>
      <c r="H70" s="1527" t="e">
        <f>+TableC4!O71/(TableC4c!$C70*1000)</f>
        <v>#DIV/0!</v>
      </c>
      <c r="I70" s="1521" t="e">
        <f t="shared" si="1"/>
        <v>#DIV/0!</v>
      </c>
      <c r="J70" s="9"/>
      <c r="K70" s="9"/>
      <c r="L70" s="9"/>
    </row>
    <row r="71" spans="1:12" ht="14.25" hidden="1" customHeight="1" x14ac:dyDescent="0.35">
      <c r="A71" s="741" t="s">
        <v>295</v>
      </c>
      <c r="B71" s="302" t="s">
        <v>283</v>
      </c>
      <c r="C71" s="1374"/>
      <c r="D71" s="1346" t="e">
        <f>TableC4!C72/(C71*1000)</f>
        <v>#DIV/0!</v>
      </c>
      <c r="E71" s="1527" t="e">
        <f>+TableC4!D72/(TableC4c!$C71*1000)</f>
        <v>#DIV/0!</v>
      </c>
      <c r="F71" s="1516" t="e">
        <f t="shared" si="0"/>
        <v>#DIV/0!</v>
      </c>
      <c r="G71" s="1346" t="e">
        <f>TableC4!N72/(C71*1000)</f>
        <v>#DIV/0!</v>
      </c>
      <c r="H71" s="1527" t="e">
        <f>+TableC4!O72/(TableC4c!$C71*1000)</f>
        <v>#DIV/0!</v>
      </c>
      <c r="I71" s="1521" t="e">
        <f t="shared" si="1"/>
        <v>#DIV/0!</v>
      </c>
      <c r="J71" s="9"/>
      <c r="K71" s="9"/>
      <c r="L71"/>
    </row>
    <row r="72" spans="1:12" ht="14.25" hidden="1" customHeight="1" x14ac:dyDescent="0.35">
      <c r="A72" s="741" t="s">
        <v>481</v>
      </c>
      <c r="B72" s="302" t="s">
        <v>220</v>
      </c>
      <c r="C72" s="1374"/>
      <c r="D72" s="1346" t="e">
        <f>TableC4!C73/(C72*1000)</f>
        <v>#DIV/0!</v>
      </c>
      <c r="E72" s="1527" t="e">
        <f>+TableC4!D73/(TableC4c!$C72*1000)</f>
        <v>#DIV/0!</v>
      </c>
      <c r="F72" s="1516" t="e">
        <f t="shared" si="0"/>
        <v>#DIV/0!</v>
      </c>
      <c r="G72" s="1346" t="e">
        <f>TableC4!N73/(C72*1000)</f>
        <v>#DIV/0!</v>
      </c>
      <c r="H72" s="1527" t="e">
        <f>+TableC4!O73/(TableC4c!$C72*1000)</f>
        <v>#DIV/0!</v>
      </c>
      <c r="I72" s="1521" t="e">
        <f t="shared" si="1"/>
        <v>#DIV/0!</v>
      </c>
      <c r="J72" s="9"/>
      <c r="K72" s="9"/>
      <c r="L72"/>
    </row>
    <row r="73" spans="1:12" ht="14.25" hidden="1" customHeight="1" x14ac:dyDescent="0.35">
      <c r="B73" s="302" t="s">
        <v>284</v>
      </c>
      <c r="C73" s="1374"/>
      <c r="D73" s="1346" t="e">
        <f>TableC4!C74/(C73*1000)</f>
        <v>#DIV/0!</v>
      </c>
      <c r="E73" s="1527" t="e">
        <f>+TableC4!D74/(TableC4c!$C73*1000)</f>
        <v>#DIV/0!</v>
      </c>
      <c r="F73" s="1516" t="e">
        <f t="shared" si="0"/>
        <v>#DIV/0!</v>
      </c>
      <c r="G73" s="1346" t="e">
        <f>TableC4!N74/(C73*1000)</f>
        <v>#DIV/0!</v>
      </c>
      <c r="H73" s="1527" t="e">
        <f>+TableC4!O74/(TableC4c!$C73*1000)</f>
        <v>#DIV/0!</v>
      </c>
      <c r="I73" s="1521" t="e">
        <f t="shared" si="1"/>
        <v>#DIV/0!</v>
      </c>
      <c r="J73" s="9"/>
      <c r="K73" s="9"/>
      <c r="L73"/>
    </row>
    <row r="74" spans="1:12" ht="14.25" hidden="1" customHeight="1" x14ac:dyDescent="0.35">
      <c r="B74" s="302" t="s">
        <v>285</v>
      </c>
      <c r="C74" s="1374"/>
      <c r="D74" s="1346" t="e">
        <f>TableC4!C75/(C74*1000)</f>
        <v>#DIV/0!</v>
      </c>
      <c r="E74" s="1527" t="e">
        <f>+TableC4!D75/(TableC4c!$C74*1000)</f>
        <v>#DIV/0!</v>
      </c>
      <c r="F74" s="1516" t="e">
        <f t="shared" ref="F74:F92" si="2">+D74-E74</f>
        <v>#DIV/0!</v>
      </c>
      <c r="G74" s="1346" t="e">
        <f>TableC4!N75/(C74*1000)</f>
        <v>#DIV/0!</v>
      </c>
      <c r="H74" s="1527" t="e">
        <f>+TableC4!O75/(TableC4c!$C74*1000)</f>
        <v>#DIV/0!</v>
      </c>
      <c r="I74" s="1521" t="e">
        <f t="shared" ref="I74:I92" si="3">+G74-H74</f>
        <v>#DIV/0!</v>
      </c>
      <c r="J74" s="9"/>
      <c r="K74" s="9"/>
      <c r="L74"/>
    </row>
    <row r="75" spans="1:12" ht="14.25" hidden="1" customHeight="1" x14ac:dyDescent="0.35">
      <c r="B75" s="302" t="s">
        <v>286</v>
      </c>
      <c r="C75" s="1374"/>
      <c r="D75" s="1346" t="e">
        <f>TableC4!C76/(C75*1000)</f>
        <v>#DIV/0!</v>
      </c>
      <c r="E75" s="1527" t="e">
        <f>+TableC4!D76/(TableC4c!$C75*1000)</f>
        <v>#DIV/0!</v>
      </c>
      <c r="F75" s="1516" t="e">
        <f t="shared" si="2"/>
        <v>#DIV/0!</v>
      </c>
      <c r="G75" s="1346" t="e">
        <f>TableC4!N76/(C75*1000)</f>
        <v>#DIV/0!</v>
      </c>
      <c r="H75" s="1527" t="e">
        <f>+TableC4!O76/(TableC4c!$C75*1000)</f>
        <v>#DIV/0!</v>
      </c>
      <c r="I75" s="1521" t="e">
        <f t="shared" si="3"/>
        <v>#DIV/0!</v>
      </c>
      <c r="J75" s="9"/>
      <c r="K75" s="9"/>
      <c r="L75"/>
    </row>
    <row r="76" spans="1:12" ht="14.25" hidden="1" customHeight="1" x14ac:dyDescent="0.35">
      <c r="A76" s="741" t="s">
        <v>480</v>
      </c>
      <c r="B76" s="302" t="s">
        <v>287</v>
      </c>
      <c r="C76" s="1374"/>
      <c r="D76" s="1346" t="e">
        <f>TableC4!C77/(C76*1000)</f>
        <v>#DIV/0!</v>
      </c>
      <c r="E76" s="1527" t="e">
        <f>+TableC4!D77/(TableC4c!$C76*1000)</f>
        <v>#DIV/0!</v>
      </c>
      <c r="F76" s="1516" t="e">
        <f t="shared" si="2"/>
        <v>#DIV/0!</v>
      </c>
      <c r="G76" s="1346" t="e">
        <f>TableC4!N77/(C76*1000)</f>
        <v>#DIV/0!</v>
      </c>
      <c r="H76" s="1527" t="e">
        <f>+TableC4!O77/(TableC4c!$C76*1000)</f>
        <v>#DIV/0!</v>
      </c>
      <c r="I76" s="1521" t="e">
        <f t="shared" si="3"/>
        <v>#DIV/0!</v>
      </c>
      <c r="J76" s="9"/>
      <c r="K76" s="9"/>
      <c r="L76"/>
    </row>
    <row r="77" spans="1:12" ht="14.25" hidden="1" customHeight="1" x14ac:dyDescent="0.35">
      <c r="B77" s="304" t="s">
        <v>301</v>
      </c>
      <c r="C77" s="1375"/>
      <c r="D77" s="1347" t="e">
        <f>TableC4!C78/(C77*1000)</f>
        <v>#DIV/0!</v>
      </c>
      <c r="E77" s="1527" t="e">
        <f>+TableC4!D78/(TableC4c!$C77*1000)</f>
        <v>#DIV/0!</v>
      </c>
      <c r="F77" s="1516" t="e">
        <f t="shared" si="2"/>
        <v>#DIV/0!</v>
      </c>
      <c r="G77" s="1347" t="e">
        <f>TableC4!N78/(C77*1000)</f>
        <v>#DIV/0!</v>
      </c>
      <c r="H77" s="1527" t="e">
        <f>+TableC4!O78/(TableC4c!$C77*1000)</f>
        <v>#DIV/0!</v>
      </c>
      <c r="I77" s="1521" t="e">
        <f t="shared" si="3"/>
        <v>#DIV/0!</v>
      </c>
      <c r="J77" s="9"/>
      <c r="K77" s="9"/>
      <c r="L77" s="9"/>
    </row>
    <row r="78" spans="1:12" ht="14.25" hidden="1" customHeight="1" x14ac:dyDescent="0.35">
      <c r="A78" s="741" t="s">
        <v>478</v>
      </c>
      <c r="B78" s="304" t="s">
        <v>302</v>
      </c>
      <c r="C78" s="1375"/>
      <c r="D78" s="1347" t="e">
        <f>TableC4!C79/(C78*1000)</f>
        <v>#DIV/0!</v>
      </c>
      <c r="E78" s="1527" t="e">
        <f>+TableC4!D79/(TableC4c!$C78*1000)</f>
        <v>#DIV/0!</v>
      </c>
      <c r="F78" s="1516" t="e">
        <f t="shared" si="2"/>
        <v>#DIV/0!</v>
      </c>
      <c r="G78" s="1347" t="e">
        <f>TableC4!N79/(C78*1000)</f>
        <v>#DIV/0!</v>
      </c>
      <c r="H78" s="1527" t="e">
        <f>+TableC4!O79/(TableC4c!$C78*1000)</f>
        <v>#DIV/0!</v>
      </c>
      <c r="I78" s="1521" t="e">
        <f t="shared" si="3"/>
        <v>#DIV/0!</v>
      </c>
      <c r="J78" s="9"/>
      <c r="K78" s="9"/>
      <c r="L78" s="9"/>
    </row>
    <row r="79" spans="1:12" ht="14.25" hidden="1" customHeight="1" x14ac:dyDescent="0.35">
      <c r="B79" s="304" t="str">
        <f>+TableA1!A79</f>
        <v>Monaco</v>
      </c>
      <c r="C79" s="1375"/>
      <c r="D79" s="1347" t="e">
        <f>TableC4!C80/(C79*1000)</f>
        <v>#DIV/0!</v>
      </c>
      <c r="E79" s="1527" t="e">
        <f>+TableC4!D80/(TableC4c!$C79*1000)</f>
        <v>#DIV/0!</v>
      </c>
      <c r="F79" s="1516" t="e">
        <f t="shared" si="2"/>
        <v>#DIV/0!</v>
      </c>
      <c r="G79" s="1347" t="e">
        <f>TableC4!N80/(C79*1000)</f>
        <v>#DIV/0!</v>
      </c>
      <c r="H79" s="1527" t="e">
        <f>+TableC4!O80/(TableC4c!$C79*1000)</f>
        <v>#DIV/0!</v>
      </c>
      <c r="I79" s="1521" t="e">
        <f t="shared" si="3"/>
        <v>#DIV/0!</v>
      </c>
      <c r="J79" s="9"/>
      <c r="K79" s="9"/>
      <c r="L79" s="9"/>
    </row>
    <row r="80" spans="1:12" ht="14.25" hidden="1" customHeight="1" x14ac:dyDescent="0.35">
      <c r="B80" s="302" t="s">
        <v>288</v>
      </c>
      <c r="C80" s="1374"/>
      <c r="D80" s="1346" t="e">
        <f>TableC4!C81/(C80*1000)</f>
        <v>#DIV/0!</v>
      </c>
      <c r="E80" s="1527" t="e">
        <f>+TableC4!D81/(TableC4c!$C80*1000)</f>
        <v>#DIV/0!</v>
      </c>
      <c r="F80" s="1516" t="e">
        <f t="shared" si="2"/>
        <v>#DIV/0!</v>
      </c>
      <c r="G80" s="1346" t="e">
        <f>TableC4!N81/(C80*1000)</f>
        <v>#DIV/0!</v>
      </c>
      <c r="H80" s="1527" t="e">
        <f>+TableC4!O81/(TableC4c!$C80*1000)</f>
        <v>#DIV/0!</v>
      </c>
      <c r="I80" s="1521" t="e">
        <f t="shared" si="3"/>
        <v>#DIV/0!</v>
      </c>
      <c r="J80" s="9"/>
      <c r="K80" s="9"/>
      <c r="L80" s="9"/>
    </row>
    <row r="81" spans="1:12" ht="14.25" hidden="1" customHeight="1" x14ac:dyDescent="0.35">
      <c r="B81" s="302" t="s">
        <v>289</v>
      </c>
      <c r="C81" s="1374"/>
      <c r="D81" s="1346" t="e">
        <f>TableC4!C82/(C81*1000)</f>
        <v>#DIV/0!</v>
      </c>
      <c r="E81" s="1527" t="e">
        <f>+TableC4!D82/(TableC4c!$C81*1000)</f>
        <v>#DIV/0!</v>
      </c>
      <c r="F81" s="1516" t="e">
        <f t="shared" si="2"/>
        <v>#DIV/0!</v>
      </c>
      <c r="G81" s="1346" t="e">
        <f>TableC4!N82/(C81*1000)</f>
        <v>#DIV/0!</v>
      </c>
      <c r="H81" s="1527" t="e">
        <f>+TableC4!O82/(TableC4c!$C81*1000)</f>
        <v>#DIV/0!</v>
      </c>
      <c r="I81" s="1521" t="e">
        <f t="shared" si="3"/>
        <v>#DIV/0!</v>
      </c>
      <c r="J81" s="9"/>
      <c r="K81" s="9"/>
      <c r="L81" s="9"/>
    </row>
    <row r="82" spans="1:12" ht="14.25" hidden="1" customHeight="1" x14ac:dyDescent="0.35">
      <c r="B82" s="304" t="str">
        <f>+TableA1!A82</f>
        <v>Seychelles</v>
      </c>
      <c r="C82" s="1375"/>
      <c r="D82" s="1347" t="e">
        <f>TableC4!C83/(C82*1000)</f>
        <v>#DIV/0!</v>
      </c>
      <c r="E82" s="1527" t="e">
        <f>+TableC4!D83/(TableC4c!$C82*1000)</f>
        <v>#DIV/0!</v>
      </c>
      <c r="F82" s="1516" t="e">
        <f t="shared" si="2"/>
        <v>#DIV/0!</v>
      </c>
      <c r="G82" s="1347" t="e">
        <f>TableC4!N83/(C82*1000)</f>
        <v>#DIV/0!</v>
      </c>
      <c r="H82" s="1527" t="e">
        <f>+TableC4!O83/(TableC4c!$C82*1000)</f>
        <v>#DIV/0!</v>
      </c>
      <c r="I82" s="1521" t="e">
        <f t="shared" si="3"/>
        <v>#DIV/0!</v>
      </c>
      <c r="J82" s="9"/>
      <c r="K82" s="9"/>
      <c r="L82" s="9"/>
    </row>
    <row r="83" spans="1:12" hidden="1" x14ac:dyDescent="0.35">
      <c r="B83" s="302" t="s">
        <v>225</v>
      </c>
      <c r="C83" s="1374"/>
      <c r="D83" s="1346" t="e">
        <f>TableC4!C84/(C83*1000)</f>
        <v>#DIV/0!</v>
      </c>
      <c r="E83" s="1527" t="e">
        <f>+TableC4!D84/(TableC4c!$C83*1000)</f>
        <v>#DIV/0!</v>
      </c>
      <c r="F83" s="1516" t="e">
        <f t="shared" si="2"/>
        <v>#DIV/0!</v>
      </c>
      <c r="G83" s="1346" t="e">
        <f>TableC4!N84/(C83*1000)</f>
        <v>#DIV/0!</v>
      </c>
      <c r="H83" s="1527" t="e">
        <f>+TableC4!O84/(TableC4c!$C83*1000)</f>
        <v>#DIV/0!</v>
      </c>
      <c r="I83" s="1521" t="e">
        <f t="shared" si="3"/>
        <v>#DIV/0!</v>
      </c>
      <c r="J83" s="9"/>
      <c r="K83" s="9"/>
      <c r="L83" s="9"/>
    </row>
    <row r="84" spans="1:12" hidden="1" x14ac:dyDescent="0.35">
      <c r="B84" s="304" t="str">
        <f>+TableA1!A84</f>
        <v>St. Kitts and Nevis</v>
      </c>
      <c r="C84" s="1375"/>
      <c r="D84" s="1347" t="e">
        <f>TableC4!C85/(C84*1000)</f>
        <v>#DIV/0!</v>
      </c>
      <c r="E84" s="1527" t="e">
        <f>+TableC4!D85/(TableC4c!$C84*1000)</f>
        <v>#DIV/0!</v>
      </c>
      <c r="F84" s="1516" t="e">
        <f t="shared" si="2"/>
        <v>#DIV/0!</v>
      </c>
      <c r="G84" s="1347" t="e">
        <f>TableC4!N85/(C84*1000)</f>
        <v>#DIV/0!</v>
      </c>
      <c r="H84" s="1527" t="e">
        <f>+TableC4!O85/(TableC4c!$C84*1000)</f>
        <v>#DIV/0!</v>
      </c>
      <c r="I84" s="1521" t="e">
        <f t="shared" si="3"/>
        <v>#DIV/0!</v>
      </c>
      <c r="J84" s="9"/>
      <c r="K84" s="9"/>
      <c r="L84" s="9"/>
    </row>
    <row r="85" spans="1:12" hidden="1" x14ac:dyDescent="0.35">
      <c r="B85" s="304" t="str">
        <f>+TableA1!A85</f>
        <v>St. Lucia</v>
      </c>
      <c r="C85" s="1375"/>
      <c r="D85" s="1347" t="e">
        <f>TableC4!C86/(C85*1000)</f>
        <v>#DIV/0!</v>
      </c>
      <c r="E85" s="1527" t="e">
        <f>+TableC4!D86/(TableC4c!$C85*1000)</f>
        <v>#DIV/0!</v>
      </c>
      <c r="F85" s="1516" t="e">
        <f t="shared" si="2"/>
        <v>#DIV/0!</v>
      </c>
      <c r="G85" s="1347" t="e">
        <f>TableC4!N86/(C85*1000)</f>
        <v>#DIV/0!</v>
      </c>
      <c r="H85" s="1527" t="e">
        <f>+TableC4!O86/(TableC4c!$C85*1000)</f>
        <v>#DIV/0!</v>
      </c>
      <c r="I85" s="1521" t="e">
        <f t="shared" si="3"/>
        <v>#DIV/0!</v>
      </c>
      <c r="J85" s="9"/>
      <c r="K85" s="9"/>
      <c r="L85" s="9"/>
    </row>
    <row r="86" spans="1:12" hidden="1" x14ac:dyDescent="0.35">
      <c r="B86" s="304" t="str">
        <f>+TableA1!A86</f>
        <v>St. Vincent and the Grenadines</v>
      </c>
      <c r="C86" s="1375"/>
      <c r="D86" s="1347" t="e">
        <f>TableC4!C87/(C86*1000)</f>
        <v>#DIV/0!</v>
      </c>
      <c r="E86" s="1527" t="e">
        <f>+TableC4!D87/(TableC4c!$C86*1000)</f>
        <v>#DIV/0!</v>
      </c>
      <c r="F86" s="1516" t="e">
        <f t="shared" si="2"/>
        <v>#DIV/0!</v>
      </c>
      <c r="G86" s="1347" t="e">
        <f>TableC4!N87/(C86*1000)</f>
        <v>#DIV/0!</v>
      </c>
      <c r="H86" s="1527" t="e">
        <f>+TableC4!O87/(TableC4c!$C86*1000)</f>
        <v>#DIV/0!</v>
      </c>
      <c r="I86" s="1521" t="e">
        <f t="shared" si="3"/>
        <v>#DIV/0!</v>
      </c>
      <c r="J86" s="9"/>
      <c r="K86" s="9"/>
      <c r="L86" s="9"/>
    </row>
    <row r="87" spans="1:12" ht="23" hidden="1" x14ac:dyDescent="0.35">
      <c r="A87" s="741" t="s">
        <v>505</v>
      </c>
      <c r="B87" s="304" t="str">
        <f>+TableA1!A87</f>
        <v>Turks and Caicos</v>
      </c>
      <c r="C87" s="1375"/>
      <c r="D87" s="1347" t="e">
        <f>TableC4!C88/(C87*1000)</f>
        <v>#DIV/0!</v>
      </c>
      <c r="E87" s="1527" t="e">
        <f>+TableC4!D88/(TableC4c!$C87*1000)</f>
        <v>#DIV/0!</v>
      </c>
      <c r="F87" s="1516" t="e">
        <f t="shared" si="2"/>
        <v>#DIV/0!</v>
      </c>
      <c r="G87" s="1347" t="e">
        <f>TableC4!N88/(C87*1000)</f>
        <v>#DIV/0!</v>
      </c>
      <c r="H87" s="1527" t="e">
        <f>+TableC4!O88/(TableC4c!$C87*1000)</f>
        <v>#DIV/0!</v>
      </c>
      <c r="I87" s="1521" t="e">
        <f t="shared" si="3"/>
        <v>#DIV/0!</v>
      </c>
      <c r="J87" s="9"/>
      <c r="K87" s="9"/>
      <c r="L87" s="9"/>
    </row>
    <row r="88" spans="1:12" hidden="1" x14ac:dyDescent="0.35">
      <c r="B88" s="304" t="str">
        <f>+TableA1!A88</f>
        <v>Panama</v>
      </c>
      <c r="C88" s="1375"/>
      <c r="D88" s="1347" t="e">
        <f>TableC4!C89/(C88*1000)</f>
        <v>#DIV/0!</v>
      </c>
      <c r="E88" s="1527" t="e">
        <f>+TableC4!D89/(TableC4c!$C88*1000)</f>
        <v>#DIV/0!</v>
      </c>
      <c r="F88" s="1516" t="e">
        <f t="shared" si="2"/>
        <v>#DIV/0!</v>
      </c>
      <c r="G88" s="1347" t="e">
        <f>TableC4!N89/(C88*1000)</f>
        <v>#DIV/0!</v>
      </c>
      <c r="H88" s="1527" t="e">
        <f>+TableC4!O89/(TableC4c!$C88*1000)</f>
        <v>#DIV/0!</v>
      </c>
      <c r="I88" s="1521" t="e">
        <f t="shared" si="3"/>
        <v>#DIV/0!</v>
      </c>
      <c r="J88" s="9"/>
      <c r="K88" s="9"/>
      <c r="L88" s="9"/>
    </row>
    <row r="89" spans="1:12" hidden="1" x14ac:dyDescent="0.35">
      <c r="B89" s="302" t="s">
        <v>290</v>
      </c>
      <c r="C89" s="1374"/>
      <c r="D89" s="1346" t="e">
        <f>TableC4!C90/(C89*1000)</f>
        <v>#DIV/0!</v>
      </c>
      <c r="E89" s="1527" t="e">
        <f>+TableC4!D90/(TableC4c!$C89*1000)</f>
        <v>#DIV/0!</v>
      </c>
      <c r="F89" s="1516" t="e">
        <f t="shared" si="2"/>
        <v>#DIV/0!</v>
      </c>
      <c r="G89" s="1346" t="e">
        <f>TableC4!N90/(C89*1000)</f>
        <v>#DIV/0!</v>
      </c>
      <c r="H89" s="1527" t="e">
        <f>+TableC4!O90/(TableC4c!$C89*1000)</f>
        <v>#DIV/0!</v>
      </c>
      <c r="I89" s="1521" t="e">
        <f t="shared" si="3"/>
        <v>#DIV/0!</v>
      </c>
      <c r="J89" s="9"/>
      <c r="K89" s="9"/>
      <c r="L89" s="9"/>
    </row>
    <row r="90" spans="1:12" ht="40" customHeight="1" x14ac:dyDescent="0.35">
      <c r="B90" s="743" t="s">
        <v>498</v>
      </c>
      <c r="C90" s="1524">
        <f>+TableA2!F90</f>
        <v>1423.1461018568671</v>
      </c>
      <c r="D90" s="613">
        <f>TableC4!C91/(C90*1000)</f>
        <v>5.5312818591540636E-2</v>
      </c>
      <c r="E90" s="611">
        <f>+TableC4!D91/(TableC4c!$C90*1000)</f>
        <v>2.2575650188764569E-2</v>
      </c>
      <c r="F90" s="614">
        <f t="shared" si="2"/>
        <v>3.2737168402776066E-2</v>
      </c>
      <c r="G90" s="613">
        <f>TableC4!N91/(C90*1000)</f>
        <v>1.40001046239887E-2</v>
      </c>
      <c r="H90" s="611">
        <f>+TableC4!O91/(TableC4c!$C90*1000)</f>
        <v>1.7433494775318189E-3</v>
      </c>
      <c r="I90" s="960">
        <f t="shared" si="3"/>
        <v>1.2256755146456881E-2</v>
      </c>
      <c r="J90" s="589"/>
      <c r="K90" s="589"/>
      <c r="L90" s="589"/>
    </row>
    <row r="91" spans="1:12" ht="40" hidden="1" customHeight="1" x14ac:dyDescent="0.35">
      <c r="B91" s="700"/>
      <c r="C91" s="674"/>
      <c r="D91" s="588" t="e">
        <f>TableC4!C92/(C91*1000)</f>
        <v>#DIV/0!</v>
      </c>
      <c r="E91" s="589" t="e">
        <f>+TableC4!D92/(TableC4c!$C91*1000)</f>
        <v>#DIV/0!</v>
      </c>
      <c r="F91" s="589" t="e">
        <f t="shared" si="2"/>
        <v>#DIV/0!</v>
      </c>
      <c r="G91" s="588" t="e">
        <f>TableC4!N92/(C91*1000)</f>
        <v>#DIV/0!</v>
      </c>
      <c r="H91" s="589" t="e">
        <f>+TableC4!O92/(TableC4c!$C91*1000)</f>
        <v>#DIV/0!</v>
      </c>
      <c r="I91" s="959" t="e">
        <f t="shared" si="3"/>
        <v>#DIV/0!</v>
      </c>
      <c r="J91" s="589"/>
      <c r="K91" s="589"/>
      <c r="L91" s="589"/>
    </row>
    <row r="92" spans="1:12" ht="40" customHeight="1" thickBot="1" x14ac:dyDescent="0.4">
      <c r="B92" s="744" t="str">
        <f>+TableC3!B91</f>
        <v>Non-haven total</v>
      </c>
      <c r="C92" s="1302">
        <f>+C90+C9+C45</f>
        <v>10393.974981942527</v>
      </c>
      <c r="D92" s="1133">
        <f>TableC4!C93/(C92*1000)</f>
        <v>5.9309516418877016E-2</v>
      </c>
      <c r="E92" s="948">
        <f>+TableC4!D93/(TableC4c!$C92*1000)</f>
        <v>2.8005652694636209E-2</v>
      </c>
      <c r="F92" s="948">
        <f t="shared" si="2"/>
        <v>3.1303863724240807E-2</v>
      </c>
      <c r="G92" s="1133">
        <f>TableC4!N93/(C92*1000)</f>
        <v>5.9309516418877016E-2</v>
      </c>
      <c r="H92" s="948">
        <f>+TableC4!O93/(TableC4c!$C92*1000)</f>
        <v>3.1779506802946306E-2</v>
      </c>
      <c r="I92" s="961">
        <f t="shared" si="3"/>
        <v>2.753000961593071E-2</v>
      </c>
      <c r="J92" s="559"/>
      <c r="K92" s="559"/>
      <c r="L92" s="559"/>
    </row>
    <row r="93" spans="1:12" s="2" customFormat="1" x14ac:dyDescent="0.35">
      <c r="E93" s="1"/>
      <c r="F93" s="1"/>
      <c r="H93" s="1"/>
      <c r="I93" s="1"/>
      <c r="J93" s="1"/>
      <c r="K93" s="1"/>
      <c r="L93" s="1"/>
    </row>
    <row r="95" spans="1:12" s="2" customFormat="1" x14ac:dyDescent="0.35">
      <c r="B95" s="1"/>
      <c r="C95" s="1"/>
      <c r="D95" s="1"/>
      <c r="E95" s="1"/>
      <c r="F95" s="1"/>
      <c r="G95" s="1"/>
      <c r="H95" s="1"/>
      <c r="I95" s="1"/>
      <c r="J95" s="1"/>
      <c r="K95" s="1"/>
      <c r="L95" s="1"/>
    </row>
  </sheetData>
  <mergeCells count="7">
    <mergeCell ref="G6:I6"/>
    <mergeCell ref="B2:I2"/>
    <mergeCell ref="D5:I5"/>
    <mergeCell ref="D7:D8"/>
    <mergeCell ref="G7:G8"/>
    <mergeCell ref="D6:F6"/>
    <mergeCell ref="C5:C8"/>
  </mergeCells>
  <pageMargins left="0.7" right="0.7" top="0.75" bottom="0.75" header="0.3" footer="0.3"/>
  <pageSetup scale="72" orientation="portrait" horizontalDpi="4294967292" verticalDpi="4294967292"/>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2:V95"/>
  <sheetViews>
    <sheetView workbookViewId="0">
      <pane xSplit="2" ySplit="9" topLeftCell="C10" activePane="bottomRight" state="frozen"/>
      <selection activeCell="AR8" sqref="AR8"/>
      <selection pane="topRight" activeCell="AR8" sqref="AR8"/>
      <selection pane="bottomLeft" activeCell="AR8" sqref="AR8"/>
      <selection pane="bottomRight" activeCell="F23" sqref="F23"/>
    </sheetView>
  </sheetViews>
  <sheetFormatPr baseColWidth="10" defaultColWidth="10.81640625" defaultRowHeight="15.5" x14ac:dyDescent="0.35"/>
  <cols>
    <col min="1" max="1" width="17.453125" style="1" hidden="1" customWidth="1"/>
    <col min="2" max="2" width="19" style="1" customWidth="1"/>
    <col min="3" max="16" width="11.81640625" style="1" customWidth="1"/>
    <col min="17" max="22" width="19.6328125" style="1" customWidth="1"/>
    <col min="23" max="16384" width="10.81640625" style="1"/>
  </cols>
  <sheetData>
    <row r="2" spans="2:22" ht="16" thickBot="1" x14ac:dyDescent="0.4">
      <c r="B2" s="27"/>
      <c r="C2" s="27"/>
      <c r="D2" s="27"/>
      <c r="E2" s="27"/>
      <c r="G2" s="27"/>
      <c r="H2" s="27"/>
      <c r="J2" s="27"/>
      <c r="K2" s="27"/>
      <c r="M2" s="27"/>
      <c r="N2" s="27"/>
      <c r="P2" s="27"/>
      <c r="Q2" s="27"/>
      <c r="R2" s="27"/>
      <c r="S2" s="27"/>
      <c r="T2" s="27"/>
      <c r="U2" s="27"/>
      <c r="V2" s="27"/>
    </row>
    <row r="3" spans="2:22" ht="15.75" hidden="1" customHeight="1" thickBot="1" x14ac:dyDescent="0.4"/>
    <row r="4" spans="2:22" ht="32.25" customHeight="1" thickTop="1" x14ac:dyDescent="0.35">
      <c r="B4" s="2048" t="s">
        <v>787</v>
      </c>
      <c r="C4" s="2049"/>
      <c r="D4" s="2049"/>
      <c r="E4" s="2049"/>
      <c r="F4" s="2049"/>
      <c r="G4" s="2049"/>
      <c r="H4" s="2049"/>
      <c r="I4" s="2049"/>
      <c r="J4" s="2049"/>
      <c r="K4" s="2049"/>
      <c r="L4" s="2049"/>
      <c r="M4" s="2049"/>
      <c r="N4" s="2049"/>
      <c r="O4" s="2049"/>
      <c r="P4" s="2050"/>
      <c r="Q4" s="944"/>
      <c r="R4" s="944"/>
      <c r="S4" s="944"/>
      <c r="T4" s="944"/>
      <c r="U4" s="944"/>
      <c r="V4" s="944"/>
    </row>
    <row r="5" spans="2:22" ht="20" x14ac:dyDescent="0.35">
      <c r="B5" s="11"/>
      <c r="C5" s="409" t="s">
        <v>20</v>
      </c>
      <c r="D5" s="409" t="s">
        <v>21</v>
      </c>
      <c r="E5" s="409" t="s">
        <v>22</v>
      </c>
      <c r="F5" s="409" t="s">
        <v>23</v>
      </c>
      <c r="G5" s="409" t="s">
        <v>24</v>
      </c>
      <c r="H5" s="409" t="s">
        <v>25</v>
      </c>
      <c r="I5" s="409" t="s">
        <v>26</v>
      </c>
      <c r="J5" s="409" t="s">
        <v>33</v>
      </c>
      <c r="K5" s="409" t="s">
        <v>34</v>
      </c>
      <c r="L5" s="409" t="s">
        <v>37</v>
      </c>
      <c r="M5" s="409" t="s">
        <v>105</v>
      </c>
      <c r="N5" s="409" t="s">
        <v>138</v>
      </c>
      <c r="O5" s="409" t="s">
        <v>139</v>
      </c>
      <c r="P5" s="14" t="s">
        <v>140</v>
      </c>
      <c r="Q5" s="1187"/>
      <c r="R5" s="1187"/>
      <c r="S5" s="1187"/>
      <c r="T5" s="1187"/>
      <c r="U5" s="1187"/>
      <c r="V5" s="1187"/>
    </row>
    <row r="6" spans="2:22" ht="26.25" customHeight="1" x14ac:dyDescent="0.35">
      <c r="B6" s="11"/>
      <c r="C6" s="2438" t="s">
        <v>589</v>
      </c>
      <c r="D6" s="2441" t="s">
        <v>590</v>
      </c>
      <c r="E6" s="2230" t="s">
        <v>789</v>
      </c>
      <c r="F6" s="2231"/>
      <c r="G6" s="2231"/>
      <c r="H6" s="2231"/>
      <c r="I6" s="2231"/>
      <c r="J6" s="2232"/>
      <c r="K6" s="2231" t="s">
        <v>790</v>
      </c>
      <c r="L6" s="2231"/>
      <c r="M6" s="2231"/>
      <c r="N6" s="2231"/>
      <c r="O6" s="2231"/>
      <c r="P6" s="2315"/>
      <c r="Q6" s="944"/>
      <c r="R6" s="944"/>
      <c r="S6" s="944"/>
      <c r="T6" s="944"/>
      <c r="U6" s="944"/>
      <c r="V6" s="944"/>
    </row>
    <row r="7" spans="2:22" ht="21" customHeight="1" x14ac:dyDescent="0.35">
      <c r="B7" s="13"/>
      <c r="C7" s="2439"/>
      <c r="D7" s="2442"/>
      <c r="E7" s="2435" t="s">
        <v>783</v>
      </c>
      <c r="F7" s="2419"/>
      <c r="G7" s="2419"/>
      <c r="H7" s="2436" t="s">
        <v>784</v>
      </c>
      <c r="I7" s="2419" t="s">
        <v>541</v>
      </c>
      <c r="J7" s="2437"/>
      <c r="K7" s="2436" t="s">
        <v>783</v>
      </c>
      <c r="L7" s="2419"/>
      <c r="M7" s="2419"/>
      <c r="N7" s="2436" t="s">
        <v>784</v>
      </c>
      <c r="O7" s="2419" t="s">
        <v>541</v>
      </c>
      <c r="P7" s="2420"/>
      <c r="Q7" s="949"/>
      <c r="R7" s="949"/>
      <c r="S7" s="949"/>
      <c r="T7" s="949"/>
      <c r="U7" s="949"/>
      <c r="V7" s="949"/>
    </row>
    <row r="8" spans="2:22" ht="85" customHeight="1" x14ac:dyDescent="0.35">
      <c r="B8" s="13"/>
      <c r="C8" s="2439"/>
      <c r="D8" s="2442"/>
      <c r="E8" s="2182" t="s">
        <v>542</v>
      </c>
      <c r="F8" s="1343" t="s">
        <v>533</v>
      </c>
      <c r="G8" s="1344" t="s">
        <v>487</v>
      </c>
      <c r="H8" s="2182" t="s">
        <v>542</v>
      </c>
      <c r="I8" s="1343" t="s">
        <v>533</v>
      </c>
      <c r="J8" s="1360" t="s">
        <v>487</v>
      </c>
      <c r="K8" s="2182" t="s">
        <v>542</v>
      </c>
      <c r="L8" s="1343" t="s">
        <v>533</v>
      </c>
      <c r="M8" s="1344" t="s">
        <v>487</v>
      </c>
      <c r="N8" s="2182" t="s">
        <v>542</v>
      </c>
      <c r="O8" s="1372" t="s">
        <v>533</v>
      </c>
      <c r="P8" s="1361" t="s">
        <v>487</v>
      </c>
      <c r="Q8" s="950"/>
      <c r="R8" s="950"/>
      <c r="S8" s="950"/>
      <c r="T8" s="950"/>
      <c r="U8" s="950"/>
      <c r="V8" s="950"/>
    </row>
    <row r="9" spans="2:22" ht="13.5" customHeight="1" x14ac:dyDescent="0.35">
      <c r="B9" s="13"/>
      <c r="C9" s="2440"/>
      <c r="D9" s="2443"/>
      <c r="E9" s="2135"/>
      <c r="F9" s="1306"/>
      <c r="G9" s="1342"/>
      <c r="H9" s="2135"/>
      <c r="I9" s="1306"/>
      <c r="J9" s="1307"/>
      <c r="K9" s="2135"/>
      <c r="L9" s="1306"/>
      <c r="M9" s="1342"/>
      <c r="N9" s="2135"/>
      <c r="O9" s="1311"/>
      <c r="P9" s="1362"/>
      <c r="Q9" s="951"/>
      <c r="R9" s="951"/>
      <c r="S9" s="951"/>
      <c r="T9" s="951"/>
      <c r="U9" s="951"/>
      <c r="V9" s="951"/>
    </row>
    <row r="10" spans="2:22" ht="40" customHeight="1" x14ac:dyDescent="0.35">
      <c r="B10" s="39" t="s">
        <v>98</v>
      </c>
      <c r="C10" s="1400">
        <f>+SUM(C11:C45)</f>
        <v>1127.4155729148408</v>
      </c>
      <c r="D10" s="1403"/>
      <c r="E10" s="1388">
        <f>F10+G10</f>
        <v>135.29200400789469</v>
      </c>
      <c r="F10" s="1391">
        <f>+SUM(F11:F45)</f>
        <v>68.314903681171444</v>
      </c>
      <c r="G10" s="963">
        <f>+SUM(G11:G45)</f>
        <v>66.977100326723246</v>
      </c>
      <c r="H10" s="1388">
        <f>I10+J10</f>
        <v>185.69430920450685</v>
      </c>
      <c r="I10" s="1391">
        <f>+SUM(I11:I45)</f>
        <v>110.45333930824007</v>
      </c>
      <c r="J10" s="965">
        <f>+SUM(J11:J45)</f>
        <v>75.240969896266762</v>
      </c>
      <c r="K10" s="97">
        <f t="shared" ref="K10:P10" si="0">+E10/$C10</f>
        <v>0.12000189394058862</v>
      </c>
      <c r="L10" s="573">
        <f t="shared" si="0"/>
        <v>6.059425230800107E-2</v>
      </c>
      <c r="M10" s="954">
        <f t="shared" si="0"/>
        <v>5.9407641632587556E-2</v>
      </c>
      <c r="N10" s="97">
        <f t="shared" si="0"/>
        <v>0.1647079512343522</v>
      </c>
      <c r="O10" s="954">
        <f t="shared" si="0"/>
        <v>9.7970386396803083E-2</v>
      </c>
      <c r="P10" s="635">
        <f t="shared" si="0"/>
        <v>6.6737564837549113E-2</v>
      </c>
      <c r="Q10" s="559"/>
      <c r="R10" s="559"/>
      <c r="S10" s="559"/>
      <c r="T10" s="559"/>
      <c r="U10" s="559"/>
      <c r="V10" s="559"/>
    </row>
    <row r="11" spans="2:22" x14ac:dyDescent="0.35">
      <c r="B11" s="95" t="s">
        <v>54</v>
      </c>
      <c r="C11" s="1373">
        <f>+TableA3!H10</f>
        <v>53.085816886912227</v>
      </c>
      <c r="D11" s="1404">
        <f>+VLOOKUP(B11,'[4]Data C 2,4'!$A$2:$S$189,14,0)%</f>
        <v>0.3</v>
      </c>
      <c r="E11" s="1140">
        <f>D11*TableC4!C11/(1000)</f>
        <v>3.8877283887920422</v>
      </c>
      <c r="F11" s="1136">
        <f>+D11*TableC4!D11/(1000)</f>
        <v>1.2344693651640188</v>
      </c>
      <c r="G11" s="967">
        <f>+E11-F11</f>
        <v>2.6532590236280233</v>
      </c>
      <c r="H11" s="1140">
        <f>D11*TableC4!N11/(1000)</f>
        <v>0.52530310335034602</v>
      </c>
      <c r="I11" s="1136">
        <f>+D11*TableC4!O11/(1000)</f>
        <v>-4.6598298229805366E-2</v>
      </c>
      <c r="J11" s="1363">
        <f>+H11-I11</f>
        <v>0.57190140158015135</v>
      </c>
      <c r="K11" s="1137">
        <f t="shared" ref="K11:K53" si="1">+E11/$C11</f>
        <v>7.3234785047652198E-2</v>
      </c>
      <c r="L11" s="396">
        <f t="shared" ref="L11:L53" si="2">+F11/$C11</f>
        <v>2.3254221891202825E-2</v>
      </c>
      <c r="M11" s="968">
        <f t="shared" ref="M11:M53" si="3">+G11/$C11</f>
        <v>4.9980563156449373E-2</v>
      </c>
      <c r="N11" s="1137">
        <f t="shared" ref="N11:N53" si="4">+H11/$C11</f>
        <v>9.8953568797743082E-3</v>
      </c>
      <c r="O11" s="968">
        <f t="shared" ref="O11:O53" si="5">+I11/$C11</f>
        <v>-8.7779186536910401E-4</v>
      </c>
      <c r="P11" s="1364">
        <f t="shared" ref="P11:P53" si="6">+J11/$C11</f>
        <v>1.077314874514341E-2</v>
      </c>
      <c r="Q11" s="40"/>
      <c r="R11" s="40"/>
      <c r="S11" s="40"/>
      <c r="T11" s="40"/>
      <c r="U11" s="40"/>
      <c r="V11" s="40"/>
    </row>
    <row r="12" spans="2:22" x14ac:dyDescent="0.35">
      <c r="B12" s="95" t="s">
        <v>55</v>
      </c>
      <c r="C12" s="1373">
        <f>+TableA3!H11</f>
        <v>8.4946481984874556</v>
      </c>
      <c r="D12" s="1404">
        <f>+VLOOKUP(B12,'[4]Data C 2,4'!$A$2:$S$189,14,0)%</f>
        <v>0.25</v>
      </c>
      <c r="E12" s="1140">
        <f>D12*TableC4!C12/(1000)</f>
        <v>0.89735970006267607</v>
      </c>
      <c r="F12" s="1136">
        <f>+D12*TableC4!D12/(1000)</f>
        <v>0.51890783194770063</v>
      </c>
      <c r="G12" s="967">
        <f t="shared" ref="G12:G45" si="7">+E12-F12</f>
        <v>0.37845186811497544</v>
      </c>
      <c r="H12" s="1140">
        <f>D12*TableC4!N12/(1000)</f>
        <v>0.55705975838640986</v>
      </c>
      <c r="I12" s="1136">
        <f>+D12*TableC4!O12/(1000)</f>
        <v>9.2685501576550491E-2</v>
      </c>
      <c r="J12" s="1363">
        <f t="shared" ref="J12:J45" si="8">+H12-I12</f>
        <v>0.46437425680985939</v>
      </c>
      <c r="K12" s="1137">
        <f t="shared" si="1"/>
        <v>0.10563824176055445</v>
      </c>
      <c r="L12" s="396">
        <f t="shared" si="2"/>
        <v>6.1086441701034375E-2</v>
      </c>
      <c r="M12" s="968">
        <f t="shared" si="3"/>
        <v>4.4551800059520065E-2</v>
      </c>
      <c r="N12" s="1137">
        <f t="shared" si="4"/>
        <v>6.5577731457507463E-2</v>
      </c>
      <c r="O12" s="968">
        <f t="shared" si="5"/>
        <v>1.0911046509619307E-2</v>
      </c>
      <c r="P12" s="1364">
        <f t="shared" si="6"/>
        <v>5.466668494788815E-2</v>
      </c>
      <c r="Q12" s="40"/>
      <c r="R12" s="40"/>
      <c r="S12" s="40"/>
      <c r="T12" s="40"/>
      <c r="U12" s="40"/>
      <c r="V12" s="40"/>
    </row>
    <row r="13" spans="2:22" x14ac:dyDescent="0.35">
      <c r="B13" s="95" t="s">
        <v>2</v>
      </c>
      <c r="C13" s="1373"/>
      <c r="D13" s="1405"/>
      <c r="E13" s="1140"/>
      <c r="F13" s="1136"/>
      <c r="G13" s="967"/>
      <c r="H13" s="1140"/>
      <c r="I13" s="1136"/>
      <c r="J13" s="1363"/>
      <c r="K13" s="1137"/>
      <c r="L13" s="396"/>
      <c r="M13" s="968"/>
      <c r="N13" s="1137"/>
      <c r="O13" s="968"/>
      <c r="P13" s="1364"/>
      <c r="T13" s="976"/>
      <c r="U13" s="976"/>
      <c r="V13" s="976"/>
    </row>
    <row r="14" spans="2:22" x14ac:dyDescent="0.35">
      <c r="B14" s="95" t="s">
        <v>56</v>
      </c>
      <c r="C14" s="1373">
        <f>+TableA3!H13</f>
        <v>49.479398763816377</v>
      </c>
      <c r="D14" s="1404">
        <f>+VLOOKUP(B14,'[4]Data C 2,4'!$A$2:$S$189,14,0)%</f>
        <v>0.26500000000000001</v>
      </c>
      <c r="E14" s="1140">
        <f>D14*TableC4!C14/(1000)</f>
        <v>5.0127609994141498</v>
      </c>
      <c r="F14" s="1136">
        <f>+D14*TableC4!D14/(1000)</f>
        <v>0.88433131713595925</v>
      </c>
      <c r="G14" s="967">
        <f t="shared" si="7"/>
        <v>4.1284296822781901</v>
      </c>
      <c r="H14" s="1140">
        <f>D14*TableC4!N14/(1000)</f>
        <v>4.35366277414981</v>
      </c>
      <c r="I14" s="1136">
        <f>+D14*TableC4!O14/(1000)</f>
        <v>1.1421144157970644</v>
      </c>
      <c r="J14" s="1363">
        <f t="shared" si="8"/>
        <v>3.2115483583527453</v>
      </c>
      <c r="K14" s="1137">
        <f t="shared" si="1"/>
        <v>0.10131006286761744</v>
      </c>
      <c r="L14" s="396">
        <f t="shared" si="2"/>
        <v>1.78727175194105E-2</v>
      </c>
      <c r="M14" s="968">
        <f t="shared" si="3"/>
        <v>8.3437345348206932E-2</v>
      </c>
      <c r="N14" s="1137">
        <f t="shared" si="4"/>
        <v>8.7989403325846094E-2</v>
      </c>
      <c r="O14" s="968">
        <f t="shared" si="5"/>
        <v>2.3082625180002741E-2</v>
      </c>
      <c r="P14" s="1364">
        <f t="shared" si="6"/>
        <v>6.490677814584335E-2</v>
      </c>
      <c r="T14" s="976"/>
      <c r="U14" s="976"/>
      <c r="V14" s="976"/>
    </row>
    <row r="15" spans="2:22" x14ac:dyDescent="0.35">
      <c r="B15" s="95" t="s">
        <v>57</v>
      </c>
      <c r="C15" s="1373">
        <f>+TableA3!H14</f>
        <v>10.455405560058267</v>
      </c>
      <c r="D15" s="1404">
        <f>+VLOOKUP(B15,'[4]Data C 2,4'!$A$2:$S$189,14,0)%</f>
        <v>0.24</v>
      </c>
      <c r="E15" s="1140">
        <f>D15*TableC4!C15/(1000)</f>
        <v>1.2436594498947362</v>
      </c>
      <c r="F15" s="1136">
        <f>+D15*TableC4!D15/(1000)</f>
        <v>0.24195827884503829</v>
      </c>
      <c r="G15" s="967">
        <f t="shared" si="7"/>
        <v>1.0017011710496979</v>
      </c>
      <c r="H15" s="1140">
        <f>D15*TableC4!N15/(1000)</f>
        <v>-2.5066010463943442E-2</v>
      </c>
      <c r="I15" s="1136">
        <f>+D15*TableC4!O15/(1000)</f>
        <v>-2.9218769900725621E-2</v>
      </c>
      <c r="J15" s="1363">
        <f t="shared" si="8"/>
        <v>4.1527594367821788E-3</v>
      </c>
      <c r="K15" s="1137">
        <f t="shared" si="1"/>
        <v>0.11894894394587266</v>
      </c>
      <c r="L15" s="396">
        <f t="shared" si="2"/>
        <v>2.3141931458820413E-2</v>
      </c>
      <c r="M15" s="968">
        <f t="shared" si="3"/>
        <v>9.5807012487052243E-2</v>
      </c>
      <c r="N15" s="1137">
        <f t="shared" si="4"/>
        <v>-2.3974211540583944E-3</v>
      </c>
      <c r="O15" s="968">
        <f t="shared" si="5"/>
        <v>-2.7946089449028305E-3</v>
      </c>
      <c r="P15" s="1364">
        <f t="shared" si="6"/>
        <v>3.9718779084443623E-4</v>
      </c>
      <c r="T15" s="975"/>
      <c r="U15" s="975"/>
      <c r="V15" s="975"/>
    </row>
    <row r="16" spans="2:22" x14ac:dyDescent="0.35">
      <c r="B16" s="95" t="s">
        <v>58</v>
      </c>
      <c r="C16" s="1373">
        <f>+TableA3!H15</f>
        <v>6.7113169165099862</v>
      </c>
      <c r="D16" s="1404">
        <f>+VLOOKUP(B16,'[4]Data C 2,4'!$A$2:$S$189,14,0)%</f>
        <v>0.19</v>
      </c>
      <c r="E16" s="1140">
        <f>D16*TableC4!C16/(1000)</f>
        <v>0.33451941359786869</v>
      </c>
      <c r="F16" s="1136">
        <f>+D16*TableC4!D16/(1000)</f>
        <v>0.2677603018381865</v>
      </c>
      <c r="G16" s="967">
        <f t="shared" si="7"/>
        <v>6.6759111759682188E-2</v>
      </c>
      <c r="H16" s="1140">
        <f>D16*TableC4!N16/(1000)</f>
        <v>8.971973284988416E-2</v>
      </c>
      <c r="I16" s="1136">
        <f>+D16*TableC4!O16/(1000)</f>
        <v>8.9694219098863756E-2</v>
      </c>
      <c r="J16" s="1363">
        <f t="shared" si="8"/>
        <v>2.551375102040343E-5</v>
      </c>
      <c r="K16" s="1137">
        <f t="shared" si="1"/>
        <v>4.9844079449585167E-2</v>
      </c>
      <c r="L16" s="396">
        <f t="shared" si="2"/>
        <v>3.9896834729930622E-2</v>
      </c>
      <c r="M16" s="968">
        <f t="shared" si="3"/>
        <v>9.9472447196545452E-3</v>
      </c>
      <c r="N16" s="1137">
        <f t="shared" si="4"/>
        <v>1.336842440403487E-2</v>
      </c>
      <c r="O16" s="968">
        <f t="shared" si="5"/>
        <v>1.3364622802748895E-2</v>
      </c>
      <c r="P16" s="1364">
        <f t="shared" si="6"/>
        <v>3.801601285976981E-6</v>
      </c>
      <c r="T16" s="975"/>
      <c r="U16" s="975"/>
      <c r="V16" s="975"/>
    </row>
    <row r="17" spans="1:22" x14ac:dyDescent="0.35">
      <c r="B17" s="95" t="s">
        <v>59</v>
      </c>
      <c r="C17" s="1373">
        <f>+TableA3!H16</f>
        <v>7.7284100389615968</v>
      </c>
      <c r="D17" s="1404">
        <f>+VLOOKUP(B17,'[4]Data C 2,4'!$A$2:$S$189,14,0)%</f>
        <v>0.22</v>
      </c>
      <c r="E17" s="1140">
        <f>D17*TableC4!C17/(1000)</f>
        <v>0.65158855790127423</v>
      </c>
      <c r="F17" s="1136">
        <f>+D17*TableC4!D17/(1000)</f>
        <v>0.512949566844071</v>
      </c>
      <c r="G17" s="967">
        <f t="shared" si="7"/>
        <v>0.13863899105720323</v>
      </c>
      <c r="H17" s="1140">
        <f>D17*TableC4!N17/(1000)</f>
        <v>0.79966162240493699</v>
      </c>
      <c r="I17" s="1136">
        <f>+D17*TableC4!O17/(1000)</f>
        <v>0.46536055260963799</v>
      </c>
      <c r="J17" s="1363">
        <f t="shared" si="8"/>
        <v>0.334301069795299</v>
      </c>
      <c r="K17" s="1137">
        <f t="shared" si="1"/>
        <v>8.4310816146709378E-2</v>
      </c>
      <c r="L17" s="396">
        <f t="shared" si="2"/>
        <v>6.6371939927891282E-2</v>
      </c>
      <c r="M17" s="968">
        <f t="shared" si="3"/>
        <v>1.7938876218818098E-2</v>
      </c>
      <c r="N17" s="1137">
        <f t="shared" si="4"/>
        <v>0.1034703927940631</v>
      </c>
      <c r="O17" s="968">
        <f t="shared" si="5"/>
        <v>6.0214267910682011E-2</v>
      </c>
      <c r="P17" s="1364">
        <f t="shared" si="6"/>
        <v>4.3256124883381097E-2</v>
      </c>
      <c r="Q17" s="40"/>
      <c r="R17" s="40"/>
      <c r="S17" s="40"/>
      <c r="T17" s="40"/>
      <c r="U17" s="40"/>
      <c r="V17" s="40"/>
    </row>
    <row r="18" spans="1:22" x14ac:dyDescent="0.35">
      <c r="B18" s="455" t="s">
        <v>60</v>
      </c>
      <c r="C18" s="1373">
        <f>+TableA3!H17</f>
        <v>0.47056592348104992</v>
      </c>
      <c r="D18" s="1404">
        <f>+VLOOKUP(B18,'[4]Data C 2,4'!$A$2:$S$189,14,0)%</f>
        <v>0.2</v>
      </c>
      <c r="E18" s="1140">
        <f>D18*TableC4!C18/(1000)</f>
        <v>4.8738699368325256E-2</v>
      </c>
      <c r="F18" s="1136">
        <f>+D18*TableC4!D18/(1000)</f>
        <v>3.4948440671618376E-2</v>
      </c>
      <c r="G18" s="967">
        <f t="shared" si="7"/>
        <v>1.3790258696706879E-2</v>
      </c>
      <c r="H18" s="1140">
        <f>D18*TableC4!N18/(1000)</f>
        <v>-8.1112100429568603E-4</v>
      </c>
      <c r="I18" s="1136">
        <f>+D18*TableC4!O18/(1000)</f>
        <v>-8.1112100429568603E-4</v>
      </c>
      <c r="J18" s="1363">
        <f t="shared" si="8"/>
        <v>0</v>
      </c>
      <c r="K18" s="1137">
        <f t="shared" si="1"/>
        <v>0.10357464690128163</v>
      </c>
      <c r="L18" s="396">
        <f t="shared" si="2"/>
        <v>7.4268957711779104E-2</v>
      </c>
      <c r="M18" s="968">
        <f t="shared" si="3"/>
        <v>2.9305689189502531E-2</v>
      </c>
      <c r="N18" s="1137">
        <f t="shared" si="4"/>
        <v>-1.7237138598888591E-3</v>
      </c>
      <c r="O18" s="968">
        <f t="shared" si="5"/>
        <v>-1.7237138598888591E-3</v>
      </c>
      <c r="P18" s="1364">
        <f t="shared" si="6"/>
        <v>0</v>
      </c>
      <c r="Q18" s="40"/>
      <c r="R18" s="40"/>
      <c r="S18" s="40"/>
      <c r="T18" s="40"/>
      <c r="U18" s="40"/>
      <c r="V18" s="40"/>
    </row>
    <row r="19" spans="1:22" x14ac:dyDescent="0.35">
      <c r="B19" s="95" t="s">
        <v>61</v>
      </c>
      <c r="C19" s="1373">
        <f>+TableA3!H18</f>
        <v>5.0429264278402366</v>
      </c>
      <c r="D19" s="1404">
        <f>+VLOOKUP(B19,'[4]Data C 2,4'!$A$2:$S$189,14,0)%</f>
        <v>0.2</v>
      </c>
      <c r="E19" s="1140">
        <f>D19*TableC4!C19/(1000)</f>
        <v>0.5429738731271827</v>
      </c>
      <c r="F19" s="1136">
        <f>+D19*TableC4!D19/(1000)</f>
        <v>0.34894532270502798</v>
      </c>
      <c r="G19" s="967">
        <f t="shared" si="7"/>
        <v>0.19402855042215472</v>
      </c>
      <c r="H19" s="1140">
        <f>D19*TableC4!N19/(1000)</f>
        <v>0.45194076536135114</v>
      </c>
      <c r="I19" s="1136">
        <f>+D19*TableC4!O19/(1000)</f>
        <v>0.40811803463797436</v>
      </c>
      <c r="J19" s="1363">
        <f t="shared" si="8"/>
        <v>4.3822730723376779E-2</v>
      </c>
      <c r="K19" s="1137">
        <f t="shared" si="1"/>
        <v>0.10767039354958928</v>
      </c>
      <c r="L19" s="396">
        <f t="shared" si="2"/>
        <v>6.9195005657552849E-2</v>
      </c>
      <c r="M19" s="968">
        <f t="shared" si="3"/>
        <v>3.8475387892036424E-2</v>
      </c>
      <c r="N19" s="1137">
        <f t="shared" si="4"/>
        <v>8.9618750506916756E-2</v>
      </c>
      <c r="O19" s="968">
        <f t="shared" si="5"/>
        <v>8.0928809983206798E-2</v>
      </c>
      <c r="P19" s="1364">
        <f t="shared" si="6"/>
        <v>8.6899405237099592E-3</v>
      </c>
      <c r="Q19" s="40"/>
      <c r="R19" s="40"/>
      <c r="S19" s="40"/>
      <c r="T19" s="40"/>
      <c r="U19" s="40"/>
      <c r="V19" s="40"/>
    </row>
    <row r="20" spans="1:22" x14ac:dyDescent="0.35">
      <c r="B20" s="455" t="s">
        <v>48</v>
      </c>
      <c r="C20" s="1373">
        <f>+TableA3!H19</f>
        <v>50.926955756000886</v>
      </c>
      <c r="D20" s="1404">
        <f>+VLOOKUP(B20,'[4]Data C 2,4'!$A$2:$S$189,14,0)%</f>
        <v>0.33329999999999999</v>
      </c>
      <c r="E20" s="1140">
        <f>D20*TableC4!C20/(1000)</f>
        <v>10.693640491484475</v>
      </c>
      <c r="F20" s="1136">
        <f>+D20*TableC4!D20/(1000)</f>
        <v>8.0644769078824545</v>
      </c>
      <c r="G20" s="967">
        <f t="shared" si="7"/>
        <v>2.6291635836020202</v>
      </c>
      <c r="H20" s="1140">
        <f>D20*TableC4!N20/(1000)</f>
        <v>21.454470471450595</v>
      </c>
      <c r="I20" s="1136">
        <f>+D20*TableC4!O20/(1000)</f>
        <v>16.957608259440718</v>
      </c>
      <c r="J20" s="1363">
        <f t="shared" si="8"/>
        <v>4.4968622120098765</v>
      </c>
      <c r="K20" s="1137">
        <f t="shared" si="1"/>
        <v>0.20997996704769475</v>
      </c>
      <c r="L20" s="396">
        <f t="shared" si="2"/>
        <v>0.15835379885105721</v>
      </c>
      <c r="M20" s="968">
        <f t="shared" si="3"/>
        <v>5.162616819663754E-2</v>
      </c>
      <c r="N20" s="1137">
        <f t="shared" si="4"/>
        <v>0.42127926464409854</v>
      </c>
      <c r="O20" s="968">
        <f t="shared" si="5"/>
        <v>0.33297902864422735</v>
      </c>
      <c r="P20" s="1364">
        <f t="shared" si="6"/>
        <v>8.8300235999871191E-2</v>
      </c>
      <c r="Q20" s="40"/>
      <c r="R20" s="40"/>
      <c r="S20" s="40"/>
      <c r="T20" s="40"/>
      <c r="U20" s="40"/>
      <c r="V20" s="40"/>
    </row>
    <row r="21" spans="1:22" x14ac:dyDescent="0.35">
      <c r="B21" s="95" t="s">
        <v>62</v>
      </c>
      <c r="C21" s="1373">
        <f>+TableA3!H20</f>
        <v>58.451143946880144</v>
      </c>
      <c r="D21" s="1404">
        <f>+VLOOKUP(B21,'[4]Data C 2,4'!$A$2:$S$189,14,0)%</f>
        <v>0.29719999999999996</v>
      </c>
      <c r="E21" s="1140">
        <f>D21*TableC4!C21/(1000)</f>
        <v>16.317569428841562</v>
      </c>
      <c r="F21" s="1136">
        <f>+D21*TableC4!D21/(1000)</f>
        <v>12.3589525503824</v>
      </c>
      <c r="G21" s="967">
        <f t="shared" si="7"/>
        <v>3.9586168784591624</v>
      </c>
      <c r="H21" s="1140">
        <f>D21*TableC4!N21/(1000)</f>
        <v>10.59391712086977</v>
      </c>
      <c r="I21" s="1136">
        <f>+D21*TableC4!O21/(1000)</f>
        <v>7.540462574852338</v>
      </c>
      <c r="J21" s="1363">
        <f t="shared" si="8"/>
        <v>3.0534545460174325</v>
      </c>
      <c r="K21" s="1137">
        <f t="shared" si="1"/>
        <v>0.27916595513803488</v>
      </c>
      <c r="L21" s="396">
        <f t="shared" si="2"/>
        <v>0.21144073008415543</v>
      </c>
      <c r="M21" s="968">
        <f t="shared" si="3"/>
        <v>6.772522505387947E-2</v>
      </c>
      <c r="N21" s="1137">
        <f t="shared" si="4"/>
        <v>0.18124396556716535</v>
      </c>
      <c r="O21" s="968">
        <f t="shared" si="5"/>
        <v>0.12900453379843241</v>
      </c>
      <c r="P21" s="1364">
        <f t="shared" si="6"/>
        <v>5.2239431768732934E-2</v>
      </c>
      <c r="Q21" s="40"/>
      <c r="R21" s="40"/>
      <c r="S21" s="40"/>
      <c r="T21" s="40"/>
      <c r="U21" s="40"/>
      <c r="V21" s="40"/>
    </row>
    <row r="22" spans="1:22" x14ac:dyDescent="0.35">
      <c r="B22" s="95" t="s">
        <v>63</v>
      </c>
      <c r="C22" s="1373">
        <f>+TableA3!H21</f>
        <v>4.2144535794574223</v>
      </c>
      <c r="D22" s="1404">
        <f>+VLOOKUP(B22,'[4]Data C 2,4'!$A$2:$S$189,14,0)%</f>
        <v>0.28999999999999998</v>
      </c>
      <c r="E22" s="1140">
        <f>D22*TableC4!C22/(1000)</f>
        <v>0.30348861345669476</v>
      </c>
      <c r="F22" s="1136">
        <f>+D22*TableC4!D22/(1000)</f>
        <v>0.26499839050506757</v>
      </c>
      <c r="G22" s="967">
        <f t="shared" si="7"/>
        <v>3.8490222951627184E-2</v>
      </c>
      <c r="H22" s="1140">
        <f>D22*TableC4!N22/(1000)</f>
        <v>0.12747651758571021</v>
      </c>
      <c r="I22" s="1136">
        <f>+D22*TableC4!O22/(1000)</f>
        <v>0.12724458498060884</v>
      </c>
      <c r="J22" s="1363">
        <f t="shared" si="8"/>
        <v>2.3193260510137592E-4</v>
      </c>
      <c r="K22" s="1137">
        <f t="shared" si="1"/>
        <v>7.2011378873881565E-2</v>
      </c>
      <c r="L22" s="396">
        <f t="shared" si="2"/>
        <v>6.2878469416949662E-2</v>
      </c>
      <c r="M22" s="968">
        <f t="shared" si="3"/>
        <v>9.1329094569318984E-3</v>
      </c>
      <c r="N22" s="1137">
        <f t="shared" si="4"/>
        <v>3.0247460360477339E-2</v>
      </c>
      <c r="O22" s="968">
        <f t="shared" si="5"/>
        <v>3.0192427697113364E-2</v>
      </c>
      <c r="P22" s="1364">
        <f t="shared" si="6"/>
        <v>5.503266336397408E-5</v>
      </c>
      <c r="Q22" s="40"/>
      <c r="R22" s="40"/>
      <c r="S22" s="40"/>
      <c r="T22" s="40"/>
      <c r="U22" s="40"/>
      <c r="V22" s="40"/>
    </row>
    <row r="23" spans="1:22" x14ac:dyDescent="0.35">
      <c r="B23" s="95" t="s">
        <v>64</v>
      </c>
      <c r="C23" s="1373">
        <f>+TableA3!H22</f>
        <v>2.1963860274046167</v>
      </c>
      <c r="D23" s="1404">
        <f>+VLOOKUP(B23,'[4]Data C 2,4'!$A$2:$S$189,14,0)%</f>
        <v>0.19</v>
      </c>
      <c r="E23" s="1140">
        <f>D23*TableC4!C23/(1000)</f>
        <v>0.45502892025811503</v>
      </c>
      <c r="F23" s="1136">
        <f>+D23*TableC4!D23/(1000)</f>
        <v>0.32099772929373677</v>
      </c>
      <c r="G23" s="967">
        <f t="shared" si="7"/>
        <v>0.13403119096437827</v>
      </c>
      <c r="H23" s="1140">
        <f>D23*TableC4!N23/(1000)</f>
        <v>9.5032795452812416E-2</v>
      </c>
      <c r="I23" s="1136">
        <f>+D23*TableC4!O23/(1000)</f>
        <v>9.3709944120965866E-2</v>
      </c>
      <c r="J23" s="1363">
        <f t="shared" si="8"/>
        <v>1.3228513318465501E-3</v>
      </c>
      <c r="K23" s="1137">
        <f t="shared" si="1"/>
        <v>0.20717165133116644</v>
      </c>
      <c r="L23" s="396">
        <f t="shared" si="2"/>
        <v>0.14614813848230823</v>
      </c>
      <c r="M23" s="968">
        <f t="shared" si="3"/>
        <v>6.1023512848858208E-2</v>
      </c>
      <c r="N23" s="1137">
        <f t="shared" si="4"/>
        <v>4.3267801865006832E-2</v>
      </c>
      <c r="O23" s="968">
        <f t="shared" si="5"/>
        <v>4.26655164218556E-2</v>
      </c>
      <c r="P23" s="1364">
        <f t="shared" si="6"/>
        <v>6.0228544315122582E-4</v>
      </c>
      <c r="Q23" s="40"/>
      <c r="R23" s="40"/>
      <c r="S23" s="40"/>
      <c r="T23" s="40"/>
      <c r="U23" s="40"/>
      <c r="V23" s="40"/>
    </row>
    <row r="24" spans="1:22" x14ac:dyDescent="0.35">
      <c r="B24" s="95" t="s">
        <v>65</v>
      </c>
      <c r="C24" s="1373">
        <f>+TableA3!H23</f>
        <v>0.3983029700639128</v>
      </c>
      <c r="D24" s="1404">
        <f>+VLOOKUP(B24,'[4]Data C 2,4'!$A$2:$S$189,14,0)%</f>
        <v>0.2</v>
      </c>
      <c r="E24" s="1140">
        <f>D24*TableC4!C24/(1000)</f>
        <v>8.7549352432114438E-2</v>
      </c>
      <c r="F24" s="1136">
        <f>+D24*TableC4!D24/(1000)</f>
        <v>6.752951827378699E-2</v>
      </c>
      <c r="G24" s="967">
        <f t="shared" si="7"/>
        <v>2.0019834158327449E-2</v>
      </c>
      <c r="H24" s="1140">
        <f>D24*TableC4!N24/(1000)</f>
        <v>2.7408076677843392E-3</v>
      </c>
      <c r="I24" s="1136">
        <f>+D24*TableC4!O24/(1000)</f>
        <v>2.6035136986603678E-3</v>
      </c>
      <c r="J24" s="1363">
        <f t="shared" si="8"/>
        <v>1.3729396912397131E-4</v>
      </c>
      <c r="K24" s="1137">
        <f t="shared" si="1"/>
        <v>0.21980592416387462</v>
      </c>
      <c r="L24" s="396">
        <f t="shared" si="2"/>
        <v>0.16954309495344969</v>
      </c>
      <c r="M24" s="968">
        <f t="shared" si="3"/>
        <v>5.0262829210424943E-2</v>
      </c>
      <c r="N24" s="1137">
        <f t="shared" si="4"/>
        <v>6.8812132315873558E-3</v>
      </c>
      <c r="O24" s="968">
        <f t="shared" si="5"/>
        <v>6.536515904570335E-3</v>
      </c>
      <c r="P24" s="1364">
        <f t="shared" si="6"/>
        <v>3.4469732701702108E-4</v>
      </c>
      <c r="Q24" s="40"/>
      <c r="R24" s="40"/>
      <c r="S24" s="40"/>
      <c r="T24" s="40"/>
      <c r="U24" s="40"/>
      <c r="V24" s="40"/>
    </row>
    <row r="25" spans="1:22" x14ac:dyDescent="0.35">
      <c r="B25" s="95" t="s">
        <v>19</v>
      </c>
      <c r="C25" s="1373"/>
      <c r="D25" s="1405"/>
      <c r="E25" s="1140"/>
      <c r="F25" s="1136"/>
      <c r="G25" s="967"/>
      <c r="H25" s="1140"/>
      <c r="I25" s="1136"/>
      <c r="J25" s="1363"/>
      <c r="K25" s="1137"/>
      <c r="L25" s="396"/>
      <c r="M25" s="968"/>
      <c r="N25" s="1137"/>
      <c r="O25" s="968"/>
      <c r="P25" s="1364"/>
      <c r="Q25" s="40"/>
      <c r="R25" s="40"/>
      <c r="S25" s="40"/>
      <c r="T25" s="40"/>
      <c r="U25" s="40"/>
      <c r="V25" s="40"/>
    </row>
    <row r="26" spans="1:22" x14ac:dyDescent="0.35">
      <c r="B26" s="95" t="s">
        <v>95</v>
      </c>
      <c r="C26" s="1373">
        <f>+TableA3!H25</f>
        <v>8.9214020772181364</v>
      </c>
      <c r="D26" s="1404">
        <f>+VLOOKUP(B26,'[4]Data C 2,4'!$A$2:$S$189,14,0)%</f>
        <v>0.25</v>
      </c>
      <c r="E26" s="1140">
        <f>D26*TableC4!C26/(1000)</f>
        <v>0.17016457999789139</v>
      </c>
      <c r="F26" s="1136">
        <f>+D26*TableC4!D26/(1000)</f>
        <v>6.945206882822845E-2</v>
      </c>
      <c r="G26" s="967">
        <f t="shared" si="7"/>
        <v>0.10071251116966294</v>
      </c>
      <c r="H26" s="1140">
        <f>D26*TableC4!N26/(1000)</f>
        <v>0.13353438528307834</v>
      </c>
      <c r="I26" s="1136">
        <f>+D26*TableC4!O26/(1000)</f>
        <v>1.6529625637249069E-2</v>
      </c>
      <c r="J26" s="1363">
        <f t="shared" si="8"/>
        <v>0.11700475964582928</v>
      </c>
      <c r="K26" s="1137">
        <f t="shared" si="1"/>
        <v>1.9073748557127242E-2</v>
      </c>
      <c r="L26" s="396">
        <f t="shared" si="2"/>
        <v>7.7848827154178585E-3</v>
      </c>
      <c r="M26" s="968">
        <f t="shared" si="3"/>
        <v>1.1288865841709381E-2</v>
      </c>
      <c r="N26" s="1137">
        <f t="shared" si="4"/>
        <v>1.4967869862526913E-2</v>
      </c>
      <c r="O26" s="968">
        <f t="shared" si="5"/>
        <v>1.8528058139492937E-3</v>
      </c>
      <c r="P26" s="1364">
        <f t="shared" si="6"/>
        <v>1.311506404857762E-2</v>
      </c>
      <c r="Q26" s="40"/>
      <c r="R26" s="40"/>
      <c r="S26" s="40"/>
      <c r="T26" s="40"/>
      <c r="U26" s="40"/>
      <c r="V26" s="40"/>
    </row>
    <row r="27" spans="1:22" x14ac:dyDescent="0.35">
      <c r="B27" s="95" t="s">
        <v>66</v>
      </c>
      <c r="C27" s="1373">
        <f>+TableA3!H26</f>
        <v>37.286823510883821</v>
      </c>
      <c r="D27" s="1404">
        <f>+VLOOKUP(B27,'[4]Data C 2,4'!$A$2:$S$189,14,0)%</f>
        <v>0.314</v>
      </c>
      <c r="E27" s="1140">
        <f>D27*TableC4!C27/(1000)</f>
        <v>7.128579649914653</v>
      </c>
      <c r="F27" s="1136">
        <f>+D27*TableC4!D27/(1000)</f>
        <v>6.1083119091877878</v>
      </c>
      <c r="G27" s="967">
        <f t="shared" si="7"/>
        <v>1.0202677407268652</v>
      </c>
      <c r="H27" s="1140">
        <f>D27*TableC4!N27/(1000)</f>
        <v>1.1754738652473677</v>
      </c>
      <c r="I27" s="1136">
        <f>+D27*TableC4!O27/(1000)</f>
        <v>0.79148438861320891</v>
      </c>
      <c r="J27" s="1363">
        <f t="shared" si="8"/>
        <v>0.38398947663415883</v>
      </c>
      <c r="K27" s="1137">
        <f t="shared" si="1"/>
        <v>0.19118227241411057</v>
      </c>
      <c r="L27" s="396">
        <f t="shared" si="2"/>
        <v>0.16381958381101583</v>
      </c>
      <c r="M27" s="968">
        <f t="shared" si="3"/>
        <v>2.7362688603094727E-2</v>
      </c>
      <c r="N27" s="1137">
        <f t="shared" si="4"/>
        <v>3.1525181138164084E-2</v>
      </c>
      <c r="O27" s="968">
        <f t="shared" si="5"/>
        <v>2.1226919165752454E-2</v>
      </c>
      <c r="P27" s="1364">
        <f t="shared" si="6"/>
        <v>1.0298261972411632E-2</v>
      </c>
      <c r="Q27" s="40"/>
      <c r="R27" s="40"/>
      <c r="S27" s="40"/>
      <c r="T27" s="40"/>
      <c r="U27" s="40"/>
      <c r="V27" s="40"/>
    </row>
    <row r="28" spans="1:22" x14ac:dyDescent="0.35">
      <c r="B28" s="95" t="s">
        <v>67</v>
      </c>
      <c r="C28" s="1373">
        <f>+TableA3!H27</f>
        <v>166.10688689066282</v>
      </c>
      <c r="D28" s="1404">
        <f>+VLOOKUP(B28,'[4]Data C 2,4'!$A$2:$S$189,14,0)%</f>
        <v>0.33860000000000001</v>
      </c>
      <c r="E28" s="1140">
        <f>D28*TableC4!C28/(1000)</f>
        <v>2.8965109563043363</v>
      </c>
      <c r="F28" s="1136">
        <f>+D28*TableC4!D28/(1000)</f>
        <v>1.5385683449875898</v>
      </c>
      <c r="G28" s="967">
        <f t="shared" si="7"/>
        <v>1.3579426113167465</v>
      </c>
      <c r="H28" s="1140">
        <f>D28*TableC4!N28/(1000)</f>
        <v>6.53371574360997</v>
      </c>
      <c r="I28" s="1136">
        <f>+D28*TableC4!O28/(1000)</f>
        <v>2.8743557692979285</v>
      </c>
      <c r="J28" s="1363">
        <f t="shared" si="8"/>
        <v>3.6593599743120415</v>
      </c>
      <c r="K28" s="1137">
        <f t="shared" si="1"/>
        <v>1.7437633144078594E-2</v>
      </c>
      <c r="L28" s="396">
        <f t="shared" si="2"/>
        <v>9.2625198978072924E-3</v>
      </c>
      <c r="M28" s="968">
        <f t="shared" si="3"/>
        <v>8.1751132462713014E-3</v>
      </c>
      <c r="N28" s="1137">
        <f t="shared" si="4"/>
        <v>3.9334406091847851E-2</v>
      </c>
      <c r="O28" s="968">
        <f t="shared" si="5"/>
        <v>1.7304254044505252E-2</v>
      </c>
      <c r="P28" s="1364">
        <f t="shared" si="6"/>
        <v>2.2030152047342603E-2</v>
      </c>
      <c r="Q28" s="40"/>
      <c r="R28" s="40"/>
      <c r="S28" s="40"/>
      <c r="T28" s="40"/>
      <c r="U28" s="40"/>
      <c r="V28" s="40"/>
    </row>
    <row r="29" spans="1:22" x14ac:dyDescent="0.35">
      <c r="A29" s="376" t="s">
        <v>536</v>
      </c>
      <c r="B29" s="95" t="s">
        <v>68</v>
      </c>
      <c r="C29" s="1373">
        <f>+TableA3!H28</f>
        <v>45.573671217315002</v>
      </c>
      <c r="D29" s="1404">
        <f>+VLOOKUP(A29,'[4]Data C 2,4'!$A$2:$S$189,14,0)%</f>
        <v>0.24199999999999999</v>
      </c>
      <c r="E29" s="1140">
        <f>D29*TableC4!C29/(1000)</f>
        <v>1.1699809090485687</v>
      </c>
      <c r="F29" s="1136">
        <f>+D29*TableC4!D29/(1000)</f>
        <v>0.28007610191739396</v>
      </c>
      <c r="G29" s="967">
        <f t="shared" si="7"/>
        <v>0.8899048071311747</v>
      </c>
      <c r="H29" s="1140">
        <f>D29*TableC4!N29/(1000)</f>
        <v>0.37882859255592366</v>
      </c>
      <c r="I29" s="1136">
        <f>+D29*TableC4!O29/(1000)</f>
        <v>0.1887066598291669</v>
      </c>
      <c r="J29" s="1363">
        <f t="shared" si="8"/>
        <v>0.19012193272675676</v>
      </c>
      <c r="K29" s="1137">
        <f t="shared" si="1"/>
        <v>2.5672298890945015E-2</v>
      </c>
      <c r="L29" s="396">
        <f t="shared" si="2"/>
        <v>6.1455681413478801E-3</v>
      </c>
      <c r="M29" s="968">
        <f t="shared" si="3"/>
        <v>1.9526730749597133E-2</v>
      </c>
      <c r="N29" s="1137">
        <f t="shared" si="4"/>
        <v>8.3124440589722268E-3</v>
      </c>
      <c r="O29" s="968">
        <f t="shared" si="5"/>
        <v>4.1406947210667275E-3</v>
      </c>
      <c r="P29" s="1364">
        <f t="shared" si="6"/>
        <v>4.1717493379054994E-3</v>
      </c>
      <c r="Q29" s="40"/>
      <c r="R29" s="40"/>
      <c r="S29" s="40"/>
      <c r="T29" s="40"/>
      <c r="U29" s="40"/>
      <c r="V29" s="40"/>
    </row>
    <row r="30" spans="1:22" x14ac:dyDescent="0.35">
      <c r="B30" s="13" t="s">
        <v>69</v>
      </c>
      <c r="C30" s="1373">
        <f>+TableA3!H29</f>
        <v>0.43100773130418485</v>
      </c>
      <c r="D30" s="1404">
        <f>+VLOOKUP(B30,'[4]Data C 2,4'!$A$2:$S$189,14,0)%</f>
        <v>0.15</v>
      </c>
      <c r="E30" s="1140">
        <f>D30*TableC4!C30/(1000)</f>
        <v>3.0146845091089225E-2</v>
      </c>
      <c r="F30" s="1136">
        <f>+D30*TableC4!D30/(1000)</f>
        <v>2.1106266911886482E-2</v>
      </c>
      <c r="G30" s="967">
        <f t="shared" si="7"/>
        <v>9.0405781792027434E-3</v>
      </c>
      <c r="H30" s="1140">
        <f>D30*TableC4!N30/(1000)</f>
        <v>-1.9463857993347002E-4</v>
      </c>
      <c r="I30" s="1136">
        <f>+D30*TableC4!O30/(1000)</f>
        <v>-2.0738487796372884E-4</v>
      </c>
      <c r="J30" s="1363">
        <f t="shared" si="8"/>
        <v>1.2746298030258814E-5</v>
      </c>
      <c r="K30" s="1137">
        <f t="shared" si="1"/>
        <v>6.9945021635384561E-2</v>
      </c>
      <c r="L30" s="396">
        <f t="shared" si="2"/>
        <v>4.896957845285304E-2</v>
      </c>
      <c r="M30" s="968">
        <f t="shared" si="3"/>
        <v>2.0975443182531524E-2</v>
      </c>
      <c r="N30" s="1137">
        <f t="shared" si="4"/>
        <v>-4.5158953261583914E-4</v>
      </c>
      <c r="O30" s="968">
        <f t="shared" si="5"/>
        <v>-4.8116277946152759E-4</v>
      </c>
      <c r="P30" s="1364">
        <f t="shared" si="6"/>
        <v>2.9573246845688437E-5</v>
      </c>
      <c r="Q30" s="40"/>
      <c r="R30" s="40"/>
      <c r="S30" s="40"/>
      <c r="T30" s="40"/>
      <c r="U30" s="40"/>
      <c r="V30" s="40"/>
    </row>
    <row r="31" spans="1:22" x14ac:dyDescent="0.35">
      <c r="B31" s="13" t="s">
        <v>70</v>
      </c>
      <c r="C31" s="295"/>
      <c r="D31" s="1406"/>
      <c r="E31" s="1140"/>
      <c r="F31" s="1136"/>
      <c r="G31" s="967"/>
      <c r="H31" s="1140"/>
      <c r="I31" s="1136"/>
      <c r="J31" s="1363"/>
      <c r="K31" s="1137"/>
      <c r="L31" s="396"/>
      <c r="M31" s="968"/>
      <c r="N31" s="1137"/>
      <c r="O31" s="968"/>
      <c r="P31" s="1364"/>
      <c r="Q31" s="40"/>
      <c r="R31" s="40"/>
      <c r="S31" s="40"/>
      <c r="T31" s="40"/>
      <c r="U31" s="40"/>
      <c r="V31" s="40"/>
    </row>
    <row r="32" spans="1:22" x14ac:dyDescent="0.35">
      <c r="B32" s="13" t="s">
        <v>71</v>
      </c>
      <c r="C32" s="1373">
        <f>+TableA3!H31</f>
        <v>37.382194532689283</v>
      </c>
      <c r="D32" s="1404">
        <f>+VLOOKUP(B32,'[4]Data C 2,4'!$A$2:$S$189,14,0)%</f>
        <v>0.3</v>
      </c>
      <c r="E32" s="1140">
        <f>D32*TableC4!C32/(1000)</f>
        <v>3.9287668656222849</v>
      </c>
      <c r="F32" s="1136">
        <f>+D32*TableC4!D32/(1000)</f>
        <v>1.2112360557561255</v>
      </c>
      <c r="G32" s="967">
        <f t="shared" si="7"/>
        <v>2.7175308098661595</v>
      </c>
      <c r="H32" s="1140">
        <f>D32*TableC4!N32/(1000)</f>
        <v>1.0907054651436583</v>
      </c>
      <c r="I32" s="1136">
        <f>+D32*TableC4!O32/(1000)</f>
        <v>0.90199920552108459</v>
      </c>
      <c r="J32" s="1363">
        <f t="shared" si="8"/>
        <v>0.1887062596225737</v>
      </c>
      <c r="K32" s="1137">
        <f t="shared" si="1"/>
        <v>0.10509727731973387</v>
      </c>
      <c r="L32" s="396">
        <f t="shared" si="2"/>
        <v>3.2401416527243911E-2</v>
      </c>
      <c r="M32" s="968">
        <f t="shared" si="3"/>
        <v>7.2695860792489964E-2</v>
      </c>
      <c r="N32" s="1137">
        <f t="shared" si="4"/>
        <v>2.9177138441936E-2</v>
      </c>
      <c r="O32" s="968">
        <f t="shared" si="5"/>
        <v>2.4129113252896944E-2</v>
      </c>
      <c r="P32" s="1364">
        <f t="shared" si="6"/>
        <v>5.048025189039059E-3</v>
      </c>
      <c r="Q32" s="40"/>
      <c r="R32" s="40"/>
      <c r="S32" s="40"/>
      <c r="T32" s="40"/>
      <c r="U32" s="40"/>
      <c r="V32" s="40"/>
    </row>
    <row r="33" spans="1:22" x14ac:dyDescent="0.35">
      <c r="B33" s="13" t="s">
        <v>72</v>
      </c>
      <c r="C33" s="295"/>
      <c r="D33" s="1406"/>
      <c r="E33" s="1140"/>
      <c r="F33" s="1136"/>
      <c r="G33" s="967"/>
      <c r="H33" s="1140"/>
      <c r="I33" s="1136"/>
      <c r="J33" s="1363"/>
      <c r="K33" s="1137"/>
      <c r="L33" s="396"/>
      <c r="M33" s="968"/>
      <c r="N33" s="1137"/>
      <c r="O33" s="968"/>
      <c r="P33" s="1364"/>
      <c r="Q33" s="40"/>
      <c r="R33" s="40"/>
      <c r="S33" s="40"/>
      <c r="T33" s="40"/>
      <c r="U33" s="40"/>
      <c r="V33" s="40"/>
    </row>
    <row r="34" spans="1:22" x14ac:dyDescent="0.35">
      <c r="B34" s="13" t="s">
        <v>73</v>
      </c>
      <c r="C34" s="1373">
        <f>+TableA3!H33</f>
        <v>7.9548109276661032</v>
      </c>
      <c r="D34" s="1404">
        <f>+VLOOKUP(B34,'[4]Data C 2,4'!$A$2:$S$189,14,0)%</f>
        <v>0.28000000000000003</v>
      </c>
      <c r="E34" s="1140">
        <f>D34*TableC4!C34/(1000)</f>
        <v>0.42656415068203546</v>
      </c>
      <c r="F34" s="1136">
        <f>+D34*TableC4!D34/(1000)</f>
        <v>0.14021066991865599</v>
      </c>
      <c r="G34" s="967">
        <f t="shared" si="7"/>
        <v>0.28635348076337946</v>
      </c>
      <c r="H34" s="1140">
        <f>D34*TableC4!N34/(1000)</f>
        <v>0.1859742871829152</v>
      </c>
      <c r="I34" s="1136">
        <f>+D34*TableC4!O34/(1000)</f>
        <v>-3.038082833569989E-2</v>
      </c>
      <c r="J34" s="1363">
        <f t="shared" si="8"/>
        <v>0.21635511551861508</v>
      </c>
      <c r="K34" s="1137">
        <f t="shared" si="1"/>
        <v>5.3623417899033209E-2</v>
      </c>
      <c r="L34" s="396">
        <f t="shared" si="2"/>
        <v>1.7625895975857345E-2</v>
      </c>
      <c r="M34" s="968">
        <f t="shared" si="3"/>
        <v>3.599752192317586E-2</v>
      </c>
      <c r="N34" s="1137">
        <f t="shared" si="4"/>
        <v>2.337884443439299E-2</v>
      </c>
      <c r="O34" s="968">
        <f t="shared" si="5"/>
        <v>-3.8191766733308712E-3</v>
      </c>
      <c r="P34" s="1364">
        <f t="shared" si="6"/>
        <v>2.7198021107723857E-2</v>
      </c>
      <c r="Q34" s="40"/>
      <c r="R34" s="40"/>
      <c r="S34" s="40"/>
      <c r="T34" s="40"/>
      <c r="U34" s="40"/>
      <c r="V34" s="40"/>
    </row>
    <row r="35" spans="1:22" x14ac:dyDescent="0.35">
      <c r="B35" s="13" t="s">
        <v>74</v>
      </c>
      <c r="C35" s="1373">
        <f>+TableA3!H34</f>
        <v>16.980179105913855</v>
      </c>
      <c r="D35" s="1404">
        <f>+VLOOKUP(B35,'[4]Data C 2,4'!$A$2:$S$189,14,0)%</f>
        <v>0.27</v>
      </c>
      <c r="E35" s="1140">
        <f>D35*TableC4!C35/(1000)</f>
        <v>1.4082294707463936</v>
      </c>
      <c r="F35" s="1136">
        <f>+D35*TableC4!D35/(1000)</f>
        <v>0.79480198304387129</v>
      </c>
      <c r="G35" s="967">
        <f t="shared" si="7"/>
        <v>0.61342748770252231</v>
      </c>
      <c r="H35" s="1140">
        <f>D35*TableC4!N35/(1000)</f>
        <v>1.4666467768775731</v>
      </c>
      <c r="I35" s="1136">
        <f>+D35*TableC4!O35/(1000)</f>
        <v>1.0366576337778635</v>
      </c>
      <c r="J35" s="1363">
        <f t="shared" si="8"/>
        <v>0.42998914309970959</v>
      </c>
      <c r="K35" s="1137">
        <f t="shared" si="1"/>
        <v>8.2933723016851785E-2</v>
      </c>
      <c r="L35" s="396">
        <f t="shared" si="2"/>
        <v>4.6807632480570106E-2</v>
      </c>
      <c r="M35" s="968">
        <f t="shared" si="3"/>
        <v>3.6126090536281671E-2</v>
      </c>
      <c r="N35" s="1137">
        <f t="shared" si="4"/>
        <v>8.6374046335398746E-2</v>
      </c>
      <c r="O35" s="968">
        <f t="shared" si="5"/>
        <v>6.1051042354247985E-2</v>
      </c>
      <c r="P35" s="1364">
        <f t="shared" si="6"/>
        <v>2.5323003981150765E-2</v>
      </c>
      <c r="Q35" s="40"/>
      <c r="R35" s="40"/>
      <c r="S35" s="40"/>
      <c r="T35" s="40"/>
      <c r="U35" s="40"/>
      <c r="V35" s="40"/>
    </row>
    <row r="36" spans="1:22" x14ac:dyDescent="0.35">
      <c r="B36" s="13" t="s">
        <v>75</v>
      </c>
      <c r="C36" s="1373">
        <f>+TableA3!H35</f>
        <v>8.7820665870805144</v>
      </c>
      <c r="D36" s="1404">
        <f>+VLOOKUP(B36,'[4]Data C 2,4'!$A$2:$S$189,14,0)%</f>
        <v>0.19</v>
      </c>
      <c r="E36" s="1140">
        <f>D36*TableC4!C36/(1000)</f>
        <v>0.70221461489869563</v>
      </c>
      <c r="F36" s="1136">
        <f>+D36*TableC4!D36/(1000)</f>
        <v>0.48651642862878441</v>
      </c>
      <c r="G36" s="967">
        <f t="shared" si="7"/>
        <v>0.21569818626991122</v>
      </c>
      <c r="H36" s="1140">
        <f>D36*TableC4!N36/(1000)</f>
        <v>-0.48012547181952858</v>
      </c>
      <c r="I36" s="1136">
        <f>+D36*TableC4!O36/(1000)</f>
        <v>-0.48047458555377975</v>
      </c>
      <c r="J36" s="1363">
        <f t="shared" si="8"/>
        <v>3.4911373425117187E-4</v>
      </c>
      <c r="K36" s="1137">
        <f t="shared" si="1"/>
        <v>7.996006497283209E-2</v>
      </c>
      <c r="L36" s="396">
        <f t="shared" si="2"/>
        <v>5.5398854450102793E-2</v>
      </c>
      <c r="M36" s="968">
        <f t="shared" si="3"/>
        <v>2.4561210522729287E-2</v>
      </c>
      <c r="N36" s="1137">
        <f t="shared" si="4"/>
        <v>-5.4671126329860834E-2</v>
      </c>
      <c r="O36" s="968">
        <f t="shared" si="5"/>
        <v>-5.4710879357327602E-2</v>
      </c>
      <c r="P36" s="1364">
        <f t="shared" si="6"/>
        <v>3.975302746676512E-5</v>
      </c>
      <c r="Q36" s="40"/>
      <c r="R36" s="40"/>
      <c r="S36" s="40"/>
      <c r="T36" s="40"/>
      <c r="U36" s="40"/>
      <c r="V36" s="40"/>
    </row>
    <row r="37" spans="1:22" x14ac:dyDescent="0.35">
      <c r="B37" s="13" t="s">
        <v>76</v>
      </c>
      <c r="C37" s="1373">
        <f>+TableA3!H36</f>
        <v>6.2258326041219583</v>
      </c>
      <c r="D37" s="1404">
        <f>+VLOOKUP(B37,'[4]Data C 2,4'!$A$2:$S$189,14,0)%</f>
        <v>0.21</v>
      </c>
      <c r="E37" s="1140">
        <f>D37*TableC4!C37/(1000)</f>
        <v>0.55401828129230823</v>
      </c>
      <c r="F37" s="1136">
        <f>+D37*TableC4!D37/(1000)</f>
        <v>0.49494758221281709</v>
      </c>
      <c r="G37" s="967">
        <f t="shared" si="7"/>
        <v>5.907069907949114E-2</v>
      </c>
      <c r="H37" s="1140">
        <f>D37*TableC4!N37/(1000)</f>
        <v>5.8380833696366548E-2</v>
      </c>
      <c r="I37" s="1136">
        <f>+D37*TableC4!O37/(1000)</f>
        <v>6.6688516940348992E-4</v>
      </c>
      <c r="J37" s="1363">
        <f t="shared" si="8"/>
        <v>5.7713948526963058E-2</v>
      </c>
      <c r="K37" s="1137">
        <f t="shared" si="1"/>
        <v>8.8987018527531159E-2</v>
      </c>
      <c r="L37" s="396">
        <f t="shared" si="2"/>
        <v>7.9499018634893184E-2</v>
      </c>
      <c r="M37" s="968">
        <f t="shared" si="3"/>
        <v>9.4879998926379744E-3</v>
      </c>
      <c r="N37" s="1137">
        <f t="shared" si="4"/>
        <v>9.3771929649560694E-3</v>
      </c>
      <c r="O37" s="968">
        <f t="shared" si="5"/>
        <v>1.0711582077583695E-4</v>
      </c>
      <c r="P37" s="1364">
        <f t="shared" si="6"/>
        <v>9.2700771441802318E-3</v>
      </c>
      <c r="Q37" s="40"/>
      <c r="R37" s="40"/>
      <c r="S37" s="40"/>
      <c r="T37" s="40"/>
      <c r="U37" s="40"/>
      <c r="V37" s="40"/>
    </row>
    <row r="38" spans="1:22" x14ac:dyDescent="0.35">
      <c r="A38" s="376" t="s">
        <v>77</v>
      </c>
      <c r="B38" s="13" t="s">
        <v>96</v>
      </c>
      <c r="C38" s="1373">
        <f>+TableA3!H37</f>
        <v>2.9169999999999998</v>
      </c>
      <c r="D38" s="1404">
        <f>+VLOOKUP(B38,'[4]Data C 2,4'!$A$2:$S$189,14,0)%</f>
        <v>0.22</v>
      </c>
      <c r="E38" s="1140">
        <f>D38*TableC4!C38/(1000)</f>
        <v>0.14009898329065634</v>
      </c>
      <c r="F38" s="1136">
        <f>+D38*TableC4!D38/(1000)</f>
        <v>0.11777605114149546</v>
      </c>
      <c r="G38" s="967">
        <f t="shared" si="7"/>
        <v>2.2322932149160882E-2</v>
      </c>
      <c r="H38" s="1140">
        <f>D38*TableC4!N38/(1000)</f>
        <v>1.9783614702909954E-2</v>
      </c>
      <c r="I38" s="1136">
        <f>+D38*TableC4!O38/(1000)</f>
        <v>1.9003668919639376E-2</v>
      </c>
      <c r="J38" s="1363">
        <f t="shared" si="8"/>
        <v>7.7994578327057751E-4</v>
      </c>
      <c r="K38" s="1137">
        <f t="shared" si="1"/>
        <v>4.8028448162720727E-2</v>
      </c>
      <c r="L38" s="396">
        <f t="shared" si="2"/>
        <v>4.0375746020396112E-2</v>
      </c>
      <c r="M38" s="968">
        <f t="shared" si="3"/>
        <v>7.6527021423246086E-3</v>
      </c>
      <c r="N38" s="1137">
        <f t="shared" si="4"/>
        <v>6.7821785063112636E-3</v>
      </c>
      <c r="O38" s="968">
        <f t="shared" si="5"/>
        <v>6.5147990811242297E-3</v>
      </c>
      <c r="P38" s="1364">
        <f t="shared" si="6"/>
        <v>2.6737942518703379E-4</v>
      </c>
      <c r="Q38" s="40"/>
      <c r="R38" s="40"/>
      <c r="S38" s="40"/>
      <c r="T38" s="40"/>
      <c r="U38" s="40"/>
      <c r="V38" s="40"/>
    </row>
    <row r="39" spans="1:22" x14ac:dyDescent="0.35">
      <c r="B39" s="13" t="s">
        <v>78</v>
      </c>
      <c r="C39" s="1373">
        <f>+TableA3!H38</f>
        <v>0.62991330425360359</v>
      </c>
      <c r="D39" s="1404">
        <f>+VLOOKUP(B39,'[4]Data C 2,4'!$A$2:$S$189,14,0)%</f>
        <v>0.17</v>
      </c>
      <c r="E39" s="1140">
        <f>D39*TableC4!C39/(1000)</f>
        <v>3.8300831716674075E-2</v>
      </c>
      <c r="F39" s="1136">
        <f>+D39*TableC4!D39/(1000)</f>
        <v>1.9567108632217611E-2</v>
      </c>
      <c r="G39" s="967">
        <f t="shared" si="7"/>
        <v>1.8733723084456463E-2</v>
      </c>
      <c r="H39" s="1140">
        <f>D39*TableC4!N39/(1000)</f>
        <v>-1.1996110828804041E-3</v>
      </c>
      <c r="I39" s="1136">
        <f>+D39*TableC4!O39/(1000)</f>
        <v>-1.2890368977857367E-3</v>
      </c>
      <c r="J39" s="1363">
        <f t="shared" si="8"/>
        <v>8.9425814905332631E-5</v>
      </c>
      <c r="K39" s="1137">
        <f t="shared" si="1"/>
        <v>6.0803338265822897E-2</v>
      </c>
      <c r="L39" s="396">
        <f t="shared" si="2"/>
        <v>3.1063177265962107E-2</v>
      </c>
      <c r="M39" s="968">
        <f t="shared" si="3"/>
        <v>2.9740160999860786E-2</v>
      </c>
      <c r="N39" s="1137">
        <f t="shared" si="4"/>
        <v>-1.9044066457714311E-3</v>
      </c>
      <c r="O39" s="968">
        <f t="shared" si="5"/>
        <v>-2.0463719198837074E-3</v>
      </c>
      <c r="P39" s="1364">
        <f t="shared" si="6"/>
        <v>1.4196527411227644E-4</v>
      </c>
      <c r="Q39" s="40"/>
      <c r="R39" s="40"/>
      <c r="S39" s="40"/>
      <c r="T39" s="40"/>
      <c r="U39" s="40"/>
      <c r="V39" s="40"/>
    </row>
    <row r="40" spans="1:22" x14ac:dyDescent="0.35">
      <c r="B40" s="13" t="s">
        <v>79</v>
      </c>
      <c r="C40" s="1373">
        <f>+TableA3!H39</f>
        <v>28.380403234482216</v>
      </c>
      <c r="D40" s="1404">
        <f>+VLOOKUP(B40,'[4]Data C 2,4'!$A$2:$S$189,14,0)%</f>
        <v>0.28000000000000003</v>
      </c>
      <c r="E40" s="1140">
        <f>D40*TableC4!C40/(1000)</f>
        <v>4.0213800257688312</v>
      </c>
      <c r="F40" s="1136">
        <f>+D40*TableC4!D40/(1000)</f>
        <v>3.1658234146898794</v>
      </c>
      <c r="G40" s="967">
        <f t="shared" si="7"/>
        <v>0.85555661107895187</v>
      </c>
      <c r="H40" s="1140">
        <f>D40*TableC4!N40/(1000)</f>
        <v>0.86796528793394034</v>
      </c>
      <c r="I40" s="1136">
        <f>+D40*TableC4!O40/(1000)</f>
        <v>0.30880140654605304</v>
      </c>
      <c r="J40" s="1363">
        <f t="shared" si="8"/>
        <v>0.55916388138788731</v>
      </c>
      <c r="K40" s="1137">
        <f t="shared" si="1"/>
        <v>0.14169566205750209</v>
      </c>
      <c r="L40" s="396">
        <f t="shared" si="2"/>
        <v>0.11154962769674115</v>
      </c>
      <c r="M40" s="968">
        <f t="shared" si="3"/>
        <v>3.0146034360760941E-2</v>
      </c>
      <c r="N40" s="1137">
        <f t="shared" si="4"/>
        <v>3.0583261300507588E-2</v>
      </c>
      <c r="O40" s="968">
        <f t="shared" si="5"/>
        <v>1.0880797006113678E-2</v>
      </c>
      <c r="P40" s="1364">
        <f t="shared" si="6"/>
        <v>1.9702464294393911E-2</v>
      </c>
      <c r="Q40" s="40"/>
      <c r="R40" s="40"/>
      <c r="S40" s="40"/>
      <c r="T40" s="40"/>
      <c r="U40" s="40"/>
      <c r="V40" s="40"/>
    </row>
    <row r="41" spans="1:22" s="118" customFormat="1" x14ac:dyDescent="0.35">
      <c r="B41" s="15" t="s">
        <v>80</v>
      </c>
      <c r="C41" s="1373">
        <f>+TableA3!H40</f>
        <v>14.727097286125488</v>
      </c>
      <c r="D41" s="1404">
        <f>+VLOOKUP(B41,'[4]Data C 2,4'!$A$2:$S$189,14,0)%</f>
        <v>0.22</v>
      </c>
      <c r="E41" s="1140">
        <f>D41*TableC4!C41/(1000)</f>
        <v>1.8790398127610988</v>
      </c>
      <c r="F41" s="1136">
        <f>+D41*TableC4!D41/(1000)</f>
        <v>1.4676970926928903</v>
      </c>
      <c r="G41" s="967">
        <f t="shared" si="7"/>
        <v>0.41134272006820849</v>
      </c>
      <c r="H41" s="1140">
        <f>D41*TableC4!N41/(1000)</f>
        <v>2.086158957905369</v>
      </c>
      <c r="I41" s="1136">
        <f>+D41*TableC4!O41/(1000)</f>
        <v>1.4821029416062244</v>
      </c>
      <c r="J41" s="1363">
        <f t="shared" si="8"/>
        <v>0.60405601629914463</v>
      </c>
      <c r="K41" s="1137">
        <f t="shared" si="1"/>
        <v>0.12759064303400486</v>
      </c>
      <c r="L41" s="396">
        <f t="shared" si="2"/>
        <v>9.9659631777921295E-2</v>
      </c>
      <c r="M41" s="968">
        <f t="shared" si="3"/>
        <v>2.7931011256083549E-2</v>
      </c>
      <c r="N41" s="1137">
        <f t="shared" si="4"/>
        <v>0.14165445622952158</v>
      </c>
      <c r="O41" s="968">
        <f t="shared" si="5"/>
        <v>0.10063781835694974</v>
      </c>
      <c r="P41" s="1364">
        <f t="shared" si="6"/>
        <v>4.1016637872571836E-2</v>
      </c>
      <c r="Q41" s="40"/>
      <c r="R41" s="40"/>
      <c r="S41" s="40"/>
      <c r="T41" s="40"/>
      <c r="U41" s="40"/>
      <c r="V41" s="40"/>
    </row>
    <row r="42" spans="1:22" x14ac:dyDescent="0.35">
      <c r="B42" s="13" t="s">
        <v>1</v>
      </c>
      <c r="C42" s="295"/>
      <c r="D42" s="1404"/>
      <c r="E42" s="1140">
        <f>D42*TableC4!C42/(1000)</f>
        <v>0</v>
      </c>
      <c r="F42" s="1136">
        <f>+D42*TableC4!D42/(1000)</f>
        <v>0</v>
      </c>
      <c r="G42" s="967">
        <f t="shared" si="7"/>
        <v>0</v>
      </c>
      <c r="H42" s="1140">
        <f>D42*TableC4!N42/(1000)</f>
        <v>0</v>
      </c>
      <c r="I42" s="1136">
        <f>+D42*TableC4!O42/(1000)</f>
        <v>0</v>
      </c>
      <c r="J42" s="1363">
        <f t="shared" si="8"/>
        <v>0</v>
      </c>
      <c r="K42" s="1137"/>
      <c r="L42" s="396"/>
      <c r="M42" s="968"/>
      <c r="N42" s="1137"/>
      <c r="O42" s="968"/>
      <c r="P42" s="1364"/>
      <c r="Q42" s="40"/>
      <c r="R42" s="40"/>
      <c r="S42" s="40"/>
      <c r="T42" s="40"/>
      <c r="U42" s="40"/>
      <c r="V42" s="40"/>
    </row>
    <row r="43" spans="1:22" x14ac:dyDescent="0.35">
      <c r="B43" s="13" t="s">
        <v>81</v>
      </c>
      <c r="C43" s="1373">
        <f>+TableA3!H42</f>
        <v>12.275014163556076</v>
      </c>
      <c r="D43" s="1404">
        <f>+VLOOKUP(B43,'[4]Data C 2,4'!$A$2:$S$189,14,0)%</f>
        <v>0.2</v>
      </c>
      <c r="E43" s="1140">
        <f>D43*TableC4!C43/(1000)</f>
        <v>0.99509856411795194</v>
      </c>
      <c r="F43" s="1136">
        <f>+D43*TableC4!D43/(1000)</f>
        <v>0.3232851181123596</v>
      </c>
      <c r="G43" s="967">
        <f t="shared" si="7"/>
        <v>0.67181344600559234</v>
      </c>
      <c r="H43" s="1140">
        <f>D43*TableC4!N43/(1000)</f>
        <v>9.3615700495637957E-2</v>
      </c>
      <c r="I43" s="1136">
        <f>+D43*TableC4!O43/(1000)</f>
        <v>8.9708422099904969E-2</v>
      </c>
      <c r="J43" s="1363">
        <f t="shared" si="8"/>
        <v>3.9072783957329882E-3</v>
      </c>
      <c r="K43" s="1137">
        <f t="shared" si="1"/>
        <v>8.1066999260363509E-2</v>
      </c>
      <c r="L43" s="396">
        <f t="shared" si="2"/>
        <v>2.6336842777108762E-2</v>
      </c>
      <c r="M43" s="968">
        <f t="shared" si="3"/>
        <v>5.4730156483254744E-2</v>
      </c>
      <c r="N43" s="1137">
        <f t="shared" si="4"/>
        <v>7.6265248453707248E-3</v>
      </c>
      <c r="O43" s="968">
        <f t="shared" si="5"/>
        <v>7.3082133270562684E-3</v>
      </c>
      <c r="P43" s="1364">
        <f t="shared" si="6"/>
        <v>3.1831151831445613E-4</v>
      </c>
      <c r="Q43" s="40"/>
      <c r="R43" s="40"/>
      <c r="S43" s="40"/>
      <c r="T43" s="40"/>
      <c r="U43" s="40"/>
      <c r="V43" s="40"/>
    </row>
    <row r="44" spans="1:22" x14ac:dyDescent="0.35">
      <c r="B44" s="13" t="s">
        <v>82</v>
      </c>
      <c r="C44" s="1373">
        <f>+TableA3!H43</f>
        <v>70.19379874569357</v>
      </c>
      <c r="D44" s="1404">
        <f>+VLOOKUP(B44,'[4]Data C 2,4'!$A$2:$S$189,14,0)%</f>
        <v>0.2</v>
      </c>
      <c r="E44" s="1140">
        <f>D44*TableC4!C44/(1000)</f>
        <v>12.300180136609274</v>
      </c>
      <c r="F44" s="1136">
        <f>+D44*TableC4!D44/(1000)</f>
        <v>9.7090538356138776</v>
      </c>
      <c r="G44" s="967">
        <f t="shared" si="7"/>
        <v>2.5911263009953966</v>
      </c>
      <c r="H44" s="1140">
        <f>D44*TableC4!N44/(1000)</f>
        <v>10.894100163122735</v>
      </c>
      <c r="I44" s="1136">
        <f>+D44*TableC4!O44/(1000)</f>
        <v>7.7590684909809688</v>
      </c>
      <c r="J44" s="1363">
        <f t="shared" si="8"/>
        <v>3.1350316721417659</v>
      </c>
      <c r="K44" s="1137">
        <f t="shared" si="1"/>
        <v>0.17523172069902965</v>
      </c>
      <c r="L44" s="396">
        <f t="shared" si="2"/>
        <v>0.13831782876987453</v>
      </c>
      <c r="M44" s="968">
        <f t="shared" si="3"/>
        <v>3.6913891929155118E-2</v>
      </c>
      <c r="N44" s="1137">
        <f t="shared" si="4"/>
        <v>0.15520032193429473</v>
      </c>
      <c r="O44" s="968">
        <f t="shared" si="5"/>
        <v>0.11053780575534092</v>
      </c>
      <c r="P44" s="1364">
        <f t="shared" si="6"/>
        <v>4.4662516178953796E-2</v>
      </c>
      <c r="Q44" s="40"/>
      <c r="R44" s="40"/>
      <c r="S44" s="40"/>
      <c r="T44" s="40"/>
      <c r="U44" s="40"/>
      <c r="V44" s="40"/>
    </row>
    <row r="45" spans="1:22" x14ac:dyDescent="0.35">
      <c r="B45" s="13" t="s">
        <v>0</v>
      </c>
      <c r="C45" s="1373">
        <f>+TableA3!H44</f>
        <v>404.99173999999999</v>
      </c>
      <c r="D45" s="1404">
        <f>+VLOOKUP(B45,'[4]Data C 2,4'!$A$2:$S$189,14,0)%</f>
        <v>0.4</v>
      </c>
      <c r="E45" s="1140">
        <f>D45*TableC4!C45/(1000)</f>
        <v>57.026123441400721</v>
      </c>
      <c r="F45" s="1136">
        <f>+D45*TableC4!D45/(1000)</f>
        <v>17.245248127406519</v>
      </c>
      <c r="G45" s="967">
        <f t="shared" si="7"/>
        <v>39.780875313994201</v>
      </c>
      <c r="H45" s="1140">
        <f>D45*TableC4!N45/(1000)</f>
        <v>122.16583691417057</v>
      </c>
      <c r="I45" s="1136">
        <f>+D45*TableC4!O45/(1000)</f>
        <v>68.65363263422806</v>
      </c>
      <c r="J45" s="1363">
        <f t="shared" si="8"/>
        <v>53.512204279942509</v>
      </c>
      <c r="K45" s="1137">
        <f t="shared" si="1"/>
        <v>0.14080811485538131</v>
      </c>
      <c r="L45" s="396">
        <f t="shared" si="2"/>
        <v>4.2581728030814947E-2</v>
      </c>
      <c r="M45" s="968">
        <f t="shared" si="3"/>
        <v>9.8226386824566359E-2</v>
      </c>
      <c r="N45" s="1137">
        <f t="shared" si="4"/>
        <v>0.30165019393770987</v>
      </c>
      <c r="O45" s="968">
        <f t="shared" si="5"/>
        <v>0.1695185996490399</v>
      </c>
      <c r="P45" s="1364">
        <f t="shared" si="6"/>
        <v>0.13213159428866997</v>
      </c>
      <c r="Q45" s="40"/>
      <c r="R45" s="40"/>
      <c r="S45" s="40"/>
      <c r="T45" s="40"/>
      <c r="U45" s="40"/>
      <c r="V45" s="40"/>
    </row>
    <row r="46" spans="1:22" ht="31" x14ac:dyDescent="0.35">
      <c r="B46" s="38" t="s">
        <v>99</v>
      </c>
      <c r="C46" s="1401">
        <f>SUM(C47:C53)</f>
        <v>592.19769080783021</v>
      </c>
      <c r="D46" s="1407"/>
      <c r="E46" s="1129">
        <f>F46+G46</f>
        <v>27.422697354796586</v>
      </c>
      <c r="F46" s="1533">
        <f>SUM(F47:F53)</f>
        <v>6.4919177269418009</v>
      </c>
      <c r="G46" s="1633">
        <f>SUM(G47:G53)</f>
        <v>20.930779627854786</v>
      </c>
      <c r="H46" s="1129">
        <f>I46+J46</f>
        <v>16.975686448539282</v>
      </c>
      <c r="I46" s="1533">
        <f>SUM(I47:I53)</f>
        <v>2.2230097721163702</v>
      </c>
      <c r="J46" s="1633">
        <f>SUM(J47:J53)</f>
        <v>14.752676676422912</v>
      </c>
      <c r="K46" s="588">
        <f t="shared" si="1"/>
        <v>4.630666039475545E-2</v>
      </c>
      <c r="L46" s="589">
        <f t="shared" si="2"/>
        <v>1.0962416483059956E-2</v>
      </c>
      <c r="M46" s="955">
        <f t="shared" si="3"/>
        <v>3.5344243911695501E-2</v>
      </c>
      <c r="N46" s="588">
        <f t="shared" si="4"/>
        <v>2.8665573527283373E-2</v>
      </c>
      <c r="O46" s="955">
        <f t="shared" si="5"/>
        <v>3.7538305309564994E-3</v>
      </c>
      <c r="P46" s="1507">
        <f t="shared" si="6"/>
        <v>2.4911742996326872E-2</v>
      </c>
      <c r="Q46" s="589"/>
      <c r="R46" s="589"/>
      <c r="S46" s="589"/>
      <c r="T46" s="589"/>
      <c r="U46" s="589"/>
      <c r="V46" s="589"/>
    </row>
    <row r="47" spans="1:22" x14ac:dyDescent="0.35">
      <c r="B47" s="95" t="s">
        <v>92</v>
      </c>
      <c r="C47" s="1373">
        <f>+TableA3!G46</f>
        <v>53.528694639071517</v>
      </c>
      <c r="D47" s="1404">
        <f>+VLOOKUP(B47,'[4]Data C 2,4'!$A$2:$S$189,14,0)%</f>
        <v>0.34</v>
      </c>
      <c r="E47" s="1140">
        <f>D47*TableC4!C47/(1000)</f>
        <v>4.8321019687632383</v>
      </c>
      <c r="F47" s="1136">
        <f>+D47*TableC4!D47/(1000)</f>
        <v>1.7909255297823645</v>
      </c>
      <c r="G47" s="967">
        <f t="shared" ref="G47" si="9">+E47-F47</f>
        <v>3.041176438980874</v>
      </c>
      <c r="H47" s="1140">
        <f>D47*TableC4!N47/(1000)</f>
        <v>2.303750020470964</v>
      </c>
      <c r="I47" s="1136">
        <f>+D47*TableC4!O47/(1000)</f>
        <v>2.2028073326581499</v>
      </c>
      <c r="J47" s="1363">
        <f t="shared" ref="J47" si="10">+H47-I47</f>
        <v>0.10094268781281412</v>
      </c>
      <c r="K47" s="1137">
        <f>+E47/$C47</f>
        <v>9.0271246129663765E-2</v>
      </c>
      <c r="L47" s="396">
        <f t="shared" si="2"/>
        <v>3.3457298778870971E-2</v>
      </c>
      <c r="M47" s="968">
        <f t="shared" si="3"/>
        <v>5.6813947350792801E-2</v>
      </c>
      <c r="N47" s="1137">
        <f t="shared" si="4"/>
        <v>4.3037664863761073E-2</v>
      </c>
      <c r="O47" s="968">
        <f t="shared" si="5"/>
        <v>4.115189708082817E-2</v>
      </c>
      <c r="P47" s="1364">
        <f t="shared" si="6"/>
        <v>1.8857677829329004E-3</v>
      </c>
      <c r="Q47" s="40"/>
      <c r="R47" s="40"/>
      <c r="S47" s="40"/>
      <c r="T47" s="40"/>
      <c r="U47" s="40"/>
      <c r="V47" s="40"/>
    </row>
    <row r="48" spans="1:22" x14ac:dyDescent="0.35">
      <c r="A48" s="741" t="s">
        <v>488</v>
      </c>
      <c r="B48" s="31" t="s">
        <v>101</v>
      </c>
      <c r="C48" s="1373">
        <f>+TableA3!G47</f>
        <v>421.94464956064348</v>
      </c>
      <c r="D48" s="1404">
        <f>+VLOOKUP(B48,'[4]Data C 2,4'!$A$2:$S$189,14,0)%</f>
        <v>0.25</v>
      </c>
      <c r="E48" s="1140">
        <f>D48*TableC4!C48/(1000)</f>
        <v>15.131451982825235</v>
      </c>
      <c r="F48" s="1136">
        <f>+D48*TableC4!D48/(1000)</f>
        <v>1.5324179887294989</v>
      </c>
      <c r="G48" s="967">
        <f t="shared" ref="G48:G91" si="11">+E48-F48</f>
        <v>13.599033994095736</v>
      </c>
      <c r="H48" s="1140">
        <f>D48*TableC4!N48/(1000)</f>
        <v>11.379357477638573</v>
      </c>
      <c r="I48" s="1136">
        <f>+D48*TableC4!O48/(1000)</f>
        <v>1.6074921435645078E-3</v>
      </c>
      <c r="J48" s="1363">
        <f t="shared" ref="J48:J91" si="12">+H48-I48</f>
        <v>11.377749985495008</v>
      </c>
      <c r="K48" s="1137">
        <f t="shared" si="1"/>
        <v>3.5861224922702772E-2</v>
      </c>
      <c r="L48" s="396">
        <f t="shared" si="2"/>
        <v>3.6317986027910375E-3</v>
      </c>
      <c r="M48" s="968">
        <f t="shared" si="3"/>
        <v>3.2229426319911735E-2</v>
      </c>
      <c r="N48" s="1137">
        <f t="shared" si="4"/>
        <v>2.6968839371437719E-2</v>
      </c>
      <c r="O48" s="968">
        <f t="shared" si="5"/>
        <v>3.8097227805550664E-6</v>
      </c>
      <c r="P48" s="1364">
        <f t="shared" si="6"/>
        <v>2.6965029648657164E-2</v>
      </c>
      <c r="Q48" s="40"/>
      <c r="R48" s="40"/>
      <c r="S48" s="40"/>
      <c r="T48" s="40"/>
      <c r="U48" s="40"/>
      <c r="V48" s="40"/>
    </row>
    <row r="49" spans="1:22" x14ac:dyDescent="0.35">
      <c r="B49" s="31" t="s">
        <v>93</v>
      </c>
      <c r="C49" s="1373">
        <f>+TableA3!G48</f>
        <v>17.029186059832139</v>
      </c>
      <c r="D49" s="1404">
        <f>+VLOOKUP(B49,'[4]Data C 2,4'!$A$2:$S$189,14,0)%</f>
        <v>0.25</v>
      </c>
      <c r="E49" s="1140">
        <f>D49*TableC4!C49/(1000)</f>
        <v>0.35090435988265745</v>
      </c>
      <c r="F49" s="1136">
        <f>+D49*TableC4!D49/(1000)</f>
        <v>0.14322036792261797</v>
      </c>
      <c r="G49" s="967">
        <f t="shared" si="11"/>
        <v>0.20768399196003948</v>
      </c>
      <c r="H49" s="1140">
        <f>D49*TableC4!N49/(1000)</f>
        <v>0.24974158917818989</v>
      </c>
      <c r="I49" s="1136">
        <f>+D49*TableC4!O49/(1000)</f>
        <v>-7.3693752283767681E-4</v>
      </c>
      <c r="J49" s="1363">
        <f t="shared" si="12"/>
        <v>0.25047852670102755</v>
      </c>
      <c r="K49" s="1137">
        <f t="shared" si="1"/>
        <v>2.060605590013246E-2</v>
      </c>
      <c r="L49" s="396">
        <f t="shared" si="2"/>
        <v>8.4102885140494923E-3</v>
      </c>
      <c r="M49" s="968">
        <f t="shared" si="3"/>
        <v>1.2195767386082966E-2</v>
      </c>
      <c r="N49" s="1137">
        <f t="shared" si="4"/>
        <v>1.4665503583126138E-2</v>
      </c>
      <c r="O49" s="968">
        <f t="shared" si="5"/>
        <v>-4.3274970409533538E-5</v>
      </c>
      <c r="P49" s="1364">
        <f t="shared" si="6"/>
        <v>1.4708778553535669E-2</v>
      </c>
      <c r="Q49" s="40"/>
      <c r="R49" s="40"/>
      <c r="S49" s="40"/>
      <c r="T49" s="40"/>
      <c r="U49" s="40"/>
      <c r="V49" s="40"/>
    </row>
    <row r="50" spans="1:22" x14ac:dyDescent="0.35">
      <c r="B50" s="31" t="s">
        <v>94</v>
      </c>
      <c r="C50" s="1373">
        <f>+TableA3!G49</f>
        <v>1.5394204107008198</v>
      </c>
      <c r="D50" s="1404">
        <f>+VLOOKUP(B50,'[4]Data C 2,4'!$A$2:$S$189,14,0)%</f>
        <v>0.3</v>
      </c>
      <c r="E50" s="1140">
        <f>D50*TableC4!C50/(1000)</f>
        <v>0.31725599660623816</v>
      </c>
      <c r="F50" s="1136">
        <f>+D50*TableC4!D50/(1000)</f>
        <v>0.12948690798483267</v>
      </c>
      <c r="G50" s="967">
        <f t="shared" si="11"/>
        <v>0.18776908862140548</v>
      </c>
      <c r="H50" s="1140">
        <f>D50*TableC4!N50/(1000)</f>
        <v>3.5762470319334744E-2</v>
      </c>
      <c r="I50" s="1136">
        <f>+D50*TableC4!O50/(1000)</f>
        <v>-4.4288499944834239E-4</v>
      </c>
      <c r="J50" s="1363">
        <f t="shared" si="12"/>
        <v>3.6205355318783085E-2</v>
      </c>
      <c r="K50" s="1137">
        <f t="shared" si="1"/>
        <v>0.20608794998489571</v>
      </c>
      <c r="L50" s="396">
        <f t="shared" si="2"/>
        <v>8.4114064673134911E-2</v>
      </c>
      <c r="M50" s="968">
        <f t="shared" si="3"/>
        <v>0.12197388531176079</v>
      </c>
      <c r="N50" s="1137">
        <f t="shared" si="4"/>
        <v>2.3231126514071557E-2</v>
      </c>
      <c r="O50" s="968">
        <f t="shared" si="5"/>
        <v>-2.8769593826985794E-4</v>
      </c>
      <c r="P50" s="1364">
        <f t="shared" si="6"/>
        <v>2.3518822452341416E-2</v>
      </c>
      <c r="Q50" s="40"/>
      <c r="R50" s="40"/>
      <c r="S50" s="40"/>
      <c r="T50" s="40"/>
      <c r="U50" s="40"/>
      <c r="V50" s="40"/>
    </row>
    <row r="51" spans="1:22" x14ac:dyDescent="0.35">
      <c r="B51" s="31" t="s">
        <v>102</v>
      </c>
      <c r="C51" s="1373">
        <f>+TableA3!G50</f>
        <v>37.377974500000001</v>
      </c>
      <c r="D51" s="1404">
        <f>+VLOOKUP(B51,'[4]Data C 2,4'!$A$2:$S$189,14,0)%</f>
        <v>0.34610000000000002</v>
      </c>
      <c r="E51" s="1140">
        <f>D51*TableC4!C51/(1000)</f>
        <v>3.2797817073095037</v>
      </c>
      <c r="F51" s="1136">
        <f>+D51*TableC4!D51/(1000)</f>
        <v>0.95600836625481389</v>
      </c>
      <c r="G51" s="967">
        <f t="shared" si="11"/>
        <v>2.3237733410546899</v>
      </c>
      <c r="H51" s="1140">
        <f>D51*TableC4!N51/(1000)</f>
        <v>1.6186458933230192</v>
      </c>
      <c r="I51" s="1136">
        <f>+D51*TableC4!O51/(1000)</f>
        <v>9.9760626637240453E-3</v>
      </c>
      <c r="J51" s="1363">
        <f t="shared" si="12"/>
        <v>1.6086698306592953</v>
      </c>
      <c r="K51" s="1137">
        <f t="shared" si="1"/>
        <v>8.7746373397239688E-2</v>
      </c>
      <c r="L51" s="396">
        <f t="shared" si="2"/>
        <v>2.5576783628412338E-2</v>
      </c>
      <c r="M51" s="968">
        <f t="shared" si="3"/>
        <v>6.216958976882736E-2</v>
      </c>
      <c r="N51" s="1137">
        <f t="shared" si="4"/>
        <v>4.3304804901159615E-2</v>
      </c>
      <c r="O51" s="968">
        <f t="shared" si="5"/>
        <v>2.6689682352167173E-4</v>
      </c>
      <c r="P51" s="1364">
        <f t="shared" si="6"/>
        <v>4.3037908077637944E-2</v>
      </c>
      <c r="Q51" s="40"/>
      <c r="R51" s="40"/>
      <c r="S51" s="40"/>
      <c r="T51" s="40"/>
      <c r="U51" s="40"/>
      <c r="V51" s="40"/>
    </row>
    <row r="52" spans="1:22" x14ac:dyDescent="0.35">
      <c r="A52" s="741" t="s">
        <v>318</v>
      </c>
      <c r="B52" s="31" t="s">
        <v>103</v>
      </c>
      <c r="C52" s="1373">
        <f>+TableA3!G51</f>
        <v>41.990935943542297</v>
      </c>
      <c r="D52" s="1404">
        <f>+VLOOKUP(B52,'[4]Data C 2,4'!$A$2:$S$189,14,0)%</f>
        <v>0.2</v>
      </c>
      <c r="E52" s="1140">
        <f>D52*TableC4!C52/(1000)</f>
        <v>2.3686208698667821</v>
      </c>
      <c r="F52" s="1136">
        <f>+D52*TableC4!D52/(1000)</f>
        <v>1.4536733107661155</v>
      </c>
      <c r="G52" s="967">
        <f t="shared" si="11"/>
        <v>0.91494755910066661</v>
      </c>
      <c r="H52" s="1140">
        <f>D52*TableC4!N52/(1000)</f>
        <v>0.15098890069814561</v>
      </c>
      <c r="I52" s="1136">
        <f>+D52*TableC4!O52/(1000)</f>
        <v>0.14357902869552672</v>
      </c>
      <c r="J52" s="1363">
        <f t="shared" si="12"/>
        <v>7.4098720026188891E-3</v>
      </c>
      <c r="K52" s="1137">
        <f t="shared" si="1"/>
        <v>5.640790843651218E-2</v>
      </c>
      <c r="L52" s="396">
        <f t="shared" si="2"/>
        <v>3.4618740404372267E-2</v>
      </c>
      <c r="M52" s="968">
        <f t="shared" si="3"/>
        <v>2.1789168032139913E-2</v>
      </c>
      <c r="N52" s="1137">
        <f t="shared" si="4"/>
        <v>3.5957498280379694E-3</v>
      </c>
      <c r="O52" s="968">
        <f t="shared" si="5"/>
        <v>3.4192862214019655E-3</v>
      </c>
      <c r="P52" s="1364">
        <f t="shared" si="6"/>
        <v>1.7646360663600398E-4</v>
      </c>
      <c r="Q52" s="40"/>
      <c r="R52" s="40"/>
      <c r="S52" s="40"/>
      <c r="T52" s="40"/>
      <c r="U52" s="40"/>
      <c r="V52" s="40"/>
    </row>
    <row r="53" spans="1:22" x14ac:dyDescent="0.35">
      <c r="B53" s="13" t="s">
        <v>97</v>
      </c>
      <c r="C53" s="1373">
        <f>+TableA3!G52</f>
        <v>18.786829694039877</v>
      </c>
      <c r="D53" s="1404">
        <f>+VLOOKUP(B53,'[4]Data C 2,4'!$A$2:$S$189,14,0)%</f>
        <v>0.28000000000000003</v>
      </c>
      <c r="E53" s="1140">
        <f>D53*TableC4!C53/(1000)</f>
        <v>1.1425804695429322</v>
      </c>
      <c r="F53" s="1136">
        <f>+D53*TableC4!D53/(1000)</f>
        <v>0.48618525550155789</v>
      </c>
      <c r="G53" s="967">
        <f t="shared" si="11"/>
        <v>0.65639521404137435</v>
      </c>
      <c r="H53" s="1140">
        <f>D53*TableC4!N53/(1000)</f>
        <v>1.2374400969110568</v>
      </c>
      <c r="I53" s="1136">
        <f>+D53*TableC4!O53/(1000)</f>
        <v>-0.13378032152230868</v>
      </c>
      <c r="J53" s="1363">
        <f t="shared" si="12"/>
        <v>1.3712204184333654</v>
      </c>
      <c r="K53" s="1137">
        <f t="shared" si="1"/>
        <v>6.0818162944512984E-2</v>
      </c>
      <c r="L53" s="396">
        <f t="shared" si="2"/>
        <v>2.5879047365602096E-2</v>
      </c>
      <c r="M53" s="968">
        <f t="shared" si="3"/>
        <v>3.4939115578910891E-2</v>
      </c>
      <c r="N53" s="1137">
        <f t="shared" si="4"/>
        <v>6.5867425055949419E-2</v>
      </c>
      <c r="O53" s="968">
        <f t="shared" si="5"/>
        <v>-7.1209631268840685E-3</v>
      </c>
      <c r="P53" s="1364">
        <f t="shared" si="6"/>
        <v>7.2988388182833486E-2</v>
      </c>
      <c r="Q53" s="40"/>
      <c r="R53" s="40"/>
      <c r="S53" s="40"/>
      <c r="T53" s="40"/>
      <c r="U53" s="40"/>
      <c r="V53" s="40"/>
    </row>
    <row r="54" spans="1:22" ht="40" hidden="1" customHeight="1" x14ac:dyDescent="0.35">
      <c r="B54" s="38" t="s">
        <v>100</v>
      </c>
      <c r="C54" s="663"/>
      <c r="D54" s="1408"/>
      <c r="E54" s="1140">
        <f>D54*TableC4!C54/(1000)</f>
        <v>0</v>
      </c>
      <c r="F54" s="1136">
        <f>+D54*TableC4!D54/(1000)</f>
        <v>0</v>
      </c>
      <c r="G54" s="967">
        <f t="shared" si="11"/>
        <v>0</v>
      </c>
      <c r="H54" s="1140">
        <f>D54*TableC4!N54/(1000)</f>
        <v>0</v>
      </c>
      <c r="I54" s="1136">
        <f>+D54*TableC4!O54/(1000)</f>
        <v>0</v>
      </c>
      <c r="J54" s="1363">
        <f t="shared" si="12"/>
        <v>0</v>
      </c>
      <c r="K54" s="1394"/>
      <c r="L54" s="1398"/>
      <c r="M54" s="969"/>
      <c r="N54" s="1394"/>
      <c r="O54" s="1414"/>
      <c r="P54" s="1365"/>
      <c r="Q54" s="589"/>
      <c r="R54" s="589"/>
      <c r="S54" s="589"/>
      <c r="T54" s="589"/>
      <c r="U54" s="589"/>
      <c r="V54" s="589"/>
    </row>
    <row r="55" spans="1:22" ht="14.25" hidden="1" customHeight="1" x14ac:dyDescent="0.35">
      <c r="B55" s="264" t="s">
        <v>272</v>
      </c>
      <c r="C55" s="1374"/>
      <c r="D55" s="1409"/>
      <c r="E55" s="1140">
        <f>D55*TableC4!C55/(1000)</f>
        <v>0</v>
      </c>
      <c r="F55" s="1136">
        <f>+D55*TableC4!D55/(1000)</f>
        <v>0</v>
      </c>
      <c r="G55" s="967">
        <f t="shared" si="11"/>
        <v>0</v>
      </c>
      <c r="H55" s="1140">
        <f>D55*TableC4!N55/(1000)</f>
        <v>0</v>
      </c>
      <c r="I55" s="1136">
        <f>+D55*TableC4!O55/(1000)</f>
        <v>0</v>
      </c>
      <c r="J55" s="1363">
        <f t="shared" si="12"/>
        <v>0</v>
      </c>
      <c r="K55" s="1395"/>
      <c r="L55" s="1398"/>
      <c r="M55" s="968"/>
      <c r="N55" s="1395"/>
      <c r="O55" s="1414"/>
      <c r="P55" s="1364"/>
      <c r="Q55" s="9"/>
      <c r="R55" s="9"/>
      <c r="S55" s="9"/>
      <c r="T55" s="9"/>
      <c r="U55" s="9"/>
      <c r="V55" s="9"/>
    </row>
    <row r="56" spans="1:22" ht="14.25" hidden="1" customHeight="1" x14ac:dyDescent="0.35">
      <c r="B56" s="264" t="s">
        <v>273</v>
      </c>
      <c r="C56" s="1374"/>
      <c r="D56" s="1409"/>
      <c r="E56" s="1140">
        <f>D56*TableC4!C56/(1000)</f>
        <v>0</v>
      </c>
      <c r="F56" s="1136">
        <f>+D56*TableC4!D56/(1000)</f>
        <v>0</v>
      </c>
      <c r="G56" s="967">
        <f t="shared" si="11"/>
        <v>0</v>
      </c>
      <c r="H56" s="1140">
        <f>D56*TableC4!N56/(1000)</f>
        <v>0</v>
      </c>
      <c r="I56" s="1136">
        <f>+D56*TableC4!O56/(1000)</f>
        <v>0</v>
      </c>
      <c r="J56" s="1363">
        <f t="shared" si="12"/>
        <v>0</v>
      </c>
      <c r="K56" s="1395"/>
      <c r="L56" s="1398"/>
      <c r="M56" s="968"/>
      <c r="N56" s="1395"/>
      <c r="O56" s="1414"/>
      <c r="P56" s="1364"/>
      <c r="Q56" s="9"/>
      <c r="R56" s="9"/>
      <c r="S56" s="9"/>
      <c r="T56" s="9"/>
      <c r="U56" s="9"/>
      <c r="V56" s="9"/>
    </row>
    <row r="57" spans="1:22" ht="14.25" hidden="1" customHeight="1" x14ac:dyDescent="0.35">
      <c r="B57" s="289" t="str">
        <f>+TableA1!A56</f>
        <v>Antigua and Barbuda</v>
      </c>
      <c r="C57" s="1375"/>
      <c r="D57" s="1410"/>
      <c r="E57" s="1140">
        <f>D57*TableC4!C57/(1000)</f>
        <v>0</v>
      </c>
      <c r="F57" s="1136">
        <f>+D57*TableC4!D57/(1000)</f>
        <v>0</v>
      </c>
      <c r="G57" s="967">
        <f t="shared" si="11"/>
        <v>0</v>
      </c>
      <c r="H57" s="1140">
        <f>D57*TableC4!N57/(1000)</f>
        <v>0</v>
      </c>
      <c r="I57" s="1136">
        <f>+D57*TableC4!O57/(1000)</f>
        <v>0</v>
      </c>
      <c r="J57" s="1363">
        <f t="shared" si="12"/>
        <v>0</v>
      </c>
      <c r="K57" s="1395"/>
      <c r="L57" s="1398"/>
      <c r="M57" s="968"/>
      <c r="N57" s="1395"/>
      <c r="O57" s="1414"/>
      <c r="P57" s="1364"/>
      <c r="Q57" s="9"/>
      <c r="R57" s="9"/>
      <c r="S57" s="9"/>
      <c r="T57" s="9"/>
      <c r="U57" s="9"/>
      <c r="V57" s="9"/>
    </row>
    <row r="58" spans="1:22" ht="14.25" hidden="1" customHeight="1" x14ac:dyDescent="0.35">
      <c r="B58" s="264" t="s">
        <v>274</v>
      </c>
      <c r="C58" s="1374"/>
      <c r="D58" s="1409"/>
      <c r="E58" s="1140">
        <f>D58*TableC4!C58/(1000)</f>
        <v>0</v>
      </c>
      <c r="F58" s="1136">
        <f>+D58*TableC4!D58/(1000)</f>
        <v>0</v>
      </c>
      <c r="G58" s="967">
        <f t="shared" si="11"/>
        <v>0</v>
      </c>
      <c r="H58" s="1140">
        <f>D58*TableC4!N58/(1000)</f>
        <v>0</v>
      </c>
      <c r="I58" s="1136">
        <f>+D58*TableC4!O58/(1000)</f>
        <v>0</v>
      </c>
      <c r="J58" s="1363">
        <f t="shared" si="12"/>
        <v>0</v>
      </c>
      <c r="K58" s="1395"/>
      <c r="L58" s="1398"/>
      <c r="M58" s="968"/>
      <c r="N58" s="1395"/>
      <c r="O58" s="1414"/>
      <c r="P58" s="1364"/>
      <c r="Q58" s="9"/>
      <c r="R58" s="9"/>
      <c r="S58" s="9"/>
      <c r="T58" s="9"/>
      <c r="U58" s="9"/>
      <c r="V58" s="9"/>
    </row>
    <row r="59" spans="1:22" ht="14.25" hidden="1" customHeight="1" x14ac:dyDescent="0.35">
      <c r="A59" s="741" t="s">
        <v>320</v>
      </c>
      <c r="B59" s="264" t="s">
        <v>275</v>
      </c>
      <c r="C59" s="1374"/>
      <c r="D59" s="1409"/>
      <c r="E59" s="1140">
        <f>D59*TableC4!C59/(1000)</f>
        <v>0</v>
      </c>
      <c r="F59" s="1136">
        <f>+D59*TableC4!D59/(1000)</f>
        <v>0</v>
      </c>
      <c r="G59" s="967">
        <f t="shared" si="11"/>
        <v>0</v>
      </c>
      <c r="H59" s="1140">
        <f>D59*TableC4!N59/(1000)</f>
        <v>0</v>
      </c>
      <c r="I59" s="1136">
        <f>+D59*TableC4!O59/(1000)</f>
        <v>0</v>
      </c>
      <c r="J59" s="1363">
        <f t="shared" si="12"/>
        <v>0</v>
      </c>
      <c r="K59" s="1395"/>
      <c r="L59" s="1398"/>
      <c r="M59" s="968"/>
      <c r="N59" s="1395"/>
      <c r="O59" s="1414"/>
      <c r="P59" s="1364"/>
      <c r="Q59" s="9"/>
      <c r="R59" s="9"/>
      <c r="S59" s="9"/>
      <c r="T59" s="9"/>
      <c r="U59" s="9"/>
      <c r="V59" s="9"/>
    </row>
    <row r="60" spans="1:22" ht="14.25" hidden="1" customHeight="1" x14ac:dyDescent="0.35">
      <c r="A60" s="741" t="s">
        <v>486</v>
      </c>
      <c r="B60" s="264" t="s">
        <v>276</v>
      </c>
      <c r="C60" s="1374"/>
      <c r="D60" s="1409"/>
      <c r="E60" s="1140">
        <f>D60*TableC4!C60/(1000)</f>
        <v>0</v>
      </c>
      <c r="F60" s="1136">
        <f>+D60*TableC4!D60/(1000)</f>
        <v>0</v>
      </c>
      <c r="G60" s="967">
        <f t="shared" si="11"/>
        <v>0</v>
      </c>
      <c r="H60" s="1140">
        <f>D60*TableC4!N60/(1000)</f>
        <v>0</v>
      </c>
      <c r="I60" s="1136">
        <f>+D60*TableC4!O60/(1000)</f>
        <v>0</v>
      </c>
      <c r="J60" s="1363">
        <f t="shared" si="12"/>
        <v>0</v>
      </c>
      <c r="K60" s="1395"/>
      <c r="L60" s="1398"/>
      <c r="M60" s="968"/>
      <c r="N60" s="1395"/>
      <c r="O60" s="1414"/>
      <c r="P60" s="1364"/>
      <c r="Q60" s="9"/>
      <c r="R60" s="9"/>
      <c r="S60" s="9"/>
      <c r="T60" s="9"/>
      <c r="U60" s="9"/>
      <c r="V60" s="9"/>
    </row>
    <row r="61" spans="1:22" ht="14.25" hidden="1" customHeight="1" x14ac:dyDescent="0.35">
      <c r="B61" s="289" t="str">
        <f>+TableA1!A60</f>
        <v>Barbados</v>
      </c>
      <c r="C61" s="1375"/>
      <c r="D61" s="1410"/>
      <c r="E61" s="1140">
        <f>D61*TableC4!C61/(1000)</f>
        <v>0</v>
      </c>
      <c r="F61" s="1136">
        <f>+D61*TableC4!D61/(1000)</f>
        <v>0</v>
      </c>
      <c r="G61" s="967">
        <f t="shared" si="11"/>
        <v>0</v>
      </c>
      <c r="H61" s="1140">
        <f>D61*TableC4!N61/(1000)</f>
        <v>0</v>
      </c>
      <c r="I61" s="1136">
        <f>+D61*TableC4!O61/(1000)</f>
        <v>0</v>
      </c>
      <c r="J61" s="1363">
        <f t="shared" si="12"/>
        <v>0</v>
      </c>
      <c r="K61" s="1395"/>
      <c r="L61" s="1398"/>
      <c r="M61" s="968"/>
      <c r="N61" s="1395"/>
      <c r="O61" s="1414"/>
      <c r="P61" s="1364"/>
      <c r="Q61" s="9"/>
      <c r="R61" s="9"/>
      <c r="S61" s="9"/>
      <c r="T61" s="9"/>
      <c r="U61" s="9"/>
      <c r="V61" s="9"/>
    </row>
    <row r="62" spans="1:22" ht="14.25" hidden="1" customHeight="1" x14ac:dyDescent="0.35">
      <c r="B62" s="264" t="s">
        <v>277</v>
      </c>
      <c r="C62" s="1374"/>
      <c r="D62" s="1409"/>
      <c r="E62" s="1140">
        <f>D62*TableC4!C62/(1000)</f>
        <v>0</v>
      </c>
      <c r="F62" s="1136">
        <f>+D62*TableC4!D62/(1000)</f>
        <v>0</v>
      </c>
      <c r="G62" s="967">
        <f t="shared" si="11"/>
        <v>0</v>
      </c>
      <c r="H62" s="1140">
        <f>D62*TableC4!N62/(1000)</f>
        <v>0</v>
      </c>
      <c r="I62" s="1136">
        <f>+D62*TableC4!O62/(1000)</f>
        <v>0</v>
      </c>
      <c r="J62" s="1363">
        <f t="shared" si="12"/>
        <v>0</v>
      </c>
      <c r="K62" s="1395"/>
      <c r="L62" s="1398"/>
      <c r="M62" s="968"/>
      <c r="N62" s="1395"/>
      <c r="O62" s="1414"/>
      <c r="P62" s="1364"/>
      <c r="Q62" s="9"/>
      <c r="R62" s="9"/>
      <c r="S62" s="9"/>
      <c r="T62" s="9"/>
      <c r="U62" s="9"/>
      <c r="V62" s="9"/>
    </row>
    <row r="63" spans="1:22" ht="14.25" hidden="1" customHeight="1" x14ac:dyDescent="0.35">
      <c r="B63" s="264" t="s">
        <v>213</v>
      </c>
      <c r="C63" s="1374"/>
      <c r="D63" s="1409"/>
      <c r="E63" s="1140">
        <f>D63*TableC4!C63/(1000)</f>
        <v>0</v>
      </c>
      <c r="F63" s="1136">
        <f>+D63*TableC4!D63/(1000)</f>
        <v>0</v>
      </c>
      <c r="G63" s="967">
        <f t="shared" si="11"/>
        <v>0</v>
      </c>
      <c r="H63" s="1140">
        <f>D63*TableC4!N63/(1000)</f>
        <v>0</v>
      </c>
      <c r="I63" s="1136">
        <f>+D63*TableC4!O63/(1000)</f>
        <v>0</v>
      </c>
      <c r="J63" s="1363">
        <f t="shared" si="12"/>
        <v>0</v>
      </c>
      <c r="K63" s="1395"/>
      <c r="L63" s="1398"/>
      <c r="M63" s="968"/>
      <c r="N63" s="1395"/>
      <c r="O63" s="1414"/>
      <c r="P63" s="1364"/>
      <c r="Q63" s="9"/>
      <c r="R63" s="9"/>
      <c r="S63" s="9"/>
      <c r="T63" s="9"/>
      <c r="U63" s="9"/>
      <c r="V63" s="9"/>
    </row>
    <row r="64" spans="1:22" ht="14.25" hidden="1" customHeight="1" x14ac:dyDescent="0.35">
      <c r="A64" s="741" t="s">
        <v>539</v>
      </c>
      <c r="B64" s="264" t="s">
        <v>278</v>
      </c>
      <c r="C64" s="1374"/>
      <c r="D64" s="1409"/>
      <c r="E64" s="1140">
        <f>D64*TableC4!C64/(1000)</f>
        <v>0</v>
      </c>
      <c r="F64" s="1136">
        <f>+D64*TableC4!D64/(1000)</f>
        <v>0</v>
      </c>
      <c r="G64" s="967">
        <f t="shared" si="11"/>
        <v>0</v>
      </c>
      <c r="H64" s="1140">
        <f>D64*TableC4!N64/(1000)</f>
        <v>0</v>
      </c>
      <c r="I64" s="1136">
        <f>+D64*TableC4!O64/(1000)</f>
        <v>0</v>
      </c>
      <c r="J64" s="1363">
        <f t="shared" si="12"/>
        <v>0</v>
      </c>
      <c r="K64" s="1395"/>
      <c r="L64" s="1398"/>
      <c r="M64" s="968"/>
      <c r="N64" s="1395"/>
      <c r="O64" s="1414"/>
      <c r="P64" s="1364"/>
      <c r="Q64" s="9"/>
      <c r="R64" s="9"/>
      <c r="S64" s="9"/>
      <c r="T64" s="9"/>
      <c r="U64" s="9"/>
      <c r="V64" s="9"/>
    </row>
    <row r="65" spans="1:22" ht="14.25" hidden="1" customHeight="1" x14ac:dyDescent="0.35">
      <c r="A65" s="741" t="s">
        <v>504</v>
      </c>
      <c r="B65" s="264" t="s">
        <v>279</v>
      </c>
      <c r="C65" s="1374"/>
      <c r="D65" s="1409"/>
      <c r="E65" s="1140">
        <f>D65*TableC4!C65/(1000)</f>
        <v>0</v>
      </c>
      <c r="F65" s="1136">
        <f>+D65*TableC4!D65/(1000)</f>
        <v>0</v>
      </c>
      <c r="G65" s="967">
        <f t="shared" si="11"/>
        <v>0</v>
      </c>
      <c r="H65" s="1140">
        <f>D65*TableC4!N65/(1000)</f>
        <v>0</v>
      </c>
      <c r="I65" s="1136">
        <f>+D65*TableC4!O65/(1000)</f>
        <v>0</v>
      </c>
      <c r="J65" s="1363">
        <f t="shared" si="12"/>
        <v>0</v>
      </c>
      <c r="K65" s="1395"/>
      <c r="L65" s="1398"/>
      <c r="M65" s="968"/>
      <c r="N65" s="1395"/>
      <c r="O65" s="1414"/>
      <c r="P65" s="1364"/>
      <c r="Q65" s="9"/>
      <c r="R65" s="9"/>
      <c r="S65" s="9"/>
      <c r="T65" s="9"/>
      <c r="U65" s="9"/>
      <c r="V65" s="9"/>
    </row>
    <row r="66" spans="1:22" ht="14.25" hidden="1" customHeight="1" x14ac:dyDescent="0.35">
      <c r="B66" s="282" t="s">
        <v>291</v>
      </c>
      <c r="C66" s="1376"/>
      <c r="D66" s="1411"/>
      <c r="E66" s="1140">
        <f>D66*TableC4!C66/(1000)</f>
        <v>0</v>
      </c>
      <c r="F66" s="1136">
        <f>+D66*TableC4!D66/(1000)</f>
        <v>0</v>
      </c>
      <c r="G66" s="967">
        <f t="shared" si="11"/>
        <v>0</v>
      </c>
      <c r="H66" s="1140">
        <f>D66*TableC4!N66/(1000)</f>
        <v>0</v>
      </c>
      <c r="I66" s="1136">
        <f>+D66*TableC4!O66/(1000)</f>
        <v>0</v>
      </c>
      <c r="J66" s="1363">
        <f t="shared" si="12"/>
        <v>0</v>
      </c>
      <c r="K66" s="1348"/>
      <c r="L66" s="1398"/>
      <c r="M66" s="968"/>
      <c r="N66" s="1348"/>
      <c r="O66" s="1414"/>
      <c r="P66" s="1364"/>
      <c r="Q66" s="9"/>
      <c r="R66" s="9"/>
      <c r="S66" s="9"/>
      <c r="T66" s="9"/>
      <c r="U66" s="9"/>
      <c r="V66" s="9"/>
    </row>
    <row r="67" spans="1:22" ht="14.25" hidden="1" customHeight="1" x14ac:dyDescent="0.35">
      <c r="B67" s="264" t="s">
        <v>280</v>
      </c>
      <c r="C67" s="1374"/>
      <c r="D67" s="1409"/>
      <c r="E67" s="1140">
        <f>D67*TableC4!C67/(1000)</f>
        <v>0</v>
      </c>
      <c r="F67" s="1136">
        <f>+D67*TableC4!D67/(1000)</f>
        <v>0</v>
      </c>
      <c r="G67" s="967">
        <f t="shared" si="11"/>
        <v>0</v>
      </c>
      <c r="H67" s="1140">
        <f>D67*TableC4!N67/(1000)</f>
        <v>0</v>
      </c>
      <c r="I67" s="1136">
        <f>+D67*TableC4!O67/(1000)</f>
        <v>0</v>
      </c>
      <c r="J67" s="1363">
        <f t="shared" si="12"/>
        <v>0</v>
      </c>
      <c r="K67" s="1395"/>
      <c r="L67" s="1398"/>
      <c r="M67" s="968"/>
      <c r="N67" s="1395"/>
      <c r="O67" s="1414"/>
      <c r="P67" s="1364"/>
      <c r="Q67" s="9"/>
      <c r="R67" s="9"/>
      <c r="S67" s="9"/>
      <c r="T67" s="9"/>
      <c r="U67" s="9"/>
      <c r="V67" s="9"/>
    </row>
    <row r="68" spans="1:22" ht="14.25" hidden="1" customHeight="1" x14ac:dyDescent="0.35">
      <c r="B68" s="289" t="str">
        <f>+TableA1!A67</f>
        <v>Cyprus</v>
      </c>
      <c r="C68" s="1375"/>
      <c r="D68" s="1410"/>
      <c r="E68" s="1140">
        <f>D68*TableC4!C68/(1000)</f>
        <v>0</v>
      </c>
      <c r="F68" s="1136">
        <f>+D68*TableC4!D68/(1000)</f>
        <v>0</v>
      </c>
      <c r="G68" s="967">
        <f t="shared" si="11"/>
        <v>0</v>
      </c>
      <c r="H68" s="1140">
        <f>D68*TableC4!N68/(1000)</f>
        <v>0</v>
      </c>
      <c r="I68" s="1136">
        <f>+D68*TableC4!O68/(1000)</f>
        <v>0</v>
      </c>
      <c r="J68" s="1363">
        <f t="shared" si="12"/>
        <v>0</v>
      </c>
      <c r="K68" s="1395"/>
      <c r="L68" s="1398"/>
      <c r="M68" s="968"/>
      <c r="N68" s="1395"/>
      <c r="O68" s="1414"/>
      <c r="P68" s="1364"/>
      <c r="Q68" s="9"/>
      <c r="R68" s="9"/>
      <c r="S68" s="9"/>
      <c r="T68" s="9"/>
      <c r="U68" s="9"/>
      <c r="V68" s="9"/>
    </row>
    <row r="69" spans="1:22" ht="14.25" hidden="1" customHeight="1" x14ac:dyDescent="0.35">
      <c r="B69" s="264" t="s">
        <v>281</v>
      </c>
      <c r="C69" s="1374"/>
      <c r="D69" s="1409"/>
      <c r="E69" s="1140">
        <f>D69*TableC4!C69/(1000)</f>
        <v>0</v>
      </c>
      <c r="F69" s="1136">
        <f>+D69*TableC4!D69/(1000)</f>
        <v>0</v>
      </c>
      <c r="G69" s="967">
        <f t="shared" si="11"/>
        <v>0</v>
      </c>
      <c r="H69" s="1140">
        <f>D69*TableC4!N69/(1000)</f>
        <v>0</v>
      </c>
      <c r="I69" s="1136">
        <f>+D69*TableC4!O69/(1000)</f>
        <v>0</v>
      </c>
      <c r="J69" s="1363">
        <f t="shared" si="12"/>
        <v>0</v>
      </c>
      <c r="K69" s="1395"/>
      <c r="L69" s="1398"/>
      <c r="M69" s="968"/>
      <c r="N69" s="1395"/>
      <c r="O69" s="1414"/>
      <c r="P69" s="1364"/>
      <c r="Q69" s="9"/>
      <c r="R69" s="9"/>
      <c r="S69" s="9"/>
      <c r="T69" s="9"/>
      <c r="U69" s="9"/>
      <c r="V69" s="9"/>
    </row>
    <row r="70" spans="1:22" ht="14.25" hidden="1" customHeight="1" x14ac:dyDescent="0.35">
      <c r="B70" s="289" t="str">
        <f>+TableA1!A69</f>
        <v>Grenada</v>
      </c>
      <c r="C70" s="1375"/>
      <c r="D70" s="1410"/>
      <c r="E70" s="1140">
        <f>D70*TableC4!C70/(1000)</f>
        <v>0</v>
      </c>
      <c r="F70" s="1136">
        <f>+D70*TableC4!D70/(1000)</f>
        <v>0</v>
      </c>
      <c r="G70" s="967">
        <f t="shared" si="11"/>
        <v>0</v>
      </c>
      <c r="H70" s="1140">
        <f>D70*TableC4!N70/(1000)</f>
        <v>0</v>
      </c>
      <c r="I70" s="1136">
        <f>+D70*TableC4!O70/(1000)</f>
        <v>0</v>
      </c>
      <c r="J70" s="1363">
        <f t="shared" si="12"/>
        <v>0</v>
      </c>
      <c r="K70" s="1395"/>
      <c r="L70" s="1398"/>
      <c r="M70" s="968"/>
      <c r="N70" s="1395"/>
      <c r="O70" s="1414"/>
      <c r="P70" s="1364"/>
      <c r="Q70" s="9"/>
      <c r="R70" s="9"/>
      <c r="S70" s="9"/>
      <c r="T70" s="9"/>
      <c r="U70" s="9"/>
      <c r="V70" s="9"/>
    </row>
    <row r="71" spans="1:22" ht="14.25" hidden="1" customHeight="1" x14ac:dyDescent="0.35">
      <c r="B71" s="264" t="s">
        <v>282</v>
      </c>
      <c r="C71" s="1374"/>
      <c r="D71" s="1409"/>
      <c r="E71" s="1140">
        <f>D71*TableC4!C71/(1000)</f>
        <v>0</v>
      </c>
      <c r="F71" s="1136">
        <f>+D71*TableC4!D71/(1000)</f>
        <v>0</v>
      </c>
      <c r="G71" s="967">
        <f t="shared" si="11"/>
        <v>0</v>
      </c>
      <c r="H71" s="1140">
        <f>D71*TableC4!N71/(1000)</f>
        <v>0</v>
      </c>
      <c r="I71" s="1136">
        <f>+D71*TableC4!O71/(1000)</f>
        <v>0</v>
      </c>
      <c r="J71" s="1363">
        <f t="shared" si="12"/>
        <v>0</v>
      </c>
      <c r="K71" s="1395"/>
      <c r="L71" s="1398"/>
      <c r="M71" s="968"/>
      <c r="N71" s="1395"/>
      <c r="O71" s="1414"/>
      <c r="P71" s="1364"/>
      <c r="Q71" s="9"/>
      <c r="R71" s="9"/>
      <c r="S71" s="9"/>
      <c r="T71" s="9"/>
      <c r="U71" s="9"/>
      <c r="V71" s="9"/>
    </row>
    <row r="72" spans="1:22" ht="14.25" hidden="1" customHeight="1" x14ac:dyDescent="0.35">
      <c r="A72" s="741" t="s">
        <v>295</v>
      </c>
      <c r="B72" s="264" t="s">
        <v>283</v>
      </c>
      <c r="C72" s="1374"/>
      <c r="D72" s="1409"/>
      <c r="E72" s="1140">
        <f>D72*TableC4!C72/(1000)</f>
        <v>0</v>
      </c>
      <c r="F72" s="1136">
        <f>+D72*TableC4!D72/(1000)</f>
        <v>0</v>
      </c>
      <c r="G72" s="967">
        <f t="shared" si="11"/>
        <v>0</v>
      </c>
      <c r="H72" s="1140">
        <f>D72*TableC4!N72/(1000)</f>
        <v>0</v>
      </c>
      <c r="I72" s="1136">
        <f>+D72*TableC4!O72/(1000)</f>
        <v>0</v>
      </c>
      <c r="J72" s="1363">
        <f t="shared" si="12"/>
        <v>0</v>
      </c>
      <c r="K72" s="1395"/>
      <c r="L72" s="1398"/>
      <c r="M72" s="968"/>
      <c r="N72" s="1395"/>
      <c r="O72" s="1414"/>
      <c r="P72" s="1364"/>
      <c r="Q72" s="9"/>
      <c r="R72" s="9"/>
      <c r="S72" s="9"/>
      <c r="T72" s="9"/>
      <c r="U72" s="9"/>
      <c r="V72" s="9"/>
    </row>
    <row r="73" spans="1:22" ht="14.25" hidden="1" customHeight="1" x14ac:dyDescent="0.35">
      <c r="A73" s="741" t="s">
        <v>481</v>
      </c>
      <c r="B73" s="264" t="s">
        <v>220</v>
      </c>
      <c r="C73" s="1374"/>
      <c r="D73" s="1409"/>
      <c r="E73" s="1140">
        <f>D73*TableC4!C73/(1000)</f>
        <v>0</v>
      </c>
      <c r="F73" s="1136">
        <f>+D73*TableC4!D73/(1000)</f>
        <v>0</v>
      </c>
      <c r="G73" s="967">
        <f t="shared" si="11"/>
        <v>0</v>
      </c>
      <c r="H73" s="1140">
        <f>D73*TableC4!N73/(1000)</f>
        <v>0</v>
      </c>
      <c r="I73" s="1136">
        <f>+D73*TableC4!O73/(1000)</f>
        <v>0</v>
      </c>
      <c r="J73" s="1363">
        <f t="shared" si="12"/>
        <v>0</v>
      </c>
      <c r="K73" s="1395"/>
      <c r="L73" s="1398"/>
      <c r="M73" s="968"/>
      <c r="N73" s="1395"/>
      <c r="O73" s="1414"/>
      <c r="P73" s="1364"/>
      <c r="Q73" s="9"/>
      <c r="R73" s="9"/>
      <c r="S73" s="9"/>
      <c r="T73" s="9"/>
      <c r="U73" s="9"/>
      <c r="V73" s="9"/>
    </row>
    <row r="74" spans="1:22" ht="14.25" hidden="1" customHeight="1" x14ac:dyDescent="0.35">
      <c r="B74" s="264" t="s">
        <v>284</v>
      </c>
      <c r="C74" s="1374"/>
      <c r="D74" s="1409"/>
      <c r="E74" s="1140">
        <f>D74*TableC4!C74/(1000)</f>
        <v>0</v>
      </c>
      <c r="F74" s="1136">
        <f>+D74*TableC4!D74/(1000)</f>
        <v>0</v>
      </c>
      <c r="G74" s="967">
        <f t="shared" si="11"/>
        <v>0</v>
      </c>
      <c r="H74" s="1140">
        <f>D74*TableC4!N74/(1000)</f>
        <v>0</v>
      </c>
      <c r="I74" s="1136">
        <f>+D74*TableC4!O74/(1000)</f>
        <v>0</v>
      </c>
      <c r="J74" s="1363">
        <f t="shared" si="12"/>
        <v>0</v>
      </c>
      <c r="K74" s="1395"/>
      <c r="L74" s="1398"/>
      <c r="M74" s="968"/>
      <c r="N74" s="1395"/>
      <c r="O74" s="1414"/>
      <c r="P74" s="1364"/>
      <c r="Q74" s="9"/>
      <c r="R74" s="9"/>
      <c r="S74" s="9"/>
      <c r="T74" s="9"/>
      <c r="U74" s="9"/>
      <c r="V74" s="9"/>
    </row>
    <row r="75" spans="1:22" ht="14.25" hidden="1" customHeight="1" x14ac:dyDescent="0.35">
      <c r="B75" s="264" t="s">
        <v>285</v>
      </c>
      <c r="C75" s="1374"/>
      <c r="D75" s="1409"/>
      <c r="E75" s="1140">
        <f>D75*TableC4!C75/(1000)</f>
        <v>0</v>
      </c>
      <c r="F75" s="1136">
        <f>+D75*TableC4!D75/(1000)</f>
        <v>0</v>
      </c>
      <c r="G75" s="967">
        <f t="shared" si="11"/>
        <v>0</v>
      </c>
      <c r="H75" s="1140">
        <f>D75*TableC4!N75/(1000)</f>
        <v>0</v>
      </c>
      <c r="I75" s="1136">
        <f>+D75*TableC4!O75/(1000)</f>
        <v>0</v>
      </c>
      <c r="J75" s="1363">
        <f t="shared" si="12"/>
        <v>0</v>
      </c>
      <c r="K75" s="1395"/>
      <c r="L75" s="1398"/>
      <c r="M75" s="968"/>
      <c r="N75" s="1395"/>
      <c r="O75" s="1414"/>
      <c r="P75" s="1364"/>
      <c r="Q75" s="9"/>
      <c r="R75" s="9"/>
      <c r="S75" s="9"/>
      <c r="T75" s="9"/>
      <c r="U75" s="9"/>
      <c r="V75" s="9"/>
    </row>
    <row r="76" spans="1:22" ht="14.25" hidden="1" customHeight="1" x14ac:dyDescent="0.35">
      <c r="B76" s="264" t="s">
        <v>286</v>
      </c>
      <c r="C76" s="1374"/>
      <c r="D76" s="1409"/>
      <c r="E76" s="1140">
        <f>D76*TableC4!C76/(1000)</f>
        <v>0</v>
      </c>
      <c r="F76" s="1136">
        <f>+D76*TableC4!D76/(1000)</f>
        <v>0</v>
      </c>
      <c r="G76" s="967">
        <f t="shared" si="11"/>
        <v>0</v>
      </c>
      <c r="H76" s="1140">
        <f>D76*TableC4!N76/(1000)</f>
        <v>0</v>
      </c>
      <c r="I76" s="1136">
        <f>+D76*TableC4!O76/(1000)</f>
        <v>0</v>
      </c>
      <c r="J76" s="1363">
        <f t="shared" si="12"/>
        <v>0</v>
      </c>
      <c r="K76" s="1395"/>
      <c r="L76" s="1398"/>
      <c r="M76" s="968"/>
      <c r="N76" s="1395"/>
      <c r="O76" s="1414"/>
      <c r="P76" s="1364"/>
      <c r="Q76" s="9"/>
      <c r="R76" s="9"/>
      <c r="S76" s="9"/>
      <c r="T76" s="9"/>
      <c r="U76" s="9"/>
      <c r="V76" s="9"/>
    </row>
    <row r="77" spans="1:22" ht="14.25" hidden="1" customHeight="1" x14ac:dyDescent="0.35">
      <c r="A77" s="741" t="s">
        <v>480</v>
      </c>
      <c r="B77" s="264" t="s">
        <v>287</v>
      </c>
      <c r="C77" s="1374"/>
      <c r="D77" s="1409"/>
      <c r="E77" s="1140">
        <f>D77*TableC4!C77/(1000)</f>
        <v>0</v>
      </c>
      <c r="F77" s="1136">
        <f>+D77*TableC4!D77/(1000)</f>
        <v>0</v>
      </c>
      <c r="G77" s="967">
        <f t="shared" si="11"/>
        <v>0</v>
      </c>
      <c r="H77" s="1140">
        <f>D77*TableC4!N77/(1000)</f>
        <v>0</v>
      </c>
      <c r="I77" s="1136">
        <f>+D77*TableC4!O77/(1000)</f>
        <v>0</v>
      </c>
      <c r="J77" s="1363">
        <f t="shared" si="12"/>
        <v>0</v>
      </c>
      <c r="K77" s="1395"/>
      <c r="L77" s="1398"/>
      <c r="M77" s="968"/>
      <c r="N77" s="1395"/>
      <c r="O77" s="1414"/>
      <c r="P77" s="1364"/>
      <c r="Q77" s="9"/>
      <c r="R77" s="9"/>
      <c r="S77" s="9"/>
      <c r="T77" s="9"/>
      <c r="U77" s="9"/>
      <c r="V77" s="9"/>
    </row>
    <row r="78" spans="1:22" ht="14.25" hidden="1" customHeight="1" x14ac:dyDescent="0.35">
      <c r="B78" s="289" t="s">
        <v>301</v>
      </c>
      <c r="C78" s="1375"/>
      <c r="D78" s="1410"/>
      <c r="E78" s="1140">
        <f>D78*TableC4!C78/(1000)</f>
        <v>0</v>
      </c>
      <c r="F78" s="1136">
        <f>+D78*TableC4!D78/(1000)</f>
        <v>0</v>
      </c>
      <c r="G78" s="967">
        <f t="shared" si="11"/>
        <v>0</v>
      </c>
      <c r="H78" s="1140">
        <f>D78*TableC4!N78/(1000)</f>
        <v>0</v>
      </c>
      <c r="I78" s="1136">
        <f>+D78*TableC4!O78/(1000)</f>
        <v>0</v>
      </c>
      <c r="J78" s="1363">
        <f t="shared" si="12"/>
        <v>0</v>
      </c>
      <c r="K78" s="1395"/>
      <c r="L78" s="1398"/>
      <c r="M78" s="968"/>
      <c r="N78" s="1395"/>
      <c r="O78" s="1414"/>
      <c r="P78" s="1364"/>
      <c r="Q78" s="9"/>
      <c r="R78" s="9"/>
      <c r="S78" s="9"/>
      <c r="T78" s="9"/>
      <c r="U78" s="9"/>
      <c r="V78" s="9"/>
    </row>
    <row r="79" spans="1:22" ht="14.25" hidden="1" customHeight="1" x14ac:dyDescent="0.35">
      <c r="A79" s="741" t="s">
        <v>478</v>
      </c>
      <c r="B79" s="289" t="s">
        <v>302</v>
      </c>
      <c r="C79" s="1375"/>
      <c r="D79" s="1410"/>
      <c r="E79" s="1140">
        <f>D79*TableC4!C79/(1000)</f>
        <v>0</v>
      </c>
      <c r="F79" s="1136">
        <f>+D79*TableC4!D79/(1000)</f>
        <v>0</v>
      </c>
      <c r="G79" s="967">
        <f t="shared" si="11"/>
        <v>0</v>
      </c>
      <c r="H79" s="1140">
        <f>D79*TableC4!N79/(1000)</f>
        <v>0</v>
      </c>
      <c r="I79" s="1136">
        <f>+D79*TableC4!O79/(1000)</f>
        <v>0</v>
      </c>
      <c r="J79" s="1363">
        <f t="shared" si="12"/>
        <v>0</v>
      </c>
      <c r="K79" s="1395"/>
      <c r="L79" s="1398"/>
      <c r="M79" s="968"/>
      <c r="N79" s="1395"/>
      <c r="O79" s="1414"/>
      <c r="P79" s="1364"/>
      <c r="Q79" s="9"/>
      <c r="R79" s="9"/>
      <c r="S79" s="9"/>
      <c r="T79" s="9"/>
      <c r="U79" s="9"/>
      <c r="V79" s="9"/>
    </row>
    <row r="80" spans="1:22" ht="14.25" hidden="1" customHeight="1" x14ac:dyDescent="0.35">
      <c r="B80" s="289" t="str">
        <f>+TableA1!A79</f>
        <v>Monaco</v>
      </c>
      <c r="C80" s="1375"/>
      <c r="D80" s="1410"/>
      <c r="E80" s="1140">
        <f>D80*TableC4!C80/(1000)</f>
        <v>0</v>
      </c>
      <c r="F80" s="1136">
        <f>+D80*TableC4!D80/(1000)</f>
        <v>0</v>
      </c>
      <c r="G80" s="967">
        <f t="shared" si="11"/>
        <v>0</v>
      </c>
      <c r="H80" s="1140">
        <f>D80*TableC4!N80/(1000)</f>
        <v>0</v>
      </c>
      <c r="I80" s="1136">
        <f>+D80*TableC4!O80/(1000)</f>
        <v>0</v>
      </c>
      <c r="J80" s="1363">
        <f t="shared" si="12"/>
        <v>0</v>
      </c>
      <c r="K80" s="1395"/>
      <c r="L80" s="1398"/>
      <c r="M80" s="968"/>
      <c r="N80" s="1395"/>
      <c r="O80" s="1414"/>
      <c r="P80" s="1364"/>
      <c r="Q80" s="9"/>
      <c r="R80" s="9"/>
      <c r="S80" s="9"/>
      <c r="T80" s="9"/>
      <c r="U80" s="9"/>
      <c r="V80" s="9"/>
    </row>
    <row r="81" spans="1:22" ht="14.25" hidden="1" customHeight="1" x14ac:dyDescent="0.35">
      <c r="B81" s="264" t="s">
        <v>288</v>
      </c>
      <c r="C81" s="1374"/>
      <c r="D81" s="1409"/>
      <c r="E81" s="1140">
        <f>D81*TableC4!C81/(1000)</f>
        <v>0</v>
      </c>
      <c r="F81" s="1136">
        <f>+D81*TableC4!D81/(1000)</f>
        <v>0</v>
      </c>
      <c r="G81" s="967">
        <f t="shared" si="11"/>
        <v>0</v>
      </c>
      <c r="H81" s="1140">
        <f>D81*TableC4!N81/(1000)</f>
        <v>0</v>
      </c>
      <c r="I81" s="1136">
        <f>+D81*TableC4!O81/(1000)</f>
        <v>0</v>
      </c>
      <c r="J81" s="1363">
        <f t="shared" si="12"/>
        <v>0</v>
      </c>
      <c r="K81" s="1395"/>
      <c r="L81" s="1398"/>
      <c r="M81" s="968"/>
      <c r="N81" s="1395"/>
      <c r="O81" s="1414"/>
      <c r="P81" s="1364"/>
      <c r="Q81" s="9"/>
      <c r="R81" s="9"/>
      <c r="S81" s="9"/>
      <c r="T81" s="9"/>
      <c r="U81" s="9"/>
      <c r="V81" s="9"/>
    </row>
    <row r="82" spans="1:22" ht="14.25" hidden="1" customHeight="1" x14ac:dyDescent="0.35">
      <c r="B82" s="264" t="s">
        <v>289</v>
      </c>
      <c r="C82" s="1374"/>
      <c r="D82" s="1409"/>
      <c r="E82" s="1140">
        <f>D82*TableC4!C82/(1000)</f>
        <v>0</v>
      </c>
      <c r="F82" s="1136">
        <f>+D82*TableC4!D82/(1000)</f>
        <v>0</v>
      </c>
      <c r="G82" s="967">
        <f t="shared" si="11"/>
        <v>0</v>
      </c>
      <c r="H82" s="1140">
        <f>D82*TableC4!N82/(1000)</f>
        <v>0</v>
      </c>
      <c r="I82" s="1136">
        <f>+D82*TableC4!O82/(1000)</f>
        <v>0</v>
      </c>
      <c r="J82" s="1363">
        <f t="shared" si="12"/>
        <v>0</v>
      </c>
      <c r="K82" s="1395"/>
      <c r="L82" s="1398"/>
      <c r="M82" s="968"/>
      <c r="N82" s="1395"/>
      <c r="O82" s="1414"/>
      <c r="P82" s="1364"/>
      <c r="Q82" s="9"/>
      <c r="R82" s="9"/>
      <c r="S82" s="9"/>
      <c r="T82" s="9"/>
      <c r="U82" s="9"/>
      <c r="V82" s="9"/>
    </row>
    <row r="83" spans="1:22" ht="14.25" hidden="1" customHeight="1" x14ac:dyDescent="0.35">
      <c r="B83" s="289" t="str">
        <f>+TableA1!A82</f>
        <v>Seychelles</v>
      </c>
      <c r="C83" s="1375"/>
      <c r="D83" s="1410"/>
      <c r="E83" s="1140">
        <f>D83*TableC4!C83/(1000)</f>
        <v>0</v>
      </c>
      <c r="F83" s="1136">
        <f>+D83*TableC4!D83/(1000)</f>
        <v>0</v>
      </c>
      <c r="G83" s="967">
        <f t="shared" si="11"/>
        <v>0</v>
      </c>
      <c r="H83" s="1140">
        <f>D83*TableC4!N83/(1000)</f>
        <v>0</v>
      </c>
      <c r="I83" s="1136">
        <f>+D83*TableC4!O83/(1000)</f>
        <v>0</v>
      </c>
      <c r="J83" s="1363">
        <f t="shared" si="12"/>
        <v>0</v>
      </c>
      <c r="K83" s="1395"/>
      <c r="L83" s="1398"/>
      <c r="M83" s="968"/>
      <c r="N83" s="1395"/>
      <c r="O83" s="1414"/>
      <c r="P83" s="1364"/>
      <c r="Q83" s="9"/>
      <c r="R83" s="9"/>
      <c r="S83" s="9"/>
      <c r="T83" s="9"/>
      <c r="U83" s="9"/>
      <c r="V83" s="9"/>
    </row>
    <row r="84" spans="1:22" hidden="1" x14ac:dyDescent="0.35">
      <c r="B84" s="264" t="s">
        <v>225</v>
      </c>
      <c r="C84" s="1374"/>
      <c r="D84" s="1409"/>
      <c r="E84" s="1140">
        <f>D84*TableC4!C84/(1000)</f>
        <v>0</v>
      </c>
      <c r="F84" s="1136">
        <f>+D84*TableC4!D84/(1000)</f>
        <v>0</v>
      </c>
      <c r="G84" s="967">
        <f t="shared" si="11"/>
        <v>0</v>
      </c>
      <c r="H84" s="1140">
        <f>D84*TableC4!N84/(1000)</f>
        <v>0</v>
      </c>
      <c r="I84" s="1136">
        <f>+D84*TableC4!O84/(1000)</f>
        <v>0</v>
      </c>
      <c r="J84" s="1363">
        <f t="shared" si="12"/>
        <v>0</v>
      </c>
      <c r="K84" s="1395"/>
      <c r="L84" s="1398"/>
      <c r="M84" s="968"/>
      <c r="N84" s="1395"/>
      <c r="O84" s="1414"/>
      <c r="P84" s="1364"/>
      <c r="Q84" s="9"/>
      <c r="R84" s="9"/>
      <c r="S84" s="9"/>
      <c r="T84" s="9"/>
      <c r="U84" s="9"/>
      <c r="V84" s="9"/>
    </row>
    <row r="85" spans="1:22" hidden="1" x14ac:dyDescent="0.35">
      <c r="B85" s="289" t="str">
        <f>+TableA1!A84</f>
        <v>St. Kitts and Nevis</v>
      </c>
      <c r="C85" s="1375"/>
      <c r="D85" s="1410"/>
      <c r="E85" s="1140">
        <f>D85*TableC4!C85/(1000)</f>
        <v>0</v>
      </c>
      <c r="F85" s="1136">
        <f>+D85*TableC4!D85/(1000)</f>
        <v>0</v>
      </c>
      <c r="G85" s="967">
        <f t="shared" si="11"/>
        <v>0</v>
      </c>
      <c r="H85" s="1140">
        <f>D85*TableC4!N85/(1000)</f>
        <v>0</v>
      </c>
      <c r="I85" s="1136">
        <f>+D85*TableC4!O85/(1000)</f>
        <v>0</v>
      </c>
      <c r="J85" s="1363">
        <f t="shared" si="12"/>
        <v>0</v>
      </c>
      <c r="K85" s="1395"/>
      <c r="L85" s="1398"/>
      <c r="M85" s="968"/>
      <c r="N85" s="1395"/>
      <c r="O85" s="1414"/>
      <c r="P85" s="1364"/>
      <c r="Q85" s="9"/>
      <c r="R85" s="9"/>
      <c r="S85" s="9"/>
      <c r="T85" s="9"/>
      <c r="U85" s="9"/>
      <c r="V85" s="9"/>
    </row>
    <row r="86" spans="1:22" hidden="1" x14ac:dyDescent="0.35">
      <c r="B86" s="289" t="str">
        <f>+TableA1!A85</f>
        <v>St. Lucia</v>
      </c>
      <c r="C86" s="1375"/>
      <c r="D86" s="1410"/>
      <c r="E86" s="1140">
        <f>D86*TableC4!C86/(1000)</f>
        <v>0</v>
      </c>
      <c r="F86" s="1136">
        <f>+D86*TableC4!D86/(1000)</f>
        <v>0</v>
      </c>
      <c r="G86" s="967">
        <f t="shared" si="11"/>
        <v>0</v>
      </c>
      <c r="H86" s="1140">
        <f>D86*TableC4!N86/(1000)</f>
        <v>0</v>
      </c>
      <c r="I86" s="1136">
        <f>+D86*TableC4!O86/(1000)</f>
        <v>0</v>
      </c>
      <c r="J86" s="1363">
        <f t="shared" si="12"/>
        <v>0</v>
      </c>
      <c r="K86" s="1395"/>
      <c r="L86" s="1398"/>
      <c r="M86" s="968"/>
      <c r="N86" s="1395"/>
      <c r="O86" s="1414"/>
      <c r="P86" s="1364"/>
      <c r="Q86" s="9"/>
      <c r="R86" s="9"/>
      <c r="S86" s="9"/>
      <c r="T86" s="9"/>
      <c r="U86" s="9"/>
      <c r="V86" s="9"/>
    </row>
    <row r="87" spans="1:22" hidden="1" x14ac:dyDescent="0.35">
      <c r="B87" s="289" t="str">
        <f>+TableA1!A86</f>
        <v>St. Vincent and the Grenadines</v>
      </c>
      <c r="C87" s="1375"/>
      <c r="D87" s="1410"/>
      <c r="E87" s="1140">
        <f>D87*TableC4!C87/(1000)</f>
        <v>0</v>
      </c>
      <c r="F87" s="1136">
        <f>+D87*TableC4!D87/(1000)</f>
        <v>0</v>
      </c>
      <c r="G87" s="967">
        <f t="shared" si="11"/>
        <v>0</v>
      </c>
      <c r="H87" s="1140">
        <f>D87*TableC4!N87/(1000)</f>
        <v>0</v>
      </c>
      <c r="I87" s="1136">
        <f>+D87*TableC4!O87/(1000)</f>
        <v>0</v>
      </c>
      <c r="J87" s="1363">
        <f t="shared" si="12"/>
        <v>0</v>
      </c>
      <c r="K87" s="1395"/>
      <c r="L87" s="1398"/>
      <c r="M87" s="968"/>
      <c r="N87" s="1395"/>
      <c r="O87" s="1414"/>
      <c r="P87" s="1364"/>
      <c r="Q87" s="9"/>
      <c r="R87" s="9"/>
      <c r="S87" s="9"/>
      <c r="T87" s="9"/>
      <c r="U87" s="9"/>
      <c r="V87" s="9"/>
    </row>
    <row r="88" spans="1:22" hidden="1" x14ac:dyDescent="0.35">
      <c r="A88" s="741" t="s">
        <v>505</v>
      </c>
      <c r="B88" s="289" t="str">
        <f>+TableA1!A87</f>
        <v>Turks and Caicos</v>
      </c>
      <c r="C88" s="1375"/>
      <c r="D88" s="1410"/>
      <c r="E88" s="1140">
        <f>D88*TableC4!C88/(1000)</f>
        <v>0</v>
      </c>
      <c r="F88" s="1136">
        <f>+D88*TableC4!D88/(1000)</f>
        <v>0</v>
      </c>
      <c r="G88" s="967">
        <f t="shared" si="11"/>
        <v>0</v>
      </c>
      <c r="H88" s="1140">
        <f>D88*TableC4!N88/(1000)</f>
        <v>0</v>
      </c>
      <c r="I88" s="1136">
        <f>+D88*TableC4!O88/(1000)</f>
        <v>0</v>
      </c>
      <c r="J88" s="1363">
        <f t="shared" si="12"/>
        <v>0</v>
      </c>
      <c r="K88" s="1395"/>
      <c r="L88" s="1398"/>
      <c r="M88" s="968"/>
      <c r="N88" s="1395"/>
      <c r="O88" s="1414"/>
      <c r="P88" s="1364"/>
      <c r="Q88" s="9"/>
      <c r="R88" s="9"/>
      <c r="S88" s="9"/>
      <c r="T88" s="9"/>
      <c r="U88" s="9"/>
      <c r="V88" s="9"/>
    </row>
    <row r="89" spans="1:22" hidden="1" x14ac:dyDescent="0.35">
      <c r="B89" s="289" t="str">
        <f>+TableA1!A88</f>
        <v>Panama</v>
      </c>
      <c r="C89" s="1375"/>
      <c r="D89" s="1410"/>
      <c r="E89" s="1140">
        <f>D89*TableC4!C89/(1000)</f>
        <v>0</v>
      </c>
      <c r="F89" s="1136">
        <f>+D89*TableC4!D89/(1000)</f>
        <v>0</v>
      </c>
      <c r="G89" s="967">
        <f t="shared" si="11"/>
        <v>0</v>
      </c>
      <c r="H89" s="1140">
        <f>D89*TableC4!N89/(1000)</f>
        <v>0</v>
      </c>
      <c r="I89" s="1136">
        <f>+D89*TableC4!O89/(1000)</f>
        <v>0</v>
      </c>
      <c r="J89" s="1363">
        <f t="shared" si="12"/>
        <v>0</v>
      </c>
      <c r="K89" s="1395"/>
      <c r="L89" s="1398"/>
      <c r="M89" s="968"/>
      <c r="N89" s="1395"/>
      <c r="O89" s="1414"/>
      <c r="P89" s="1364"/>
      <c r="Q89" s="9"/>
      <c r="R89" s="9"/>
      <c r="S89" s="9"/>
      <c r="T89" s="9"/>
      <c r="U89" s="9"/>
      <c r="V89" s="9"/>
    </row>
    <row r="90" spans="1:22" hidden="1" x14ac:dyDescent="0.35">
      <c r="B90" s="264" t="s">
        <v>290</v>
      </c>
      <c r="C90" s="1374"/>
      <c r="D90" s="1409"/>
      <c r="E90" s="1140">
        <f>D90*TableC4!C90/(1000)</f>
        <v>0</v>
      </c>
      <c r="F90" s="1136">
        <f>+D90*TableC4!D90/(1000)</f>
        <v>0</v>
      </c>
      <c r="G90" s="967">
        <f t="shared" si="11"/>
        <v>0</v>
      </c>
      <c r="H90" s="1140">
        <f>D90*TableC4!N90/(1000)</f>
        <v>0</v>
      </c>
      <c r="I90" s="1136">
        <f>+D90*TableC4!O90/(1000)</f>
        <v>0</v>
      </c>
      <c r="J90" s="1363">
        <f t="shared" si="12"/>
        <v>0</v>
      </c>
      <c r="K90" s="1395"/>
      <c r="L90" s="1398"/>
      <c r="M90" s="968"/>
      <c r="N90" s="1395"/>
      <c r="O90" s="1414"/>
      <c r="P90" s="1364"/>
      <c r="Q90" s="9"/>
      <c r="R90" s="9"/>
      <c r="S90" s="9"/>
      <c r="T90" s="9"/>
      <c r="U90" s="9"/>
      <c r="V90" s="9"/>
    </row>
    <row r="91" spans="1:22" ht="40" customHeight="1" x14ac:dyDescent="0.35">
      <c r="B91" s="585" t="s">
        <v>498</v>
      </c>
      <c r="C91" s="1402">
        <f>+TableA3!G90</f>
        <v>266.94859926828144</v>
      </c>
      <c r="D91" s="978">
        <f>+'[4]Data C 2,4'!$N$179%</f>
        <v>0.23739999999999997</v>
      </c>
      <c r="E91" s="1389">
        <f>D91*TableC4!C91/(1000)</f>
        <v>18.687705941084808</v>
      </c>
      <c r="F91" s="1392">
        <f>+D91*TableC4!D91/(1000)</f>
        <v>7.627293688862026</v>
      </c>
      <c r="G91" s="979">
        <f t="shared" si="11"/>
        <v>11.060412252222783</v>
      </c>
      <c r="H91" s="1389">
        <f>D91*TableC4!N91/(1000)</f>
        <v>4.7300037318571091</v>
      </c>
      <c r="I91" s="1392">
        <f>+D91*TableC4!O91/(1000)</f>
        <v>0.58899913651554581</v>
      </c>
      <c r="J91" s="980">
        <f t="shared" si="12"/>
        <v>4.1410045953415633</v>
      </c>
      <c r="K91" s="1396">
        <f t="shared" ref="K91:P91" si="13">+E91/$C91</f>
        <v>7.0004884806695672E-2</v>
      </c>
      <c r="L91" s="1399">
        <f t="shared" si="13"/>
        <v>2.857214351290396E-2</v>
      </c>
      <c r="M91" s="970">
        <f t="shared" si="13"/>
        <v>4.1432741293791722E-2</v>
      </c>
      <c r="N91" s="1396">
        <f t="shared" si="13"/>
        <v>1.7718780862017145E-2</v>
      </c>
      <c r="O91" s="1415">
        <f t="shared" si="13"/>
        <v>2.2064140367472236E-3</v>
      </c>
      <c r="P91" s="1366">
        <f t="shared" si="13"/>
        <v>1.5512366825269921E-2</v>
      </c>
      <c r="Q91" s="589"/>
      <c r="R91" s="589"/>
      <c r="S91" s="589"/>
      <c r="T91" s="589"/>
      <c r="U91" s="589"/>
      <c r="V91" s="589"/>
    </row>
    <row r="92" spans="1:22" ht="40" hidden="1" customHeight="1" x14ac:dyDescent="0.35">
      <c r="B92" s="1318"/>
      <c r="C92" s="674"/>
      <c r="D92" s="1412"/>
      <c r="E92" s="588">
        <f>D92*TableC4!C92/(1000)</f>
        <v>0</v>
      </c>
      <c r="F92" s="589">
        <f>+D92*TableC4!D92/(1000)</f>
        <v>0</v>
      </c>
      <c r="G92" s="589">
        <f t="shared" ref="G92:G93" si="14">+E92-F92</f>
        <v>0</v>
      </c>
      <c r="H92" s="588">
        <f>D92*TableC4!N92/(1000)</f>
        <v>0</v>
      </c>
      <c r="I92" s="589">
        <f>+D92*TableC4!O92/(1000)</f>
        <v>0</v>
      </c>
      <c r="J92" s="1367">
        <f t="shared" ref="J92:J93" si="15">+H92-I92</f>
        <v>0</v>
      </c>
      <c r="K92" s="1393"/>
      <c r="L92" s="971"/>
      <c r="M92" s="971"/>
      <c r="N92" s="1393"/>
      <c r="O92" s="969"/>
      <c r="P92" s="1365"/>
      <c r="Q92" s="589"/>
      <c r="R92" s="589"/>
      <c r="S92" s="589"/>
      <c r="T92" s="589"/>
      <c r="U92" s="589"/>
      <c r="V92" s="589"/>
    </row>
    <row r="93" spans="1:22" ht="34.5" customHeight="1" thickBot="1" x14ac:dyDescent="0.4">
      <c r="B93" s="584" t="str">
        <f>+TableC3!B91</f>
        <v>Non-haven total</v>
      </c>
      <c r="C93" s="645">
        <f>+C91+C10+C46</f>
        <v>1986.5618629909525</v>
      </c>
      <c r="D93" s="1413"/>
      <c r="E93" s="1390">
        <f>E91+E46+E10</f>
        <v>181.4024073037761</v>
      </c>
      <c r="F93" s="1369">
        <f>F91+F46+F10</f>
        <v>82.434115096975276</v>
      </c>
      <c r="G93" s="1369">
        <f t="shared" si="14"/>
        <v>98.968292206800825</v>
      </c>
      <c r="H93" s="1390">
        <f>H91+H46+H10</f>
        <v>207.39999938490325</v>
      </c>
      <c r="I93" s="1369">
        <f>I91+I46+I10</f>
        <v>113.26534821687198</v>
      </c>
      <c r="J93" s="1369">
        <f t="shared" si="15"/>
        <v>94.134651168031269</v>
      </c>
      <c r="K93" s="1397">
        <f t="shared" ref="K93:P93" si="16">+E93/$C93</f>
        <v>9.1314753737725546E-2</v>
      </c>
      <c r="L93" s="1370">
        <f t="shared" si="16"/>
        <v>4.1495871149395319E-2</v>
      </c>
      <c r="M93" s="1370">
        <f t="shared" si="16"/>
        <v>4.9818882588330227E-2</v>
      </c>
      <c r="N93" s="1397">
        <f t="shared" si="16"/>
        <v>0.10440148039117361</v>
      </c>
      <c r="O93" s="1416">
        <f t="shared" si="16"/>
        <v>5.7015766952427313E-2</v>
      </c>
      <c r="P93" s="1371">
        <f t="shared" si="16"/>
        <v>4.7385713438746306E-2</v>
      </c>
      <c r="Q93" s="559"/>
      <c r="R93" s="559"/>
      <c r="S93" s="559"/>
      <c r="T93" s="559"/>
      <c r="U93" s="559"/>
      <c r="V93" s="559"/>
    </row>
    <row r="94" spans="1:22" s="2" customFormat="1" ht="16" thickTop="1" x14ac:dyDescent="0.35">
      <c r="F94" s="1"/>
      <c r="G94" s="1"/>
      <c r="I94" s="1"/>
      <c r="J94" s="1"/>
      <c r="L94" s="1"/>
      <c r="M94" s="1"/>
      <c r="O94" s="1"/>
      <c r="P94" s="1"/>
      <c r="Q94" s="1"/>
      <c r="R94" s="1"/>
      <c r="S94" s="1"/>
      <c r="T94" s="1"/>
      <c r="U94" s="1"/>
      <c r="V94" s="1"/>
    </row>
    <row r="95" spans="1:22" s="2" customFormat="1" x14ac:dyDescent="0.35">
      <c r="B95" s="1"/>
      <c r="C95" s="1"/>
      <c r="D95" s="1"/>
      <c r="E95" s="1"/>
      <c r="F95" s="1"/>
      <c r="G95" s="1"/>
      <c r="H95" s="1"/>
      <c r="I95" s="1"/>
      <c r="J95" s="1"/>
      <c r="K95" s="1"/>
      <c r="L95" s="1"/>
      <c r="M95" s="1"/>
      <c r="N95" s="1"/>
      <c r="O95" s="1"/>
      <c r="P95" s="1"/>
      <c r="Q95" s="1"/>
      <c r="R95" s="1"/>
      <c r="S95" s="1"/>
      <c r="T95" s="1"/>
      <c r="U95" s="1"/>
      <c r="V95" s="1"/>
    </row>
  </sheetData>
  <mergeCells count="13">
    <mergeCell ref="B4:P4"/>
    <mergeCell ref="E6:J6"/>
    <mergeCell ref="E7:G7"/>
    <mergeCell ref="H7:J7"/>
    <mergeCell ref="E8:E9"/>
    <mergeCell ref="H8:H9"/>
    <mergeCell ref="K6:P6"/>
    <mergeCell ref="K7:M7"/>
    <mergeCell ref="N7:P7"/>
    <mergeCell ref="K8:K9"/>
    <mergeCell ref="N8:N9"/>
    <mergeCell ref="C6:C9"/>
    <mergeCell ref="D6:D9"/>
  </mergeCells>
  <phoneticPr fontId="62" type="noConversion"/>
  <pageMargins left="0.7" right="0.7" top="0.75" bottom="0.75" header="0.3" footer="0.3"/>
  <pageSetup scale="62" fitToHeight="2" orientation="landscape" horizontalDpi="4294967292" verticalDpi="4294967292"/>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3:O96"/>
  <sheetViews>
    <sheetView workbookViewId="0">
      <pane xSplit="2" ySplit="10" topLeftCell="C50" activePane="bottomRight" state="frozen"/>
      <selection activeCell="AR8" sqref="AR8"/>
      <selection pane="topRight" activeCell="AR8" sqref="AR8"/>
      <selection pane="bottomLeft" activeCell="AR8" sqref="AR8"/>
      <selection pane="bottomRight" activeCell="B5" sqref="B5:N93"/>
    </sheetView>
  </sheetViews>
  <sheetFormatPr baseColWidth="10" defaultColWidth="10.81640625" defaultRowHeight="15.5" x14ac:dyDescent="0.35"/>
  <cols>
    <col min="1" max="1" width="17.453125" style="1" hidden="1" customWidth="1"/>
    <col min="2" max="2" width="19" style="1" customWidth="1"/>
    <col min="3" max="14" width="12.81640625" style="1" customWidth="1"/>
    <col min="15" max="15" width="19.6328125" style="1" customWidth="1"/>
    <col min="16" max="16384" width="10.81640625" style="1"/>
  </cols>
  <sheetData>
    <row r="3" spans="2:15" ht="16" thickBot="1" x14ac:dyDescent="0.4">
      <c r="B3" s="27"/>
      <c r="C3" s="27"/>
      <c r="D3" s="27"/>
      <c r="E3" s="27"/>
      <c r="F3" s="27"/>
      <c r="G3" s="27"/>
      <c r="H3" s="27"/>
      <c r="I3" s="27"/>
      <c r="J3" s="27"/>
      <c r="K3" s="27"/>
      <c r="L3" s="27"/>
      <c r="M3" s="27"/>
      <c r="N3" s="27"/>
      <c r="O3" s="27"/>
    </row>
    <row r="4" spans="2:15" ht="15.75" hidden="1" customHeight="1" thickBot="1" x14ac:dyDescent="0.4"/>
    <row r="5" spans="2:15" ht="32.25" customHeight="1" thickTop="1" x14ac:dyDescent="0.35">
      <c r="B5" s="2048" t="s">
        <v>679</v>
      </c>
      <c r="C5" s="2049"/>
      <c r="D5" s="2049"/>
      <c r="E5" s="2049"/>
      <c r="F5" s="2049"/>
      <c r="G5" s="2049"/>
      <c r="H5" s="2049"/>
      <c r="I5" s="2049"/>
      <c r="J5" s="2049"/>
      <c r="K5" s="2049"/>
      <c r="L5" s="2049"/>
      <c r="M5" s="2049"/>
      <c r="N5" s="2050"/>
      <c r="O5" s="1119"/>
    </row>
    <row r="6" spans="2:15" ht="20" x14ac:dyDescent="0.35">
      <c r="B6" s="11"/>
      <c r="C6" s="409" t="s">
        <v>20</v>
      </c>
      <c r="D6" s="409" t="s">
        <v>21</v>
      </c>
      <c r="E6" s="409" t="s">
        <v>22</v>
      </c>
      <c r="F6" s="409" t="s">
        <v>23</v>
      </c>
      <c r="G6" s="409" t="s">
        <v>24</v>
      </c>
      <c r="H6" s="409" t="s">
        <v>25</v>
      </c>
      <c r="I6" s="409" t="s">
        <v>26</v>
      </c>
      <c r="J6" s="409" t="s">
        <v>33</v>
      </c>
      <c r="K6" s="409" t="s">
        <v>34</v>
      </c>
      <c r="L6" s="409" t="s">
        <v>37</v>
      </c>
      <c r="M6" s="409" t="s">
        <v>105</v>
      </c>
      <c r="N6" s="14" t="s">
        <v>138</v>
      </c>
      <c r="O6" s="1187"/>
    </row>
    <row r="7" spans="2:15" ht="22" customHeight="1" x14ac:dyDescent="0.35">
      <c r="B7" s="11"/>
      <c r="C7" s="2452" t="s">
        <v>624</v>
      </c>
      <c r="D7" s="2456" t="s">
        <v>590</v>
      </c>
      <c r="E7" s="2231" t="s">
        <v>625</v>
      </c>
      <c r="F7" s="2231"/>
      <c r="G7" s="2231"/>
      <c r="H7" s="2231"/>
      <c r="I7" s="2231"/>
      <c r="J7" s="2230" t="s">
        <v>623</v>
      </c>
      <c r="K7" s="2231"/>
      <c r="L7" s="2231"/>
      <c r="M7" s="2231"/>
      <c r="N7" s="2315"/>
      <c r="O7" s="1119"/>
    </row>
    <row r="8" spans="2:15" ht="21" customHeight="1" x14ac:dyDescent="0.35">
      <c r="B8" s="13"/>
      <c r="C8" s="2455"/>
      <c r="D8" s="2457"/>
      <c r="E8" s="2454" t="s">
        <v>622</v>
      </c>
      <c r="F8" s="2198"/>
      <c r="G8" s="2198"/>
      <c r="H8" s="2446" t="s">
        <v>791</v>
      </c>
      <c r="I8" s="2449" t="s">
        <v>792</v>
      </c>
      <c r="J8" s="2450" t="s">
        <v>622</v>
      </c>
      <c r="K8" s="2198"/>
      <c r="L8" s="2200"/>
      <c r="M8" s="2446" t="s">
        <v>791</v>
      </c>
      <c r="N8" s="2451" t="s">
        <v>792</v>
      </c>
      <c r="O8" s="949"/>
    </row>
    <row r="9" spans="2:15" ht="85" customHeight="1" x14ac:dyDescent="0.35">
      <c r="B9" s="13"/>
      <c r="C9" s="2455"/>
      <c r="D9" s="2457"/>
      <c r="E9" s="2444" t="s">
        <v>621</v>
      </c>
      <c r="F9" s="1378" t="s">
        <v>619</v>
      </c>
      <c r="G9" s="1379" t="s">
        <v>620</v>
      </c>
      <c r="H9" s="2447"/>
      <c r="I9" s="2449"/>
      <c r="J9" s="2452" t="s">
        <v>621</v>
      </c>
      <c r="K9" s="1378" t="s">
        <v>619</v>
      </c>
      <c r="L9" s="1379" t="s">
        <v>620</v>
      </c>
      <c r="M9" s="2447"/>
      <c r="N9" s="2451"/>
      <c r="O9" s="950"/>
    </row>
    <row r="10" spans="2:15" x14ac:dyDescent="0.35">
      <c r="B10" s="13"/>
      <c r="C10" s="2453"/>
      <c r="D10" s="2458"/>
      <c r="E10" s="2445"/>
      <c r="F10" s="958"/>
      <c r="G10" s="956"/>
      <c r="H10" s="2448"/>
      <c r="I10" s="2449"/>
      <c r="J10" s="2453"/>
      <c r="K10" s="958"/>
      <c r="L10" s="956"/>
      <c r="M10" s="2448"/>
      <c r="N10" s="2451"/>
      <c r="O10" s="951"/>
    </row>
    <row r="11" spans="2:15" ht="40" customHeight="1" x14ac:dyDescent="0.35">
      <c r="B11" s="39" t="s">
        <v>98</v>
      </c>
      <c r="C11" s="1358">
        <f>+SUM(C12:C46)</f>
        <v>1127.4155729148408</v>
      </c>
      <c r="D11" s="964"/>
      <c r="E11" s="952">
        <f>+F11+G11</f>
        <v>578.79392984507649</v>
      </c>
      <c r="F11" s="1417">
        <f>+SUM(F12:F46)</f>
        <v>368.67890901862586</v>
      </c>
      <c r="G11" s="964">
        <f>+SUM(G12:G46)</f>
        <v>210.11502082645069</v>
      </c>
      <c r="H11" s="952">
        <f>+TableC4!C10/1000</f>
        <v>435.14424979196116</v>
      </c>
      <c r="I11" s="964">
        <f>+TableC4!N10/1000</f>
        <v>533.27490660975616</v>
      </c>
      <c r="J11" s="1425">
        <f>+SUMPRODUCT(J12:J46,$C$12:$C$46)/$C$11</f>
        <v>0.15577118131706294</v>
      </c>
      <c r="K11" s="1426">
        <f t="shared" ref="K11:N11" si="0">+SUMPRODUCT(K12:K46,$C$12:$C$46)/$C$11</f>
        <v>9.0874794528675487E-2</v>
      </c>
      <c r="L11" s="1427">
        <f t="shared" si="0"/>
        <v>6.4896386788387439E-2</v>
      </c>
      <c r="M11" s="1425">
        <f t="shared" si="0"/>
        <v>0.12000189394058861</v>
      </c>
      <c r="N11" s="1444">
        <f t="shared" si="0"/>
        <v>0.1647079512343522</v>
      </c>
      <c r="O11" s="559"/>
    </row>
    <row r="12" spans="2:15" x14ac:dyDescent="0.35">
      <c r="B12" s="95" t="s">
        <v>54</v>
      </c>
      <c r="C12" s="682">
        <f>+TableA3!H10</f>
        <v>53.085816886912227</v>
      </c>
      <c r="D12" s="121">
        <f>+VLOOKUP(B12,'[4]Data C 2,4'!$A$2:$S$189,14,0)%</f>
        <v>0.3</v>
      </c>
      <c r="E12" s="1418">
        <f>+F12+G12</f>
        <v>11.913869138592107</v>
      </c>
      <c r="F12" s="1419">
        <f>-TableA7!P10</f>
        <v>11.223955605361816</v>
      </c>
      <c r="G12" s="1420">
        <f>(TableA7!$P$91-$F$93)*TableC4b!F12</f>
        <v>0.68991353323029114</v>
      </c>
      <c r="H12" s="1350">
        <f>+TableC4!C11/1000</f>
        <v>12.959094629306808</v>
      </c>
      <c r="I12" s="1377">
        <f>+TableC4!N11/1000</f>
        <v>1.7510103445011536</v>
      </c>
      <c r="J12" s="1428">
        <f>+(E12*$D12)/$C12</f>
        <v>6.7327978567073815E-2</v>
      </c>
      <c r="K12" s="1429">
        <f t="shared" ref="K12:K54" si="1">+(F12*$D12)/$C12</f>
        <v>6.3429120602619765E-2</v>
      </c>
      <c r="L12" s="1430">
        <f>+(G12*$D12)/$C12</f>
        <v>3.8988579644540556E-3</v>
      </c>
      <c r="M12" s="1431">
        <f t="shared" ref="M12:M54" si="2">+(H12*$D12)/$C12</f>
        <v>7.3234785047652198E-2</v>
      </c>
      <c r="N12" s="1445">
        <f t="shared" ref="N12:N54" si="3">+(I12*$D12)/$C12</f>
        <v>9.8953568797743082E-3</v>
      </c>
      <c r="O12" s="40"/>
    </row>
    <row r="13" spans="2:15" x14ac:dyDescent="0.35">
      <c r="B13" s="95" t="s">
        <v>55</v>
      </c>
      <c r="C13" s="682">
        <f>+TableA3!H11</f>
        <v>8.4946481984874556</v>
      </c>
      <c r="D13" s="121">
        <f>+VLOOKUP(B13,'[4]Data C 2,4'!$A$2:$S$189,14,0)%</f>
        <v>0.25</v>
      </c>
      <c r="E13" s="1418">
        <f t="shared" ref="E13:E54" si="4">+F13+G13</f>
        <v>3.4761409311748879</v>
      </c>
      <c r="F13" s="1419">
        <f>-TableA7!P11</f>
        <v>2.5981950816013484</v>
      </c>
      <c r="G13" s="1420">
        <f>+(TableA7!$P$91-$F$93)*TableC4b!F13</f>
        <v>0.87794584957353938</v>
      </c>
      <c r="H13" s="1350">
        <f>+TableC4!C12/1000</f>
        <v>3.5894388002507043</v>
      </c>
      <c r="I13" s="1377">
        <f>+TableC4!N12/1000</f>
        <v>2.2282390335456395</v>
      </c>
      <c r="J13" s="1428">
        <f t="shared" ref="J13:J54" si="5">+(E13*$D13)/$C13</f>
        <v>0.102303852082828</v>
      </c>
      <c r="K13" s="1429">
        <f t="shared" si="1"/>
        <v>7.6465646984179375E-2</v>
      </c>
      <c r="L13" s="1430">
        <f t="shared" ref="L13:L54" si="6">+(G13*$D13)/$C13</f>
        <v>2.5838205098648617E-2</v>
      </c>
      <c r="M13" s="1431">
        <f t="shared" si="2"/>
        <v>0.10563824176055445</v>
      </c>
      <c r="N13" s="1445">
        <f t="shared" si="3"/>
        <v>6.5577731457507463E-2</v>
      </c>
      <c r="O13" s="40"/>
    </row>
    <row r="14" spans="2:15" x14ac:dyDescent="0.35">
      <c r="B14" s="95" t="s">
        <v>2</v>
      </c>
      <c r="C14" s="682"/>
      <c r="D14" s="1351"/>
      <c r="E14" s="1418"/>
      <c r="F14" s="1419"/>
      <c r="G14" s="1420"/>
      <c r="H14" s="1350"/>
      <c r="I14" s="1377"/>
      <c r="J14" s="1428"/>
      <c r="K14" s="1429"/>
      <c r="L14" s="1430"/>
      <c r="M14" s="1431"/>
      <c r="N14" s="1446"/>
      <c r="O14" s="976"/>
    </row>
    <row r="15" spans="2:15" x14ac:dyDescent="0.35">
      <c r="B15" s="95" t="s">
        <v>56</v>
      </c>
      <c r="C15" s="682">
        <f>+TableA3!H13</f>
        <v>49.479398763816377</v>
      </c>
      <c r="D15" s="121">
        <f>+VLOOKUP(B15,'[4]Data C 2,4'!$A$2:$S$189,14,0)%</f>
        <v>0.26500000000000001</v>
      </c>
      <c r="E15" s="1418">
        <f t="shared" si="4"/>
        <v>-23.616458651991657</v>
      </c>
      <c r="F15" s="1419">
        <f>-TableA7!P13</f>
        <v>-30.089596637272944</v>
      </c>
      <c r="G15" s="1420">
        <f>+(TableA7!$P$91-$F$93)*TableC4b!F15</f>
        <v>6.4731379852812863</v>
      </c>
      <c r="H15" s="1350">
        <f>+TableC4!C14/1000</f>
        <v>18.916079243072261</v>
      </c>
      <c r="I15" s="1377">
        <f>+TableC4!N14/1000</f>
        <v>16.428916128867204</v>
      </c>
      <c r="J15" s="1428">
        <f t="shared" si="5"/>
        <v>-0.12648418734130709</v>
      </c>
      <c r="K15" s="1429">
        <f t="shared" si="1"/>
        <v>-0.1611527890009129</v>
      </c>
      <c r="L15" s="1430">
        <f t="shared" si="6"/>
        <v>3.4668601659605787E-2</v>
      </c>
      <c r="M15" s="1431">
        <f t="shared" si="2"/>
        <v>0.10131006286761744</v>
      </c>
      <c r="N15" s="1445">
        <f t="shared" si="3"/>
        <v>8.798940332584608E-2</v>
      </c>
      <c r="O15" s="976"/>
    </row>
    <row r="16" spans="2:15" x14ac:dyDescent="0.35">
      <c r="B16" s="95" t="s">
        <v>57</v>
      </c>
      <c r="C16" s="682">
        <f>+TableA3!H14</f>
        <v>10.455405560058267</v>
      </c>
      <c r="D16" s="121">
        <f>+VLOOKUP(B16,'[4]Data C 2,4'!$A$2:$S$189,14,0)%</f>
        <v>0.24</v>
      </c>
      <c r="E16" s="1418">
        <f t="shared" si="4"/>
        <v>0.15730104321255003</v>
      </c>
      <c r="F16" s="1419">
        <f>-TableA7!P14</f>
        <v>0.19845199904374233</v>
      </c>
      <c r="G16" s="1420">
        <f>+(TableA7!$P$91-$F$93)*TableC4b!F16</f>
        <v>-4.1150955831192298E-2</v>
      </c>
      <c r="H16" s="1350">
        <f>+TableC4!C15/1000</f>
        <v>5.1819143745614014</v>
      </c>
      <c r="I16" s="1377">
        <f>+TableC4!N15/1000</f>
        <v>-0.10444171026643102</v>
      </c>
      <c r="J16" s="1428">
        <f t="shared" si="5"/>
        <v>3.6107877551142661E-3</v>
      </c>
      <c r="K16" s="1429">
        <f t="shared" si="1"/>
        <v>4.5553928536687703E-3</v>
      </c>
      <c r="L16" s="1430">
        <f t="shared" si="6"/>
        <v>-9.4460509855450424E-4</v>
      </c>
      <c r="M16" s="1431">
        <f t="shared" si="2"/>
        <v>0.11894894394587266</v>
      </c>
      <c r="N16" s="1445">
        <f t="shared" si="3"/>
        <v>-2.3974211540583944E-3</v>
      </c>
      <c r="O16" s="975"/>
    </row>
    <row r="17" spans="1:15" x14ac:dyDescent="0.35">
      <c r="B17" s="95" t="s">
        <v>58</v>
      </c>
      <c r="C17" s="682">
        <f>+TableA3!H15</f>
        <v>6.7113169165099862</v>
      </c>
      <c r="D17" s="121">
        <f>+VLOOKUP(B17,'[4]Data C 2,4'!$A$2:$S$189,14,0)%</f>
        <v>0.19</v>
      </c>
      <c r="E17" s="1418">
        <f t="shared" si="4"/>
        <v>-5.4804199183737063</v>
      </c>
      <c r="F17" s="1419">
        <f>-TableA7!P15</f>
        <v>-5.6664744803053289</v>
      </c>
      <c r="G17" s="1420">
        <f>+(TableA7!$P$91-$F$93)*TableC4b!F17</f>
        <v>0.18605456193162279</v>
      </c>
      <c r="H17" s="1350">
        <f>+TableC4!C16/1000</f>
        <v>1.7606284926203615</v>
      </c>
      <c r="I17" s="1377">
        <f>+TableC4!N16/1000</f>
        <v>0.47220912026254813</v>
      </c>
      <c r="J17" s="1428">
        <f t="shared" si="5"/>
        <v>-0.15515282580821554</v>
      </c>
      <c r="K17" s="1429">
        <f t="shared" si="1"/>
        <v>-0.1604201030366304</v>
      </c>
      <c r="L17" s="1430">
        <f t="shared" si="6"/>
        <v>5.2672772284148373E-3</v>
      </c>
      <c r="M17" s="1431">
        <f t="shared" si="2"/>
        <v>4.9844079449585167E-2</v>
      </c>
      <c r="N17" s="1445">
        <f t="shared" si="3"/>
        <v>1.3368424404034868E-2</v>
      </c>
      <c r="O17" s="975"/>
    </row>
    <row r="18" spans="1:15" x14ac:dyDescent="0.35">
      <c r="B18" s="95" t="s">
        <v>59</v>
      </c>
      <c r="C18" s="682">
        <f>+TableA3!H16</f>
        <v>7.7284100389615968</v>
      </c>
      <c r="D18" s="121">
        <f>+VLOOKUP(B18,'[4]Data C 2,4'!$A$2:$S$189,14,0)%</f>
        <v>0.22</v>
      </c>
      <c r="E18" s="1418">
        <f t="shared" si="4"/>
        <v>10.307613696202564</v>
      </c>
      <c r="F18" s="1419">
        <f>-TableA7!P16</f>
        <v>8.8754603396234497</v>
      </c>
      <c r="G18" s="1420">
        <f>+(TableA7!$P$91-$F$93)*TableC4b!F18</f>
        <v>1.4321533565791136</v>
      </c>
      <c r="H18" s="1350">
        <f>+TableC4!C17/1000</f>
        <v>2.9617661722785193</v>
      </c>
      <c r="I18" s="1377">
        <f>+TableC4!N17/1000</f>
        <v>3.634825556386077</v>
      </c>
      <c r="J18" s="1428">
        <f t="shared" si="5"/>
        <v>0.29342063913954197</v>
      </c>
      <c r="K18" s="1429">
        <f t="shared" si="1"/>
        <v>0.25265239096701891</v>
      </c>
      <c r="L18" s="1430">
        <f t="shared" si="6"/>
        <v>4.0768248172523058E-2</v>
      </c>
      <c r="M18" s="1431">
        <f t="shared" si="2"/>
        <v>8.4310816146709378E-2</v>
      </c>
      <c r="N18" s="1445">
        <f t="shared" si="3"/>
        <v>0.1034703927940631</v>
      </c>
      <c r="O18" s="40"/>
    </row>
    <row r="19" spans="1:15" x14ac:dyDescent="0.35">
      <c r="B19" s="455" t="s">
        <v>60</v>
      </c>
      <c r="C19" s="682">
        <f>+TableA3!H17</f>
        <v>0.47056592348104992</v>
      </c>
      <c r="D19" s="121">
        <f>+VLOOKUP(B19,'[4]Data C 2,4'!$A$2:$S$189,14,0)%</f>
        <v>0.2</v>
      </c>
      <c r="E19" s="1418">
        <f t="shared" si="4"/>
        <v>0.32696973470725821</v>
      </c>
      <c r="F19" s="1419">
        <f>-TableA7!P17</f>
        <v>0.32856767888762328</v>
      </c>
      <c r="G19" s="1420">
        <f>+(TableA7!$P$91-$F$93)*TableC4b!F19</f>
        <v>-1.5979441803650927E-3</v>
      </c>
      <c r="H19" s="1350">
        <f>+TableC4!C18/1000</f>
        <v>0.24369349684162625</v>
      </c>
      <c r="I19" s="1377">
        <f>+TableC4!N18/1000</f>
        <v>-4.0556050214784296E-3</v>
      </c>
      <c r="J19" s="1428">
        <f t="shared" si="5"/>
        <v>0.13896872611959357</v>
      </c>
      <c r="K19" s="1429">
        <f t="shared" si="1"/>
        <v>0.13964788459691982</v>
      </c>
      <c r="L19" s="1430">
        <f t="shared" si="6"/>
        <v>-6.7915847732626696E-4</v>
      </c>
      <c r="M19" s="1431">
        <f t="shared" si="2"/>
        <v>0.10357464690128163</v>
      </c>
      <c r="N19" s="1445">
        <f t="shared" si="3"/>
        <v>-1.7237138598888587E-3</v>
      </c>
      <c r="O19" s="40"/>
    </row>
    <row r="20" spans="1:15" x14ac:dyDescent="0.35">
      <c r="B20" s="95" t="s">
        <v>61</v>
      </c>
      <c r="C20" s="682">
        <f>+TableA3!H18</f>
        <v>5.0429264278402366</v>
      </c>
      <c r="D20" s="121">
        <f>+VLOOKUP(B20,'[4]Data C 2,4'!$A$2:$S$189,14,0)%</f>
        <v>0.2</v>
      </c>
      <c r="E20" s="1418">
        <f t="shared" si="4"/>
        <v>2.4067570221575454</v>
      </c>
      <c r="F20" s="1419">
        <f>-TableA7!P18</f>
        <v>1.516413766275523</v>
      </c>
      <c r="G20" s="1420">
        <f>+(TableA7!$P$91-$F$93)*TableC4b!F20</f>
        <v>0.89034325588202223</v>
      </c>
      <c r="H20" s="1350">
        <f>+TableC4!C19/1000</f>
        <v>2.7148693656359137</v>
      </c>
      <c r="I20" s="1377">
        <f>+TableC4!N19/1000</f>
        <v>2.2597038268067555</v>
      </c>
      <c r="J20" s="1428">
        <f t="shared" si="5"/>
        <v>9.5450808438159243E-2</v>
      </c>
      <c r="K20" s="1429">
        <f t="shared" si="1"/>
        <v>6.0140229605727819E-2</v>
      </c>
      <c r="L20" s="1430">
        <f t="shared" si="6"/>
        <v>3.5310578832431425E-2</v>
      </c>
      <c r="M20" s="1431">
        <f t="shared" si="2"/>
        <v>0.10767039354958929</v>
      </c>
      <c r="N20" s="1445">
        <f t="shared" si="3"/>
        <v>8.9618750506916756E-2</v>
      </c>
      <c r="O20" s="40"/>
    </row>
    <row r="21" spans="1:15" x14ac:dyDescent="0.35">
      <c r="B21" s="455" t="s">
        <v>48</v>
      </c>
      <c r="C21" s="682">
        <f>+TableA3!H19</f>
        <v>50.926955756000886</v>
      </c>
      <c r="D21" s="121">
        <f>+VLOOKUP(B21,'[4]Data C 2,4'!$A$2:$S$189,14,0)%</f>
        <v>0.33329999999999999</v>
      </c>
      <c r="E21" s="1418">
        <f t="shared" si="4"/>
        <v>26.881260402015577</v>
      </c>
      <c r="F21" s="1419">
        <f>-TableA7!P19</f>
        <v>1.5189718912435666</v>
      </c>
      <c r="G21" s="1420">
        <f>+(TableA7!$P$91-$F$93)*TableC4b!F21</f>
        <v>25.362288510772011</v>
      </c>
      <c r="H21" s="1350">
        <f>+TableC4!C20/1000</f>
        <v>32.084129887442167</v>
      </c>
      <c r="I21" s="1377">
        <f>+TableC4!N20/1000</f>
        <v>64.369848399191696</v>
      </c>
      <c r="J21" s="1428">
        <f t="shared" si="5"/>
        <v>0.17592891542385317</v>
      </c>
      <c r="K21" s="1429">
        <f t="shared" si="1"/>
        <v>9.9411662023765248E-3</v>
      </c>
      <c r="L21" s="1430">
        <f t="shared" si="6"/>
        <v>0.16598774922147663</v>
      </c>
      <c r="M21" s="1431">
        <f t="shared" si="2"/>
        <v>0.20997996704769473</v>
      </c>
      <c r="N21" s="1445">
        <f t="shared" si="3"/>
        <v>0.42127926464409848</v>
      </c>
      <c r="O21" s="40"/>
    </row>
    <row r="22" spans="1:15" x14ac:dyDescent="0.35">
      <c r="B22" s="95" t="s">
        <v>62</v>
      </c>
      <c r="C22" s="682">
        <f>+TableA3!H20</f>
        <v>58.451143946880144</v>
      </c>
      <c r="D22" s="121">
        <f>+VLOOKUP(B22,'[4]Data C 2,4'!$A$2:$S$189,14,0)%</f>
        <v>0.29719999999999996</v>
      </c>
      <c r="E22" s="1418">
        <f t="shared" si="4"/>
        <v>91.934692471535755</v>
      </c>
      <c r="F22" s="1419">
        <f>-TableA7!P20</f>
        <v>77.889952006640314</v>
      </c>
      <c r="G22" s="1420">
        <f>+(TableA7!$P$91-$F$93)*TableC4b!F22</f>
        <v>14.044740464895447</v>
      </c>
      <c r="H22" s="1350">
        <f>+TableC4!C21/1000</f>
        <v>54.904338589641874</v>
      </c>
      <c r="I22" s="1377">
        <f>+TableC4!N21/1000</f>
        <v>35.645750743168811</v>
      </c>
      <c r="J22" s="1428">
        <f t="shared" si="5"/>
        <v>0.46745005756211205</v>
      </c>
      <c r="K22" s="1429">
        <f t="shared" si="1"/>
        <v>0.39603833515065157</v>
      </c>
      <c r="L22" s="1430">
        <f t="shared" si="6"/>
        <v>7.1411722411460529E-2</v>
      </c>
      <c r="M22" s="1431">
        <f t="shared" si="2"/>
        <v>0.27916595513803488</v>
      </c>
      <c r="N22" s="1445">
        <f t="shared" si="3"/>
        <v>0.18124396556716532</v>
      </c>
      <c r="O22" s="40"/>
    </row>
    <row r="23" spans="1:15" x14ac:dyDescent="0.35">
      <c r="B23" s="95" t="s">
        <v>63</v>
      </c>
      <c r="C23" s="682">
        <f>+TableA3!H21</f>
        <v>4.2144535794574223</v>
      </c>
      <c r="D23" s="121">
        <f>+VLOOKUP(B23,'[4]Data C 2,4'!$A$2:$S$189,14,0)%</f>
        <v>0.28999999999999998</v>
      </c>
      <c r="E23" s="1418">
        <f t="shared" si="4"/>
        <v>2.6262699682896629</v>
      </c>
      <c r="F23" s="1419">
        <f>-TableA7!P21</f>
        <v>2.4530738535975614</v>
      </c>
      <c r="G23" s="1420">
        <f>+(TableA7!$P$91-$F$93)*TableC4b!F23</f>
        <v>0.17319611469210167</v>
      </c>
      <c r="H23" s="1350">
        <f>+TableC4!C22/1000</f>
        <v>1.0465124601954992</v>
      </c>
      <c r="I23" s="1377">
        <f>+TableC4!N22/1000</f>
        <v>0.43957419857141461</v>
      </c>
      <c r="J23" s="1428">
        <f t="shared" si="5"/>
        <v>0.18071578591264364</v>
      </c>
      <c r="K23" s="1429">
        <f t="shared" si="1"/>
        <v>0.16879801951333362</v>
      </c>
      <c r="L23" s="1430">
        <f t="shared" si="6"/>
        <v>1.1917766399310014E-2</v>
      </c>
      <c r="M23" s="1431">
        <f t="shared" si="2"/>
        <v>7.2011378873881565E-2</v>
      </c>
      <c r="N23" s="1445">
        <f t="shared" si="3"/>
        <v>3.0247460360477346E-2</v>
      </c>
      <c r="O23" s="40"/>
    </row>
    <row r="24" spans="1:15" x14ac:dyDescent="0.35">
      <c r="B24" s="95" t="s">
        <v>64</v>
      </c>
      <c r="C24" s="682">
        <f>+TableA3!H22</f>
        <v>2.1963860274046167</v>
      </c>
      <c r="D24" s="121">
        <f>+VLOOKUP(B24,'[4]Data C 2,4'!$A$2:$S$189,14,0)%</f>
        <v>0.19</v>
      </c>
      <c r="E24" s="1418">
        <f t="shared" si="4"/>
        <v>-8.7033788681800173E-2</v>
      </c>
      <c r="F24" s="1419">
        <f>-TableA7!P22</f>
        <v>-0.28410621149757276</v>
      </c>
      <c r="G24" s="1420">
        <f>+(TableA7!$P$91-$F$93)*TableC4b!F24</f>
        <v>0.19707242281577259</v>
      </c>
      <c r="H24" s="1350">
        <f>+TableC4!C23/1000</f>
        <v>2.3948890539900791</v>
      </c>
      <c r="I24" s="1377">
        <f>+TableC4!N23/1000</f>
        <v>0.50017260764638116</v>
      </c>
      <c r="J24" s="1428">
        <f t="shared" si="5"/>
        <v>-7.5289223493569899E-3</v>
      </c>
      <c r="K24" s="1429">
        <f t="shared" si="1"/>
        <v>-2.457681824188487E-2</v>
      </c>
      <c r="L24" s="1430">
        <f t="shared" si="6"/>
        <v>1.7047895892527878E-2</v>
      </c>
      <c r="M24" s="1431">
        <f t="shared" si="2"/>
        <v>0.20717165133116644</v>
      </c>
      <c r="N24" s="1445">
        <f t="shared" si="3"/>
        <v>4.3267801865006832E-2</v>
      </c>
      <c r="O24" s="40"/>
    </row>
    <row r="25" spans="1:15" x14ac:dyDescent="0.35">
      <c r="B25" s="95" t="s">
        <v>65</v>
      </c>
      <c r="C25" s="682">
        <f>+TableA3!H23</f>
        <v>0.3983029700639128</v>
      </c>
      <c r="D25" s="121">
        <f>+VLOOKUP(B25,'[4]Data C 2,4'!$A$2:$S$189,14,0)%</f>
        <v>0.2</v>
      </c>
      <c r="E25" s="1418">
        <f t="shared" si="4"/>
        <v>0.95773195268953792</v>
      </c>
      <c r="F25" s="1419">
        <f>-TableA7!P23</f>
        <v>0.95233244060805888</v>
      </c>
      <c r="G25" s="1420">
        <f>+(TableA7!$P$91-$F$93)*TableC4b!F25</f>
        <v>5.3995120814790869E-3</v>
      </c>
      <c r="H25" s="1350">
        <f>+TableC4!C24/1000</f>
        <v>0.43774676216057212</v>
      </c>
      <c r="I25" s="1377">
        <f>+TableC4!N24/1000</f>
        <v>1.3704038338921695E-2</v>
      </c>
      <c r="J25" s="1428">
        <f t="shared" si="5"/>
        <v>0.4809062571317797</v>
      </c>
      <c r="K25" s="1429">
        <f t="shared" si="1"/>
        <v>0.47819499837284418</v>
      </c>
      <c r="L25" s="1430">
        <f t="shared" si="6"/>
        <v>2.711258758935524E-3</v>
      </c>
      <c r="M25" s="1431">
        <f t="shared" si="2"/>
        <v>0.21980592416387459</v>
      </c>
      <c r="N25" s="1445">
        <f t="shared" si="3"/>
        <v>6.8812132315873558E-3</v>
      </c>
      <c r="O25" s="40"/>
    </row>
    <row r="26" spans="1:15" x14ac:dyDescent="0.35">
      <c r="B26" s="95" t="s">
        <v>19</v>
      </c>
      <c r="C26" s="682"/>
      <c r="D26" s="1351"/>
      <c r="E26" s="1418"/>
      <c r="F26" s="1419"/>
      <c r="G26" s="1420"/>
      <c r="H26" s="1350"/>
      <c r="I26" s="1377"/>
      <c r="J26" s="1428"/>
      <c r="K26" s="1429"/>
      <c r="L26" s="1430"/>
      <c r="M26" s="1431"/>
      <c r="N26" s="1446"/>
      <c r="O26" s="40"/>
    </row>
    <row r="27" spans="1:15" x14ac:dyDescent="0.35">
      <c r="B27" s="95" t="s">
        <v>95</v>
      </c>
      <c r="C27" s="682">
        <f>+TableA3!H25</f>
        <v>8.9214020772181364</v>
      </c>
      <c r="D27" s="121">
        <f>+VLOOKUP(B27,'[4]Data C 2,4'!$A$2:$S$189,14,0)%</f>
        <v>0.25</v>
      </c>
      <c r="E27" s="1418">
        <f t="shared" si="4"/>
        <v>1.2313170402325924</v>
      </c>
      <c r="F27" s="1419">
        <f>-TableA7!P25</f>
        <v>1.0208621337891248</v>
      </c>
      <c r="G27" s="1420">
        <f>+(TableA7!$P$91-$F$93)*TableC4b!F27</f>
        <v>0.21045490644346759</v>
      </c>
      <c r="H27" s="1350">
        <f>+TableC4!C26/1000</f>
        <v>0.68065831999156556</v>
      </c>
      <c r="I27" s="1377">
        <f>+TableC4!N26/1000</f>
        <v>0.53413754113231338</v>
      </c>
      <c r="J27" s="1428">
        <f t="shared" si="5"/>
        <v>3.450458318028584E-2</v>
      </c>
      <c r="K27" s="1429">
        <f t="shared" si="1"/>
        <v>2.8607110321706552E-2</v>
      </c>
      <c r="L27" s="1430">
        <f t="shared" si="6"/>
        <v>5.8974728585792944E-3</v>
      </c>
      <c r="M27" s="1431">
        <f t="shared" si="2"/>
        <v>1.9073748557127242E-2</v>
      </c>
      <c r="N27" s="1445">
        <f t="shared" si="3"/>
        <v>1.4967869862526913E-2</v>
      </c>
      <c r="O27" s="40"/>
    </row>
    <row r="28" spans="1:15" x14ac:dyDescent="0.35">
      <c r="B28" s="95" t="s">
        <v>66</v>
      </c>
      <c r="C28" s="682">
        <f>+TableA3!H26</f>
        <v>37.286823510883821</v>
      </c>
      <c r="D28" s="121">
        <f>+VLOOKUP(B28,'[4]Data C 2,4'!$A$2:$S$189,14,0)%</f>
        <v>0.314</v>
      </c>
      <c r="E28" s="1418">
        <f t="shared" si="4"/>
        <v>27.639022960076833</v>
      </c>
      <c r="F28" s="1419">
        <f>-TableA7!P26</f>
        <v>26.164032260372608</v>
      </c>
      <c r="G28" s="1420">
        <f>+(TableA7!$P$91-$F$93)*TableC4b!F28</f>
        <v>1.4749906997042239</v>
      </c>
      <c r="H28" s="1350">
        <f>+TableC4!C27/1000</f>
        <v>22.702482961511631</v>
      </c>
      <c r="I28" s="1377">
        <f>+TableC4!N27/1000</f>
        <v>3.7435473415521265</v>
      </c>
      <c r="J28" s="1428">
        <f t="shared" si="5"/>
        <v>0.2327538897737125</v>
      </c>
      <c r="K28" s="1429">
        <f t="shared" si="1"/>
        <v>0.2203326901085832</v>
      </c>
      <c r="L28" s="1430">
        <f t="shared" si="6"/>
        <v>1.2421199665129324E-2</v>
      </c>
      <c r="M28" s="1431">
        <f t="shared" si="2"/>
        <v>0.19118227241411054</v>
      </c>
      <c r="N28" s="1445">
        <f t="shared" si="3"/>
        <v>3.1525181138164084E-2</v>
      </c>
      <c r="O28" s="40"/>
    </row>
    <row r="29" spans="1:15" x14ac:dyDescent="0.35">
      <c r="B29" s="95" t="s">
        <v>67</v>
      </c>
      <c r="C29" s="682">
        <f>+TableA3!H27</f>
        <v>166.10688689066282</v>
      </c>
      <c r="D29" s="121">
        <f>+VLOOKUP(B29,'[4]Data C 2,4'!$A$2:$S$189,14,0)%</f>
        <v>0.33860000000000001</v>
      </c>
      <c r="E29" s="1418">
        <f t="shared" si="4"/>
        <v>34.555195233136992</v>
      </c>
      <c r="F29" s="1419">
        <f>-TableA7!P27</f>
        <v>26.952295997908244</v>
      </c>
      <c r="G29" s="1420">
        <f>+(TableA7!$P$91-$F$93)*TableC4b!F29</f>
        <v>7.6028992352287483</v>
      </c>
      <c r="H29" s="1350">
        <f>+TableC4!C28/1000</f>
        <v>8.5543737634504904</v>
      </c>
      <c r="I29" s="1377">
        <f>+TableC4!N28/1000</f>
        <v>19.296266224483077</v>
      </c>
      <c r="J29" s="1428">
        <f t="shared" si="5"/>
        <v>7.043891632043997E-2</v>
      </c>
      <c r="K29" s="1429">
        <f t="shared" si="1"/>
        <v>5.4940813085605569E-2</v>
      </c>
      <c r="L29" s="1430">
        <f t="shared" si="6"/>
        <v>1.5498103234834405E-2</v>
      </c>
      <c r="M29" s="1431">
        <f t="shared" si="2"/>
        <v>1.7437633144078594E-2</v>
      </c>
      <c r="N29" s="1445">
        <f t="shared" si="3"/>
        <v>3.9334406091847851E-2</v>
      </c>
      <c r="O29" s="40"/>
    </row>
    <row r="30" spans="1:15" x14ac:dyDescent="0.35">
      <c r="A30" s="376" t="s">
        <v>536</v>
      </c>
      <c r="B30" s="95" t="s">
        <v>68</v>
      </c>
      <c r="C30" s="682">
        <f>+TableA3!H28</f>
        <v>45.573671217315002</v>
      </c>
      <c r="D30" s="121">
        <f>+VLOOKUP(A30,'[4]Data C 2,4'!$A$2:$S$189,14,0)%</f>
        <v>0.24199999999999999</v>
      </c>
      <c r="E30" s="1418">
        <f t="shared" si="4"/>
        <v>42.911126545191095</v>
      </c>
      <c r="F30" s="1419">
        <f>-TableA7!P28</f>
        <v>42.29434220769339</v>
      </c>
      <c r="G30" s="1420">
        <f>+(TableA7!$P$91-$F$93)*TableC4b!F30</f>
        <v>0.61678433749770678</v>
      </c>
      <c r="H30" s="1350">
        <f>+TableC4!C29/1000</f>
        <v>4.8346318555725984</v>
      </c>
      <c r="I30" s="1377">
        <f>+TableC4!N29/1000</f>
        <v>1.5654074072558828</v>
      </c>
      <c r="J30" s="1428">
        <f t="shared" si="5"/>
        <v>0.22786166544315656</v>
      </c>
      <c r="K30" s="1429">
        <f t="shared" si="1"/>
        <v>0.22458648910367102</v>
      </c>
      <c r="L30" s="1430">
        <f t="shared" si="6"/>
        <v>3.2751763394855784E-3</v>
      </c>
      <c r="M30" s="1431">
        <f t="shared" si="2"/>
        <v>2.5672298890945019E-2</v>
      </c>
      <c r="N30" s="1445">
        <f t="shared" si="3"/>
        <v>8.3124440589722251E-3</v>
      </c>
      <c r="O30" s="40"/>
    </row>
    <row r="31" spans="1:15" x14ac:dyDescent="0.35">
      <c r="B31" s="13" t="s">
        <v>69</v>
      </c>
      <c r="C31" s="682">
        <f>+TableA3!H29</f>
        <v>0.43100773130418485</v>
      </c>
      <c r="D31" s="121">
        <f>+VLOOKUP(B31,'[4]Data C 2,4'!$A$2:$S$189,14,0)%</f>
        <v>0.15</v>
      </c>
      <c r="E31" s="1418">
        <f t="shared" si="4"/>
        <v>0.15351431767138665</v>
      </c>
      <c r="F31" s="1419">
        <f>-TableA7!P29</f>
        <v>0.15402557979616138</v>
      </c>
      <c r="G31" s="1420">
        <f>+(TableA7!$P$91-$F$93)*TableC4b!F31</f>
        <v>-5.1126212477472241E-4</v>
      </c>
      <c r="H31" s="1350">
        <f>+TableC4!C30/1000</f>
        <v>0.20097896727392819</v>
      </c>
      <c r="I31" s="1377">
        <f>+TableC4!N30/1000</f>
        <v>-1.2975905328898004E-3</v>
      </c>
      <c r="J31" s="1428">
        <f t="shared" si="5"/>
        <v>5.342629836599503E-2</v>
      </c>
      <c r="K31" s="1429">
        <f t="shared" si="1"/>
        <v>5.3604228628369111E-2</v>
      </c>
      <c r="L31" s="1430">
        <f t="shared" si="6"/>
        <v>-1.7793026237407483E-4</v>
      </c>
      <c r="M31" s="1431">
        <f t="shared" si="2"/>
        <v>6.9945021635384574E-2</v>
      </c>
      <c r="N31" s="1445">
        <f t="shared" si="3"/>
        <v>-4.515895326158392E-4</v>
      </c>
      <c r="O31" s="40"/>
    </row>
    <row r="32" spans="1:15" x14ac:dyDescent="0.35">
      <c r="B32" s="13" t="s">
        <v>70</v>
      </c>
      <c r="C32" s="664"/>
      <c r="D32" s="393"/>
      <c r="E32" s="1418"/>
      <c r="F32" s="1419"/>
      <c r="G32" s="1420"/>
      <c r="H32" s="1350"/>
      <c r="I32" s="1377"/>
      <c r="J32" s="1428"/>
      <c r="K32" s="1429"/>
      <c r="L32" s="1430"/>
      <c r="M32" s="1432"/>
      <c r="N32" s="931"/>
      <c r="O32" s="40"/>
    </row>
    <row r="33" spans="1:15" x14ac:dyDescent="0.35">
      <c r="B33" s="13" t="s">
        <v>71</v>
      </c>
      <c r="C33" s="682">
        <f>+TableA3!H31</f>
        <v>37.382194532689283</v>
      </c>
      <c r="D33" s="121">
        <f>+VLOOKUP(B33,'[4]Data C 2,4'!$A$2:$S$189,14,0)%</f>
        <v>0.3</v>
      </c>
      <c r="E33" s="1418">
        <f t="shared" si="4"/>
        <v>68.436449698478199</v>
      </c>
      <c r="F33" s="1419">
        <f>-TableA7!P31</f>
        <v>67.003957759307255</v>
      </c>
      <c r="G33" s="1420">
        <f>+(TableA7!$P$91-$F$93)*TableC4b!F33</f>
        <v>1.432491939170939</v>
      </c>
      <c r="H33" s="1350">
        <f>+TableC4!C32/1000</f>
        <v>13.095889552074285</v>
      </c>
      <c r="I33" s="1377">
        <f>+TableC4!N32/1000</f>
        <v>3.6356848838121945</v>
      </c>
      <c r="J33" s="1428">
        <f t="shared" si="5"/>
        <v>0.54921695117684832</v>
      </c>
      <c r="K33" s="1429">
        <f t="shared" si="1"/>
        <v>0.53772090106198722</v>
      </c>
      <c r="L33" s="1430">
        <f t="shared" si="6"/>
        <v>1.1496050114861074E-2</v>
      </c>
      <c r="M33" s="1431">
        <f t="shared" si="2"/>
        <v>0.10509727731973388</v>
      </c>
      <c r="N33" s="1445">
        <f t="shared" si="3"/>
        <v>2.9177138441936E-2</v>
      </c>
      <c r="O33" s="40"/>
    </row>
    <row r="34" spans="1:15" x14ac:dyDescent="0.35">
      <c r="B34" s="13" t="s">
        <v>72</v>
      </c>
      <c r="C34" s="664"/>
      <c r="D34" s="393"/>
      <c r="E34" s="1418"/>
      <c r="F34" s="1419"/>
      <c r="G34" s="1420"/>
      <c r="H34" s="1350"/>
      <c r="I34" s="1377"/>
      <c r="J34" s="1428"/>
      <c r="K34" s="1429"/>
      <c r="L34" s="1430"/>
      <c r="M34" s="1432"/>
      <c r="N34" s="931"/>
      <c r="O34" s="40"/>
    </row>
    <row r="35" spans="1:15" x14ac:dyDescent="0.35">
      <c r="B35" s="13" t="s">
        <v>73</v>
      </c>
      <c r="C35" s="682">
        <f>+TableA3!H33</f>
        <v>7.9548109276661032</v>
      </c>
      <c r="D35" s="121">
        <f>+VLOOKUP(B35,'[4]Data C 2,4'!$A$2:$S$189,14,0)%</f>
        <v>0.28000000000000003</v>
      </c>
      <c r="E35" s="1418">
        <f t="shared" si="4"/>
        <v>1.1741687241402139</v>
      </c>
      <c r="F35" s="1419">
        <f>-TableA7!P33</f>
        <v>0.91247047097520007</v>
      </c>
      <c r="G35" s="1420">
        <f>+(TableA7!$P$91-$F$93)*TableC4b!F35</f>
        <v>0.26169825316501383</v>
      </c>
      <c r="H35" s="1350">
        <f>+TableC4!C34/1000</f>
        <v>1.5234433952929838</v>
      </c>
      <c r="I35" s="1377">
        <f>+TableC4!N34/1000</f>
        <v>0.66419388279612568</v>
      </c>
      <c r="J35" s="1428">
        <f t="shared" si="5"/>
        <v>4.1329359773446983E-2</v>
      </c>
      <c r="K35" s="1429">
        <f t="shared" si="1"/>
        <v>3.2117888683498332E-2</v>
      </c>
      <c r="L35" s="1430">
        <f t="shared" si="6"/>
        <v>9.2114710899486463E-3</v>
      </c>
      <c r="M35" s="1431">
        <f t="shared" si="2"/>
        <v>5.3623417899033216E-2</v>
      </c>
      <c r="N35" s="1445">
        <f t="shared" si="3"/>
        <v>2.337884443439299E-2</v>
      </c>
      <c r="O35" s="40"/>
    </row>
    <row r="36" spans="1:15" x14ac:dyDescent="0.35">
      <c r="B36" s="13" t="s">
        <v>74</v>
      </c>
      <c r="C36" s="682">
        <f>+TableA3!H34</f>
        <v>16.980179105913855</v>
      </c>
      <c r="D36" s="121">
        <f>+VLOOKUP(B36,'[4]Data C 2,4'!$A$2:$S$189,14,0)%</f>
        <v>0.27</v>
      </c>
      <c r="E36" s="1418">
        <f t="shared" si="4"/>
        <v>21.565800401125291</v>
      </c>
      <c r="F36" s="1419">
        <f>-TableA7!P34</f>
        <v>19.425534559297006</v>
      </c>
      <c r="G36" s="1420">
        <f>+(TableA7!$P$91-$F$93)*TableC4b!F36</f>
        <v>2.1402658418282843</v>
      </c>
      <c r="H36" s="1350">
        <f>+TableC4!C35/1000</f>
        <v>5.2156647064681243</v>
      </c>
      <c r="I36" s="1377">
        <f>+TableC4!N35/1000</f>
        <v>5.4320250995465669</v>
      </c>
      <c r="J36" s="1428">
        <f t="shared" si="5"/>
        <v>0.34291547056037097</v>
      </c>
      <c r="K36" s="1429">
        <f t="shared" si="1"/>
        <v>0.30888333381498317</v>
      </c>
      <c r="L36" s="1430">
        <f t="shared" si="6"/>
        <v>3.4032136745387784E-2</v>
      </c>
      <c r="M36" s="1431">
        <f t="shared" si="2"/>
        <v>8.2933723016851785E-2</v>
      </c>
      <c r="N36" s="1445">
        <f t="shared" si="3"/>
        <v>8.6374046335398746E-2</v>
      </c>
      <c r="O36" s="40"/>
    </row>
    <row r="37" spans="1:15" x14ac:dyDescent="0.35">
      <c r="B37" s="13" t="s">
        <v>75</v>
      </c>
      <c r="C37" s="682">
        <f>+TableA3!H35</f>
        <v>8.7820665870805144</v>
      </c>
      <c r="D37" s="121">
        <f>+VLOOKUP(B37,'[4]Data C 2,4'!$A$2:$S$189,14,0)%</f>
        <v>0.19</v>
      </c>
      <c r="E37" s="1418">
        <f t="shared" si="4"/>
        <v>17.040162313449354</v>
      </c>
      <c r="F37" s="1419">
        <f>-TableA7!P35</f>
        <v>18.035813230968905</v>
      </c>
      <c r="G37" s="1420">
        <f>+(TableA7!$P$91-$F$93)*TableC4b!F37</f>
        <v>-0.99565091751955037</v>
      </c>
      <c r="H37" s="1350">
        <f>+TableC4!C36/1000</f>
        <v>3.6958663942036614</v>
      </c>
      <c r="I37" s="1377">
        <f>+TableC4!N36/1000</f>
        <v>-2.526976167471203</v>
      </c>
      <c r="J37" s="1428">
        <f t="shared" si="5"/>
        <v>0.36866389106162384</v>
      </c>
      <c r="K37" s="1429">
        <f t="shared" si="1"/>
        <v>0.39020479745910114</v>
      </c>
      <c r="L37" s="1430">
        <f t="shared" si="6"/>
        <v>-2.1540906397477331E-2</v>
      </c>
      <c r="M37" s="1431">
        <f t="shared" si="2"/>
        <v>7.996006497283209E-2</v>
      </c>
      <c r="N37" s="1445">
        <f t="shared" si="3"/>
        <v>-5.4671126329860834E-2</v>
      </c>
      <c r="O37" s="40"/>
    </row>
    <row r="38" spans="1:15" x14ac:dyDescent="0.35">
      <c r="B38" s="13" t="s">
        <v>76</v>
      </c>
      <c r="C38" s="682">
        <f>+TableA3!H36</f>
        <v>6.2258326041219583</v>
      </c>
      <c r="D38" s="121">
        <f>+VLOOKUP(B38,'[4]Data C 2,4'!$A$2:$S$189,14,0)%</f>
        <v>0.21</v>
      </c>
      <c r="E38" s="1418">
        <f t="shared" si="4"/>
        <v>1.6577242674012591</v>
      </c>
      <c r="F38" s="1419">
        <f>-TableA7!P36</f>
        <v>1.5481882490761061</v>
      </c>
      <c r="G38" s="1420">
        <f>+(TableA7!$P$91-$F$93)*TableC4b!F38</f>
        <v>0.10953601832515304</v>
      </c>
      <c r="H38" s="1350">
        <f>+TableC4!C37/1000</f>
        <v>2.6381822918681346</v>
      </c>
      <c r="I38" s="1377">
        <f>+TableC4!N37/1000</f>
        <v>0.27800396998269788</v>
      </c>
      <c r="J38" s="1428">
        <f t="shared" si="5"/>
        <v>5.5915749473216168E-2</v>
      </c>
      <c r="K38" s="1429">
        <f t="shared" si="1"/>
        <v>5.2221052665426516E-2</v>
      </c>
      <c r="L38" s="1430">
        <f t="shared" si="6"/>
        <v>3.6946968077896528E-3</v>
      </c>
      <c r="M38" s="1431">
        <f t="shared" si="2"/>
        <v>8.8987018527531159E-2</v>
      </c>
      <c r="N38" s="1445">
        <f t="shared" si="3"/>
        <v>9.3771929649560694E-3</v>
      </c>
      <c r="O38" s="40"/>
    </row>
    <row r="39" spans="1:15" x14ac:dyDescent="0.35">
      <c r="A39" s="376" t="s">
        <v>77</v>
      </c>
      <c r="B39" s="13" t="s">
        <v>96</v>
      </c>
      <c r="C39" s="682">
        <f>+TableA3!H37</f>
        <v>2.9169999999999998</v>
      </c>
      <c r="D39" s="121">
        <f>+VLOOKUP(B39,'[4]Data C 2,4'!$A$2:$S$189,14,0)%</f>
        <v>0.22</v>
      </c>
      <c r="E39" s="1418">
        <f t="shared" si="4"/>
        <v>-0.41942787668872145</v>
      </c>
      <c r="F39" s="1419">
        <f>-TableA7!P37</f>
        <v>-0.45485932595201106</v>
      </c>
      <c r="G39" s="1420">
        <f>+(TableA7!$P$91-$F$93)*TableC4b!F39</f>
        <v>3.5431449263289623E-2</v>
      </c>
      <c r="H39" s="1350">
        <f>+TableC4!C38/1000</f>
        <v>0.63681356041207426</v>
      </c>
      <c r="I39" s="1377">
        <f>+TableC4!N38/1000</f>
        <v>8.9925521376863424E-2</v>
      </c>
      <c r="J39" s="1428">
        <f t="shared" si="5"/>
        <v>-3.1633230329625887E-2</v>
      </c>
      <c r="K39" s="1429">
        <f t="shared" si="1"/>
        <v>-3.430546853254797E-2</v>
      </c>
      <c r="L39" s="1430">
        <f t="shared" si="6"/>
        <v>2.6722382029220836E-3</v>
      </c>
      <c r="M39" s="1431">
        <f t="shared" si="2"/>
        <v>4.8028448162720727E-2</v>
      </c>
      <c r="N39" s="1445">
        <f t="shared" si="3"/>
        <v>6.7821785063112636E-3</v>
      </c>
      <c r="O39" s="40"/>
    </row>
    <row r="40" spans="1:15" x14ac:dyDescent="0.35">
      <c r="B40" s="13" t="s">
        <v>78</v>
      </c>
      <c r="C40" s="682">
        <f>+TableA3!H38</f>
        <v>0.62991330425360359</v>
      </c>
      <c r="D40" s="121">
        <f>+VLOOKUP(B40,'[4]Data C 2,4'!$A$2:$S$189,14,0)%</f>
        <v>0.17</v>
      </c>
      <c r="E40" s="1418">
        <f t="shared" si="4"/>
        <v>-0.46657087937982028</v>
      </c>
      <c r="F40" s="1419">
        <f>-TableA7!P38</f>
        <v>-0.46379054198845515</v>
      </c>
      <c r="G40" s="1420">
        <f>+(TableA7!$P$91-$F$93)*TableC4b!F40</f>
        <v>-2.7803373913651533E-3</v>
      </c>
      <c r="H40" s="1350">
        <f>+TableC4!C39/1000</f>
        <v>0.22529901009808276</v>
      </c>
      <c r="I40" s="1377">
        <f>+TableC4!N39/1000</f>
        <v>-7.0565357816494353E-3</v>
      </c>
      <c r="J40" s="1428">
        <f t="shared" si="5"/>
        <v>-0.12591740634618562</v>
      </c>
      <c r="K40" s="1429">
        <f t="shared" si="1"/>
        <v>-0.12516705331610931</v>
      </c>
      <c r="L40" s="1430">
        <f t="shared" si="6"/>
        <v>-7.5035303007631648E-4</v>
      </c>
      <c r="M40" s="1431">
        <f t="shared" si="2"/>
        <v>6.0803338265822897E-2</v>
      </c>
      <c r="N40" s="1445">
        <f t="shared" si="3"/>
        <v>-1.9044066457714311E-3</v>
      </c>
      <c r="O40" s="40"/>
    </row>
    <row r="41" spans="1:15" x14ac:dyDescent="0.35">
      <c r="B41" s="13" t="s">
        <v>79</v>
      </c>
      <c r="C41" s="682">
        <f>+TableA3!H39</f>
        <v>28.380403234482216</v>
      </c>
      <c r="D41" s="121">
        <f>+VLOOKUP(B41,'[4]Data C 2,4'!$A$2:$S$189,14,0)%</f>
        <v>0.28000000000000003</v>
      </c>
      <c r="E41" s="1418">
        <f t="shared" si="4"/>
        <v>18.231871313342658</v>
      </c>
      <c r="F41" s="1419">
        <f>-TableA7!P39</f>
        <v>17.010492793220834</v>
      </c>
      <c r="G41" s="1420">
        <f>+(TableA7!$P$91-$F$93)*TableC4b!F41</f>
        <v>1.2213785201218259</v>
      </c>
      <c r="H41" s="1350">
        <f>+TableC4!C40/1000</f>
        <v>14.362071520602967</v>
      </c>
      <c r="I41" s="1377">
        <f>+TableC4!N40/1000</f>
        <v>3.0998760283355007</v>
      </c>
      <c r="J41" s="1428">
        <f t="shared" si="5"/>
        <v>0.179874962506997</v>
      </c>
      <c r="K41" s="1429">
        <f t="shared" si="1"/>
        <v>0.16782488757294539</v>
      </c>
      <c r="L41" s="1430">
        <f t="shared" si="6"/>
        <v>1.2050074934051608E-2</v>
      </c>
      <c r="M41" s="1431">
        <f t="shared" si="2"/>
        <v>0.14169566205750209</v>
      </c>
      <c r="N41" s="1445">
        <f t="shared" si="3"/>
        <v>3.0583261300507585E-2</v>
      </c>
      <c r="O41" s="40"/>
    </row>
    <row r="42" spans="1:15" s="118" customFormat="1" x14ac:dyDescent="0.35">
      <c r="B42" s="15" t="s">
        <v>80</v>
      </c>
      <c r="C42" s="682">
        <f>+TableA3!H40</f>
        <v>14.727097286125488</v>
      </c>
      <c r="D42" s="121">
        <f>+VLOOKUP(B42,'[4]Data C 2,4'!$A$2:$S$189,14,0)%</f>
        <v>0.22</v>
      </c>
      <c r="E42" s="1418">
        <f t="shared" si="4"/>
        <v>-5.8721516423511861</v>
      </c>
      <c r="F42" s="1419">
        <f>-TableA7!P40</f>
        <v>-9.6083563947268509</v>
      </c>
      <c r="G42" s="1420">
        <f>+(TableA7!$P$91-$F$93)*TableC4b!F42</f>
        <v>3.7362047523756647</v>
      </c>
      <c r="H42" s="1350">
        <f>+TableC4!C41/1000</f>
        <v>8.5410900580049951</v>
      </c>
      <c r="I42" s="1377">
        <f>+TableC4!N41/1000</f>
        <v>9.482540717751677</v>
      </c>
      <c r="J42" s="1428">
        <f t="shared" si="5"/>
        <v>-8.7720841128301974E-2</v>
      </c>
      <c r="K42" s="1429">
        <f t="shared" si="1"/>
        <v>-0.14353394737409461</v>
      </c>
      <c r="L42" s="1430">
        <f t="shared" si="6"/>
        <v>5.5813106245792637E-2</v>
      </c>
      <c r="M42" s="1431">
        <f t="shared" si="2"/>
        <v>0.12759064303400486</v>
      </c>
      <c r="N42" s="1445">
        <f t="shared" si="3"/>
        <v>0.14165445622952158</v>
      </c>
      <c r="O42" s="40"/>
    </row>
    <row r="43" spans="1:15" x14ac:dyDescent="0.35">
      <c r="B43" s="13" t="s">
        <v>1</v>
      </c>
      <c r="C43" s="664"/>
      <c r="D43" s="121"/>
      <c r="E43" s="1418"/>
      <c r="F43" s="1419"/>
      <c r="G43" s="1420"/>
      <c r="H43" s="1350"/>
      <c r="I43" s="1377"/>
      <c r="J43" s="1428"/>
      <c r="K43" s="1429"/>
      <c r="L43" s="1430"/>
      <c r="M43" s="1432"/>
      <c r="N43" s="1445"/>
      <c r="O43" s="40"/>
    </row>
    <row r="44" spans="1:15" x14ac:dyDescent="0.35">
      <c r="B44" s="13" t="s">
        <v>81</v>
      </c>
      <c r="C44" s="682">
        <f>+TableA3!H42</f>
        <v>12.275014163556076</v>
      </c>
      <c r="D44" s="121">
        <f>+VLOOKUP(B44,'[4]Data C 2,4'!$A$2:$S$189,14,0)%</f>
        <v>0.2</v>
      </c>
      <c r="E44" s="1418">
        <f t="shared" si="4"/>
        <v>6.7292548403079575</v>
      </c>
      <c r="F44" s="1419">
        <f>-TableA7!P42</f>
        <v>6.5448277782474689</v>
      </c>
      <c r="G44" s="1420">
        <f>+(TableA7!$P$91-$F$93)*TableC4b!F44</f>
        <v>0.18442706206048839</v>
      </c>
      <c r="H44" s="1350">
        <f>+TableC4!C43/1000</f>
        <v>4.9754928205897597</v>
      </c>
      <c r="I44" s="1377">
        <f>+TableC4!N43/1000</f>
        <v>0.46807850247818972</v>
      </c>
      <c r="J44" s="1428">
        <f t="shared" si="5"/>
        <v>0.10964150021572749</v>
      </c>
      <c r="K44" s="1429">
        <f t="shared" si="1"/>
        <v>0.10663658210153024</v>
      </c>
      <c r="L44" s="1430">
        <f t="shared" si="6"/>
        <v>3.004918114197268E-3</v>
      </c>
      <c r="M44" s="1431">
        <f t="shared" si="2"/>
        <v>8.1066999260363509E-2</v>
      </c>
      <c r="N44" s="1445">
        <f t="shared" si="3"/>
        <v>7.6265248453707239E-3</v>
      </c>
      <c r="O44" s="40"/>
    </row>
    <row r="45" spans="1:15" x14ac:dyDescent="0.35">
      <c r="B45" s="13" t="s">
        <v>82</v>
      </c>
      <c r="C45" s="682">
        <f>+TableA3!H43</f>
        <v>70.19379874569357</v>
      </c>
      <c r="D45" s="121">
        <f>+VLOOKUP(B45,'[4]Data C 2,4'!$A$2:$S$189,14,0)%</f>
        <v>0.2</v>
      </c>
      <c r="E45" s="1418">
        <f t="shared" si="4"/>
        <v>84.573244801411221</v>
      </c>
      <c r="F45" s="1419">
        <f>-TableA7!P43</f>
        <v>63.111386627620902</v>
      </c>
      <c r="G45" s="1420">
        <f>+(TableA7!$P$91-$F$93)*TableC4b!F45</f>
        <v>21.461858173790318</v>
      </c>
      <c r="H45" s="1350">
        <f>+TableC4!C44/1000</f>
        <v>61.500900683046368</v>
      </c>
      <c r="I45" s="1377">
        <f>+TableC4!N44/1000</f>
        <v>54.470500815613676</v>
      </c>
      <c r="J45" s="1428">
        <f t="shared" si="5"/>
        <v>0.24097070200692008</v>
      </c>
      <c r="K45" s="1429">
        <f t="shared" si="1"/>
        <v>0.17982040509381272</v>
      </c>
      <c r="L45" s="1430">
        <f t="shared" si="6"/>
        <v>6.1150296913107346E-2</v>
      </c>
      <c r="M45" s="1431">
        <f t="shared" si="2"/>
        <v>0.17523172069902965</v>
      </c>
      <c r="N45" s="1445">
        <f t="shared" si="3"/>
        <v>0.15520032193429475</v>
      </c>
      <c r="O45" s="40"/>
    </row>
    <row r="46" spans="1:15" x14ac:dyDescent="0.35">
      <c r="B46" s="13" t="s">
        <v>0</v>
      </c>
      <c r="C46" s="682">
        <f>+TableA3!H44</f>
        <v>404.99173999999999</v>
      </c>
      <c r="D46" s="121">
        <f>+VLOOKUP(B46,'[4]Data C 2,4'!$A$2:$S$189,14,0)%</f>
        <v>0.4</v>
      </c>
      <c r="E46" s="1418">
        <f t="shared" si="4"/>
        <v>137.84853378600081</v>
      </c>
      <c r="F46" s="1419">
        <f>-TableA7!P44</f>
        <v>17.51248829921272</v>
      </c>
      <c r="G46" s="1420">
        <f>+(TableA7!$P$91-$F$93)*TableC4b!F46</f>
        <v>120.33604548678811</v>
      </c>
      <c r="H46" s="1350">
        <f>+TableC4!C45/1000</f>
        <v>142.56530860350179</v>
      </c>
      <c r="I46" s="1377">
        <f>+TableC4!N45/1000</f>
        <v>305.41459228542641</v>
      </c>
      <c r="J46" s="1428">
        <f t="shared" si="5"/>
        <v>0.13614947681254025</v>
      </c>
      <c r="K46" s="1429">
        <f t="shared" si="1"/>
        <v>1.7296637505952808E-2</v>
      </c>
      <c r="L46" s="1430">
        <f t="shared" si="6"/>
        <v>0.11885283930658745</v>
      </c>
      <c r="M46" s="1431">
        <f t="shared" si="2"/>
        <v>0.14080811485538131</v>
      </c>
      <c r="N46" s="1445">
        <f t="shared" si="3"/>
        <v>0.30165019393770987</v>
      </c>
      <c r="O46" s="40"/>
    </row>
    <row r="47" spans="1:15" ht="31" x14ac:dyDescent="0.35">
      <c r="B47" s="38" t="s">
        <v>99</v>
      </c>
      <c r="C47" s="1359">
        <f>SUM(C48:C54)</f>
        <v>592.19769080783021</v>
      </c>
      <c r="D47" s="966"/>
      <c r="E47" s="953">
        <f t="shared" si="4"/>
        <v>53.183233615613091</v>
      </c>
      <c r="F47" s="1421">
        <f>SUM(F48:F54)</f>
        <v>28.257238755602206</v>
      </c>
      <c r="G47" s="966">
        <f>SUM(G48:G54)</f>
        <v>24.925994860010888</v>
      </c>
      <c r="H47" s="668">
        <f>+TableC4!C46/1000</f>
        <v>102.59915789568896</v>
      </c>
      <c r="I47" s="1634">
        <f>+TableC4!N46/1000</f>
        <v>63.262528917943158</v>
      </c>
      <c r="J47" s="1433">
        <f>+SUMPRODUCT(J48:J54,$C$48:$C$54)/$C$47</f>
        <v>2.904063812675356E-2</v>
      </c>
      <c r="K47" s="1434">
        <f t="shared" ref="K47:N47" si="7">+SUMPRODUCT(K48:K54,$C$48:$C$54)/$C$47</f>
        <v>1.7746149104237264E-2</v>
      </c>
      <c r="L47" s="1435">
        <f t="shared" si="7"/>
        <v>1.1294489022516306E-2</v>
      </c>
      <c r="M47" s="1433">
        <f t="shared" si="7"/>
        <v>4.630666039475545E-2</v>
      </c>
      <c r="N47" s="1447">
        <f t="shared" si="7"/>
        <v>2.866557352728338E-2</v>
      </c>
      <c r="O47" s="589"/>
    </row>
    <row r="48" spans="1:15" x14ac:dyDescent="0.35">
      <c r="B48" s="95" t="s">
        <v>92</v>
      </c>
      <c r="C48" s="682">
        <f>+TableA3!G46</f>
        <v>53.528694639071517</v>
      </c>
      <c r="D48" s="121">
        <f>+VLOOKUP(B48,'[4]Data C 2,4'!$A$2:$S$189,14,0)%</f>
        <v>0.34</v>
      </c>
      <c r="E48" s="1418">
        <f t="shared" si="4"/>
        <v>16.939123771064754</v>
      </c>
      <c r="F48" s="1419">
        <f>-TableA7!P46</f>
        <v>14.269424226903311</v>
      </c>
      <c r="G48" s="1420">
        <f>+(TableA7!$P$91-$F$93)*TableC4b!F48</f>
        <v>2.6696995441614426</v>
      </c>
      <c r="H48" s="1350">
        <f>+TableC4!C47/1000</f>
        <v>14.212064614009524</v>
      </c>
      <c r="I48" s="1377">
        <f>+TableC4!N47/1000</f>
        <v>6.7757353543263648</v>
      </c>
      <c r="J48" s="1428">
        <f t="shared" si="5"/>
        <v>0.10759279898370999</v>
      </c>
      <c r="K48" s="1429">
        <f t="shared" si="1"/>
        <v>9.0635579101266864E-2</v>
      </c>
      <c r="L48" s="1430">
        <f t="shared" si="6"/>
        <v>1.6957219882443132E-2</v>
      </c>
      <c r="M48" s="1431">
        <f t="shared" si="2"/>
        <v>9.0271246129663765E-2</v>
      </c>
      <c r="N48" s="1445">
        <f t="shared" si="3"/>
        <v>4.3037664863761073E-2</v>
      </c>
      <c r="O48" s="40"/>
    </row>
    <row r="49" spans="1:15" x14ac:dyDescent="0.35">
      <c r="A49" s="741" t="s">
        <v>488</v>
      </c>
      <c r="B49" s="31" t="s">
        <v>101</v>
      </c>
      <c r="C49" s="682">
        <f>+TableA3!G47</f>
        <v>421.94464956064348</v>
      </c>
      <c r="D49" s="121">
        <f>+VLOOKUP(B49,'[4]Data C 2,4'!$A$2:$S$189,14,0)%</f>
        <v>0.25</v>
      </c>
      <c r="E49" s="1418">
        <f t="shared" si="4"/>
        <v>-16.468842867207094</v>
      </c>
      <c r="F49" s="1419">
        <f>-TableA7!P47</f>
        <v>-34.40311206885427</v>
      </c>
      <c r="G49" s="1420">
        <f>+(TableA7!$P$91-$F$93)*TableC4b!F49</f>
        <v>17.934269201647176</v>
      </c>
      <c r="H49" s="1350">
        <f>+TableC4!C48/1000</f>
        <v>60.525807931300939</v>
      </c>
      <c r="I49" s="1377">
        <f>+TableC4!N48/1000</f>
        <v>45.517429910554291</v>
      </c>
      <c r="J49" s="1428">
        <f t="shared" si="5"/>
        <v>-9.7577033411583337E-3</v>
      </c>
      <c r="K49" s="1429">
        <f t="shared" si="1"/>
        <v>-2.0383664127911712E-2</v>
      </c>
      <c r="L49" s="1430">
        <f t="shared" si="6"/>
        <v>1.062596078675338E-2</v>
      </c>
      <c r="M49" s="1431">
        <f t="shared" si="2"/>
        <v>3.5861224922702772E-2</v>
      </c>
      <c r="N49" s="1445">
        <f t="shared" si="3"/>
        <v>2.6968839371437719E-2</v>
      </c>
      <c r="O49" s="40"/>
    </row>
    <row r="50" spans="1:15" x14ac:dyDescent="0.35">
      <c r="B50" s="31" t="s">
        <v>93</v>
      </c>
      <c r="C50" s="682">
        <f>+TableA3!G48</f>
        <v>17.029186059832139</v>
      </c>
      <c r="D50" s="121">
        <f>+VLOOKUP(B50,'[4]Data C 2,4'!$A$2:$S$189,14,0)%</f>
        <v>0.25</v>
      </c>
      <c r="E50" s="1418">
        <f t="shared" si="4"/>
        <v>7.4480056033718274</v>
      </c>
      <c r="F50" s="1419">
        <f>-TableA7!P48</f>
        <v>7.0544040401930346</v>
      </c>
      <c r="G50" s="1420">
        <f>+(TableA7!$P$91-$F$93)*TableC4b!F50</f>
        <v>0.39360156317879325</v>
      </c>
      <c r="H50" s="1350">
        <f>+TableC4!C49/1000</f>
        <v>1.4036174395306298</v>
      </c>
      <c r="I50" s="1377">
        <f>+TableC4!N49/1000</f>
        <v>0.99896635671275957</v>
      </c>
      <c r="J50" s="1428">
        <f t="shared" si="5"/>
        <v>0.10934177325333136</v>
      </c>
      <c r="K50" s="1429">
        <f t="shared" si="1"/>
        <v>0.10356343537805253</v>
      </c>
      <c r="L50" s="1430">
        <f t="shared" si="6"/>
        <v>5.77833787527883E-3</v>
      </c>
      <c r="M50" s="1431">
        <f t="shared" si="2"/>
        <v>2.060605590013246E-2</v>
      </c>
      <c r="N50" s="1445">
        <f t="shared" si="3"/>
        <v>1.4665503583126138E-2</v>
      </c>
      <c r="O50" s="40"/>
    </row>
    <row r="51" spans="1:15" x14ac:dyDescent="0.35">
      <c r="B51" s="31" t="s">
        <v>94</v>
      </c>
      <c r="C51" s="682">
        <f>+TableA3!G49</f>
        <v>1.5394204107008198</v>
      </c>
      <c r="D51" s="121">
        <f>+VLOOKUP(B51,'[4]Data C 2,4'!$A$2:$S$189,14,0)%</f>
        <v>0.3</v>
      </c>
      <c r="E51" s="1418">
        <f t="shared" si="4"/>
        <v>0.61653902899169066</v>
      </c>
      <c r="F51" s="1419">
        <f>-TableA7!P49</f>
        <v>0.56956993229743369</v>
      </c>
      <c r="G51" s="1420">
        <f>+(TableA7!$P$91-$F$93)*TableC4b!F51</f>
        <v>4.6969096694256939E-2</v>
      </c>
      <c r="H51" s="1350">
        <f>+TableC4!C50/1000</f>
        <v>1.0575199886874607</v>
      </c>
      <c r="I51" s="1377">
        <f>+TableC4!N50/1000</f>
        <v>0.11920823439778248</v>
      </c>
      <c r="J51" s="1428">
        <f t="shared" si="5"/>
        <v>0.12015022498844453</v>
      </c>
      <c r="K51" s="1429">
        <f t="shared" si="1"/>
        <v>0.11099695606312068</v>
      </c>
      <c r="L51" s="1430">
        <f t="shared" si="6"/>
        <v>9.153268925323841E-3</v>
      </c>
      <c r="M51" s="1431">
        <f t="shared" si="2"/>
        <v>0.20608794998489574</v>
      </c>
      <c r="N51" s="1445">
        <f t="shared" si="3"/>
        <v>2.3231126514071557E-2</v>
      </c>
      <c r="O51" s="40"/>
    </row>
    <row r="52" spans="1:15" x14ac:dyDescent="0.35">
      <c r="B52" s="31" t="s">
        <v>102</v>
      </c>
      <c r="C52" s="682">
        <f>+TableA3!G50</f>
        <v>37.377974500000001</v>
      </c>
      <c r="D52" s="121">
        <f>+VLOOKUP(B52,'[4]Data C 2,4'!$A$2:$S$189,14,0)%</f>
        <v>0.34610000000000002</v>
      </c>
      <c r="E52" s="1418">
        <f t="shared" si="4"/>
        <v>20.166245567360132</v>
      </c>
      <c r="F52" s="1419">
        <f>-TableA7!P50</f>
        <v>18.323538919036906</v>
      </c>
      <c r="G52" s="1420">
        <f>+(TableA7!$P$91-$F$93)*TableC4b!F52</f>
        <v>1.8427066483232246</v>
      </c>
      <c r="H52" s="1350">
        <f>+TableC4!C51/1000</f>
        <v>9.476399038744594</v>
      </c>
      <c r="I52" s="1377">
        <f>+TableC4!N51/1000</f>
        <v>4.6768156409217543</v>
      </c>
      <c r="J52" s="1428">
        <f t="shared" si="5"/>
        <v>0.18672861984170228</v>
      </c>
      <c r="K52" s="1429">
        <f t="shared" si="1"/>
        <v>0.16966614442627634</v>
      </c>
      <c r="L52" s="1430">
        <f t="shared" si="6"/>
        <v>1.7062475415425951E-2</v>
      </c>
      <c r="M52" s="1431">
        <f t="shared" si="2"/>
        <v>8.7746373397239702E-2</v>
      </c>
      <c r="N52" s="1445">
        <f t="shared" si="3"/>
        <v>4.3304804901159615E-2</v>
      </c>
      <c r="O52" s="40"/>
    </row>
    <row r="53" spans="1:15" x14ac:dyDescent="0.35">
      <c r="A53" s="741" t="s">
        <v>318</v>
      </c>
      <c r="B53" s="31" t="s">
        <v>103</v>
      </c>
      <c r="C53" s="682">
        <f>+TableA3!G51</f>
        <v>41.990935943542297</v>
      </c>
      <c r="D53" s="121">
        <f>+VLOOKUP(B53,'[4]Data C 2,4'!$A$2:$S$189,14,0)%</f>
        <v>0.2</v>
      </c>
      <c r="E53" s="1418">
        <f t="shared" si="4"/>
        <v>4.0724841360456674</v>
      </c>
      <c r="F53" s="1419">
        <f>-TableA7!P51</f>
        <v>3.7750293372023975</v>
      </c>
      <c r="G53" s="1420">
        <f>+(TableA7!$P$91-$F$93)*TableC4b!F53</f>
        <v>0.2974547988432702</v>
      </c>
      <c r="H53" s="1350">
        <f>+TableC4!C52/1000</f>
        <v>11.84310434933391</v>
      </c>
      <c r="I53" s="1377">
        <f>+TableC4!N52/1000</f>
        <v>0.75494450349072806</v>
      </c>
      <c r="J53" s="1428">
        <f t="shared" si="5"/>
        <v>1.9396967676649116E-2</v>
      </c>
      <c r="K53" s="1429">
        <f t="shared" si="1"/>
        <v>1.7980210501990262E-2</v>
      </c>
      <c r="L53" s="1430">
        <f t="shared" si="6"/>
        <v>1.4167571746588573E-3</v>
      </c>
      <c r="M53" s="1431">
        <f t="shared" si="2"/>
        <v>5.640790843651218E-2</v>
      </c>
      <c r="N53" s="1445">
        <f t="shared" si="3"/>
        <v>3.5957498280379703E-3</v>
      </c>
      <c r="O53" s="40"/>
    </row>
    <row r="54" spans="1:15" x14ac:dyDescent="0.35">
      <c r="B54" s="13" t="s">
        <v>97</v>
      </c>
      <c r="C54" s="682">
        <f>+TableA3!G52</f>
        <v>18.786829694039877</v>
      </c>
      <c r="D54" s="121">
        <f>+VLOOKUP(B54,'[4]Data C 2,4'!$A$2:$S$189,14,0)%</f>
        <v>0.28000000000000003</v>
      </c>
      <c r="E54" s="1418">
        <f t="shared" si="4"/>
        <v>20.409678375986111</v>
      </c>
      <c r="F54" s="1419">
        <f>-TableA7!P52</f>
        <v>18.668384368823393</v>
      </c>
      <c r="G54" s="1420">
        <f>+(TableA7!$P$91-$F$93)*TableC4b!F54</f>
        <v>1.7412940071627201</v>
      </c>
      <c r="H54" s="1350">
        <f>+TableC4!C53/1000</f>
        <v>4.0806445340819</v>
      </c>
      <c r="I54" s="1377">
        <f>+TableC4!N53/1000</f>
        <v>4.4194289175394879</v>
      </c>
      <c r="J54" s="1428">
        <f t="shared" si="5"/>
        <v>0.30418703093311711</v>
      </c>
      <c r="K54" s="1429">
        <f t="shared" si="1"/>
        <v>0.27823468399933721</v>
      </c>
      <c r="L54" s="1430">
        <f t="shared" si="6"/>
        <v>2.5952346933779936E-2</v>
      </c>
      <c r="M54" s="1431">
        <f t="shared" si="2"/>
        <v>6.081816294451297E-2</v>
      </c>
      <c r="N54" s="1445">
        <f t="shared" si="3"/>
        <v>6.5867425055949405E-2</v>
      </c>
      <c r="O54" s="40"/>
    </row>
    <row r="55" spans="1:15" ht="40" hidden="1" customHeight="1" x14ac:dyDescent="0.35">
      <c r="B55" s="38" t="s">
        <v>100</v>
      </c>
      <c r="C55" s="306"/>
      <c r="D55" s="1310"/>
      <c r="E55" s="1418"/>
      <c r="F55" s="1419"/>
      <c r="G55" s="1420"/>
      <c r="H55" s="1309"/>
      <c r="I55" s="1310"/>
      <c r="J55" s="1428"/>
      <c r="K55" s="1429"/>
      <c r="L55" s="1430"/>
      <c r="M55" s="1436"/>
      <c r="N55" s="1448"/>
      <c r="O55" s="589"/>
    </row>
    <row r="56" spans="1:15" ht="14.25" hidden="1" customHeight="1" x14ac:dyDescent="0.35">
      <c r="B56" s="264" t="s">
        <v>272</v>
      </c>
      <c r="C56" s="686"/>
      <c r="D56" s="1353"/>
      <c r="E56" s="1418"/>
      <c r="F56" s="1419"/>
      <c r="G56" s="1420"/>
      <c r="H56" s="1352"/>
      <c r="I56" s="1353"/>
      <c r="J56" s="1428"/>
      <c r="K56" s="1429"/>
      <c r="L56" s="1430"/>
      <c r="M56" s="1437"/>
      <c r="N56" s="1449"/>
      <c r="O56" s="9"/>
    </row>
    <row r="57" spans="1:15" ht="14.25" hidden="1" customHeight="1" x14ac:dyDescent="0.35">
      <c r="B57" s="264" t="s">
        <v>273</v>
      </c>
      <c r="C57" s="686"/>
      <c r="D57" s="1353"/>
      <c r="E57" s="1418"/>
      <c r="F57" s="1419"/>
      <c r="G57" s="1420"/>
      <c r="H57" s="1352"/>
      <c r="I57" s="1353"/>
      <c r="J57" s="1428"/>
      <c r="K57" s="1429"/>
      <c r="L57" s="1430"/>
      <c r="M57" s="1437"/>
      <c r="N57" s="1449"/>
      <c r="O57" s="9"/>
    </row>
    <row r="58" spans="1:15" ht="14.25" hidden="1" customHeight="1" x14ac:dyDescent="0.35">
      <c r="B58" s="289" t="str">
        <f>+TableA1!A56</f>
        <v>Antigua and Barbuda</v>
      </c>
      <c r="C58" s="1623"/>
      <c r="D58" s="1355"/>
      <c r="E58" s="1418"/>
      <c r="F58" s="1419"/>
      <c r="G58" s="1420"/>
      <c r="H58" s="1354"/>
      <c r="I58" s="1355"/>
      <c r="J58" s="1428"/>
      <c r="K58" s="1429"/>
      <c r="L58" s="1430"/>
      <c r="M58" s="1438"/>
      <c r="N58" s="1450"/>
      <c r="O58" s="9"/>
    </row>
    <row r="59" spans="1:15" ht="14.25" hidden="1" customHeight="1" x14ac:dyDescent="0.35">
      <c r="B59" s="264" t="s">
        <v>274</v>
      </c>
      <c r="C59" s="686"/>
      <c r="D59" s="1353"/>
      <c r="E59" s="1418"/>
      <c r="F59" s="1419"/>
      <c r="G59" s="1420"/>
      <c r="H59" s="1352"/>
      <c r="I59" s="1353"/>
      <c r="J59" s="1428"/>
      <c r="K59" s="1429"/>
      <c r="L59" s="1430"/>
      <c r="M59" s="1437"/>
      <c r="N59" s="1449"/>
      <c r="O59" s="9"/>
    </row>
    <row r="60" spans="1:15" ht="14.25" hidden="1" customHeight="1" x14ac:dyDescent="0.35">
      <c r="A60" s="741" t="s">
        <v>320</v>
      </c>
      <c r="B60" s="264" t="s">
        <v>275</v>
      </c>
      <c r="C60" s="686"/>
      <c r="D60" s="1353"/>
      <c r="E60" s="1418"/>
      <c r="F60" s="1419"/>
      <c r="G60" s="1420"/>
      <c r="H60" s="1352"/>
      <c r="I60" s="1353"/>
      <c r="J60" s="1428"/>
      <c r="K60" s="1429"/>
      <c r="L60" s="1430"/>
      <c r="M60" s="1437"/>
      <c r="N60" s="1449"/>
      <c r="O60" s="9"/>
    </row>
    <row r="61" spans="1:15" ht="14.25" hidden="1" customHeight="1" x14ac:dyDescent="0.35">
      <c r="A61" s="741" t="s">
        <v>486</v>
      </c>
      <c r="B61" s="264" t="s">
        <v>276</v>
      </c>
      <c r="C61" s="686"/>
      <c r="D61" s="1353"/>
      <c r="E61" s="1418"/>
      <c r="F61" s="1419"/>
      <c r="G61" s="1420"/>
      <c r="H61" s="1352"/>
      <c r="I61" s="1353"/>
      <c r="J61" s="1428"/>
      <c r="K61" s="1429"/>
      <c r="L61" s="1430"/>
      <c r="M61" s="1437"/>
      <c r="N61" s="1449"/>
      <c r="O61" s="9"/>
    </row>
    <row r="62" spans="1:15" ht="14.25" hidden="1" customHeight="1" x14ac:dyDescent="0.35">
      <c r="B62" s="289" t="str">
        <f>+TableA1!A60</f>
        <v>Barbados</v>
      </c>
      <c r="C62" s="1623"/>
      <c r="D62" s="1355"/>
      <c r="E62" s="1418"/>
      <c r="F62" s="1419"/>
      <c r="G62" s="1420"/>
      <c r="H62" s="1354"/>
      <c r="I62" s="1355"/>
      <c r="J62" s="1428"/>
      <c r="K62" s="1429"/>
      <c r="L62" s="1430"/>
      <c r="M62" s="1438"/>
      <c r="N62" s="1450"/>
      <c r="O62" s="9"/>
    </row>
    <row r="63" spans="1:15" ht="14.25" hidden="1" customHeight="1" x14ac:dyDescent="0.35">
      <c r="B63" s="264" t="s">
        <v>277</v>
      </c>
      <c r="C63" s="686"/>
      <c r="D63" s="1353"/>
      <c r="E63" s="1418"/>
      <c r="F63" s="1419"/>
      <c r="G63" s="1420"/>
      <c r="H63" s="1352"/>
      <c r="I63" s="1353"/>
      <c r="J63" s="1428"/>
      <c r="K63" s="1429"/>
      <c r="L63" s="1430"/>
      <c r="M63" s="1437"/>
      <c r="N63" s="1449"/>
      <c r="O63" s="9"/>
    </row>
    <row r="64" spans="1:15" ht="14.25" hidden="1" customHeight="1" x14ac:dyDescent="0.35">
      <c r="B64" s="264" t="s">
        <v>213</v>
      </c>
      <c r="C64" s="686"/>
      <c r="D64" s="1353"/>
      <c r="E64" s="1418"/>
      <c r="F64" s="1419"/>
      <c r="G64" s="1420"/>
      <c r="H64" s="1352"/>
      <c r="I64" s="1353"/>
      <c r="J64" s="1428"/>
      <c r="K64" s="1429"/>
      <c r="L64" s="1430"/>
      <c r="M64" s="1437"/>
      <c r="N64" s="1449"/>
      <c r="O64" s="9"/>
    </row>
    <row r="65" spans="1:15" ht="14.25" hidden="1" customHeight="1" x14ac:dyDescent="0.35">
      <c r="A65" s="741" t="s">
        <v>539</v>
      </c>
      <c r="B65" s="264" t="s">
        <v>278</v>
      </c>
      <c r="C65" s="686"/>
      <c r="D65" s="1353"/>
      <c r="E65" s="1418"/>
      <c r="F65" s="1419"/>
      <c r="G65" s="1420"/>
      <c r="H65" s="1352"/>
      <c r="I65" s="1353"/>
      <c r="J65" s="1428"/>
      <c r="K65" s="1429"/>
      <c r="L65" s="1430"/>
      <c r="M65" s="1437"/>
      <c r="N65" s="1449"/>
      <c r="O65" s="9"/>
    </row>
    <row r="66" spans="1:15" ht="14.25" hidden="1" customHeight="1" x14ac:dyDescent="0.35">
      <c r="A66" s="741" t="s">
        <v>504</v>
      </c>
      <c r="B66" s="264" t="s">
        <v>279</v>
      </c>
      <c r="C66" s="686"/>
      <c r="D66" s="1353"/>
      <c r="E66" s="1418"/>
      <c r="F66" s="1419"/>
      <c r="G66" s="1420"/>
      <c r="H66" s="1352"/>
      <c r="I66" s="1353"/>
      <c r="J66" s="1428"/>
      <c r="K66" s="1429"/>
      <c r="L66" s="1430"/>
      <c r="M66" s="1437"/>
      <c r="N66" s="1449"/>
      <c r="O66" s="9"/>
    </row>
    <row r="67" spans="1:15" ht="14.25" hidden="1" customHeight="1" x14ac:dyDescent="0.35">
      <c r="B67" s="282" t="s">
        <v>291</v>
      </c>
      <c r="C67" s="1624"/>
      <c r="D67" s="1357"/>
      <c r="E67" s="1418"/>
      <c r="F67" s="1419"/>
      <c r="G67" s="1420"/>
      <c r="H67" s="1356"/>
      <c r="I67" s="1357"/>
      <c r="J67" s="1428"/>
      <c r="K67" s="1429"/>
      <c r="L67" s="1430"/>
      <c r="M67" s="1439"/>
      <c r="N67" s="1451"/>
      <c r="O67" s="9"/>
    </row>
    <row r="68" spans="1:15" ht="14.25" hidden="1" customHeight="1" x14ac:dyDescent="0.35">
      <c r="B68" s="264" t="s">
        <v>280</v>
      </c>
      <c r="C68" s="686"/>
      <c r="D68" s="1353"/>
      <c r="E68" s="1418"/>
      <c r="F68" s="1419"/>
      <c r="G68" s="1420"/>
      <c r="H68" s="1352"/>
      <c r="I68" s="1353"/>
      <c r="J68" s="1428"/>
      <c r="K68" s="1429"/>
      <c r="L68" s="1430"/>
      <c r="M68" s="1437"/>
      <c r="N68" s="1449"/>
      <c r="O68" s="9"/>
    </row>
    <row r="69" spans="1:15" ht="14.25" hidden="1" customHeight="1" x14ac:dyDescent="0.35">
      <c r="B69" s="289" t="str">
        <f>+TableA1!A67</f>
        <v>Cyprus</v>
      </c>
      <c r="C69" s="1623"/>
      <c r="D69" s="1355"/>
      <c r="E69" s="1418"/>
      <c r="F69" s="1419"/>
      <c r="G69" s="1420"/>
      <c r="H69" s="1354"/>
      <c r="I69" s="1355"/>
      <c r="J69" s="1428"/>
      <c r="K69" s="1429"/>
      <c r="L69" s="1430"/>
      <c r="M69" s="1438"/>
      <c r="N69" s="1450"/>
      <c r="O69" s="9"/>
    </row>
    <row r="70" spans="1:15" ht="14.25" hidden="1" customHeight="1" x14ac:dyDescent="0.35">
      <c r="B70" s="264" t="s">
        <v>281</v>
      </c>
      <c r="C70" s="686"/>
      <c r="D70" s="1353"/>
      <c r="E70" s="1418"/>
      <c r="F70" s="1419"/>
      <c r="G70" s="1420"/>
      <c r="H70" s="1352"/>
      <c r="I70" s="1353"/>
      <c r="J70" s="1428"/>
      <c r="K70" s="1429"/>
      <c r="L70" s="1430"/>
      <c r="M70" s="1437"/>
      <c r="N70" s="1449"/>
      <c r="O70" s="9"/>
    </row>
    <row r="71" spans="1:15" ht="14.25" hidden="1" customHeight="1" x14ac:dyDescent="0.35">
      <c r="B71" s="289" t="str">
        <f>+TableA1!A69</f>
        <v>Grenada</v>
      </c>
      <c r="C71" s="1623"/>
      <c r="D71" s="1355"/>
      <c r="E71" s="1418"/>
      <c r="F71" s="1419"/>
      <c r="G71" s="1420"/>
      <c r="H71" s="1354"/>
      <c r="I71" s="1355"/>
      <c r="J71" s="1428"/>
      <c r="K71" s="1429"/>
      <c r="L71" s="1430"/>
      <c r="M71" s="1438"/>
      <c r="N71" s="1450"/>
      <c r="O71" s="9"/>
    </row>
    <row r="72" spans="1:15" ht="14.25" hidden="1" customHeight="1" x14ac:dyDescent="0.35">
      <c r="B72" s="264" t="s">
        <v>282</v>
      </c>
      <c r="C72" s="686"/>
      <c r="D72" s="1353"/>
      <c r="E72" s="1418"/>
      <c r="F72" s="1419"/>
      <c r="G72" s="1420"/>
      <c r="H72" s="1352"/>
      <c r="I72" s="1353"/>
      <c r="J72" s="1428"/>
      <c r="K72" s="1429"/>
      <c r="L72" s="1430"/>
      <c r="M72" s="1437"/>
      <c r="N72" s="1449"/>
      <c r="O72" s="9"/>
    </row>
    <row r="73" spans="1:15" ht="14.25" hidden="1" customHeight="1" x14ac:dyDescent="0.35">
      <c r="A73" s="741" t="s">
        <v>295</v>
      </c>
      <c r="B73" s="264" t="s">
        <v>283</v>
      </c>
      <c r="C73" s="686"/>
      <c r="D73" s="1353"/>
      <c r="E73" s="1418"/>
      <c r="F73" s="1419"/>
      <c r="G73" s="1420"/>
      <c r="H73" s="1352"/>
      <c r="I73" s="1353"/>
      <c r="J73" s="1428"/>
      <c r="K73" s="1429"/>
      <c r="L73" s="1430"/>
      <c r="M73" s="1437"/>
      <c r="N73" s="1449"/>
      <c r="O73" s="9"/>
    </row>
    <row r="74" spans="1:15" ht="14.25" hidden="1" customHeight="1" x14ac:dyDescent="0.35">
      <c r="A74" s="741" t="s">
        <v>481</v>
      </c>
      <c r="B74" s="264" t="s">
        <v>220</v>
      </c>
      <c r="C74" s="686"/>
      <c r="D74" s="1353"/>
      <c r="E74" s="1418"/>
      <c r="F74" s="1419"/>
      <c r="G74" s="1420"/>
      <c r="H74" s="1352"/>
      <c r="I74" s="1353"/>
      <c r="J74" s="1428"/>
      <c r="K74" s="1429"/>
      <c r="L74" s="1430"/>
      <c r="M74" s="1437"/>
      <c r="N74" s="1449"/>
      <c r="O74" s="9"/>
    </row>
    <row r="75" spans="1:15" ht="14.25" hidden="1" customHeight="1" x14ac:dyDescent="0.35">
      <c r="B75" s="264" t="s">
        <v>284</v>
      </c>
      <c r="C75" s="686"/>
      <c r="D75" s="1353"/>
      <c r="E75" s="1418"/>
      <c r="F75" s="1419"/>
      <c r="G75" s="1420"/>
      <c r="H75" s="1352"/>
      <c r="I75" s="1353"/>
      <c r="J75" s="1428"/>
      <c r="K75" s="1429"/>
      <c r="L75" s="1430"/>
      <c r="M75" s="1437"/>
      <c r="N75" s="1449"/>
      <c r="O75" s="9"/>
    </row>
    <row r="76" spans="1:15" ht="14.25" hidden="1" customHeight="1" x14ac:dyDescent="0.35">
      <c r="B76" s="264" t="s">
        <v>285</v>
      </c>
      <c r="C76" s="686"/>
      <c r="D76" s="1353"/>
      <c r="E76" s="1418"/>
      <c r="F76" s="1419"/>
      <c r="G76" s="1420"/>
      <c r="H76" s="1352"/>
      <c r="I76" s="1353"/>
      <c r="J76" s="1428"/>
      <c r="K76" s="1429"/>
      <c r="L76" s="1430"/>
      <c r="M76" s="1437"/>
      <c r="N76" s="1449"/>
      <c r="O76" s="9"/>
    </row>
    <row r="77" spans="1:15" ht="14.25" hidden="1" customHeight="1" x14ac:dyDescent="0.35">
      <c r="B77" s="264" t="s">
        <v>286</v>
      </c>
      <c r="C77" s="686"/>
      <c r="D77" s="1353"/>
      <c r="E77" s="1418"/>
      <c r="F77" s="1419"/>
      <c r="G77" s="1420"/>
      <c r="H77" s="1352"/>
      <c r="I77" s="1353"/>
      <c r="J77" s="1428"/>
      <c r="K77" s="1429"/>
      <c r="L77" s="1430"/>
      <c r="M77" s="1437"/>
      <c r="N77" s="1449"/>
      <c r="O77" s="9"/>
    </row>
    <row r="78" spans="1:15" ht="14.25" hidden="1" customHeight="1" x14ac:dyDescent="0.35">
      <c r="A78" s="741" t="s">
        <v>480</v>
      </c>
      <c r="B78" s="264" t="s">
        <v>287</v>
      </c>
      <c r="C78" s="686"/>
      <c r="D78" s="1353"/>
      <c r="E78" s="1418"/>
      <c r="F78" s="1419"/>
      <c r="G78" s="1420"/>
      <c r="H78" s="1352"/>
      <c r="I78" s="1353"/>
      <c r="J78" s="1428"/>
      <c r="K78" s="1429"/>
      <c r="L78" s="1430"/>
      <c r="M78" s="1437"/>
      <c r="N78" s="1449"/>
      <c r="O78" s="9"/>
    </row>
    <row r="79" spans="1:15" ht="14.25" hidden="1" customHeight="1" x14ac:dyDescent="0.35">
      <c r="B79" s="289" t="s">
        <v>301</v>
      </c>
      <c r="C79" s="1623"/>
      <c r="D79" s="1355"/>
      <c r="E79" s="1418"/>
      <c r="F79" s="1419"/>
      <c r="G79" s="1420"/>
      <c r="H79" s="1354"/>
      <c r="I79" s="1355"/>
      <c r="J79" s="1428"/>
      <c r="K79" s="1429"/>
      <c r="L79" s="1430"/>
      <c r="M79" s="1438"/>
      <c r="N79" s="1450"/>
      <c r="O79" s="9"/>
    </row>
    <row r="80" spans="1:15" ht="14.25" hidden="1" customHeight="1" x14ac:dyDescent="0.35">
      <c r="A80" s="741" t="s">
        <v>478</v>
      </c>
      <c r="B80" s="289" t="s">
        <v>302</v>
      </c>
      <c r="C80" s="1623"/>
      <c r="D80" s="1355"/>
      <c r="E80" s="1418"/>
      <c r="F80" s="1419"/>
      <c r="G80" s="1420"/>
      <c r="H80" s="1354"/>
      <c r="I80" s="1355"/>
      <c r="J80" s="1428"/>
      <c r="K80" s="1429"/>
      <c r="L80" s="1430"/>
      <c r="M80" s="1438"/>
      <c r="N80" s="1450"/>
      <c r="O80" s="9"/>
    </row>
    <row r="81" spans="1:15" ht="14.25" hidden="1" customHeight="1" x14ac:dyDescent="0.35">
      <c r="B81" s="289" t="str">
        <f>+TableA1!A79</f>
        <v>Monaco</v>
      </c>
      <c r="C81" s="1623"/>
      <c r="D81" s="1355"/>
      <c r="E81" s="1418"/>
      <c r="F81" s="1419"/>
      <c r="G81" s="1420"/>
      <c r="H81" s="1354"/>
      <c r="I81" s="1355"/>
      <c r="J81" s="1428"/>
      <c r="K81" s="1429"/>
      <c r="L81" s="1430"/>
      <c r="M81" s="1438"/>
      <c r="N81" s="1450"/>
      <c r="O81" s="9"/>
    </row>
    <row r="82" spans="1:15" ht="14.25" hidden="1" customHeight="1" x14ac:dyDescent="0.35">
      <c r="B82" s="264" t="s">
        <v>288</v>
      </c>
      <c r="C82" s="686"/>
      <c r="D82" s="1353"/>
      <c r="E82" s="1418"/>
      <c r="F82" s="1419"/>
      <c r="G82" s="1420"/>
      <c r="H82" s="1352"/>
      <c r="I82" s="1353"/>
      <c r="J82" s="1428"/>
      <c r="K82" s="1429"/>
      <c r="L82" s="1430"/>
      <c r="M82" s="1437"/>
      <c r="N82" s="1449"/>
      <c r="O82" s="9"/>
    </row>
    <row r="83" spans="1:15" ht="14.25" hidden="1" customHeight="1" x14ac:dyDescent="0.35">
      <c r="B83" s="264" t="s">
        <v>289</v>
      </c>
      <c r="C83" s="686"/>
      <c r="D83" s="1353"/>
      <c r="E83" s="1418"/>
      <c r="F83" s="1419"/>
      <c r="G83" s="1420"/>
      <c r="H83" s="1352"/>
      <c r="I83" s="1353"/>
      <c r="J83" s="1428"/>
      <c r="K83" s="1429"/>
      <c r="L83" s="1430"/>
      <c r="M83" s="1437"/>
      <c r="N83" s="1449"/>
      <c r="O83" s="9"/>
    </row>
    <row r="84" spans="1:15" ht="14.25" hidden="1" customHeight="1" x14ac:dyDescent="0.35">
      <c r="B84" s="289" t="str">
        <f>+TableA1!A82</f>
        <v>Seychelles</v>
      </c>
      <c r="C84" s="1623"/>
      <c r="D84" s="1355"/>
      <c r="E84" s="1418"/>
      <c r="F84" s="1419"/>
      <c r="G84" s="1420"/>
      <c r="H84" s="1354"/>
      <c r="I84" s="1355"/>
      <c r="J84" s="1428"/>
      <c r="K84" s="1429"/>
      <c r="L84" s="1430"/>
      <c r="M84" s="1438"/>
      <c r="N84" s="1450"/>
      <c r="O84" s="9"/>
    </row>
    <row r="85" spans="1:15" hidden="1" x14ac:dyDescent="0.35">
      <c r="B85" s="264" t="s">
        <v>225</v>
      </c>
      <c r="C85" s="686"/>
      <c r="D85" s="1353"/>
      <c r="E85" s="1418"/>
      <c r="F85" s="1419"/>
      <c r="G85" s="1420"/>
      <c r="H85" s="1352"/>
      <c r="I85" s="1353"/>
      <c r="J85" s="1428"/>
      <c r="K85" s="1429"/>
      <c r="L85" s="1430"/>
      <c r="M85" s="1437"/>
      <c r="N85" s="1449"/>
      <c r="O85" s="9"/>
    </row>
    <row r="86" spans="1:15" hidden="1" x14ac:dyDescent="0.35">
      <c r="B86" s="289" t="str">
        <f>+TableA1!A84</f>
        <v>St. Kitts and Nevis</v>
      </c>
      <c r="C86" s="1623"/>
      <c r="D86" s="1355"/>
      <c r="E86" s="1418"/>
      <c r="F86" s="1419"/>
      <c r="G86" s="1420"/>
      <c r="H86" s="1354"/>
      <c r="I86" s="1355"/>
      <c r="J86" s="1428"/>
      <c r="K86" s="1429"/>
      <c r="L86" s="1430"/>
      <c r="M86" s="1438"/>
      <c r="N86" s="1450"/>
      <c r="O86" s="9"/>
    </row>
    <row r="87" spans="1:15" hidden="1" x14ac:dyDescent="0.35">
      <c r="B87" s="289" t="str">
        <f>+TableA1!A85</f>
        <v>St. Lucia</v>
      </c>
      <c r="C87" s="1623"/>
      <c r="D87" s="1355"/>
      <c r="E87" s="1418"/>
      <c r="F87" s="1419"/>
      <c r="G87" s="1420"/>
      <c r="H87" s="1354"/>
      <c r="I87" s="1355"/>
      <c r="J87" s="1428"/>
      <c r="K87" s="1429"/>
      <c r="L87" s="1430"/>
      <c r="M87" s="1438"/>
      <c r="N87" s="1450"/>
      <c r="O87" s="9"/>
    </row>
    <row r="88" spans="1:15" hidden="1" x14ac:dyDescent="0.35">
      <c r="B88" s="289" t="str">
        <f>+TableA1!A86</f>
        <v>St. Vincent and the Grenadines</v>
      </c>
      <c r="C88" s="1623"/>
      <c r="D88" s="1355"/>
      <c r="E88" s="1418"/>
      <c r="F88" s="1419"/>
      <c r="G88" s="1420"/>
      <c r="H88" s="1354"/>
      <c r="I88" s="1355"/>
      <c r="J88" s="1428"/>
      <c r="K88" s="1429"/>
      <c r="L88" s="1430"/>
      <c r="M88" s="1438"/>
      <c r="N88" s="1450"/>
      <c r="O88" s="9"/>
    </row>
    <row r="89" spans="1:15" ht="23" hidden="1" x14ac:dyDescent="0.35">
      <c r="A89" s="741" t="s">
        <v>505</v>
      </c>
      <c r="B89" s="289" t="str">
        <f>+TableA1!A87</f>
        <v>Turks and Caicos</v>
      </c>
      <c r="C89" s="1623"/>
      <c r="D89" s="1355"/>
      <c r="E89" s="1418"/>
      <c r="F89" s="1419"/>
      <c r="G89" s="1420"/>
      <c r="H89" s="1354"/>
      <c r="I89" s="1355"/>
      <c r="J89" s="1428"/>
      <c r="K89" s="1429"/>
      <c r="L89" s="1430"/>
      <c r="M89" s="1438"/>
      <c r="N89" s="1450"/>
      <c r="O89" s="9"/>
    </row>
    <row r="90" spans="1:15" hidden="1" x14ac:dyDescent="0.35">
      <c r="B90" s="289" t="str">
        <f>+TableA1!A88</f>
        <v>Panama</v>
      </c>
      <c r="C90" s="1623"/>
      <c r="D90" s="1355"/>
      <c r="E90" s="1418"/>
      <c r="F90" s="1419"/>
      <c r="G90" s="1420"/>
      <c r="H90" s="1354"/>
      <c r="I90" s="1355"/>
      <c r="J90" s="1428"/>
      <c r="K90" s="1429"/>
      <c r="L90" s="1430"/>
      <c r="M90" s="1438"/>
      <c r="N90" s="1450"/>
      <c r="O90" s="9"/>
    </row>
    <row r="91" spans="1:15" hidden="1" x14ac:dyDescent="0.35">
      <c r="B91" s="264" t="s">
        <v>290</v>
      </c>
      <c r="C91" s="686"/>
      <c r="D91" s="1353"/>
      <c r="E91" s="1418"/>
      <c r="F91" s="1419"/>
      <c r="G91" s="1420"/>
      <c r="H91" s="1352"/>
      <c r="I91" s="1353"/>
      <c r="J91" s="1428"/>
      <c r="K91" s="1429"/>
      <c r="L91" s="1430"/>
      <c r="M91" s="1437"/>
      <c r="N91" s="1449"/>
      <c r="O91" s="9"/>
    </row>
    <row r="92" spans="1:15" ht="40" customHeight="1" x14ac:dyDescent="0.35">
      <c r="B92" s="585" t="s">
        <v>498</v>
      </c>
      <c r="C92" s="1625">
        <f>+TableA3!G90</f>
        <v>266.94859926828144</v>
      </c>
      <c r="D92" s="978">
        <f>+'[4]Data C 2,4'!$N$179%</f>
        <v>0.23739999999999997</v>
      </c>
      <c r="E92" s="1422">
        <f t="shared" ref="E92" si="8">+F92+G92</f>
        <v>-15.515533611772348</v>
      </c>
      <c r="F92" s="1423">
        <f>-TableA7!P90</f>
        <v>-23.365842060312318</v>
      </c>
      <c r="G92" s="1424">
        <f>+(TableA7!$P$91-$F$93)*TableC4b!F92</f>
        <v>7.8503084485399697</v>
      </c>
      <c r="H92" s="977">
        <f>+TableC4!C91/1000</f>
        <v>78.718222161267093</v>
      </c>
      <c r="I92" s="1120">
        <f>+TableC4!N91/1000</f>
        <v>19.924194321217819</v>
      </c>
      <c r="J92" s="1440">
        <f t="shared" ref="J92" si="9">+(E92*$D92)/$C92</f>
        <v>-1.379811577783548E-2</v>
      </c>
      <c r="K92" s="1441">
        <f t="shared" ref="K92" si="10">+(F92*$D92)/$C92</f>
        <v>-2.0779471854592491E-2</v>
      </c>
      <c r="L92" s="1442">
        <f t="shared" ref="L92" si="11">+(G92*$D92)/$C92</f>
        <v>6.9813560767570098E-3</v>
      </c>
      <c r="M92" s="1443">
        <f t="shared" ref="M92" si="12">+(H92*$D92)/$C92</f>
        <v>7.0004884806695658E-2</v>
      </c>
      <c r="N92" s="1452">
        <f t="shared" ref="N92" si="13">+(I92*$D92)/$C92</f>
        <v>1.7718780862017149E-2</v>
      </c>
      <c r="O92" s="589"/>
    </row>
    <row r="93" spans="1:15" ht="34.5" customHeight="1" thickBot="1" x14ac:dyDescent="0.4">
      <c r="B93" s="584" t="str">
        <f>+TableC3!B91</f>
        <v>Non-haven total</v>
      </c>
      <c r="C93" s="1622">
        <f>+C92+C11+C47</f>
        <v>1986.5618629909525</v>
      </c>
      <c r="D93" s="1368"/>
      <c r="E93" s="1454">
        <f t="shared" ref="E93:F93" si="14">+E92+E11+E47</f>
        <v>616.46162984891726</v>
      </c>
      <c r="F93" s="1455">
        <f t="shared" si="14"/>
        <v>373.57030571391573</v>
      </c>
      <c r="G93" s="1456">
        <f t="shared" ref="G93" si="15">+G92+G11+G47</f>
        <v>242.89132413500155</v>
      </c>
      <c r="H93" s="1453">
        <f>+H92+H11+H47</f>
        <v>616.46162984891726</v>
      </c>
      <c r="I93" s="1368">
        <f>+I92+I11+I47</f>
        <v>616.46162984891714</v>
      </c>
      <c r="J93" s="1457">
        <f>+(J92*$C$92+J47*$C$47+J11*$C$11)/$C$93</f>
        <v>9.5206331255274876E-2</v>
      </c>
      <c r="K93" s="1458">
        <f>+(K92*$C$92+K47*$C$47+K11*$C$11)/$C$93</f>
        <v>5.4071226350073616E-2</v>
      </c>
      <c r="L93" s="1459">
        <f>+(L92*$C$92+L47*$C$47+L11*$C$11)/$C$93</f>
        <v>4.1135104905201246E-2</v>
      </c>
      <c r="M93" s="1457">
        <f>+(M92*$C$92+M47*$C$47+M11*$C$11)/$C$93</f>
        <v>9.1314753737725518E-2</v>
      </c>
      <c r="N93" s="1460">
        <f>+(N92*$C$92+N47*$C$47+N11*$C$11)/$C$93</f>
        <v>0.10440148039117361</v>
      </c>
      <c r="O93" s="559"/>
    </row>
    <row r="94" spans="1:15" s="2" customFormat="1" ht="16" thickTop="1" x14ac:dyDescent="0.35">
      <c r="J94" s="1"/>
      <c r="K94" s="1"/>
      <c r="L94" s="1"/>
      <c r="M94" s="1"/>
      <c r="N94" s="1"/>
      <c r="O94" s="1"/>
    </row>
    <row r="96" spans="1:15" s="2" customFormat="1" x14ac:dyDescent="0.35">
      <c r="B96" s="1"/>
      <c r="C96" s="1"/>
      <c r="D96" s="1"/>
      <c r="E96" s="1"/>
      <c r="F96" s="1"/>
      <c r="G96" s="1"/>
      <c r="H96" s="1"/>
      <c r="I96" s="1"/>
      <c r="J96" s="1"/>
      <c r="K96" s="1"/>
      <c r="L96" s="1"/>
      <c r="M96" s="1"/>
      <c r="N96" s="1"/>
      <c r="O96" s="1"/>
    </row>
  </sheetData>
  <mergeCells count="13">
    <mergeCell ref="B5:N5"/>
    <mergeCell ref="E9:E10"/>
    <mergeCell ref="E7:I7"/>
    <mergeCell ref="H8:H10"/>
    <mergeCell ref="I8:I10"/>
    <mergeCell ref="J7:N7"/>
    <mergeCell ref="J8:L8"/>
    <mergeCell ref="M8:M10"/>
    <mergeCell ref="N8:N10"/>
    <mergeCell ref="J9:J10"/>
    <mergeCell ref="E8:G8"/>
    <mergeCell ref="C7:C10"/>
    <mergeCell ref="D7:D10"/>
  </mergeCells>
  <phoneticPr fontId="62" type="noConversion"/>
  <pageMargins left="0.7" right="0.7" top="0.75" bottom="0.75" header="0.3" footer="0.3"/>
  <pageSetup scale="66" fitToHeight="2" orientation="landscape" horizontalDpi="4294967292" verticalDpi="4294967292"/>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Z97"/>
  <sheetViews>
    <sheetView workbookViewId="0">
      <pane xSplit="1" ySplit="8" topLeftCell="B90" activePane="bottomRight" state="frozen"/>
      <selection pane="topRight" activeCell="B1" sqref="B1"/>
      <selection pane="bottomLeft" activeCell="A9" sqref="A9"/>
      <selection pane="bottomRight" activeCell="A3" sqref="A3:P94"/>
    </sheetView>
  </sheetViews>
  <sheetFormatPr baseColWidth="10" defaultColWidth="10.81640625" defaultRowHeight="15.5" x14ac:dyDescent="0.35"/>
  <cols>
    <col min="1" max="1" width="19" style="1" customWidth="1"/>
    <col min="2" max="2" width="14.81640625" style="1" customWidth="1"/>
    <col min="3" max="3" width="13.453125" style="1" customWidth="1"/>
    <col min="4" max="4" width="11.36328125" style="1" customWidth="1"/>
    <col min="5" max="5" width="11.6328125" style="1" customWidth="1"/>
    <col min="6" max="16" width="11.36328125" style="1" customWidth="1"/>
    <col min="17" max="16384" width="10.81640625" style="1"/>
  </cols>
  <sheetData>
    <row r="1" spans="1:20" x14ac:dyDescent="0.35">
      <c r="G1"/>
      <c r="O1" s="982"/>
    </row>
    <row r="2" spans="1:20" ht="16" thickBot="1" x14ac:dyDescent="0.4"/>
    <row r="3" spans="1:20" ht="32.25" customHeight="1" thickTop="1" x14ac:dyDescent="0.35">
      <c r="A3" s="2048" t="s">
        <v>827</v>
      </c>
      <c r="B3" s="2049"/>
      <c r="C3" s="2049"/>
      <c r="D3" s="2049"/>
      <c r="E3" s="2049"/>
      <c r="F3" s="2049"/>
      <c r="G3" s="2049"/>
      <c r="H3" s="2049"/>
      <c r="I3" s="2049"/>
      <c r="J3" s="2049"/>
      <c r="K3" s="2049"/>
      <c r="L3" s="2049"/>
      <c r="M3" s="2049"/>
      <c r="N3" s="2049"/>
      <c r="O3" s="2049"/>
      <c r="P3" s="2050"/>
    </row>
    <row r="4" spans="1:20" ht="12" customHeight="1" x14ac:dyDescent="0.35">
      <c r="A4" s="11"/>
      <c r="B4" s="879"/>
      <c r="C4" s="947"/>
      <c r="D4" s="879"/>
      <c r="E4" s="879"/>
      <c r="F4" s="879"/>
      <c r="G4" s="879"/>
      <c r="H4" s="879"/>
      <c r="I4" s="879"/>
      <c r="J4" s="879"/>
      <c r="K4" s="879"/>
      <c r="L4" s="879"/>
      <c r="M4" s="879"/>
      <c r="N4" s="947"/>
      <c r="O4" s="947"/>
      <c r="P4" s="12"/>
      <c r="S4" s="107"/>
      <c r="T4" s="265"/>
    </row>
    <row r="5" spans="1:20" ht="16" thickBot="1" x14ac:dyDescent="0.4">
      <c r="A5" s="15"/>
      <c r="B5" s="323" t="s">
        <v>20</v>
      </c>
      <c r="C5" s="323" t="s">
        <v>21</v>
      </c>
      <c r="D5" s="323" t="s">
        <v>22</v>
      </c>
      <c r="E5" s="323" t="s">
        <v>23</v>
      </c>
      <c r="F5" s="323" t="s">
        <v>24</v>
      </c>
      <c r="G5" s="323" t="s">
        <v>25</v>
      </c>
      <c r="H5" s="323" t="s">
        <v>26</v>
      </c>
      <c r="I5" s="323" t="s">
        <v>33</v>
      </c>
      <c r="J5" s="323" t="s">
        <v>34</v>
      </c>
      <c r="K5" s="323" t="s">
        <v>37</v>
      </c>
      <c r="L5" s="1528" t="s">
        <v>105</v>
      </c>
      <c r="M5" s="1528" t="s">
        <v>138</v>
      </c>
      <c r="N5" s="1528" t="s">
        <v>139</v>
      </c>
      <c r="O5" s="1528" t="s">
        <v>140</v>
      </c>
      <c r="P5" s="930" t="s">
        <v>141</v>
      </c>
    </row>
    <row r="6" spans="1:20" ht="21" customHeight="1" x14ac:dyDescent="0.35">
      <c r="A6" s="15"/>
      <c r="B6" s="2462" t="s">
        <v>52</v>
      </c>
      <c r="C6" s="2471"/>
      <c r="D6" s="2462" t="s">
        <v>52</v>
      </c>
      <c r="E6" s="2463"/>
      <c r="F6" s="2463"/>
      <c r="G6" s="2463"/>
      <c r="H6" s="2463"/>
      <c r="I6" s="2464"/>
      <c r="J6" s="2084" t="s">
        <v>9</v>
      </c>
      <c r="K6" s="2086" t="s">
        <v>31</v>
      </c>
      <c r="L6" s="2087" t="s">
        <v>32</v>
      </c>
      <c r="M6" s="2465" t="s">
        <v>584</v>
      </c>
      <c r="N6" s="1001"/>
      <c r="O6" s="1001"/>
      <c r="P6" s="2468" t="s">
        <v>596</v>
      </c>
    </row>
    <row r="7" spans="1:20" ht="85" customHeight="1" x14ac:dyDescent="0.35">
      <c r="A7" s="15"/>
      <c r="B7" s="2081" t="s">
        <v>17</v>
      </c>
      <c r="C7" s="2466" t="s">
        <v>793</v>
      </c>
      <c r="D7" s="2081" t="s">
        <v>14</v>
      </c>
      <c r="E7" s="2064" t="s">
        <v>13</v>
      </c>
      <c r="F7" s="2082" t="s">
        <v>12</v>
      </c>
      <c r="G7" s="873" t="s">
        <v>11</v>
      </c>
      <c r="H7" s="873" t="s">
        <v>8</v>
      </c>
      <c r="I7" s="2083" t="s">
        <v>36</v>
      </c>
      <c r="J7" s="2085"/>
      <c r="K7" s="2072"/>
      <c r="L7" s="2088"/>
      <c r="M7" s="2090"/>
      <c r="N7" s="1002" t="s">
        <v>595</v>
      </c>
      <c r="O7" s="1002" t="s">
        <v>594</v>
      </c>
      <c r="P7" s="2469"/>
      <c r="Q7" s="1636"/>
      <c r="R7" s="1636"/>
      <c r="S7" s="708"/>
    </row>
    <row r="8" spans="1:20" x14ac:dyDescent="0.35">
      <c r="A8" s="15"/>
      <c r="B8" s="2057"/>
      <c r="C8" s="2467"/>
      <c r="D8" s="2057"/>
      <c r="E8" s="2065"/>
      <c r="F8" s="2082"/>
      <c r="G8" s="324"/>
      <c r="H8" s="324"/>
      <c r="I8" s="2470"/>
      <c r="J8" s="2085"/>
      <c r="K8" s="2072"/>
      <c r="L8" s="2088"/>
      <c r="M8" s="2090"/>
      <c r="N8" s="946"/>
      <c r="O8" s="946"/>
      <c r="P8" s="2469"/>
    </row>
    <row r="9" spans="1:20" ht="40" customHeight="1" x14ac:dyDescent="0.35">
      <c r="A9" s="463" t="s">
        <v>98</v>
      </c>
      <c r="B9" s="432">
        <f>D9+TableA1!C9+TableA1!H9+TableA1!I9</f>
        <v>46716.271974377982</v>
      </c>
      <c r="C9" s="432">
        <f>B9-TableA1!M9</f>
        <v>38857.261593910247</v>
      </c>
      <c r="D9" s="432">
        <f>E9+F9+I9</f>
        <v>26591.987339920481</v>
      </c>
      <c r="E9" s="479">
        <f>SUM(E10:E44)</f>
        <v>15382.439705866644</v>
      </c>
      <c r="F9" s="480">
        <f>SUM(F10:F44)</f>
        <v>6553.3680058405735</v>
      </c>
      <c r="G9" s="480">
        <f>SUM(G10:G44)</f>
        <v>-49.321734412235458</v>
      </c>
      <c r="H9" s="480">
        <f>SUM(H10:H44)</f>
        <v>6602.6897402528084</v>
      </c>
      <c r="I9" s="481">
        <f>SUM(I10:I44)</f>
        <v>4656.1796282132627</v>
      </c>
      <c r="J9" s="482">
        <f>(F9+I9)/D9</f>
        <v>0.42153854432781773</v>
      </c>
      <c r="K9" s="943">
        <f>F9/(D9-I9)</f>
        <v>0.29875207204442344</v>
      </c>
      <c r="L9" s="483">
        <f>1-K9</f>
        <v>0.70124792795557656</v>
      </c>
      <c r="M9" s="1380">
        <f>K9-TableA2!I9</f>
        <v>7.5182710713601053E-3</v>
      </c>
      <c r="N9" s="480">
        <f>SUM(N10:N44)</f>
        <v>153.40275416985259</v>
      </c>
      <c r="O9" s="1003">
        <f>SUM(O10:O44)</f>
        <v>2.9596329701207758</v>
      </c>
      <c r="P9" s="1004">
        <f>SUM(P10:P44)</f>
        <v>150.44312119973182</v>
      </c>
      <c r="S9" s="939"/>
      <c r="T9" s="940"/>
    </row>
    <row r="10" spans="1:20" ht="14.25" customHeight="1" x14ac:dyDescent="0.35">
      <c r="A10" s="455" t="s">
        <v>54</v>
      </c>
      <c r="B10" s="334">
        <f>D10+TableA1!C10+TableA1!H10+TableA1!I10</f>
        <v>1241.2229370343659</v>
      </c>
      <c r="C10" s="334">
        <f>B10-TableA1!M10</f>
        <v>1015.4989063527441</v>
      </c>
      <c r="D10" s="334">
        <f t="shared" ref="D10:D11" si="0">E10+F10+I10</f>
        <v>784.98496664919276</v>
      </c>
      <c r="E10" s="273">
        <f>TableA2!C10</f>
        <v>496.98457655004552</v>
      </c>
      <c r="F10" s="471">
        <f t="shared" ref="F10:F11" si="1">G10+H10</f>
        <v>173.93973304365139</v>
      </c>
      <c r="G10" s="325">
        <f>TableA2!E10-TableA6!D10*TableC2!D$95-O10</f>
        <v>-17.866772354273554</v>
      </c>
      <c r="H10" s="115">
        <f>TableA2!F10+TableA6!D10+N10</f>
        <v>191.80650539792495</v>
      </c>
      <c r="I10" s="466">
        <f>TableA2!G10</f>
        <v>114.06065705549587</v>
      </c>
      <c r="J10" s="384">
        <f t="shared" ref="J10:J11" si="2">(F10+I10)/D10</f>
        <v>0.36688650399066008</v>
      </c>
      <c r="K10" s="941">
        <f t="shared" ref="K10:K11" si="3">F10/(D10-I10)</f>
        <v>0.25925388386804327</v>
      </c>
      <c r="L10" s="327">
        <f t="shared" ref="L10:L11" si="4">1-K10</f>
        <v>0.74074611613195673</v>
      </c>
      <c r="M10" s="942">
        <f>K10-TableA2!I10</f>
        <v>1.2263560866600659E-2</v>
      </c>
      <c r="N10" s="1005">
        <f>TableC4!C11/1000</f>
        <v>12.959094629306808</v>
      </c>
      <c r="O10" s="1005">
        <f>N10*TableC2!D$95</f>
        <v>2.0323809908045196</v>
      </c>
      <c r="P10" s="1006">
        <f t="shared" ref="P10:P11" si="5">N10-O10</f>
        <v>10.926713638502289</v>
      </c>
      <c r="Q10" s="552"/>
      <c r="R10" s="552"/>
      <c r="S10" s="1696"/>
      <c r="T10" s="940"/>
    </row>
    <row r="11" spans="1:20" ht="14.25" customHeight="1" x14ac:dyDescent="0.35">
      <c r="A11" s="15" t="s">
        <v>55</v>
      </c>
      <c r="B11" s="334">
        <f>D11+TableA1!C11+TableA1!H11+TableA1!I11</f>
        <v>385.0923418207438</v>
      </c>
      <c r="C11" s="334">
        <f>B11-TableA1!M11</f>
        <v>316.54979968452596</v>
      </c>
      <c r="D11" s="334">
        <f t="shared" si="0"/>
        <v>219.86346926471094</v>
      </c>
      <c r="E11" s="273">
        <f>TableA2!C11</f>
        <v>124.3274896607254</v>
      </c>
      <c r="F11" s="471">
        <f t="shared" si="1"/>
        <v>50.646947275799384</v>
      </c>
      <c r="G11" s="325">
        <f>TableA2!E11-TableA6!D11*TableC2!D$95-O11</f>
        <v>-0.89953515180933219</v>
      </c>
      <c r="H11" s="115">
        <f>TableA2!F11+TableA6!D11+N11</f>
        <v>51.546482427608716</v>
      </c>
      <c r="I11" s="466">
        <f>TableA2!G11</f>
        <v>44.889032328186154</v>
      </c>
      <c r="J11" s="384">
        <f t="shared" si="2"/>
        <v>0.43452411591378215</v>
      </c>
      <c r="K11" s="941">
        <f t="shared" si="3"/>
        <v>0.28945340909525258</v>
      </c>
      <c r="L11" s="327">
        <f t="shared" si="4"/>
        <v>0.71054659090474748</v>
      </c>
      <c r="M11" s="942">
        <f>K11-TableA2!I11</f>
        <v>1.2506536578508365E-2</v>
      </c>
      <c r="N11" s="1005">
        <f>TableC4!C12/1000</f>
        <v>3.5894388002507043</v>
      </c>
      <c r="O11" s="1005">
        <f>N11*TableC2!D$95</f>
        <v>0.5629333988184585</v>
      </c>
      <c r="P11" s="1006">
        <f t="shared" si="5"/>
        <v>3.0265054014322459</v>
      </c>
      <c r="Q11" s="552"/>
      <c r="R11" s="552"/>
      <c r="S11" s="939"/>
      <c r="T11" s="940"/>
    </row>
    <row r="12" spans="1:20" ht="14.25" customHeight="1" x14ac:dyDescent="0.35">
      <c r="A12" s="15" t="s">
        <v>2</v>
      </c>
      <c r="B12" s="334">
        <f>D12+TableA1!C12+TableA1!H12+TableA1!I12</f>
        <v>447.90071839767779</v>
      </c>
      <c r="C12" s="334">
        <f>B12-TableA1!M12</f>
        <v>359.81386960007251</v>
      </c>
      <c r="D12" s="334">
        <f t="shared" ref="D12:D73" si="6">E12+F12+I12</f>
        <v>276.08487671029923</v>
      </c>
      <c r="E12" s="273">
        <f>TableA2!C12</f>
        <v>166.52659153848629</v>
      </c>
      <c r="F12" s="471">
        <f t="shared" ref="F12:F73" si="7">G12+H12</f>
        <v>52.311033161906707</v>
      </c>
      <c r="G12" s="325">
        <f>TableA2!E12-TableA6!D12*TableC2!F$95-O12</f>
        <v>-14.823985993522784</v>
      </c>
      <c r="H12" s="115">
        <f>TableA2!F12+TableA6!D12+N12</f>
        <v>67.13501915542949</v>
      </c>
      <c r="I12" s="466">
        <f>TableA2!G12</f>
        <v>57.247252009906191</v>
      </c>
      <c r="J12" s="384">
        <f t="shared" ref="J12:J73" si="8">(F12+I12)/D12</f>
        <v>0.39682827425123457</v>
      </c>
      <c r="K12" s="941">
        <f t="shared" ref="K12:K73" si="9">F12/(D12-I12)</f>
        <v>0.23904039917050313</v>
      </c>
      <c r="L12" s="327">
        <f t="shared" ref="L12:L73" si="10">1-K12</f>
        <v>0.76095960082949687</v>
      </c>
      <c r="M12" s="942">
        <f>K12-TableA2!I12</f>
        <v>-2.4562454015201129E-2</v>
      </c>
      <c r="N12" s="1005">
        <f>-TableA7!P12</f>
        <v>-13.106870602869716</v>
      </c>
      <c r="O12" s="1005">
        <f>N12*TableC2!F$95</f>
        <v>-3.0770320403472247</v>
      </c>
      <c r="P12" s="1006">
        <f t="shared" ref="P12" si="11">N12-O12</f>
        <v>-10.029838562522491</v>
      </c>
      <c r="Q12" s="552"/>
      <c r="R12" s="552"/>
      <c r="S12" s="939"/>
      <c r="T12" s="940"/>
    </row>
    <row r="13" spans="1:20" ht="14.25" customHeight="1" x14ac:dyDescent="0.35">
      <c r="A13" s="455" t="s">
        <v>56</v>
      </c>
      <c r="B13" s="334">
        <f>D13+TableA1!C13+TableA1!H13+TableA1!I13</f>
        <v>1575.5727272845493</v>
      </c>
      <c r="C13" s="334">
        <f>B13-TableA1!M13</f>
        <v>1308.8347603734917</v>
      </c>
      <c r="D13" s="334">
        <f t="shared" ref="D13:D44" si="12">E13+F13+I13</f>
        <v>979.7031379333032</v>
      </c>
      <c r="E13" s="273">
        <f>TableA2!C13</f>
        <v>613.39428253347273</v>
      </c>
      <c r="F13" s="471">
        <f t="shared" ref="F13:F44" si="13">G13+H13</f>
        <v>197.27802273493688</v>
      </c>
      <c r="G13" s="325">
        <f>TableA2!E13-TableA6!D13*TableC2!D$95-O13</f>
        <v>35.404953487971213</v>
      </c>
      <c r="H13" s="115">
        <f>TableA2!F13+TableA6!D13+N13</f>
        <v>161.87306924696566</v>
      </c>
      <c r="I13" s="466">
        <f>TableA2!G13</f>
        <v>169.03083266489352</v>
      </c>
      <c r="J13" s="384">
        <f t="shared" ref="J13:J44" si="14">(F13+I13)/D13</f>
        <v>0.37389780762830238</v>
      </c>
      <c r="K13" s="941">
        <f t="shared" ref="K13:K44" si="15">F13/(D13-I13)</f>
        <v>0.24335113146565318</v>
      </c>
      <c r="L13" s="327">
        <f t="shared" ref="L13:L44" si="16">1-K13</f>
        <v>0.75664886853434687</v>
      </c>
      <c r="M13" s="942">
        <f>K13-TableA2!I13</f>
        <v>1.5185346820580758E-2</v>
      </c>
      <c r="N13" s="1005">
        <f>TableC4!C14/1000</f>
        <v>18.916079243072261</v>
      </c>
      <c r="O13" s="1005">
        <f>N13*TableC2!D$95</f>
        <v>2.9666177286204793</v>
      </c>
      <c r="P13" s="1006">
        <f t="shared" ref="P13:P44" si="17">N13-O13</f>
        <v>15.949461514451782</v>
      </c>
      <c r="Q13" s="552"/>
      <c r="R13" s="552"/>
      <c r="S13" s="1696"/>
      <c r="T13" s="940"/>
    </row>
    <row r="14" spans="1:20" ht="14.25" customHeight="1" x14ac:dyDescent="0.35">
      <c r="A14" s="455" t="s">
        <v>57</v>
      </c>
      <c r="B14" s="334">
        <f>D14+TableA1!C14+TableA1!H14+TableA1!I14</f>
        <v>225.78080700869211</v>
      </c>
      <c r="C14" s="334">
        <f>B14-TableA1!M14</f>
        <v>198.41855211159856</v>
      </c>
      <c r="D14" s="334">
        <f t="shared" si="12"/>
        <v>158.54491377418532</v>
      </c>
      <c r="E14" s="273">
        <f>TableA2!C14</f>
        <v>67.029473521292758</v>
      </c>
      <c r="F14" s="471">
        <f t="shared" si="13"/>
        <v>70.573640252892559</v>
      </c>
      <c r="G14" s="325">
        <f>TableA2!E14-TableA6!D14*TableC2!D$95-O14</f>
        <v>-2.1507590802656877</v>
      </c>
      <c r="H14" s="115">
        <f>TableA2!F14+TableA6!D14+N14</f>
        <v>72.724399333158246</v>
      </c>
      <c r="I14" s="466">
        <f>TableA2!G14</f>
        <v>20.941800000000001</v>
      </c>
      <c r="J14" s="384">
        <f t="shared" si="14"/>
        <v>0.57722091535044462</v>
      </c>
      <c r="K14" s="941">
        <f t="shared" si="15"/>
        <v>0.51287822140934969</v>
      </c>
      <c r="L14" s="327">
        <f t="shared" si="16"/>
        <v>0.48712177859065031</v>
      </c>
      <c r="M14" s="942">
        <f>K14-TableA2!I14</f>
        <v>1.5974526685013701E-2</v>
      </c>
      <c r="N14" s="1005">
        <f>TableC4!C15/1000</f>
        <v>5.1819143745614014</v>
      </c>
      <c r="O14" s="1005">
        <f>N14*TableC2!D$95</f>
        <v>0.81268210257668516</v>
      </c>
      <c r="P14" s="1006">
        <f t="shared" si="17"/>
        <v>4.3692322719847159</v>
      </c>
      <c r="Q14" s="552"/>
      <c r="R14" s="552"/>
      <c r="S14" s="939"/>
      <c r="T14" s="940"/>
    </row>
    <row r="15" spans="1:20" ht="14.25" customHeight="1" x14ac:dyDescent="0.35">
      <c r="A15" s="455" t="s">
        <v>58</v>
      </c>
      <c r="B15" s="334">
        <f>D15+TableA1!C15+TableA1!H15+TableA1!I15</f>
        <v>188.31444883225225</v>
      </c>
      <c r="C15" s="334">
        <f>B15-TableA1!M15</f>
        <v>148.93126879261609</v>
      </c>
      <c r="D15" s="334">
        <f t="shared" si="12"/>
        <v>113.63805267391089</v>
      </c>
      <c r="E15" s="273">
        <f>TableA2!C15</f>
        <v>54.009329742364955</v>
      </c>
      <c r="F15" s="471">
        <f t="shared" si="13"/>
        <v>34.123524496666107</v>
      </c>
      <c r="G15" s="325">
        <f>TableA2!E15-TableA6!D15*TableC2!D$95-O15</f>
        <v>-1.214541873895207</v>
      </c>
      <c r="H15" s="115">
        <f>TableA2!F15+TableA6!D15+N15</f>
        <v>35.338066370561314</v>
      </c>
      <c r="I15" s="466">
        <f>TableA2!G15</f>
        <v>25.505198434879823</v>
      </c>
      <c r="J15" s="384">
        <f t="shared" si="14"/>
        <v>0.52472496253216361</v>
      </c>
      <c r="K15" s="941">
        <f t="shared" si="15"/>
        <v>0.38718279115433374</v>
      </c>
      <c r="L15" s="327">
        <f t="shared" si="16"/>
        <v>0.61281720884566626</v>
      </c>
      <c r="M15" s="942">
        <f>K15-TableA2!I15</f>
        <v>1.049912972528172E-2</v>
      </c>
      <c r="N15" s="1005">
        <f>TableC4!C16/1000</f>
        <v>1.7606284926203615</v>
      </c>
      <c r="O15" s="1005">
        <f>N15*TableC2!D$95</f>
        <v>0.27612020612753585</v>
      </c>
      <c r="P15" s="1006">
        <f t="shared" si="17"/>
        <v>1.4845082864928256</v>
      </c>
      <c r="Q15" s="552"/>
      <c r="R15" s="552"/>
      <c r="S15" s="939"/>
      <c r="T15" s="940"/>
    </row>
    <row r="16" spans="1:20" ht="14.25" customHeight="1" x14ac:dyDescent="0.35">
      <c r="A16" s="455" t="s">
        <v>59</v>
      </c>
      <c r="B16" s="334">
        <f>D16+TableA1!C16+TableA1!H16+TableA1!I16</f>
        <v>303.79572827729891</v>
      </c>
      <c r="C16" s="334">
        <f>B16-TableA1!M16</f>
        <v>253.74435271577585</v>
      </c>
      <c r="D16" s="334">
        <f t="shared" si="12"/>
        <v>173.8136996909941</v>
      </c>
      <c r="E16" s="273">
        <f>TableA2!C16</f>
        <v>98.579989289388223</v>
      </c>
      <c r="F16" s="471">
        <f t="shared" si="13"/>
        <v>43.754381094586641</v>
      </c>
      <c r="G16" s="325">
        <f>TableA2!E16-TableA6!D16*TableC2!D$95-O16</f>
        <v>-10.899984276818733</v>
      </c>
      <c r="H16" s="115">
        <f>TableA2!F16+TableA6!D16+N16</f>
        <v>54.654365371405376</v>
      </c>
      <c r="I16" s="466">
        <f>TableA2!G16</f>
        <v>31.479329307019256</v>
      </c>
      <c r="J16" s="384">
        <f t="shared" si="14"/>
        <v>0.43284108522720788</v>
      </c>
      <c r="K16" s="941">
        <f t="shared" si="15"/>
        <v>0.3074055899256844</v>
      </c>
      <c r="L16" s="327">
        <f t="shared" si="16"/>
        <v>0.69259441007431555</v>
      </c>
      <c r="M16" s="942">
        <f>K16-TableA2!I16</f>
        <v>1.2368648393325632E-2</v>
      </c>
      <c r="N16" s="1005">
        <f>TableC4!C17/1000</f>
        <v>2.9617661722785193</v>
      </c>
      <c r="O16" s="1005">
        <f>N16*TableC2!D$95</f>
        <v>0.46449520124143978</v>
      </c>
      <c r="P16" s="1006">
        <f t="shared" si="17"/>
        <v>2.4972709710370795</v>
      </c>
      <c r="Q16" s="552"/>
      <c r="R16" s="552"/>
      <c r="S16" s="1695"/>
      <c r="T16" s="940"/>
    </row>
    <row r="17" spans="1:20" ht="14.25" customHeight="1" x14ac:dyDescent="0.35">
      <c r="A17" s="455" t="s">
        <v>60</v>
      </c>
      <c r="B17" s="334">
        <f>D17+TableA1!C17+TableA1!H17+TableA1!I17</f>
        <v>22.665739841195911</v>
      </c>
      <c r="C17" s="334">
        <f>B17-TableA1!M17</f>
        <v>19.049184136655725</v>
      </c>
      <c r="D17" s="334">
        <f t="shared" si="12"/>
        <v>14.505337737961762</v>
      </c>
      <c r="E17" s="273">
        <f>TableA2!C17</f>
        <v>7.9577756114007627</v>
      </c>
      <c r="F17" s="471">
        <f t="shared" si="13"/>
        <v>4.2397051651154865</v>
      </c>
      <c r="G17" s="325">
        <f>TableA2!E17-TableA6!D17*TableC2!D$95-O17</f>
        <v>-8.3690303314067405E-2</v>
      </c>
      <c r="H17" s="115">
        <f>TableA2!F17+TableA6!D17+N17</f>
        <v>4.3233954684295535</v>
      </c>
      <c r="I17" s="466">
        <f>TableA2!G17</f>
        <v>2.3078569614455131</v>
      </c>
      <c r="J17" s="384">
        <f t="shared" si="14"/>
        <v>0.45138984316273073</v>
      </c>
      <c r="K17" s="941">
        <f t="shared" si="15"/>
        <v>0.3475885916769117</v>
      </c>
      <c r="L17" s="327">
        <f t="shared" si="16"/>
        <v>0.6524114083230883</v>
      </c>
      <c r="M17" s="942">
        <f>K17-TableA2!I17</f>
        <v>1.1178629317833977E-2</v>
      </c>
      <c r="N17" s="1005">
        <f>TableC4!C18/1000</f>
        <v>0.24369349684162625</v>
      </c>
      <c r="O17" s="1005">
        <f>N17*TableC2!D$95</f>
        <v>3.8218567325184763E-2</v>
      </c>
      <c r="P17" s="1006">
        <f t="shared" si="17"/>
        <v>0.20547492951644147</v>
      </c>
      <c r="Q17" s="552"/>
      <c r="R17" s="552"/>
      <c r="S17" s="939"/>
      <c r="T17" s="940"/>
    </row>
    <row r="18" spans="1:20" ht="14.25" customHeight="1" x14ac:dyDescent="0.35">
      <c r="A18" s="455" t="s">
        <v>61</v>
      </c>
      <c r="B18" s="334">
        <f>D18+TableA1!C18+TableA1!H18+TableA1!I18</f>
        <v>234.75391828426905</v>
      </c>
      <c r="C18" s="334">
        <f>B18-TableA1!M18</f>
        <v>190.70733304528181</v>
      </c>
      <c r="D18" s="334">
        <f t="shared" si="12"/>
        <v>130.06023697015809</v>
      </c>
      <c r="E18" s="273">
        <f>TableA2!C18</f>
        <v>75.447591606139355</v>
      </c>
      <c r="F18" s="471">
        <f t="shared" si="13"/>
        <v>28.837934525442272</v>
      </c>
      <c r="G18" s="325">
        <f>TableA2!E18-TableA6!D18*TableC2!D$95-O18</f>
        <v>1.0282122276002768</v>
      </c>
      <c r="H18" s="115">
        <f>TableA2!F18+TableA6!D18+N18</f>
        <v>27.809722297841994</v>
      </c>
      <c r="I18" s="466">
        <f>TableA2!G18</f>
        <v>25.774710838576446</v>
      </c>
      <c r="J18" s="384">
        <f t="shared" si="14"/>
        <v>0.41990270536374169</v>
      </c>
      <c r="K18" s="941">
        <f t="shared" si="15"/>
        <v>0.27652863820292933</v>
      </c>
      <c r="L18" s="327">
        <f t="shared" si="16"/>
        <v>0.72347136179707072</v>
      </c>
      <c r="M18" s="942">
        <f>K18-TableA2!I18</f>
        <v>1.6236791215999413E-2</v>
      </c>
      <c r="N18" s="1005">
        <f>TableC4!C19/1000</f>
        <v>2.7148693656359137</v>
      </c>
      <c r="O18" s="1005">
        <f>N18*TableC2!D$95</f>
        <v>0.42577425731253415</v>
      </c>
      <c r="P18" s="1006">
        <f t="shared" si="17"/>
        <v>2.2890951083233797</v>
      </c>
      <c r="Q18" s="552"/>
      <c r="R18" s="552"/>
      <c r="S18" s="939"/>
      <c r="T18" s="940"/>
    </row>
    <row r="19" spans="1:20" ht="14.25" customHeight="1" x14ac:dyDescent="0.35">
      <c r="A19" s="455" t="s">
        <v>48</v>
      </c>
      <c r="B19" s="334">
        <f>D19+TableA1!C19+TableA1!H19+TableA1!I19</f>
        <v>2460.614272483208</v>
      </c>
      <c r="C19" s="334">
        <f>B19-TableA1!M19</f>
        <v>2025.0815489147635</v>
      </c>
      <c r="D19" s="334">
        <f t="shared" si="12"/>
        <v>1335.518199577597</v>
      </c>
      <c r="E19" s="273">
        <f>TableA2!C19</f>
        <v>871.38042208861668</v>
      </c>
      <c r="F19" s="471">
        <f t="shared" si="13"/>
        <v>201.73037069772113</v>
      </c>
      <c r="G19" s="325">
        <f>TableA2!E19-TableA6!D19*TableC2!D$95-O19</f>
        <v>-18.012286415645686</v>
      </c>
      <c r="H19" s="115">
        <f>TableA2!F19+TableA6!D19+N19</f>
        <v>219.74265711336682</v>
      </c>
      <c r="I19" s="466">
        <f>TableA2!G19</f>
        <v>262.40740679125923</v>
      </c>
      <c r="J19" s="384">
        <f t="shared" si="14"/>
        <v>0.3475338468886307</v>
      </c>
      <c r="K19" s="941">
        <f t="shared" si="15"/>
        <v>0.18798652669770208</v>
      </c>
      <c r="L19" s="327">
        <f t="shared" si="16"/>
        <v>0.81201347330229789</v>
      </c>
      <c r="M19" s="942">
        <f>K19-TableA2!I19</f>
        <v>2.0999669358550216E-2</v>
      </c>
      <c r="N19" s="1005">
        <f>TableC4!C20/1000</f>
        <v>32.084129887442167</v>
      </c>
      <c r="O19" s="1005">
        <f>N19*TableC2!D$95</f>
        <v>5.0317693909168248</v>
      </c>
      <c r="P19" s="1006">
        <f t="shared" si="17"/>
        <v>27.052360496525342</v>
      </c>
      <c r="Q19" s="552"/>
      <c r="R19" s="552"/>
      <c r="S19" s="939"/>
      <c r="T19" s="940"/>
    </row>
    <row r="20" spans="1:20" ht="14.25" customHeight="1" x14ac:dyDescent="0.35">
      <c r="A20" s="455" t="s">
        <v>62</v>
      </c>
      <c r="B20" s="334">
        <f>D20+TableA1!C20+TableA1!H20+TableA1!I20</f>
        <v>3421.9046221208609</v>
      </c>
      <c r="C20" s="334">
        <f>B20-TableA1!M20</f>
        <v>2827.3117660633047</v>
      </c>
      <c r="D20" s="334">
        <f t="shared" si="12"/>
        <v>2119.2669287134859</v>
      </c>
      <c r="E20" s="273">
        <f>TableA2!C20</f>
        <v>1223.0067020902579</v>
      </c>
      <c r="F20" s="471">
        <f t="shared" si="13"/>
        <v>553.43993646918989</v>
      </c>
      <c r="G20" s="325">
        <f>TableA2!E20-TableA6!D20*TableC2!D$95-O20</f>
        <v>-54.513836551872288</v>
      </c>
      <c r="H20" s="115">
        <f>TableA2!F20+TableA6!D20+N20</f>
        <v>607.95377302106215</v>
      </c>
      <c r="I20" s="466">
        <f>TableA2!G20</f>
        <v>342.82029015403828</v>
      </c>
      <c r="J20" s="384">
        <f t="shared" si="14"/>
        <v>0.4229104953604445</v>
      </c>
      <c r="K20" s="941">
        <f t="shared" si="15"/>
        <v>0.31154323718835947</v>
      </c>
      <c r="L20" s="327">
        <f t="shared" si="16"/>
        <v>0.68845676281164048</v>
      </c>
      <c r="M20" s="942">
        <f>K20-TableA2!I20</f>
        <v>1.8421022430486433E-2</v>
      </c>
      <c r="N20" s="1005">
        <f>TableC4!C21/1000</f>
        <v>54.904338589641874</v>
      </c>
      <c r="O20" s="1005">
        <f>N20*TableC2!D$95</f>
        <v>8.6106736044609029</v>
      </c>
      <c r="P20" s="1006">
        <f t="shared" si="17"/>
        <v>46.293664985180968</v>
      </c>
      <c r="Q20" s="552"/>
      <c r="R20" s="552"/>
      <c r="S20" s="939"/>
      <c r="T20" s="940"/>
    </row>
    <row r="21" spans="1:20" ht="14.25" customHeight="1" x14ac:dyDescent="0.35">
      <c r="A21" s="455" t="s">
        <v>63</v>
      </c>
      <c r="B21" s="334">
        <f>D21+TableA1!C21+TableA1!H21+TableA1!I21</f>
        <v>195.74287713149539</v>
      </c>
      <c r="C21" s="334">
        <f>B21-TableA1!M21</f>
        <v>157.59828976531816</v>
      </c>
      <c r="D21" s="334">
        <f t="shared" si="12"/>
        <v>66.257153703902489</v>
      </c>
      <c r="E21" s="273">
        <f>TableA2!C21</f>
        <v>27.693378982519995</v>
      </c>
      <c r="F21" s="471">
        <f t="shared" si="13"/>
        <v>20.721551663663334</v>
      </c>
      <c r="G21" s="325">
        <f>TableA2!E21-TableA6!D21*TableC2!D$95-O21</f>
        <v>-2.9327448922934218</v>
      </c>
      <c r="H21" s="115">
        <f>TableA2!F21+TableA6!D21+N21</f>
        <v>23.654296555956755</v>
      </c>
      <c r="I21" s="466">
        <f>TableA2!G21</f>
        <v>17.842223057719163</v>
      </c>
      <c r="J21" s="384">
        <f t="shared" si="14"/>
        <v>0.58203186472091284</v>
      </c>
      <c r="K21" s="941">
        <f t="shared" si="15"/>
        <v>0.42799920163258293</v>
      </c>
      <c r="L21" s="327">
        <f t="shared" si="16"/>
        <v>0.57200079836741713</v>
      </c>
      <c r="M21" s="942">
        <f>K21-TableA2!I21</f>
        <v>1.0618541945894677E-2</v>
      </c>
      <c r="N21" s="1005">
        <f>TableC4!C22/1000</f>
        <v>1.0465124601954992</v>
      </c>
      <c r="O21" s="1005">
        <f>N21*TableC2!D$95</f>
        <v>0.1641250482060238</v>
      </c>
      <c r="P21" s="1006">
        <f t="shared" si="17"/>
        <v>0.88238741198947535</v>
      </c>
      <c r="Q21" s="552"/>
      <c r="R21" s="552"/>
      <c r="S21" s="939"/>
      <c r="T21" s="940"/>
    </row>
    <row r="22" spans="1:20" ht="14.25" customHeight="1" x14ac:dyDescent="0.35">
      <c r="A22" s="455" t="s">
        <v>64</v>
      </c>
      <c r="B22" s="334">
        <f>D22+TableA1!C22+TableA1!H22+TableA1!I22</f>
        <v>123.73450066919588</v>
      </c>
      <c r="C22" s="334">
        <f>B22-TableA1!M22</f>
        <v>102.92285146976509</v>
      </c>
      <c r="D22" s="334">
        <f t="shared" si="12"/>
        <v>68.619696627417696</v>
      </c>
      <c r="E22" s="273">
        <f>TableA2!C22</f>
        <v>34.2062595652135</v>
      </c>
      <c r="F22" s="471">
        <f t="shared" si="13"/>
        <v>21.562419010241033</v>
      </c>
      <c r="G22" s="325">
        <f>TableA2!E22-TableA6!D22*TableC2!D$95-O22</f>
        <v>-1.5007596269518664</v>
      </c>
      <c r="H22" s="115">
        <f>TableA2!F22+TableA6!D22+N22</f>
        <v>23.063178637192898</v>
      </c>
      <c r="I22" s="466">
        <f>TableA2!G22</f>
        <v>12.851018051963162</v>
      </c>
      <c r="J22" s="384">
        <f t="shared" si="14"/>
        <v>0.50150960662297595</v>
      </c>
      <c r="K22" s="941">
        <f t="shared" si="15"/>
        <v>0.38664030708684033</v>
      </c>
      <c r="L22" s="327">
        <f t="shared" si="16"/>
        <v>0.61335969291315973</v>
      </c>
      <c r="M22" s="942">
        <f>K22-TableA2!I22</f>
        <v>2.3043161525735711E-2</v>
      </c>
      <c r="N22" s="1005">
        <f>TableC4!C23/1000</f>
        <v>2.3948890539900791</v>
      </c>
      <c r="O22" s="1005">
        <f>N22*TableC2!D$95</f>
        <v>0.37559159244102325</v>
      </c>
      <c r="P22" s="1006">
        <f t="shared" si="17"/>
        <v>2.0192974615490558</v>
      </c>
      <c r="Q22" s="552"/>
      <c r="R22" s="552"/>
      <c r="S22" s="939"/>
      <c r="T22" s="940"/>
    </row>
    <row r="23" spans="1:20" ht="14.25" customHeight="1" x14ac:dyDescent="0.35">
      <c r="A23" s="455" t="s">
        <v>65</v>
      </c>
      <c r="B23" s="334">
        <f>D23+TableA1!C23+TableA1!H23+TableA1!I23</f>
        <v>17.148694706588422</v>
      </c>
      <c r="C23" s="334">
        <f>B23-TableA1!M23</f>
        <v>14.695447814619875</v>
      </c>
      <c r="D23" s="334">
        <f t="shared" si="12"/>
        <v>9.1659344830108154</v>
      </c>
      <c r="E23" s="273">
        <f>TableA2!C23</f>
        <v>5.1275502981429524</v>
      </c>
      <c r="F23" s="471">
        <f t="shared" si="13"/>
        <v>2.5203841848678628</v>
      </c>
      <c r="G23" s="325">
        <f>TableA2!E23-TableA6!D23*TableC2!D$95-O23</f>
        <v>-6.6359555418799787E-2</v>
      </c>
      <c r="H23" s="115">
        <f>TableA2!F23+TableA6!D23+N23</f>
        <v>2.5867437402866624</v>
      </c>
      <c r="I23" s="466">
        <f>TableA2!G23</f>
        <v>1.518</v>
      </c>
      <c r="J23" s="384">
        <f t="shared" si="14"/>
        <v>0.44058619362303575</v>
      </c>
      <c r="K23" s="941">
        <f t="shared" si="15"/>
        <v>0.32955096444231641</v>
      </c>
      <c r="L23" s="327">
        <f t="shared" si="16"/>
        <v>0.67044903555768354</v>
      </c>
      <c r="M23" s="942">
        <f>K23-TableA2!I23</f>
        <v>3.3997067284633087E-2</v>
      </c>
      <c r="N23" s="1005">
        <f>TableC4!C24/1000</f>
        <v>0.43774676216057212</v>
      </c>
      <c r="O23" s="1005">
        <f>N23*TableC2!D$95</f>
        <v>6.8652033467631463E-2</v>
      </c>
      <c r="P23" s="1006">
        <f t="shared" si="17"/>
        <v>0.36909472869294069</v>
      </c>
      <c r="Q23" s="552"/>
      <c r="R23" s="552"/>
      <c r="S23" s="939"/>
      <c r="T23" s="940"/>
    </row>
    <row r="24" spans="1:20" ht="14.25" customHeight="1" x14ac:dyDescent="0.35">
      <c r="A24" s="455" t="s">
        <v>19</v>
      </c>
      <c r="B24" s="334">
        <f>D24+TableA1!C24+TableA1!H24+TableA1!I24</f>
        <v>234.4649664601981</v>
      </c>
      <c r="C24" s="334">
        <f>B24-TableA1!M24</f>
        <v>171.49064246409756</v>
      </c>
      <c r="D24" s="334">
        <f t="shared" si="12"/>
        <v>160.20782723128787</v>
      </c>
      <c r="E24" s="273">
        <f>TableA2!C24</f>
        <v>61.361034049457722</v>
      </c>
      <c r="F24" s="471">
        <f t="shared" si="13"/>
        <v>44.71500300394694</v>
      </c>
      <c r="G24" s="325">
        <f>TableA2!E24-TableA6!D24*TableC2!H$95-O24</f>
        <v>-23.261135220678916</v>
      </c>
      <c r="H24" s="115">
        <f>TableA2!F24+TableA6!D24+N24</f>
        <v>67.976138224625856</v>
      </c>
      <c r="I24" s="466">
        <f>TableA2!G24</f>
        <v>54.131790177883211</v>
      </c>
      <c r="J24" s="384">
        <f t="shared" si="14"/>
        <v>0.61699103527025312</v>
      </c>
      <c r="K24" s="941">
        <f t="shared" si="15"/>
        <v>0.42153726935928881</v>
      </c>
      <c r="L24" s="327">
        <f t="shared" si="16"/>
        <v>0.57846273064071119</v>
      </c>
      <c r="M24" s="942">
        <f>K24-TableA2!I24</f>
        <v>-0.20022366435044336</v>
      </c>
      <c r="N24" s="1005">
        <f>-TableA7!P24</f>
        <v>-106.3289638729139</v>
      </c>
      <c r="O24" s="1005">
        <f>N24*TableC2!H$95</f>
        <v>-2.5980015194057184</v>
      </c>
      <c r="P24" s="1006">
        <f t="shared" si="17"/>
        <v>-103.73096235350819</v>
      </c>
      <c r="Q24" s="552"/>
      <c r="R24" s="552"/>
      <c r="S24" s="939"/>
      <c r="T24" s="940"/>
    </row>
    <row r="25" spans="1:20" ht="14.25" customHeight="1" x14ac:dyDescent="0.35">
      <c r="A25" s="455" t="s">
        <v>95</v>
      </c>
      <c r="B25" s="334">
        <f>D25+TableA1!C25+TableA1!H25+TableA1!I25</f>
        <v>299.66778302323962</v>
      </c>
      <c r="C25" s="334">
        <f>B25-TableA1!M25</f>
        <v>260.69763416425855</v>
      </c>
      <c r="D25" s="334">
        <f t="shared" si="12"/>
        <v>169.18486196643065</v>
      </c>
      <c r="E25" s="273">
        <f>TableA2!C25</f>
        <v>91.954332974943853</v>
      </c>
      <c r="F25" s="471">
        <f t="shared" si="13"/>
        <v>54.438913401107698</v>
      </c>
      <c r="G25" s="325">
        <f>TableA2!E25-TableA6!D25*TableC2!D$95-O25</f>
        <v>-6.280754075894146E-2</v>
      </c>
      <c r="H25" s="115">
        <f>TableA2!F25+TableA6!D25+N25</f>
        <v>54.501720941866637</v>
      </c>
      <c r="I25" s="466">
        <f>TableA2!G25</f>
        <v>22.791615590379109</v>
      </c>
      <c r="J25" s="384">
        <f t="shared" si="14"/>
        <v>0.45648604782862162</v>
      </c>
      <c r="K25" s="941">
        <f t="shared" si="15"/>
        <v>0.37186765611622746</v>
      </c>
      <c r="L25" s="327">
        <f t="shared" si="16"/>
        <v>0.62813234388377248</v>
      </c>
      <c r="M25" s="942">
        <f>K25-TableA2!I25</f>
        <v>2.4721800539052596E-3</v>
      </c>
      <c r="N25" s="1005">
        <f>TableC4!C26/1000</f>
        <v>0.68065831999156556</v>
      </c>
      <c r="O25" s="1005">
        <f>N25*TableC2!D$95</f>
        <v>0.1067479689248781</v>
      </c>
      <c r="P25" s="1006">
        <f t="shared" si="17"/>
        <v>0.57391035106668742</v>
      </c>
      <c r="Q25" s="552"/>
      <c r="R25" s="552"/>
      <c r="S25" s="939"/>
      <c r="T25" s="940"/>
    </row>
    <row r="26" spans="1:20" ht="14.25" customHeight="1" x14ac:dyDescent="0.35">
      <c r="A26" s="455" t="s">
        <v>66</v>
      </c>
      <c r="B26" s="334">
        <f>D26+TableA1!C26+TableA1!H26+TableA1!I26</f>
        <v>1851.4893038344358</v>
      </c>
      <c r="C26" s="334">
        <f>B26-TableA1!M26</f>
        <v>1520.5029775181677</v>
      </c>
      <c r="D26" s="334">
        <f t="shared" si="12"/>
        <v>891.89315939402081</v>
      </c>
      <c r="E26" s="273">
        <f>TableA2!C26</f>
        <v>491.69619556839115</v>
      </c>
      <c r="F26" s="471">
        <f t="shared" si="13"/>
        <v>213.52007156369916</v>
      </c>
      <c r="G26" s="325">
        <f>TableA2!E26-TableA6!D26*TableC2!D$95-O26</f>
        <v>-21.076819372445968</v>
      </c>
      <c r="H26" s="115">
        <f>TableA2!F26+TableA6!D26+N26</f>
        <v>234.59689093614512</v>
      </c>
      <c r="I26" s="466">
        <f>TableA2!G26</f>
        <v>186.6768922619305</v>
      </c>
      <c r="J26" s="384">
        <f t="shared" si="14"/>
        <v>0.44870504904145198</v>
      </c>
      <c r="K26" s="941">
        <f t="shared" si="15"/>
        <v>0.30277247068055207</v>
      </c>
      <c r="L26" s="327">
        <f t="shared" si="16"/>
        <v>0.69722752931944787</v>
      </c>
      <c r="M26" s="942">
        <f>K26-TableA2!I26</f>
        <v>1.9453228191403049E-2</v>
      </c>
      <c r="N26" s="1005">
        <f>TableC4!C27/1000</f>
        <v>22.702482961511631</v>
      </c>
      <c r="O26" s="1005">
        <f>N26*TableC2!D$95</f>
        <v>3.5604412294894869</v>
      </c>
      <c r="P26" s="1006">
        <f t="shared" si="17"/>
        <v>19.142041732022143</v>
      </c>
      <c r="Q26" s="552"/>
      <c r="R26" s="552"/>
      <c r="S26" s="939"/>
      <c r="T26" s="940"/>
    </row>
    <row r="27" spans="1:20" ht="14.25" customHeight="1" x14ac:dyDescent="0.35">
      <c r="A27" s="455" t="s">
        <v>67</v>
      </c>
      <c r="B27" s="334">
        <f>D27+TableA1!C27+TableA1!H27+TableA1!I27</f>
        <v>4375.8429460408979</v>
      </c>
      <c r="C27" s="334">
        <f>B27-TableA1!M27</f>
        <v>3383.9336383286545</v>
      </c>
      <c r="D27" s="334">
        <f t="shared" si="12"/>
        <v>2740.9698663769186</v>
      </c>
      <c r="E27" s="273">
        <f>TableA2!C27</f>
        <v>1514.0182782989034</v>
      </c>
      <c r="F27" s="471">
        <f t="shared" si="13"/>
        <v>566.94382065652383</v>
      </c>
      <c r="G27" s="325">
        <f>TableA2!E27-TableA6!D27*TableC2!D$95-O27</f>
        <v>-75.745916908016312</v>
      </c>
      <c r="H27" s="115">
        <f>TableA2!F27+TableA6!D27+N27</f>
        <v>642.68973756454011</v>
      </c>
      <c r="I27" s="466">
        <f>TableA2!G27</f>
        <v>660.00776742149105</v>
      </c>
      <c r="J27" s="384">
        <f t="shared" si="14"/>
        <v>0.4476341032161108</v>
      </c>
      <c r="K27" s="941">
        <f t="shared" si="15"/>
        <v>0.27244312663892839</v>
      </c>
      <c r="L27" s="327">
        <f t="shared" si="16"/>
        <v>0.72755687336107155</v>
      </c>
      <c r="M27" s="942">
        <f>K27-TableA2!I27</f>
        <v>2.5305435462888992E-3</v>
      </c>
      <c r="N27" s="1005">
        <f>TableC4!C28/1000</f>
        <v>8.5543737634504904</v>
      </c>
      <c r="O27" s="1005">
        <f>N27*TableC2!D$95</f>
        <v>1.3415865168355263</v>
      </c>
      <c r="P27" s="1006">
        <f t="shared" si="17"/>
        <v>7.2127872466149636</v>
      </c>
      <c r="Q27" s="552"/>
      <c r="R27" s="552"/>
      <c r="S27" s="939"/>
      <c r="T27" s="940"/>
    </row>
    <row r="28" spans="1:20" ht="14.25" customHeight="1" x14ac:dyDescent="0.35">
      <c r="A28" s="455" t="s">
        <v>68</v>
      </c>
      <c r="B28" s="334">
        <f>D28+TableA1!C28+TableA1!H28+TableA1!I28</f>
        <v>1386.8404413498845</v>
      </c>
      <c r="C28" s="334">
        <f>B28-TableA1!M28</f>
        <v>1116.6036264059001</v>
      </c>
      <c r="D28" s="334">
        <f t="shared" si="12"/>
        <v>847.53906201057941</v>
      </c>
      <c r="E28" s="273">
        <f>TableA2!C28</f>
        <v>414.68018379403401</v>
      </c>
      <c r="F28" s="471">
        <f t="shared" si="13"/>
        <v>249.05998195320453</v>
      </c>
      <c r="G28" s="325">
        <f>TableA2!E28-TableA6!D28*TableC2!D$95-O28</f>
        <v>-3.9917195854139731</v>
      </c>
      <c r="H28" s="115">
        <f>TableA2!F28+TableA6!D28+N28</f>
        <v>253.05170153861849</v>
      </c>
      <c r="I28" s="466">
        <f>TableA2!G28</f>
        <v>183.79889626334088</v>
      </c>
      <c r="J28" s="384">
        <f t="shared" si="14"/>
        <v>0.5107243991677427</v>
      </c>
      <c r="K28" s="941">
        <f t="shared" si="15"/>
        <v>0.37523717081791014</v>
      </c>
      <c r="L28" s="327">
        <f t="shared" si="16"/>
        <v>0.62476282918208992</v>
      </c>
      <c r="M28" s="942">
        <f>K28-TableA2!I28</f>
        <v>3.8607428181524628E-3</v>
      </c>
      <c r="N28" s="1005">
        <f>TableC4!C29/1000</f>
        <v>4.8346318555725984</v>
      </c>
      <c r="O28" s="1005">
        <f>N28*TableC2!D$95</f>
        <v>0.75821761950736855</v>
      </c>
      <c r="P28" s="1006">
        <f t="shared" si="17"/>
        <v>4.0764142360652302</v>
      </c>
      <c r="Q28" s="552"/>
      <c r="R28" s="552"/>
      <c r="S28" s="939"/>
      <c r="T28" s="940"/>
    </row>
    <row r="29" spans="1:20" ht="14.25" customHeight="1" x14ac:dyDescent="0.35">
      <c r="A29" s="15" t="s">
        <v>69</v>
      </c>
      <c r="B29" s="334">
        <f>D29+TableA1!C29+TableA1!H29+TableA1!I29</f>
        <v>27.178692320530274</v>
      </c>
      <c r="C29" s="334">
        <f>B29-TableA1!M29</f>
        <v>20.969301630701857</v>
      </c>
      <c r="D29" s="334">
        <f t="shared" si="12"/>
        <v>17.035039343074274</v>
      </c>
      <c r="E29" s="273">
        <f>TableA2!C29</f>
        <v>9.2021529203390635</v>
      </c>
      <c r="F29" s="471">
        <f t="shared" si="13"/>
        <v>4.2197422074609223</v>
      </c>
      <c r="G29" s="325">
        <f>TableA2!E29-TableA6!D29*TableC2!D$95-O29</f>
        <v>-0.16711190773478191</v>
      </c>
      <c r="H29" s="115">
        <f>TableA2!F29+TableA6!D29+N29</f>
        <v>4.3868541151957041</v>
      </c>
      <c r="I29" s="466">
        <f>TableA2!G29</f>
        <v>3.6131442152742888</v>
      </c>
      <c r="J29" s="384">
        <f t="shared" si="14"/>
        <v>0.45981029247929095</v>
      </c>
      <c r="K29" s="941">
        <f t="shared" si="15"/>
        <v>0.31439242873540396</v>
      </c>
      <c r="L29" s="327">
        <f t="shared" si="16"/>
        <v>0.68560757126459604</v>
      </c>
      <c r="M29" s="942">
        <f>K29-TableA2!I29</f>
        <v>8.7668869617354983E-3</v>
      </c>
      <c r="N29" s="1005">
        <f>TableC4!C30/1000</f>
        <v>0.20097896727392819</v>
      </c>
      <c r="O29" s="1005">
        <f>N29*TableC2!D$95</f>
        <v>3.1519627282859383E-2</v>
      </c>
      <c r="P29" s="1006">
        <f t="shared" si="17"/>
        <v>0.16945933999106882</v>
      </c>
      <c r="Q29" s="552"/>
      <c r="R29" s="552"/>
      <c r="S29" s="939"/>
      <c r="T29" s="940"/>
    </row>
    <row r="30" spans="1:20" s="118" customFormat="1" ht="14.25" customHeight="1" x14ac:dyDescent="0.35">
      <c r="A30" s="15" t="s">
        <v>70</v>
      </c>
      <c r="B30" s="334">
        <f>D30+TableA1!C30+TableA1!H30+TableA1!I30</f>
        <v>52.141031577291947</v>
      </c>
      <c r="C30" s="334">
        <f>B30-TableA1!M30</f>
        <v>45.255279868497382</v>
      </c>
      <c r="D30" s="334">
        <f t="shared" si="12"/>
        <v>33.587676040442652</v>
      </c>
      <c r="E30" s="273">
        <f>TableA2!C30</f>
        <v>21.552271978652684</v>
      </c>
      <c r="F30" s="471">
        <f t="shared" si="13"/>
        <v>7.8568842444310789</v>
      </c>
      <c r="G30" s="325">
        <f>TableA2!E30-TableA6!D30*0.625-O30</f>
        <v>-36.370975411157787</v>
      </c>
      <c r="H30" s="115">
        <f>TableA2!F30+TableA6!D30+N30</f>
        <v>44.227859655588865</v>
      </c>
      <c r="I30" s="466">
        <f>TableA2!G30</f>
        <v>4.1785198173588904</v>
      </c>
      <c r="J30" s="384">
        <f t="shared" si="14"/>
        <v>0.35832797861031634</v>
      </c>
      <c r="K30" s="941">
        <f t="shared" si="15"/>
        <v>0.26715775810881892</v>
      </c>
      <c r="L30" s="327">
        <f t="shared" si="16"/>
        <v>0.73284224189118108</v>
      </c>
      <c r="M30" s="942">
        <f>K30-TableA2!I30</f>
        <v>-0.11798723247826243</v>
      </c>
      <c r="N30" s="1005">
        <f>-TableA7!P30</f>
        <v>-46.799572185855702</v>
      </c>
      <c r="O30" s="1005">
        <f>N30*0.625</f>
        <v>-29.249732616159815</v>
      </c>
      <c r="P30" s="1006">
        <f t="shared" si="17"/>
        <v>-17.549839569695887</v>
      </c>
      <c r="Q30" s="552"/>
      <c r="R30" s="552"/>
      <c r="S30" s="1014"/>
      <c r="T30" s="1015"/>
    </row>
    <row r="31" spans="1:20" ht="14.25" customHeight="1" x14ac:dyDescent="0.35">
      <c r="A31" s="15" t="s">
        <v>71</v>
      </c>
      <c r="B31" s="334">
        <f>D31+TableA1!C31+TableA1!H31+TableA1!I31</f>
        <v>1159.1017765569741</v>
      </c>
      <c r="C31" s="334">
        <f>B31-TableA1!M31</f>
        <v>1016.9968385217933</v>
      </c>
      <c r="D31" s="334">
        <f t="shared" si="12"/>
        <v>591.56098487293673</v>
      </c>
      <c r="E31" s="273">
        <f>TableA2!C31</f>
        <v>140.22820286912128</v>
      </c>
      <c r="F31" s="471">
        <f t="shared" si="13"/>
        <v>348.97559683019364</v>
      </c>
      <c r="G31" s="325">
        <f>TableA2!E31-TableA6!D31*TableC2!D$95-O31</f>
        <v>10.835019426759914</v>
      </c>
      <c r="H31" s="115">
        <f>TableA2!F31+TableA6!D31+N31</f>
        <v>338.14057740343372</v>
      </c>
      <c r="I31" s="466">
        <f>TableA2!G31</f>
        <v>102.35718517362183</v>
      </c>
      <c r="J31" s="384">
        <f t="shared" si="14"/>
        <v>0.76295224591384891</v>
      </c>
      <c r="K31" s="941">
        <f t="shared" si="15"/>
        <v>0.71335422383204838</v>
      </c>
      <c r="L31" s="327">
        <f t="shared" si="16"/>
        <v>0.28664577616795162</v>
      </c>
      <c r="M31" s="942">
        <f>K31-TableA2!I31</f>
        <v>6.6194304456361763E-3</v>
      </c>
      <c r="N31" s="1005">
        <f>TableC4!C32/1000</f>
        <v>13.095889552074285</v>
      </c>
      <c r="O31" s="1005">
        <f>N31*TableC2!D$95</f>
        <v>2.0538346037785664</v>
      </c>
      <c r="P31" s="1006">
        <f t="shared" si="17"/>
        <v>11.042054948295718</v>
      </c>
      <c r="Q31" s="552"/>
      <c r="R31" s="552"/>
      <c r="S31" s="939"/>
      <c r="T31" s="940"/>
    </row>
    <row r="32" spans="1:20" ht="14.25" customHeight="1" x14ac:dyDescent="0.35">
      <c r="A32" s="15" t="s">
        <v>72</v>
      </c>
      <c r="B32" s="334">
        <f>D32+TableA1!C32+TableA1!H32+TableA1!I32</f>
        <v>745.53259170703814</v>
      </c>
      <c r="C32" s="334">
        <f>B32-TableA1!M32</f>
        <v>621.58883913538966</v>
      </c>
      <c r="D32" s="334">
        <f t="shared" si="12"/>
        <v>488.67162763969122</v>
      </c>
      <c r="E32" s="273">
        <f>TableA2!C32</f>
        <v>282.03899700441076</v>
      </c>
      <c r="F32" s="471">
        <f t="shared" si="13"/>
        <v>134.84052297595466</v>
      </c>
      <c r="G32" s="325">
        <f>TableA2!E32-TableA6!D32*TableC2!K$95-O32</f>
        <v>-2.902101220363452</v>
      </c>
      <c r="H32" s="115">
        <f>TableA2!F32+TableA6!D32+N32</f>
        <v>137.7426241963181</v>
      </c>
      <c r="I32" s="466">
        <f>TableA2!G32</f>
        <v>71.792107659325765</v>
      </c>
      <c r="J32" s="384">
        <f t="shared" si="14"/>
        <v>0.42284556529980366</v>
      </c>
      <c r="K32" s="941">
        <f t="shared" si="15"/>
        <v>0.3234520203398466</v>
      </c>
      <c r="L32" s="327">
        <f t="shared" si="16"/>
        <v>0.67654797966015345</v>
      </c>
      <c r="M32" s="942">
        <f>K32-TableA2!I32</f>
        <v>-1.9644765186238089E-2</v>
      </c>
      <c r="N32" s="1005">
        <f>-TableA7!P32</f>
        <v>-57.353364287520073</v>
      </c>
      <c r="O32" s="1005">
        <f>N32*TableC2!K$95</f>
        <v>-24.860276691798649</v>
      </c>
      <c r="P32" s="1006">
        <f t="shared" si="17"/>
        <v>-32.49308759572142</v>
      </c>
      <c r="Q32" s="552"/>
      <c r="R32" s="552"/>
      <c r="S32" s="939"/>
      <c r="T32" s="940"/>
    </row>
    <row r="33" spans="1:20" ht="14.25" customHeight="1" x14ac:dyDescent="0.35">
      <c r="A33" s="15" t="s">
        <v>73</v>
      </c>
      <c r="B33" s="334">
        <f>D33+TableA1!C33+TableA1!H33+TableA1!I33</f>
        <v>176.85731694060109</v>
      </c>
      <c r="C33" s="334">
        <f>B33-TableA1!M33</f>
        <v>154.93949342300186</v>
      </c>
      <c r="D33" s="334">
        <f t="shared" si="12"/>
        <v>119.00902809316653</v>
      </c>
      <c r="E33" s="273">
        <f>TableA2!C33</f>
        <v>57.141860911103748</v>
      </c>
      <c r="F33" s="471">
        <f t="shared" si="13"/>
        <v>44.938867182062786</v>
      </c>
      <c r="G33" s="325">
        <f>TableA2!E33-TableA6!D33*TableC2!D$95-O33</f>
        <v>-0.20824305848172037</v>
      </c>
      <c r="H33" s="115">
        <f>TableA2!F33+TableA6!D33+N33</f>
        <v>45.147110240544507</v>
      </c>
      <c r="I33" s="466">
        <f>TableA2!G33</f>
        <v>16.9283</v>
      </c>
      <c r="J33" s="384">
        <f t="shared" si="14"/>
        <v>0.51985272187610765</v>
      </c>
      <c r="K33" s="941">
        <f t="shared" si="15"/>
        <v>0.44022870939016234</v>
      </c>
      <c r="L33" s="327">
        <f t="shared" si="16"/>
        <v>0.55977129060983766</v>
      </c>
      <c r="M33" s="942">
        <f>K33-TableA2!I33</f>
        <v>7.1335819274978007E-3</v>
      </c>
      <c r="N33" s="1005">
        <f>TableC4!C34/1000</f>
        <v>1.5234433952929838</v>
      </c>
      <c r="O33" s="1005">
        <f>N33*TableC2!D$95</f>
        <v>0.23892235420197525</v>
      </c>
      <c r="P33" s="1006">
        <f t="shared" si="17"/>
        <v>1.2845210410910086</v>
      </c>
      <c r="Q33" s="552"/>
      <c r="R33" s="552"/>
      <c r="S33" s="939"/>
      <c r="T33" s="940"/>
    </row>
    <row r="34" spans="1:20" ht="14.25" customHeight="1" x14ac:dyDescent="0.35">
      <c r="A34" s="15" t="s">
        <v>74</v>
      </c>
      <c r="B34" s="334">
        <f>D34+TableA1!C34+TableA1!H34+TableA1!I34</f>
        <v>390.97611727653754</v>
      </c>
      <c r="C34" s="334">
        <f>B34-TableA1!M34</f>
        <v>322.55665126101479</v>
      </c>
      <c r="D34" s="334">
        <f t="shared" si="12"/>
        <v>248.44943101123573</v>
      </c>
      <c r="E34" s="273">
        <f>TableA2!C34</f>
        <v>120.45063054869772</v>
      </c>
      <c r="F34" s="471">
        <f t="shared" si="13"/>
        <v>84.318405450877194</v>
      </c>
      <c r="G34" s="325">
        <f>TableA2!E34-TableA6!D34*TableC2!D$95-O34</f>
        <v>2.9728689299984654</v>
      </c>
      <c r="H34" s="115">
        <f>TableA2!F34+TableA6!D34+N34</f>
        <v>81.345536520878724</v>
      </c>
      <c r="I34" s="466">
        <f>TableA2!G34</f>
        <v>43.680395011660849</v>
      </c>
      <c r="J34" s="384">
        <f t="shared" si="14"/>
        <v>0.51519055584695428</v>
      </c>
      <c r="K34" s="941">
        <f t="shared" si="15"/>
        <v>0.41177322068875805</v>
      </c>
      <c r="L34" s="327">
        <f t="shared" si="16"/>
        <v>0.5882267793112419</v>
      </c>
      <c r="M34" s="942">
        <f>K34-TableA2!I34</f>
        <v>1.2910222894438328E-2</v>
      </c>
      <c r="N34" s="1005">
        <f>TableC4!C35/1000</f>
        <v>5.2156647064681243</v>
      </c>
      <c r="O34" s="1005">
        <f>N34*TableC2!D$95</f>
        <v>0.81797518322488438</v>
      </c>
      <c r="P34" s="1006">
        <f t="shared" si="17"/>
        <v>4.3976895232432396</v>
      </c>
      <c r="Q34" s="552"/>
      <c r="R34" s="552"/>
      <c r="S34" s="939"/>
      <c r="T34" s="940"/>
    </row>
    <row r="35" spans="1:20" ht="14.25" customHeight="1" x14ac:dyDescent="0.35">
      <c r="A35" s="15" t="s">
        <v>75</v>
      </c>
      <c r="B35" s="334">
        <f>D35+TableA1!C35+TableA1!H35+TableA1!I35</f>
        <v>480.18269634199908</v>
      </c>
      <c r="C35" s="334">
        <f>B35-TableA1!M35</f>
        <v>425.52425357770676</v>
      </c>
      <c r="D35" s="334">
        <f t="shared" si="12"/>
        <v>238.01556542277899</v>
      </c>
      <c r="E35" s="273">
        <f>TableA2!C35</f>
        <v>110.83432816023345</v>
      </c>
      <c r="F35" s="471">
        <f t="shared" si="13"/>
        <v>90.845914275411971</v>
      </c>
      <c r="G35" s="325">
        <f>TableA2!E35-TableA6!D35*TableC2!D$95-O35</f>
        <v>-0.63453893401917327</v>
      </c>
      <c r="H35" s="115">
        <f>TableA2!F35+TableA6!D35+N35</f>
        <v>91.480453209431147</v>
      </c>
      <c r="I35" s="466">
        <f>TableA2!G35</f>
        <v>36.335322987133573</v>
      </c>
      <c r="J35" s="384">
        <f t="shared" si="14"/>
        <v>0.53434000014510741</v>
      </c>
      <c r="K35" s="941">
        <f t="shared" si="15"/>
        <v>0.45044528496340036</v>
      </c>
      <c r="L35" s="327">
        <f t="shared" si="16"/>
        <v>0.54955471503659958</v>
      </c>
      <c r="M35" s="942">
        <f>K35-TableA2!I35</f>
        <v>8.6246521401181497E-3</v>
      </c>
      <c r="N35" s="1005">
        <f>TableC4!C36/1000</f>
        <v>3.6958663942036614</v>
      </c>
      <c r="O35" s="1005">
        <f>N35*TableC2!D$95</f>
        <v>0.57962448913258358</v>
      </c>
      <c r="P35" s="1006">
        <f t="shared" si="17"/>
        <v>3.1162419050710777</v>
      </c>
      <c r="Q35" s="552"/>
      <c r="R35" s="552"/>
      <c r="S35" s="939"/>
      <c r="T35" s="940"/>
    </row>
    <row r="36" spans="1:20" ht="14.25" customHeight="1" x14ac:dyDescent="0.35">
      <c r="A36" s="15" t="s">
        <v>76</v>
      </c>
      <c r="B36" s="334">
        <f>D36+TableA1!C36+TableA1!H36+TableA1!I36</f>
        <v>201.64468136171513</v>
      </c>
      <c r="C36" s="334">
        <f>B36-TableA1!M36</f>
        <v>167.24963844637796</v>
      </c>
      <c r="D36" s="334">
        <f t="shared" si="12"/>
        <v>103.9783374334673</v>
      </c>
      <c r="E36" s="273">
        <f>TableA2!C36</f>
        <v>57.993657247362911</v>
      </c>
      <c r="F36" s="471">
        <f t="shared" si="13"/>
        <v>28.682713478069537</v>
      </c>
      <c r="G36" s="325">
        <f>TableA2!E36-TableA6!D36*TableC2!D$95-O36</f>
        <v>-0.57354172162739325</v>
      </c>
      <c r="H36" s="115">
        <f>TableA2!F36+TableA6!D36+N36</f>
        <v>29.25625519969693</v>
      </c>
      <c r="I36" s="466">
        <f>TableA2!G36</f>
        <v>17.301966708034854</v>
      </c>
      <c r="J36" s="384">
        <f t="shared" si="14"/>
        <v>0.44225250490784818</v>
      </c>
      <c r="K36" s="941">
        <f t="shared" si="15"/>
        <v>0.33091733350175334</v>
      </c>
      <c r="L36" s="327">
        <f t="shared" si="16"/>
        <v>0.66908266649824666</v>
      </c>
      <c r="M36" s="942">
        <f>K36-TableA2!I36</f>
        <v>1.762340700856474E-2</v>
      </c>
      <c r="N36" s="1005">
        <f>TableC4!C37/1000</f>
        <v>2.6381822918681346</v>
      </c>
      <c r="O36" s="1005">
        <f>N36*TableC2!D$95</f>
        <v>0.41374738696207086</v>
      </c>
      <c r="P36" s="1006">
        <f t="shared" si="17"/>
        <v>2.2244349049060639</v>
      </c>
      <c r="Q36" s="552"/>
      <c r="R36" s="552"/>
      <c r="S36" s="939"/>
      <c r="T36" s="940"/>
    </row>
    <row r="37" spans="1:20" ht="14.25" customHeight="1" x14ac:dyDescent="0.35">
      <c r="A37" s="15" t="s">
        <v>96</v>
      </c>
      <c r="B37" s="334">
        <f>D37+TableA1!C37+TableA1!H37+TableA1!I37</f>
        <v>88.038361945990872</v>
      </c>
      <c r="C37" s="334">
        <f>B37-TableA1!M37</f>
        <v>70.403218283031819</v>
      </c>
      <c r="D37" s="334">
        <f t="shared" si="12"/>
        <v>43.893843896484348</v>
      </c>
      <c r="E37" s="273">
        <f>TableA2!C37</f>
        <v>21.242901141118761</v>
      </c>
      <c r="F37" s="471">
        <f t="shared" si="13"/>
        <v>11.442992743221307</v>
      </c>
      <c r="G37" s="325">
        <f>TableA2!E37-TableA6!D37*TableC2!D$95-O37</f>
        <v>-0.79837087436315313</v>
      </c>
      <c r="H37" s="115">
        <f>TableA2!F37+TableA6!D37+N37</f>
        <v>12.24136361758446</v>
      </c>
      <c r="I37" s="466">
        <f>TableA2!G37</f>
        <v>11.207950012144281</v>
      </c>
      <c r="J37" s="384">
        <f t="shared" si="14"/>
        <v>0.51603916961074814</v>
      </c>
      <c r="K37" s="941">
        <f t="shared" si="15"/>
        <v>0.35008963755779943</v>
      </c>
      <c r="L37" s="327">
        <f t="shared" si="16"/>
        <v>0.64991036244220057</v>
      </c>
      <c r="M37" s="942">
        <f>K37-TableA2!I37</f>
        <v>1.0854600476850662E-2</v>
      </c>
      <c r="N37" s="1005">
        <f>TableC4!C38/1000</f>
        <v>0.63681356041207426</v>
      </c>
      <c r="O37" s="1005">
        <f>N37*TableC2!D$95</f>
        <v>9.9871774370805397E-2</v>
      </c>
      <c r="P37" s="1006">
        <f t="shared" si="17"/>
        <v>0.53694178604126885</v>
      </c>
      <c r="Q37" s="552"/>
      <c r="R37" s="552"/>
      <c r="S37" s="939"/>
      <c r="T37" s="940"/>
    </row>
    <row r="38" spans="1:20" ht="14.25" customHeight="1" x14ac:dyDescent="0.35">
      <c r="A38" s="15" t="s">
        <v>78</v>
      </c>
      <c r="B38" s="334">
        <f>D38+TableA1!C38+TableA1!H38+TableA1!I38</f>
        <v>42.966680070154545</v>
      </c>
      <c r="C38" s="334">
        <f>B38-TableA1!M38</f>
        <v>34.099613252211178</v>
      </c>
      <c r="D38" s="334">
        <f t="shared" si="12"/>
        <v>23.66569355529694</v>
      </c>
      <c r="E38" s="273">
        <f>TableA2!C38</f>
        <v>14.942894708531718</v>
      </c>
      <c r="F38" s="471">
        <f t="shared" si="13"/>
        <v>3.274506310451605</v>
      </c>
      <c r="G38" s="325">
        <f>TableA2!E38-TableA6!D38*TableC2!D$95-O38</f>
        <v>-0.36855118705690693</v>
      </c>
      <c r="H38" s="115">
        <f>TableA2!F38+TableA6!D38+N38</f>
        <v>3.6430574975085119</v>
      </c>
      <c r="I38" s="466">
        <f>TableA2!G38</f>
        <v>5.4482925363136179</v>
      </c>
      <c r="J38" s="384">
        <f t="shared" si="14"/>
        <v>0.36858412057029505</v>
      </c>
      <c r="K38" s="941">
        <f t="shared" si="15"/>
        <v>0.17974607393444472</v>
      </c>
      <c r="L38" s="327">
        <f t="shared" si="16"/>
        <v>0.82025392606555525</v>
      </c>
      <c r="M38" s="942">
        <f>K38-TableA2!I38</f>
        <v>8.6434782796283305E-3</v>
      </c>
      <c r="N38" s="1005">
        <f>TableC4!C39/1000</f>
        <v>0.22529901009808276</v>
      </c>
      <c r="O38" s="1005">
        <f>N38*TableC2!D$95</f>
        <v>3.5333751197008739E-2</v>
      </c>
      <c r="P38" s="1006">
        <f t="shared" si="17"/>
        <v>0.18996525890107402</v>
      </c>
      <c r="Q38" s="552"/>
      <c r="R38" s="552"/>
      <c r="S38" s="939"/>
      <c r="T38" s="940"/>
    </row>
    <row r="39" spans="1:20" x14ac:dyDescent="0.35">
      <c r="A39" s="15" t="s">
        <v>79</v>
      </c>
      <c r="B39" s="334">
        <f>D39+TableA1!C39+TableA1!H39+TableA1!I39</f>
        <v>1209.899512812462</v>
      </c>
      <c r="C39" s="334">
        <f>B39-TableA1!M39</f>
        <v>1000.0929229597572</v>
      </c>
      <c r="D39" s="334">
        <f t="shared" si="12"/>
        <v>691.08475024701318</v>
      </c>
      <c r="E39" s="273">
        <f>TableA2!C39</f>
        <v>393.17191976124013</v>
      </c>
      <c r="F39" s="471">
        <f t="shared" si="13"/>
        <v>164.30799761658403</v>
      </c>
      <c r="G39" s="325">
        <f>TableA2!E39-TableA6!D39*TableC2!D$95-O39</f>
        <v>-9.0077359869128184</v>
      </c>
      <c r="H39" s="115">
        <f>TableA2!F39+TableA6!D39+N39</f>
        <v>173.31573360349685</v>
      </c>
      <c r="I39" s="466">
        <f>TableA2!G39</f>
        <v>133.60483286918893</v>
      </c>
      <c r="J39" s="384">
        <f t="shared" si="14"/>
        <v>0.43108002365743203</v>
      </c>
      <c r="K39" s="941">
        <f t="shared" si="15"/>
        <v>0.29473348275831535</v>
      </c>
      <c r="L39" s="327">
        <f t="shared" si="16"/>
        <v>0.70526651724168465</v>
      </c>
      <c r="M39" s="942">
        <f>K39-TableA2!I39</f>
        <v>1.566007374782602E-2</v>
      </c>
      <c r="N39" s="1005">
        <f>TableC4!C40/1000</f>
        <v>14.362071520602967</v>
      </c>
      <c r="O39" s="1005">
        <f>N39*TableC2!D$95</f>
        <v>2.2524105257351446</v>
      </c>
      <c r="P39" s="1006">
        <f t="shared" si="17"/>
        <v>12.109660994867824</v>
      </c>
      <c r="Q39" s="552"/>
      <c r="R39" s="552"/>
      <c r="S39" s="939"/>
      <c r="T39" s="940"/>
    </row>
    <row r="40" spans="1:20" x14ac:dyDescent="0.35">
      <c r="A40" s="15" t="s">
        <v>80</v>
      </c>
      <c r="B40" s="334">
        <f>D40+TableA1!C40+TableA1!H40+TableA1!I40</f>
        <v>505.11968629490775</v>
      </c>
      <c r="C40" s="334">
        <f>B40-TableA1!M40</f>
        <v>423.55146230586041</v>
      </c>
      <c r="D40" s="334">
        <f t="shared" si="12"/>
        <v>295.02692935971481</v>
      </c>
      <c r="E40" s="273">
        <f>TableA2!C40</f>
        <v>164.05430760342725</v>
      </c>
      <c r="F40" s="471">
        <f t="shared" si="13"/>
        <v>73.321031169102838</v>
      </c>
      <c r="G40" s="325">
        <f>TableA2!E40-TableA6!D40*TableC2!D$95-O40</f>
        <v>1.4121787549372631</v>
      </c>
      <c r="H40" s="115">
        <f>TableA2!F40+TableA6!D40+N40</f>
        <v>71.90885241416558</v>
      </c>
      <c r="I40" s="466">
        <f>TableA2!G40</f>
        <v>57.651590587184749</v>
      </c>
      <c r="J40" s="384">
        <f t="shared" si="14"/>
        <v>0.44393446401836012</v>
      </c>
      <c r="K40" s="941">
        <f t="shared" si="15"/>
        <v>0.30888226025604232</v>
      </c>
      <c r="L40" s="327">
        <f t="shared" si="16"/>
        <v>0.69111773974395763</v>
      </c>
      <c r="M40" s="942">
        <f>K40-TableA2!I40</f>
        <v>2.1623423049974166E-2</v>
      </c>
      <c r="N40" s="1005">
        <f>TableC4!C41/1000</f>
        <v>8.5410900580049951</v>
      </c>
      <c r="O40" s="1005">
        <f>N40*TableC2!D$95</f>
        <v>1.3395032269756146</v>
      </c>
      <c r="P40" s="1006">
        <f t="shared" si="17"/>
        <v>7.2015868310293802</v>
      </c>
      <c r="Q40" s="552"/>
      <c r="R40" s="552"/>
      <c r="S40" s="939"/>
      <c r="T40" s="940"/>
    </row>
    <row r="41" spans="1:20" x14ac:dyDescent="0.35">
      <c r="A41" s="15" t="s">
        <v>1</v>
      </c>
      <c r="B41" s="334">
        <f>D41+TableA1!C41+TableA1!H41+TableA1!I41</f>
        <v>626.63587828634672</v>
      </c>
      <c r="C41" s="334">
        <f>B41-TableA1!M41</f>
        <v>486.33856183891066</v>
      </c>
      <c r="D41" s="334">
        <f t="shared" si="12"/>
        <v>430.86705107550193</v>
      </c>
      <c r="E41" s="273">
        <f>TableA2!C41</f>
        <v>321.15382930461016</v>
      </c>
      <c r="F41" s="471">
        <f t="shared" si="13"/>
        <v>12.187140520326732</v>
      </c>
      <c r="G41" s="325">
        <f>TableA2!E41-TableA6!D41*TableC2!M$95-O41</f>
        <v>-24.549373684050142</v>
      </c>
      <c r="H41" s="115">
        <f>TableA2!F41+TableA6!D41+N41</f>
        <v>36.736514204376874</v>
      </c>
      <c r="I41" s="466">
        <f>TableA2!G41</f>
        <v>97.526081250565014</v>
      </c>
      <c r="J41" s="384">
        <f t="shared" si="14"/>
        <v>0.2546335847613152</v>
      </c>
      <c r="K41" s="941">
        <f t="shared" si="15"/>
        <v>3.6560583977202507E-2</v>
      </c>
      <c r="L41" s="327">
        <f t="shared" si="16"/>
        <v>0.96343941602279748</v>
      </c>
      <c r="M41" s="942">
        <f>K41-TableA2!I41</f>
        <v>-0.13142280044504173</v>
      </c>
      <c r="N41" s="1005">
        <f>-TableA7!P41</f>
        <v>-58.152724672949248</v>
      </c>
      <c r="O41" s="1005">
        <f>N41*TableC2!M$95</f>
        <v>-5.4992043739123462</v>
      </c>
      <c r="P41" s="1006">
        <f t="shared" si="17"/>
        <v>-52.653520299036899</v>
      </c>
      <c r="Q41" s="552"/>
      <c r="R41" s="552"/>
      <c r="S41" s="939"/>
      <c r="T41" s="940"/>
    </row>
    <row r="42" spans="1:20" x14ac:dyDescent="0.35">
      <c r="A42" s="15" t="s">
        <v>81</v>
      </c>
      <c r="B42" s="334">
        <f>D42+TableA1!C42+TableA1!H42+TableA1!I42</f>
        <v>863.57834771447119</v>
      </c>
      <c r="C42" s="334">
        <f>B42-TableA1!M42</f>
        <v>737.4293567001032</v>
      </c>
      <c r="D42" s="334">
        <f t="shared" si="12"/>
        <v>465.95237294747596</v>
      </c>
      <c r="E42" s="273">
        <f>TableA2!C42</f>
        <v>180.37437743772173</v>
      </c>
      <c r="F42" s="471">
        <f t="shared" si="13"/>
        <v>222.82099550975423</v>
      </c>
      <c r="G42" s="325">
        <f>TableA2!E42-TableA6!D42*TableC2!D$95-O42</f>
        <v>5.2460093834438544</v>
      </c>
      <c r="H42" s="115">
        <f>TableA2!F42+TableA6!D42+N42</f>
        <v>217.57498612631036</v>
      </c>
      <c r="I42" s="466">
        <f>TableA2!G42</f>
        <v>62.756999999999998</v>
      </c>
      <c r="J42" s="384">
        <f t="shared" si="14"/>
        <v>0.61289095643675517</v>
      </c>
      <c r="K42" s="941">
        <f t="shared" si="15"/>
        <v>0.55263777925046031</v>
      </c>
      <c r="L42" s="327">
        <f t="shared" si="16"/>
        <v>0.44736222074953969</v>
      </c>
      <c r="M42" s="942">
        <f>K42-TableA2!I42</f>
        <v>4.7036739365931002E-3</v>
      </c>
      <c r="N42" s="1005">
        <f>TableC4!C43/1000</f>
        <v>4.9754928205897597</v>
      </c>
      <c r="O42" s="1005">
        <f>N42*TableC2!D$95</f>
        <v>0.78030891182649653</v>
      </c>
      <c r="P42" s="1006">
        <f t="shared" si="17"/>
        <v>4.195183908763263</v>
      </c>
      <c r="Q42" s="552"/>
      <c r="R42" s="552"/>
      <c r="S42" s="939"/>
      <c r="T42" s="940"/>
    </row>
    <row r="43" spans="1:20" x14ac:dyDescent="0.35">
      <c r="A43" s="15" t="s">
        <v>82</v>
      </c>
      <c r="B43" s="334">
        <f>D43+TableA1!C43+TableA1!H43+TableA1!I43</f>
        <v>2912.9485053029748</v>
      </c>
      <c r="C43" s="334">
        <f>B43-TableA1!M43</f>
        <v>2538.5051897173389</v>
      </c>
      <c r="D43" s="334">
        <f t="shared" si="12"/>
        <v>1671.3975042258912</v>
      </c>
      <c r="E43" s="273">
        <f>TableA2!C43</f>
        <v>1012.5690365062753</v>
      </c>
      <c r="F43" s="471">
        <f t="shared" si="13"/>
        <v>454.00679770456736</v>
      </c>
      <c r="G43" s="325">
        <f>TableA2!E43-TableA6!D43*TableC2!D$95-O43</f>
        <v>-32.545092597221611</v>
      </c>
      <c r="H43" s="115">
        <f>TableA2!F43+TableA6!D43+N43</f>
        <v>486.551890301789</v>
      </c>
      <c r="I43" s="466">
        <f>TableA2!G43</f>
        <v>204.82167001504862</v>
      </c>
      <c r="J43" s="384">
        <f t="shared" si="14"/>
        <v>0.39417820479799798</v>
      </c>
      <c r="K43" s="941">
        <f t="shared" si="15"/>
        <v>0.3095692613460157</v>
      </c>
      <c r="L43" s="327">
        <f t="shared" si="16"/>
        <v>0.6904307386539843</v>
      </c>
      <c r="M43" s="942">
        <f>K43-TableA2!I43</f>
        <v>2.5307308296441178E-2</v>
      </c>
      <c r="N43" s="1005">
        <f>TableC4!C44/1000</f>
        <v>61.500900683046368</v>
      </c>
      <c r="O43" s="1005">
        <f>N43*TableC2!D$95</f>
        <v>9.6452155834181248</v>
      </c>
      <c r="P43" s="1006">
        <f t="shared" si="17"/>
        <v>51.855685099628246</v>
      </c>
      <c r="Q43" s="552"/>
      <c r="R43" s="552"/>
      <c r="S43" s="939"/>
      <c r="T43" s="940"/>
    </row>
    <row r="44" spans="1:20" x14ac:dyDescent="0.35">
      <c r="A44" s="56" t="s">
        <v>0</v>
      </c>
      <c r="B44" s="334">
        <f>D44+TableA1!C44+TableA1!H44+TableA1!I44</f>
        <v>18240.920323266942</v>
      </c>
      <c r="C44" s="334">
        <f>B44-TableA1!M44</f>
        <v>15399.374523266943</v>
      </c>
      <c r="D44" s="334">
        <f t="shared" si="12"/>
        <v>9869.9701232669413</v>
      </c>
      <c r="E44" s="273">
        <f>TableA2!C44</f>
        <v>6036.1069000000007</v>
      </c>
      <c r="F44" s="471">
        <f t="shared" si="13"/>
        <v>2282.9705232669398</v>
      </c>
      <c r="G44" s="325">
        <f>TableA2!E44-TableA6!D44*TableC2!D$95-O44</f>
        <v>251.00831466343806</v>
      </c>
      <c r="H44" s="115">
        <f>TableA2!F44+TableA6!D44+N44</f>
        <v>2031.9622086035019</v>
      </c>
      <c r="I44" s="466">
        <f>TableA2!G44</f>
        <v>1550.8926999999999</v>
      </c>
      <c r="J44" s="384">
        <f t="shared" si="14"/>
        <v>0.38843716600815181</v>
      </c>
      <c r="K44" s="941">
        <f t="shared" si="15"/>
        <v>0.27442592575011843</v>
      </c>
      <c r="L44" s="327">
        <f t="shared" si="16"/>
        <v>0.72557407424988152</v>
      </c>
      <c r="M44" s="942">
        <f>K44-TableA2!I44</f>
        <v>1.0637914066997267E-2</v>
      </c>
      <c r="N44" s="1005">
        <f>TableC4!C45/1000</f>
        <v>142.56530860350179</v>
      </c>
      <c r="O44" s="1005">
        <f>N44*TableC2!D$95</f>
        <v>22.358585336561887</v>
      </c>
      <c r="P44" s="1006">
        <f t="shared" si="17"/>
        <v>120.2067232669399</v>
      </c>
      <c r="Q44" s="552"/>
      <c r="R44" s="552"/>
      <c r="S44" s="939"/>
      <c r="T44" s="940"/>
    </row>
    <row r="45" spans="1:20" ht="40" customHeight="1" x14ac:dyDescent="0.35">
      <c r="A45" s="454" t="s">
        <v>99</v>
      </c>
      <c r="B45" s="425">
        <f>D45+TableA1!C45+TableA1!H45+TableA1!I45</f>
        <v>17809.44305859978</v>
      </c>
      <c r="C45" s="425">
        <f>B45-TableA1!M45</f>
        <v>15256.58509023859</v>
      </c>
      <c r="D45" s="334">
        <f t="shared" si="6"/>
        <v>9545.2288959891157</v>
      </c>
      <c r="E45" s="485">
        <f>SUM(E46:E52)</f>
        <v>4635.4243070321654</v>
      </c>
      <c r="F45" s="486">
        <f t="shared" ref="F45:I45" si="18">SUM(F46:F52)</f>
        <v>3417.4731865180097</v>
      </c>
      <c r="G45" s="487">
        <f t="shared" si="18"/>
        <v>157.77248356116846</v>
      </c>
      <c r="H45" s="433">
        <f t="shared" si="18"/>
        <v>3259.7007029568408</v>
      </c>
      <c r="I45" s="435">
        <f t="shared" si="18"/>
        <v>1492.331402438941</v>
      </c>
      <c r="J45" s="472">
        <f t="shared" si="8"/>
        <v>0.51437264024334084</v>
      </c>
      <c r="K45" s="436">
        <f t="shared" si="9"/>
        <v>0.424378081213026</v>
      </c>
      <c r="L45" s="473">
        <f t="shared" si="10"/>
        <v>0.575621918786974</v>
      </c>
      <c r="M45" s="1018">
        <f>K45-TableA2!I45</f>
        <v>6.9176574567444971E-3</v>
      </c>
      <c r="N45" s="433">
        <f>SUM(N46:N52)</f>
        <v>102.59915789568896</v>
      </c>
      <c r="O45" s="1007">
        <f>SUM(O46:O52)</f>
        <v>6.971000313910797</v>
      </c>
      <c r="P45" s="1008">
        <f>SUM(P46:P52)</f>
        <v>95.628157581778169</v>
      </c>
      <c r="Q45" s="552"/>
      <c r="R45" s="552"/>
      <c r="S45" s="939"/>
      <c r="T45" s="940"/>
    </row>
    <row r="46" spans="1:20" x14ac:dyDescent="0.35">
      <c r="A46" s="455" t="s">
        <v>92</v>
      </c>
      <c r="B46" s="334">
        <f>D46+TableA1!C46+TableA1!H46+TableA1!I46</f>
        <v>2469.2901668611826</v>
      </c>
      <c r="C46" s="334">
        <f>B46-TableA1!M46</f>
        <v>2091.1959975872232</v>
      </c>
      <c r="D46" s="334">
        <f t="shared" si="6"/>
        <v>1118.3141189625433</v>
      </c>
      <c r="E46" s="273">
        <f>TableA2!C46</f>
        <v>683.84777930021517</v>
      </c>
      <c r="F46" s="471">
        <f t="shared" si="7"/>
        <v>241.51273966232807</v>
      </c>
      <c r="G46" s="325">
        <f>TableA2!E46-TableA6!D46*TableC2!D$95-O46</f>
        <v>-47.035024951681443</v>
      </c>
      <c r="H46" s="115">
        <f>TableA2!F46+TableA6!D46+N46</f>
        <v>288.54776461400951</v>
      </c>
      <c r="I46" s="466">
        <f>TableA2!G46</f>
        <v>192.95359999999999</v>
      </c>
      <c r="J46" s="384">
        <f t="shared" si="8"/>
        <v>0.38850116643915866</v>
      </c>
      <c r="K46" s="117">
        <f t="shared" si="9"/>
        <v>0.26099313155600928</v>
      </c>
      <c r="L46" s="327">
        <f t="shared" si="10"/>
        <v>0.73900686844399077</v>
      </c>
      <c r="M46" s="942">
        <f>K46-TableA2!I46</f>
        <v>1.0732440289047795E-2</v>
      </c>
      <c r="N46" s="1005">
        <f>TableC4!C47/1000</f>
        <v>14.212064614009524</v>
      </c>
      <c r="O46" s="1005">
        <f>N46*TableC2!N$95</f>
        <v>0.96562495168143825</v>
      </c>
      <c r="P46" s="1006">
        <f t="shared" ref="P46:P52" si="19">N46-O46</f>
        <v>13.246439662328086</v>
      </c>
      <c r="Q46" s="552"/>
      <c r="R46" s="552"/>
      <c r="S46" s="939"/>
      <c r="T46" s="940"/>
    </row>
    <row r="47" spans="1:20" x14ac:dyDescent="0.35">
      <c r="A47" s="56" t="s">
        <v>101</v>
      </c>
      <c r="B47" s="334">
        <f>D47+TableA1!C47+TableA1!H47+TableA1!I47</f>
        <v>11119.48344059084</v>
      </c>
      <c r="C47" s="334">
        <f>B47-TableA1!M47</f>
        <v>9640.1718220236653</v>
      </c>
      <c r="D47" s="334">
        <f t="shared" si="6"/>
        <v>6268.2582259294122</v>
      </c>
      <c r="E47" s="273">
        <f>TableA2!C47</f>
        <v>3000.3468631285727</v>
      </c>
      <c r="F47" s="471">
        <f t="shared" si="7"/>
        <v>2318.564469335543</v>
      </c>
      <c r="G47" s="325">
        <f>TableA2!E47-TableA6!D47*TableC2!D$95-O47</f>
        <v>189.33458886333739</v>
      </c>
      <c r="H47" s="115">
        <f>TableA2!F47+TableA6!D47+N47</f>
        <v>2129.2298804722054</v>
      </c>
      <c r="I47" s="466">
        <f>TableA2!G47</f>
        <v>949.34689346529626</v>
      </c>
      <c r="J47" s="384">
        <f t="shared" si="8"/>
        <v>0.52134281087571133</v>
      </c>
      <c r="K47" s="117">
        <f t="shared" si="9"/>
        <v>0.43590959209718794</v>
      </c>
      <c r="L47" s="327">
        <f t="shared" si="10"/>
        <v>0.56409040790281206</v>
      </c>
      <c r="M47" s="942">
        <f>K47-TableA2!I47</f>
        <v>6.0469916317176242E-3</v>
      </c>
      <c r="N47" s="1005">
        <f>TableC4!C48/1000</f>
        <v>60.525807931300939</v>
      </c>
      <c r="O47" s="1005">
        <f>N47*TableC2!N$95</f>
        <v>4.112367340458766</v>
      </c>
      <c r="P47" s="1006">
        <f t="shared" si="19"/>
        <v>56.413440590842171</v>
      </c>
      <c r="Q47" s="552"/>
      <c r="R47" s="552"/>
      <c r="S47" s="939"/>
      <c r="T47" s="940"/>
    </row>
    <row r="48" spans="1:20" x14ac:dyDescent="0.35">
      <c r="A48" s="56" t="s">
        <v>93</v>
      </c>
      <c r="B48" s="334">
        <f>D48+TableA1!C48+TableA1!H48+TableA1!I48</f>
        <v>292.82784154635203</v>
      </c>
      <c r="C48" s="334">
        <f>B48-TableA1!M48</f>
        <v>259.53565568065056</v>
      </c>
      <c r="D48" s="334">
        <f t="shared" si="6"/>
        <v>136.33234971080213</v>
      </c>
      <c r="E48" s="273">
        <f>TableA2!C48</f>
        <v>54.170478374899503</v>
      </c>
      <c r="F48" s="471">
        <f t="shared" si="7"/>
        <v>64.896071335902633</v>
      </c>
      <c r="G48" s="325">
        <f>TableA2!E48-TableA6!D48*TableC2!D$95-O48</f>
        <v>4.8917200874089843</v>
      </c>
      <c r="H48" s="115">
        <f>TableA2!F48+TableA6!D48+N48</f>
        <v>60.004351248493656</v>
      </c>
      <c r="I48" s="466">
        <f>TableA2!G48</f>
        <v>17.265799999999999</v>
      </c>
      <c r="J48" s="384">
        <f t="shared" si="8"/>
        <v>0.60265866106019761</v>
      </c>
      <c r="K48" s="117">
        <f t="shared" si="9"/>
        <v>0.54504032823263238</v>
      </c>
      <c r="L48" s="327">
        <f t="shared" si="10"/>
        <v>0.45495967176736762</v>
      </c>
      <c r="M48" s="942">
        <f>K48-TableA2!I48</f>
        <v>5.0544292692408233E-3</v>
      </c>
      <c r="N48" s="1005">
        <f>TableC4!C49/1000</f>
        <v>1.4036174395306298</v>
      </c>
      <c r="O48" s="1005">
        <f>N48*TableC2!N$95</f>
        <v>9.5367426129623442E-2</v>
      </c>
      <c r="P48" s="1006">
        <f t="shared" si="19"/>
        <v>1.3082500134010064</v>
      </c>
      <c r="Q48" s="552"/>
      <c r="R48" s="552"/>
      <c r="S48" s="939"/>
      <c r="T48" s="940"/>
    </row>
    <row r="49" spans="1:26" x14ac:dyDescent="0.35">
      <c r="A49" s="56" t="s">
        <v>94</v>
      </c>
      <c r="B49" s="334">
        <f>D49+TableA1!C49+TableA1!H49+TableA1!I49</f>
        <v>55.728945250015194</v>
      </c>
      <c r="C49" s="334">
        <f>B49-TableA1!M49</f>
        <v>52.816558147114833</v>
      </c>
      <c r="D49" s="334">
        <f t="shared" si="6"/>
        <v>30.973169713358594</v>
      </c>
      <c r="E49" s="273">
        <f>TableA2!C49</f>
        <v>15.631819704056245</v>
      </c>
      <c r="F49" s="471">
        <f t="shared" si="7"/>
        <v>12.740117071398378</v>
      </c>
      <c r="G49" s="325">
        <f>TableA2!E49-TableA6!D49*TableC2!D$95-O49</f>
        <v>-1.5201430895601185</v>
      </c>
      <c r="H49" s="115">
        <f>TableA2!F49+TableA6!D49+N49</f>
        <v>14.260260160958497</v>
      </c>
      <c r="I49" s="466">
        <f>TableA2!G49</f>
        <v>2.601232937903974</v>
      </c>
      <c r="J49" s="384">
        <f t="shared" si="8"/>
        <v>0.49531094657986185</v>
      </c>
      <c r="K49" s="117">
        <f t="shared" si="9"/>
        <v>0.44903938607463062</v>
      </c>
      <c r="L49" s="327">
        <f t="shared" si="10"/>
        <v>0.55096061392536932</v>
      </c>
      <c r="M49" s="942">
        <f>K49-TableA2!I49</f>
        <v>1.9829796718775217E-2</v>
      </c>
      <c r="N49" s="1005">
        <f>TableC4!C50/1000</f>
        <v>1.0575199886874607</v>
      </c>
      <c r="O49" s="1005">
        <f>N49*TableC2!N$95</f>
        <v>7.1852170371634091E-2</v>
      </c>
      <c r="P49" s="1006">
        <f t="shared" si="19"/>
        <v>0.98566781831582662</v>
      </c>
      <c r="Q49" s="552"/>
      <c r="R49" s="552"/>
      <c r="S49" s="939"/>
      <c r="T49" s="940"/>
    </row>
    <row r="50" spans="1:26" x14ac:dyDescent="0.35">
      <c r="A50" s="56" t="s">
        <v>102</v>
      </c>
      <c r="B50" s="334">
        <f>D50+TableA1!C50+TableA1!H50+TableA1!I50</f>
        <v>2141.5870771642799</v>
      </c>
      <c r="C50" s="334">
        <f>B50-TableA1!M50</f>
        <v>1701.5350892334513</v>
      </c>
      <c r="D50" s="334">
        <f t="shared" si="6"/>
        <v>927.84833216225763</v>
      </c>
      <c r="E50" s="273">
        <f>TableA2!C50</f>
        <v>318.62573018831665</v>
      </c>
      <c r="F50" s="471">
        <f t="shared" si="7"/>
        <v>400.98167945411836</v>
      </c>
      <c r="G50" s="325">
        <f>TableA2!E50-TableA6!D50*TableC2!D$95-O50</f>
        <v>15.378173483375601</v>
      </c>
      <c r="H50" s="115">
        <f>TableA2!F50+TableA6!D50+N50</f>
        <v>385.60350597074279</v>
      </c>
      <c r="I50" s="466">
        <f>TableA2!G50</f>
        <v>208.24092251982265</v>
      </c>
      <c r="J50" s="384">
        <f t="shared" si="8"/>
        <v>0.65659718388910471</v>
      </c>
      <c r="K50" s="117">
        <f t="shared" si="9"/>
        <v>0.55722283300746134</v>
      </c>
      <c r="L50" s="327">
        <f t="shared" si="10"/>
        <v>0.44277716699253866</v>
      </c>
      <c r="M50" s="942">
        <f>K50-TableA2!I50</f>
        <v>5.5022267210326214E-3</v>
      </c>
      <c r="N50" s="1005">
        <f>TableC4!C51/1000</f>
        <v>9.476399038744594</v>
      </c>
      <c r="O50" s="1005">
        <f>N50*TableC2!N$95</f>
        <v>0.64386474537144578</v>
      </c>
      <c r="P50" s="1006">
        <f t="shared" si="19"/>
        <v>8.8325342933731488</v>
      </c>
      <c r="Q50" s="552"/>
      <c r="R50" s="552"/>
      <c r="S50" s="939"/>
      <c r="T50" s="940"/>
    </row>
    <row r="51" spans="1:26" x14ac:dyDescent="0.35">
      <c r="A51" s="56" t="s">
        <v>103</v>
      </c>
      <c r="B51" s="334">
        <f>D51+TableA1!C51+TableA1!H51+TableA1!I51</f>
        <v>1376.9036836173279</v>
      </c>
      <c r="C51" s="334">
        <f>B51-TableA1!M51</f>
        <v>1215.0747584782719</v>
      </c>
      <c r="D51" s="334">
        <f t="shared" si="6"/>
        <v>867.37993716501126</v>
      </c>
      <c r="E51" s="273">
        <f>TableA2!C51</f>
        <v>465.66449313355542</v>
      </c>
      <c r="F51" s="471">
        <f t="shared" si="7"/>
        <v>315.63182790907501</v>
      </c>
      <c r="G51" s="325">
        <f>TableA2!E51-TableA6!D51*TableC2!D$95-O51</f>
        <v>14.124711968382407</v>
      </c>
      <c r="H51" s="115">
        <f>TableA2!F51+TableA6!D51+N51</f>
        <v>301.50711594069259</v>
      </c>
      <c r="I51" s="466">
        <f>TableA2!G51</f>
        <v>86.083616122380846</v>
      </c>
      <c r="J51" s="384">
        <f t="shared" si="8"/>
        <v>0.4631366565203745</v>
      </c>
      <c r="K51" s="117">
        <f t="shared" si="9"/>
        <v>0.40398478708803875</v>
      </c>
      <c r="L51" s="327">
        <f t="shared" si="10"/>
        <v>0.59601521291196125</v>
      </c>
      <c r="M51" s="942">
        <f>K51-TableA2!I51</f>
        <v>8.5413937003187557E-3</v>
      </c>
      <c r="N51" s="1005">
        <f>TableC4!C52/1000</f>
        <v>11.84310434933391</v>
      </c>
      <c r="O51" s="1005">
        <f>N51*TableC2!N$95</f>
        <v>0.80466824319182795</v>
      </c>
      <c r="P51" s="1006">
        <f t="shared" si="19"/>
        <v>11.038436106142083</v>
      </c>
      <c r="Q51" s="552"/>
      <c r="R51" s="552"/>
      <c r="S51" s="939"/>
      <c r="T51" s="940"/>
    </row>
    <row r="52" spans="1:26" x14ac:dyDescent="0.35">
      <c r="A52" s="15" t="s">
        <v>97</v>
      </c>
      <c r="B52" s="334">
        <f>D52+TableA1!C52+TableA1!H52+TableA1!I52</f>
        <v>353.62190356977783</v>
      </c>
      <c r="C52" s="334">
        <f>B52-TableA1!M52</f>
        <v>296.25520908820994</v>
      </c>
      <c r="D52" s="334">
        <f t="shared" si="6"/>
        <v>196.12276234573091</v>
      </c>
      <c r="E52" s="273">
        <f>TableA2!C52</f>
        <v>97.137143202548756</v>
      </c>
      <c r="F52" s="471">
        <f t="shared" si="7"/>
        <v>63.146281749644551</v>
      </c>
      <c r="G52" s="325">
        <f>TableA2!E52-TableA6!D52*TableC2!D$95-O52</f>
        <v>-17.40154280009434</v>
      </c>
      <c r="H52" s="115">
        <f>TableA2!F52+TableA6!D52+N52</f>
        <v>80.547824549738891</v>
      </c>
      <c r="I52" s="466">
        <f>TableA2!G52</f>
        <v>35.839337393537583</v>
      </c>
      <c r="J52" s="384">
        <f t="shared" si="8"/>
        <v>0.50471254819819134</v>
      </c>
      <c r="K52" s="117">
        <f t="shared" si="9"/>
        <v>0.39396638653359684</v>
      </c>
      <c r="L52" s="327">
        <f t="shared" si="10"/>
        <v>0.60603361346640316</v>
      </c>
      <c r="M52" s="942">
        <f>K52-TableA2!I52</f>
        <v>1.4730196254811478E-2</v>
      </c>
      <c r="N52" s="1005">
        <f>TableC4!C53/1000</f>
        <v>4.0806445340819</v>
      </c>
      <c r="O52" s="1005">
        <f>N52*TableC2!N$95</f>
        <v>0.27725543670606051</v>
      </c>
      <c r="P52" s="1006">
        <f t="shared" si="19"/>
        <v>3.8033890973758395</v>
      </c>
      <c r="Q52" s="552"/>
      <c r="R52" s="552"/>
      <c r="S52" s="939"/>
      <c r="T52" s="940"/>
    </row>
    <row r="53" spans="1:26" ht="40" customHeight="1" x14ac:dyDescent="0.35">
      <c r="A53" s="454" t="s">
        <v>100</v>
      </c>
      <c r="B53" s="425">
        <f>D53+TableA1!C53+TableA1!H53+TableA1!I53</f>
        <v>880.92556851665404</v>
      </c>
      <c r="C53" s="425">
        <f>B53-TableA1!M53</f>
        <v>731.34268759349288</v>
      </c>
      <c r="D53" s="334">
        <f t="shared" si="6"/>
        <v>549.82023190327607</v>
      </c>
      <c r="E53" s="485">
        <f>SUM(E54:E89)</f>
        <v>314.67446275208073</v>
      </c>
      <c r="F53" s="433">
        <f>SUM(F54:F89)</f>
        <v>127.44325569952831</v>
      </c>
      <c r="G53" s="433">
        <f>SUM(G54:G89)</f>
        <v>-23.58887121334535</v>
      </c>
      <c r="H53" s="433">
        <f>SUM(H54:H89)</f>
        <v>151.03212691287365</v>
      </c>
      <c r="I53" s="435">
        <f>SUM(I54:I89)</f>
        <v>107.70251345166704</v>
      </c>
      <c r="J53" s="472">
        <f t="shared" si="8"/>
        <v>0.4276775489639712</v>
      </c>
      <c r="K53" s="436">
        <f t="shared" si="9"/>
        <v>0.28825638598213593</v>
      </c>
      <c r="L53" s="473">
        <f t="shared" si="10"/>
        <v>0.71174361401786412</v>
      </c>
      <c r="M53" s="1529">
        <f>K53-TableA2!I53</f>
        <v>-0.16905566045392001</v>
      </c>
      <c r="N53" s="433">
        <f>SUM(N54:N89)</f>
        <v>-334.72013422680857</v>
      </c>
      <c r="O53" s="1007">
        <f>N53*TableC2!N$95</f>
        <v>-22.742235010735786</v>
      </c>
      <c r="P53" s="1008">
        <f>SUM(P54:P89)</f>
        <v>-311.97789921607279</v>
      </c>
      <c r="S53" s="939"/>
      <c r="T53" s="940"/>
    </row>
    <row r="54" spans="1:26" x14ac:dyDescent="0.35">
      <c r="A54" s="458" t="s">
        <v>272</v>
      </c>
      <c r="B54" s="334">
        <f>D54+TableA1!C54+TableA1!H54+TableA1!I54</f>
        <v>1.904046575412023</v>
      </c>
      <c r="C54" s="334">
        <f>B54-TableA1!M54</f>
        <v>1.564839922503336</v>
      </c>
      <c r="D54" s="334">
        <f t="shared" si="6"/>
        <v>0.98275657541202288</v>
      </c>
      <c r="E54" s="273">
        <f>TableA2!C54</f>
        <v>0.50910500000000003</v>
      </c>
      <c r="F54" s="471">
        <f t="shared" si="7"/>
        <v>0.21804957541202286</v>
      </c>
      <c r="G54" s="325">
        <f>TableA2!E54-TableA6!D54*TableC2!N$95-O54</f>
        <v>-2.630203259424245E-2</v>
      </c>
      <c r="H54" s="115">
        <f>TableA2!F54+TableA6!D54+N54</f>
        <v>0.24435160800626532</v>
      </c>
      <c r="I54" s="466">
        <f>TableA2!G54</f>
        <v>0.255602</v>
      </c>
      <c r="J54" s="383">
        <f t="shared" si="8"/>
        <v>0.48196225521405783</v>
      </c>
      <c r="K54" s="117">
        <f t="shared" si="9"/>
        <v>0.29986688220791408</v>
      </c>
      <c r="L54" s="332">
        <f t="shared" si="10"/>
        <v>0.70013311779208598</v>
      </c>
      <c r="M54" s="942">
        <f>K54-TableA2!I54</f>
        <v>-0.38867733477999372</v>
      </c>
      <c r="N54" s="1005">
        <f>-TableA7!P54</f>
        <v>-0.97359327582033472</v>
      </c>
      <c r="O54" s="1005">
        <f>N54*TableC2!N$95</f>
        <v>-6.6149851232357615E-2</v>
      </c>
      <c r="P54" s="1006">
        <f>N54-O54</f>
        <v>-0.90744342458797711</v>
      </c>
      <c r="S54" s="939"/>
      <c r="T54" s="940"/>
    </row>
    <row r="55" spans="1:26" x14ac:dyDescent="0.35">
      <c r="A55" s="458" t="s">
        <v>273</v>
      </c>
      <c r="B55" s="334">
        <f>D55+TableA1!C55+TableA1!H55+TableA1!I55</f>
        <v>0.19717262648607711</v>
      </c>
      <c r="C55" s="334">
        <f>B55-TableA1!M55</f>
        <v>0.16507134962092579</v>
      </c>
      <c r="D55" s="334">
        <f t="shared" si="6"/>
        <v>9.3004626486077102E-2</v>
      </c>
      <c r="E55" s="273">
        <f>TableA2!C55</f>
        <v>4.8179904000000003E-2</v>
      </c>
      <c r="F55" s="471">
        <f t="shared" si="7"/>
        <v>2.0635446486077104E-2</v>
      </c>
      <c r="G55" s="325">
        <f>TableA2!E55-TableA6!D55*TableC2!N$95-O55</f>
        <v>-2.4891290258261204E-3</v>
      </c>
      <c r="H55" s="115">
        <f>TableA2!F55+TableA6!D55+N55</f>
        <v>2.3124575511903223E-2</v>
      </c>
      <c r="I55" s="466">
        <f>TableA2!G55</f>
        <v>2.4189275999999999E-2</v>
      </c>
      <c r="J55" s="383">
        <f t="shared" si="8"/>
        <v>0.48196228703512312</v>
      </c>
      <c r="K55" s="117">
        <f t="shared" si="9"/>
        <v>0.29986690964034424</v>
      </c>
      <c r="L55" s="332">
        <f t="shared" si="10"/>
        <v>0.70013309035965576</v>
      </c>
      <c r="M55" s="942">
        <f>K55-TableA2!I55</f>
        <v>-0.38867756256120545</v>
      </c>
      <c r="N55" s="1005">
        <f>-TableA7!P55</f>
        <v>-0.21683698740995794</v>
      </c>
      <c r="O55" s="1005">
        <f>N55*TableC2!N$95</f>
        <v>-1.473277888731874E-2</v>
      </c>
      <c r="P55" s="1006">
        <f t="shared" ref="P55:P90" si="20">N55-O55</f>
        <v>-0.20210420852263919</v>
      </c>
      <c r="S55" s="939"/>
      <c r="T55" s="940"/>
    </row>
    <row r="56" spans="1:26" x14ac:dyDescent="0.35">
      <c r="A56" s="458" t="s">
        <v>319</v>
      </c>
      <c r="B56" s="334">
        <f>D56+TableA1!C56+TableA1!H56+TableA1!I56</f>
        <v>0.71338092811285936</v>
      </c>
      <c r="C56" s="334">
        <f>B56-TableA1!M56</f>
        <v>0.54871092680294176</v>
      </c>
      <c r="D56" s="334">
        <f t="shared" si="6"/>
        <v>0.26613592811285924</v>
      </c>
      <c r="E56" s="273">
        <f>TableA2!C56</f>
        <v>9.4220399999999996E-2</v>
      </c>
      <c r="F56" s="471">
        <f t="shared" si="7"/>
        <v>4.783152811285922E-2</v>
      </c>
      <c r="G56" s="325">
        <f>TableA2!E56-TableA6!D56*TableC2!N$95-O56</f>
        <v>2.6092139596029379E-3</v>
      </c>
      <c r="H56" s="115">
        <f>TableA2!F56+TableA6!D56+N56</f>
        <v>4.5222314153256282E-2</v>
      </c>
      <c r="I56" s="466">
        <f>TableA2!G56</f>
        <v>0.124084</v>
      </c>
      <c r="J56" s="383">
        <f t="shared" si="8"/>
        <v>0.64596888263788133</v>
      </c>
      <c r="K56" s="117">
        <f t="shared" si="9"/>
        <v>0.33671861232927025</v>
      </c>
      <c r="L56" s="332">
        <f t="shared" si="10"/>
        <v>0.66328138767072975</v>
      </c>
      <c r="M56" s="942">
        <f>K56-TableA2!I56</f>
        <v>-0.54454576171534808</v>
      </c>
      <c r="N56" s="1005">
        <f>-TableA7!P56</f>
        <v>-0.79166765632839253</v>
      </c>
      <c r="O56" s="1005">
        <f>N56*TableC2!N$95</f>
        <v>-5.3789091391851819E-2</v>
      </c>
      <c r="P56" s="1006">
        <f t="shared" si="20"/>
        <v>-0.73787856493654069</v>
      </c>
      <c r="S56" s="939"/>
      <c r="T56" s="940"/>
    </row>
    <row r="57" spans="1:26" x14ac:dyDescent="0.35">
      <c r="A57" s="458" t="s">
        <v>274</v>
      </c>
      <c r="B57" s="334">
        <f>D57+TableA1!C57+TableA1!H57+TableA1!I57</f>
        <v>1.6930966495213298</v>
      </c>
      <c r="C57" s="334">
        <f>B57-TableA1!M57</f>
        <v>1.3914702353874158</v>
      </c>
      <c r="D57" s="334">
        <f t="shared" si="6"/>
        <v>0.87387664952132971</v>
      </c>
      <c r="E57" s="273">
        <f>TableA2!C57</f>
        <v>0.45270100000000002</v>
      </c>
      <c r="F57" s="471">
        <f t="shared" si="7"/>
        <v>0.19389164952132967</v>
      </c>
      <c r="G57" s="325">
        <f>TableA2!E57-TableA6!D57*TableC2!N$95-O57</f>
        <v>-2.3388120459409724E-2</v>
      </c>
      <c r="H57" s="115">
        <f>TableA2!F57+TableA6!D57+N57</f>
        <v>0.21727976998073939</v>
      </c>
      <c r="I57" s="466">
        <f>TableA2!G57</f>
        <v>0.22728400000000001</v>
      </c>
      <c r="J57" s="383">
        <f t="shared" si="8"/>
        <v>0.48196235676056887</v>
      </c>
      <c r="K57" s="117">
        <f t="shared" si="9"/>
        <v>0.29986677031492237</v>
      </c>
      <c r="L57" s="332">
        <f t="shared" si="10"/>
        <v>0.70013322968507763</v>
      </c>
      <c r="M57" s="942">
        <f>K57-TableA2!I57</f>
        <v>-0.38867657620959506</v>
      </c>
      <c r="N57" s="1005">
        <f>-TableA7!P57</f>
        <v>-0.86572413769996781</v>
      </c>
      <c r="O57" s="1005">
        <f>N57*TableC2!N$95</f>
        <v>-5.8820787221297528E-2</v>
      </c>
      <c r="P57" s="1006">
        <f t="shared" si="20"/>
        <v>-0.80690335047867023</v>
      </c>
      <c r="S57" s="939"/>
      <c r="T57" s="940"/>
    </row>
    <row r="58" spans="1:26" x14ac:dyDescent="0.35">
      <c r="A58" s="458" t="s">
        <v>320</v>
      </c>
      <c r="B58" s="334">
        <f>D58+TableA1!C58+TableA1!H58+TableA1!I58</f>
        <v>5.4836330583576762</v>
      </c>
      <c r="C58" s="334">
        <f>B58-TableA1!M58</f>
        <v>4.1275196597056034</v>
      </c>
      <c r="D58" s="334">
        <f t="shared" si="6"/>
        <v>1.8004230583576772</v>
      </c>
      <c r="E58" s="273">
        <f>TableA2!C58</f>
        <v>0.49227100000000001</v>
      </c>
      <c r="F58" s="471">
        <f t="shared" si="7"/>
        <v>0.28628205835767723</v>
      </c>
      <c r="G58" s="325">
        <f>TableA2!E58-TableA6!D58*TableC2!N$95-O58</f>
        <v>5.0010148977780167E-2</v>
      </c>
      <c r="H58" s="115">
        <f>TableA2!F58+TableA6!D58+N58</f>
        <v>0.23627190937989706</v>
      </c>
      <c r="I58" s="466">
        <f>TableA2!G58</f>
        <v>1.0218700000000001</v>
      </c>
      <c r="J58" s="383">
        <f t="shared" si="8"/>
        <v>0.72658037358783711</v>
      </c>
      <c r="K58" s="117">
        <f t="shared" si="9"/>
        <v>0.36771040237331598</v>
      </c>
      <c r="L58" s="332">
        <f t="shared" si="10"/>
        <v>0.63228959762668402</v>
      </c>
      <c r="M58" s="942">
        <f>K58-TableA2!I58</f>
        <v>-0.55696028984632873</v>
      </c>
      <c r="N58" s="1005">
        <f>-TableA7!P58</f>
        <v>-7.3311788434424798</v>
      </c>
      <c r="O58" s="1005">
        <f>N58*TableC2!N$95</f>
        <v>-0.49810983898066757</v>
      </c>
      <c r="P58" s="1006">
        <f t="shared" si="20"/>
        <v>-6.8330690044618123</v>
      </c>
      <c r="S58" s="939"/>
      <c r="T58" s="940"/>
    </row>
    <row r="59" spans="1:26" x14ac:dyDescent="0.35">
      <c r="A59" s="458" t="s">
        <v>276</v>
      </c>
      <c r="B59" s="334">
        <f>D59+TableA1!C59+TableA1!H59+TableA1!I59</f>
        <v>24.439764064432428</v>
      </c>
      <c r="C59" s="334">
        <f>B59-TableA1!M59</f>
        <v>23.128304024499705</v>
      </c>
      <c r="D59" s="334">
        <f t="shared" si="6"/>
        <v>15.431064064432423</v>
      </c>
      <c r="E59" s="273">
        <f>TableA2!C59</f>
        <v>10.122538414747584</v>
      </c>
      <c r="F59" s="471">
        <f t="shared" si="7"/>
        <v>4.2640656496848397</v>
      </c>
      <c r="G59" s="325">
        <f>TableA2!E59-TableA6!D59*TableC2!N$95-O59</f>
        <v>-0.59437914804600833</v>
      </c>
      <c r="H59" s="115">
        <f>TableA2!F59+TableA6!D59+N59</f>
        <v>4.858444797730848</v>
      </c>
      <c r="I59" s="466">
        <f>TableA2!G59</f>
        <v>1.0444599999999999</v>
      </c>
      <c r="J59" s="383">
        <f t="shared" si="8"/>
        <v>0.34401552786762374</v>
      </c>
      <c r="K59" s="117">
        <f t="shared" si="9"/>
        <v>0.2963913951192112</v>
      </c>
      <c r="L59" s="332">
        <f t="shared" si="10"/>
        <v>0.7036086048807888</v>
      </c>
      <c r="M59" s="942">
        <f>K59-TableA2!I59</f>
        <v>-0.2232468477126377</v>
      </c>
      <c r="N59" s="1005">
        <f>-TableA7!P59</f>
        <v>-7.9601858461284136</v>
      </c>
      <c r="O59" s="1005">
        <f>N59*TableC2!N$95</f>
        <v>-0.54084710995937968</v>
      </c>
      <c r="P59" s="1006">
        <f t="shared" si="20"/>
        <v>-7.4193387361690339</v>
      </c>
      <c r="S59" s="939"/>
      <c r="T59" s="940"/>
    </row>
    <row r="60" spans="1:26" x14ac:dyDescent="0.35">
      <c r="A60" s="458" t="s">
        <v>212</v>
      </c>
      <c r="B60" s="334">
        <f>D60+TableA1!C60+TableA1!H60+TableA1!I60</f>
        <v>2.4353190802159537</v>
      </c>
      <c r="C60" s="334">
        <f>B60-TableA1!M60</f>
        <v>1.8822397028465354</v>
      </c>
      <c r="D60" s="334">
        <f t="shared" si="6"/>
        <v>0.93314908021595411</v>
      </c>
      <c r="E60" s="273">
        <f>TableA2!C60</f>
        <v>0.34493299999999999</v>
      </c>
      <c r="F60" s="471">
        <f t="shared" si="7"/>
        <v>0.17145508021595407</v>
      </c>
      <c r="G60" s="325">
        <f>TableA2!E60-TableA6!D60*TableC2!N$95-O60</f>
        <v>5.8999723218556288E-3</v>
      </c>
      <c r="H60" s="115">
        <f>TableA2!F60+TableA6!D60+N60</f>
        <v>0.16555510789409844</v>
      </c>
      <c r="I60" s="466">
        <f>TableA2!G60</f>
        <v>0.41676099999999999</v>
      </c>
      <c r="J60" s="383">
        <f t="shared" si="8"/>
        <v>0.63035595564197111</v>
      </c>
      <c r="K60" s="117">
        <f t="shared" si="9"/>
        <v>0.33202757148122269</v>
      </c>
      <c r="L60" s="332">
        <f t="shared" si="10"/>
        <v>0.66797242851877736</v>
      </c>
      <c r="M60" s="942">
        <f>K60-TableA2!I60</f>
        <v>-0.53855229456355636</v>
      </c>
      <c r="N60" s="1005">
        <f>-TableA7!P60</f>
        <v>-4.6272367930221332</v>
      </c>
      <c r="O60" s="1005">
        <f>N60*TableC2!N$95</f>
        <v>-0.31439311782160578</v>
      </c>
      <c r="P60" s="1006">
        <f t="shared" si="20"/>
        <v>-4.3128436752005275</v>
      </c>
      <c r="S60" s="939"/>
      <c r="T60" s="940"/>
    </row>
    <row r="61" spans="1:26" x14ac:dyDescent="0.35">
      <c r="A61" s="458" t="s">
        <v>277</v>
      </c>
      <c r="B61" s="334">
        <f>D61+TableA1!C61+TableA1!H61+TableA1!I61</f>
        <v>0.92955556055348176</v>
      </c>
      <c r="C61" s="334">
        <f>B61-TableA1!M61</f>
        <v>0.71931704385238748</v>
      </c>
      <c r="D61" s="334">
        <f t="shared" si="6"/>
        <v>0.35854556055348169</v>
      </c>
      <c r="E61" s="273">
        <f>TableA2!C61</f>
        <v>0.13389599999999999</v>
      </c>
      <c r="F61" s="471">
        <f t="shared" si="7"/>
        <v>6.6228560553481697E-2</v>
      </c>
      <c r="G61" s="325">
        <f>TableA2!E61-TableA6!D61*TableC2!N$95-O61</f>
        <v>1.9634228989567903E-3</v>
      </c>
      <c r="H61" s="115">
        <f>TableA2!F61+TableA6!D61+N61</f>
        <v>6.4265137654524906E-2</v>
      </c>
      <c r="I61" s="466">
        <f>TableA2!G61</f>
        <v>0.15842100000000001</v>
      </c>
      <c r="J61" s="383">
        <f t="shared" si="8"/>
        <v>0.62655791974301223</v>
      </c>
      <c r="K61" s="117">
        <f t="shared" si="9"/>
        <v>0.33093669447825041</v>
      </c>
      <c r="L61" s="332">
        <f t="shared" si="10"/>
        <v>0.66906330552174964</v>
      </c>
      <c r="M61" s="942">
        <f>K61-TableA2!I61</f>
        <v>-0.53690114095865282</v>
      </c>
      <c r="N61" s="1005">
        <f>-TableA7!P61</f>
        <v>-0.89802440091367575</v>
      </c>
      <c r="O61" s="1005">
        <f>N61*TableC2!N$95</f>
        <v>-6.1015397290427743E-2</v>
      </c>
      <c r="P61" s="1006">
        <f t="shared" si="20"/>
        <v>-0.83700900362324804</v>
      </c>
      <c r="S61" s="939"/>
      <c r="T61" s="940"/>
    </row>
    <row r="62" spans="1:26" s="118" customFormat="1" x14ac:dyDescent="0.35">
      <c r="A62" s="458" t="s">
        <v>213</v>
      </c>
      <c r="B62" s="334">
        <f>D62+TableA1!C62+TableA1!H62+TableA1!I62</f>
        <v>5.6631101917458935</v>
      </c>
      <c r="C62" s="334">
        <f>B62-TableA1!M62</f>
        <v>5.4278508642700691</v>
      </c>
      <c r="D62" s="334">
        <f t="shared" si="6"/>
        <v>4.5822301917458956</v>
      </c>
      <c r="E62" s="273">
        <f>TableA2!C62</f>
        <v>3.0988699999999998</v>
      </c>
      <c r="F62" s="471">
        <f t="shared" si="7"/>
        <v>1.2695661917458958</v>
      </c>
      <c r="G62" s="325">
        <f>TableA2!E62-TableA6!D62*TableC2!N$95-O62</f>
        <v>-0.21777702331263793</v>
      </c>
      <c r="H62" s="115">
        <f>TableA2!F62+TableA6!D62+N62</f>
        <v>1.4873432150585337</v>
      </c>
      <c r="I62" s="466">
        <f>TableA2!G62</f>
        <v>0.21379400000000001</v>
      </c>
      <c r="J62" s="383">
        <f t="shared" si="8"/>
        <v>0.32372013837670477</v>
      </c>
      <c r="K62" s="117">
        <f t="shared" si="9"/>
        <v>0.29062257888640447</v>
      </c>
      <c r="L62" s="332">
        <f t="shared" si="10"/>
        <v>0.70937742111359547</v>
      </c>
      <c r="M62" s="942">
        <f>K62-TableA2!I62</f>
        <v>-4.050497282118054E-2</v>
      </c>
      <c r="N62" s="1005">
        <f>-TableA7!P62</f>
        <v>-23.950680817428665</v>
      </c>
      <c r="O62" s="1005">
        <f>N62*TableC2!N$95</f>
        <v>-1.6273057880886164</v>
      </c>
      <c r="P62" s="1006">
        <f t="shared" si="20"/>
        <v>-22.323375029340049</v>
      </c>
      <c r="S62" s="939"/>
      <c r="T62" s="940"/>
    </row>
    <row r="63" spans="1:26" x14ac:dyDescent="0.35">
      <c r="A63" s="458" t="s">
        <v>278</v>
      </c>
      <c r="B63" s="334">
        <f>D63+TableA1!C63+TableA1!H63+TableA1!I63</f>
        <v>0.27383723462337189</v>
      </c>
      <c r="C63" s="334">
        <f>B63-TableA1!M63</f>
        <v>0.22555529406954411</v>
      </c>
      <c r="D63" s="334">
        <f t="shared" si="6"/>
        <v>0.13988323462337182</v>
      </c>
      <c r="E63" s="273">
        <f>TableA2!C63</f>
        <v>7.2464799999999996E-2</v>
      </c>
      <c r="F63" s="471">
        <f t="shared" si="7"/>
        <v>3.1036646623371821E-2</v>
      </c>
      <c r="G63" s="325">
        <f>TableA2!E63-TableA6!D63*TableC2!N$95-O63</f>
        <v>-3.7437825687445594E-3</v>
      </c>
      <c r="H63" s="115">
        <f>TableA2!F63+TableA6!D63+N63</f>
        <v>3.478042919211638E-2</v>
      </c>
      <c r="I63" s="466">
        <f>TableA2!G63</f>
        <v>3.6381787999999998E-2</v>
      </c>
      <c r="J63" s="383">
        <f t="shared" si="8"/>
        <v>0.48196222231271946</v>
      </c>
      <c r="K63" s="117">
        <f t="shared" si="9"/>
        <v>0.29986679061897659</v>
      </c>
      <c r="L63" s="332">
        <f t="shared" si="10"/>
        <v>0.70013320938102341</v>
      </c>
      <c r="M63" s="942">
        <f>K63-TableA2!I63</f>
        <v>-0.3886766283405324</v>
      </c>
      <c r="N63" s="1005">
        <f>-TableA7!P63</f>
        <v>-0.13857833606997835</v>
      </c>
      <c r="O63" s="1005">
        <f>N63*TableC2!N$95</f>
        <v>-9.4155706933501618E-3</v>
      </c>
      <c r="P63" s="1006">
        <f t="shared" si="20"/>
        <v>-0.12916276537662819</v>
      </c>
      <c r="Q63" s="106"/>
      <c r="R63" s="106"/>
      <c r="S63" s="939"/>
      <c r="T63" s="940"/>
      <c r="U63" s="106"/>
      <c r="V63" s="106"/>
      <c r="W63" s="106"/>
      <c r="X63" s="106"/>
      <c r="Y63" s="106"/>
      <c r="Z63" s="106"/>
    </row>
    <row r="64" spans="1:26" x14ac:dyDescent="0.35">
      <c r="A64" s="458" t="s">
        <v>321</v>
      </c>
      <c r="B64" s="334">
        <f>D64+TableA1!C64+TableA1!H64+TableA1!I64</f>
        <v>0.60951398240869525</v>
      </c>
      <c r="C64" s="334">
        <f>B64-TableA1!M64</f>
        <v>0.50092868232463317</v>
      </c>
      <c r="D64" s="334">
        <f t="shared" si="6"/>
        <v>0.31459498240869521</v>
      </c>
      <c r="E64" s="273">
        <f>TableA2!C64</f>
        <v>0.16297200000000001</v>
      </c>
      <c r="F64" s="471">
        <f t="shared" si="7"/>
        <v>6.9800870408695204E-2</v>
      </c>
      <c r="G64" s="325">
        <f>TableA2!E64-TableA6!D64*TableC2!N$95-O64</f>
        <v>-8.4196739976576396E-3</v>
      </c>
      <c r="H64" s="115">
        <f>TableA2!F64+TableA6!D64+N64</f>
        <v>7.8220544406352843E-2</v>
      </c>
      <c r="I64" s="466">
        <f>TableA2!G64</f>
        <v>8.1822112000000002E-2</v>
      </c>
      <c r="J64" s="383">
        <f t="shared" si="8"/>
        <v>0.48196249427690946</v>
      </c>
      <c r="K64" s="117">
        <f t="shared" si="9"/>
        <v>0.29986686286138525</v>
      </c>
      <c r="L64" s="332">
        <f t="shared" si="10"/>
        <v>0.7001331371386148</v>
      </c>
      <c r="M64" s="942">
        <f>K64-TableA2!I64</f>
        <v>-0.38867736689281623</v>
      </c>
      <c r="N64" s="1005">
        <f>-TableA7!P64</f>
        <v>-29.046851153404386</v>
      </c>
      <c r="O64" s="1005">
        <f>N64*TableC2!N$95</f>
        <v>-1.9735601408577472</v>
      </c>
      <c r="P64" s="1006">
        <f t="shared" si="20"/>
        <v>-27.07329101254664</v>
      </c>
      <c r="Q64" s="106"/>
      <c r="R64" s="106"/>
      <c r="S64" s="939"/>
      <c r="T64" s="940"/>
      <c r="U64" s="106"/>
      <c r="V64" s="106"/>
      <c r="W64" s="106"/>
      <c r="X64" s="106"/>
      <c r="Y64" s="106"/>
      <c r="Z64" s="106"/>
    </row>
    <row r="65" spans="1:26" x14ac:dyDescent="0.35">
      <c r="A65" s="458" t="s">
        <v>291</v>
      </c>
      <c r="B65" s="334">
        <f>D65+TableA1!C65+TableA1!H65+TableA1!I65</f>
        <v>3.3178854666271431</v>
      </c>
      <c r="C65" s="334">
        <f>B65-TableA1!M65</f>
        <v>2.9017332036006138</v>
      </c>
      <c r="D65" s="334">
        <f t="shared" si="6"/>
        <v>1.9603554666271434</v>
      </c>
      <c r="E65" s="273">
        <f>TableA2!C65</f>
        <v>1.41639</v>
      </c>
      <c r="F65" s="471">
        <f t="shared" si="7"/>
        <v>0.23038346662714337</v>
      </c>
      <c r="G65" s="325">
        <f>TableA2!E65-TableA6!D65*TableC2!N$95-O65</f>
        <v>-0.44943145183563837</v>
      </c>
      <c r="H65" s="115">
        <f>TableA2!F65+TableA6!D65+N65</f>
        <v>0.67981491846278175</v>
      </c>
      <c r="I65" s="466">
        <f>TableA2!G65</f>
        <v>0.31358200000000003</v>
      </c>
      <c r="J65" s="383">
        <f t="shared" si="8"/>
        <v>0.27748307686414342</v>
      </c>
      <c r="K65" s="117">
        <f t="shared" si="9"/>
        <v>0.13989991416306077</v>
      </c>
      <c r="L65" s="332">
        <f t="shared" si="10"/>
        <v>0.8601000858369392</v>
      </c>
      <c r="M65" s="942">
        <f>K65-TableA2!I65</f>
        <v>-0.15380431516427798</v>
      </c>
      <c r="N65" s="1005">
        <f>-TableA7!P65</f>
        <v>-22.241009225666584</v>
      </c>
      <c r="O65" s="1005">
        <f>N65*TableC2!N$95</f>
        <v>-1.511143809303422</v>
      </c>
      <c r="P65" s="1006">
        <f t="shared" si="20"/>
        <v>-20.729865416363161</v>
      </c>
      <c r="Q65" s="106"/>
      <c r="R65" s="106"/>
      <c r="S65" s="939"/>
      <c r="T65" s="940"/>
      <c r="U65" s="106"/>
      <c r="V65" s="106"/>
      <c r="W65" s="106"/>
      <c r="X65" s="106"/>
      <c r="Y65" s="106"/>
      <c r="Z65" s="106"/>
    </row>
    <row r="66" spans="1:26" x14ac:dyDescent="0.35">
      <c r="A66" s="458" t="s">
        <v>280</v>
      </c>
      <c r="B66" s="334">
        <f>D66+TableA1!C66+TableA1!H66+TableA1!I66</f>
        <v>3.0625643747213225</v>
      </c>
      <c r="C66" s="334">
        <f>B66-TableA1!M66</f>
        <v>2.6699218141132413</v>
      </c>
      <c r="D66" s="334">
        <f t="shared" si="6"/>
        <v>2.2072943747213225</v>
      </c>
      <c r="E66" s="273">
        <f>TableA2!C66</f>
        <v>1.3583099999999999</v>
      </c>
      <c r="F66" s="471">
        <f t="shared" si="7"/>
        <v>0.53959837472132244</v>
      </c>
      <c r="G66" s="325">
        <f>TableA2!E66-TableA6!D66*TableC2!N$95-O66</f>
        <v>-0.11234028758014758</v>
      </c>
      <c r="H66" s="115">
        <f>TableA2!F66+TableA6!D66+N66</f>
        <v>0.65193866230147002</v>
      </c>
      <c r="I66" s="466">
        <f>TableA2!G66</f>
        <v>0.30938599999999999</v>
      </c>
      <c r="J66" s="383">
        <f t="shared" si="8"/>
        <v>0.3846267106210105</v>
      </c>
      <c r="K66" s="117">
        <f t="shared" si="9"/>
        <v>0.28431213113781312</v>
      </c>
      <c r="L66" s="332">
        <f t="shared" si="10"/>
        <v>0.71568786886218683</v>
      </c>
      <c r="M66" s="942">
        <f>K66-TableA2!I66</f>
        <v>7.617079039216676E-2</v>
      </c>
      <c r="N66" s="1005">
        <f>-TableA7!P66</f>
        <v>-11.0354105348083</v>
      </c>
      <c r="O66" s="1005">
        <f>N66*TableC2!N$95</f>
        <v>-0.74979027001853726</v>
      </c>
      <c r="P66" s="1006">
        <f t="shared" si="20"/>
        <v>-10.285620264789763</v>
      </c>
      <c r="Q66" s="106"/>
      <c r="R66" s="106"/>
      <c r="S66" s="939"/>
      <c r="T66" s="940"/>
      <c r="U66" s="106"/>
      <c r="V66" s="106"/>
      <c r="W66" s="106"/>
      <c r="X66" s="106"/>
      <c r="Y66" s="106"/>
      <c r="Z66" s="106"/>
    </row>
    <row r="67" spans="1:26" x14ac:dyDescent="0.35">
      <c r="A67" s="458" t="s">
        <v>116</v>
      </c>
      <c r="B67" s="334">
        <f>D67+TableA1!C67+TableA1!H67+TableA1!I67</f>
        <v>19.129341162482643</v>
      </c>
      <c r="C67" s="334">
        <f>B67-TableA1!M67</f>
        <v>16.949971181754428</v>
      </c>
      <c r="D67" s="334">
        <f t="shared" si="6"/>
        <v>9.5314911624826415</v>
      </c>
      <c r="E67" s="273">
        <f>TableA2!C67</f>
        <v>5.5453299999999999</v>
      </c>
      <c r="F67" s="471">
        <f t="shared" si="7"/>
        <v>2.6929911624826421</v>
      </c>
      <c r="G67" s="325">
        <f>TableA2!E67-TableA6!D67*TableC2!N$95-O67</f>
        <v>3.1437450723019622E-2</v>
      </c>
      <c r="H67" s="115">
        <f>TableA2!F67+TableA6!D67+N67</f>
        <v>2.6615537117596224</v>
      </c>
      <c r="I67" s="466">
        <f>TableA2!G67</f>
        <v>1.2931699999999999</v>
      </c>
      <c r="J67" s="383">
        <f t="shared" si="8"/>
        <v>0.41820960587707007</v>
      </c>
      <c r="K67" s="117">
        <f t="shared" si="9"/>
        <v>0.3268859163620057</v>
      </c>
      <c r="L67" s="332">
        <f t="shared" si="10"/>
        <v>0.6731140836379943</v>
      </c>
      <c r="M67" s="942">
        <f>K67-TableA2!I67</f>
        <v>-3.3483328745600449E-2</v>
      </c>
      <c r="N67" s="1005">
        <f>-TableA7!P67</f>
        <v>-4.220454615709551</v>
      </c>
      <c r="O67" s="1005">
        <f>N67*TableC2!N$95</f>
        <v>-0.28675469715715629</v>
      </c>
      <c r="P67" s="1006">
        <f t="shared" si="20"/>
        <v>-3.9336999185523949</v>
      </c>
      <c r="Q67" s="106"/>
      <c r="R67" s="106"/>
      <c r="S67" s="939"/>
      <c r="T67" s="940"/>
      <c r="U67" s="106"/>
      <c r="V67" s="106"/>
      <c r="W67" s="106"/>
      <c r="X67" s="106"/>
      <c r="Y67" s="106"/>
      <c r="Z67" s="106"/>
    </row>
    <row r="68" spans="1:26" x14ac:dyDescent="0.35">
      <c r="A68" s="458" t="s">
        <v>281</v>
      </c>
      <c r="B68" s="334">
        <f>D68+TableA1!C68+TableA1!H68+TableA1!I68</f>
        <v>3.9161398666478502</v>
      </c>
      <c r="C68" s="334">
        <f>B68-TableA1!M68</f>
        <v>3.0748758261479203</v>
      </c>
      <c r="D68" s="334">
        <f t="shared" si="6"/>
        <v>2.4373298666478505</v>
      </c>
      <c r="E68" s="273">
        <f>TableA2!C68</f>
        <v>1.2626299999999999</v>
      </c>
      <c r="F68" s="471">
        <f t="shared" si="7"/>
        <v>0.54078386664785039</v>
      </c>
      <c r="G68" s="325">
        <f>TableA2!E68-TableA6!D68*TableC2!N$95-O68</f>
        <v>-6.5231927376861509E-2</v>
      </c>
      <c r="H68" s="115">
        <f>TableA2!F68+TableA6!D68+N68</f>
        <v>0.60601579402471195</v>
      </c>
      <c r="I68" s="466">
        <f>TableA2!G68</f>
        <v>0.63391600000000004</v>
      </c>
      <c r="J68" s="383">
        <f t="shared" si="8"/>
        <v>0.48196179053246424</v>
      </c>
      <c r="K68" s="117">
        <f t="shared" si="9"/>
        <v>0.29986675640519977</v>
      </c>
      <c r="L68" s="332">
        <f t="shared" si="10"/>
        <v>0.70013324359480023</v>
      </c>
      <c r="M68" s="942">
        <f>K68-TableA2!I68</f>
        <v>-0.38867605523699367</v>
      </c>
      <c r="N68" s="1005">
        <f>-TableA7!P68</f>
        <v>-4.9132386020923846</v>
      </c>
      <c r="O68" s="1005">
        <f>N68*TableC2!N$95</f>
        <v>-0.33382523346172405</v>
      </c>
      <c r="P68" s="1006">
        <f t="shared" si="20"/>
        <v>-4.5794133686306608</v>
      </c>
      <c r="Q68" s="106"/>
      <c r="R68" s="106"/>
      <c r="S68" s="939"/>
      <c r="T68" s="940"/>
      <c r="U68" s="106"/>
      <c r="V68" s="106"/>
      <c r="W68" s="106"/>
      <c r="X68" s="106"/>
      <c r="Y68" s="106"/>
      <c r="Z68" s="106"/>
    </row>
    <row r="69" spans="1:26" x14ac:dyDescent="0.35">
      <c r="A69" s="458" t="s">
        <v>294</v>
      </c>
      <c r="B69" s="334">
        <f>D69+TableA1!C69+TableA1!H69+TableA1!I69</f>
        <v>0.67284404675502052</v>
      </c>
      <c r="C69" s="334">
        <f>B69-TableA1!M69</f>
        <v>0.54209838904698993</v>
      </c>
      <c r="D69" s="334">
        <f t="shared" si="6"/>
        <v>0.18267004675502058</v>
      </c>
      <c r="E69" s="273">
        <f>TableA2!C69</f>
        <v>7.3907048000000003E-2</v>
      </c>
      <c r="F69" s="471">
        <f t="shared" si="7"/>
        <v>3.4313374755020588E-2</v>
      </c>
      <c r="G69" s="325">
        <f>TableA2!E69-TableA6!D69*TableC2!N$95-O69</f>
        <v>-1.1592802410926514E-3</v>
      </c>
      <c r="H69" s="115">
        <f>TableA2!F69+TableA6!D69+N69</f>
        <v>3.547265499611324E-2</v>
      </c>
      <c r="I69" s="466">
        <f>TableA2!G69</f>
        <v>7.4449624000000006E-2</v>
      </c>
      <c r="J69" s="383">
        <f t="shared" si="8"/>
        <v>0.59540685890819878</v>
      </c>
      <c r="K69" s="117">
        <f t="shared" si="9"/>
        <v>0.31706930985379761</v>
      </c>
      <c r="L69" s="332">
        <f t="shared" si="10"/>
        <v>0.68293069014620245</v>
      </c>
      <c r="M69" s="942">
        <f>K69-TableA2!I69</f>
        <v>-0.5120016462160859</v>
      </c>
      <c r="N69" s="1005">
        <f>-TableA7!P69</f>
        <v>-0.36611708689079836</v>
      </c>
      <c r="O69" s="1005">
        <f>N69*TableC2!N$95</f>
        <v>-2.487547052031994E-2</v>
      </c>
      <c r="P69" s="1006">
        <f t="shared" si="20"/>
        <v>-0.3412416163704784</v>
      </c>
      <c r="Q69" s="106"/>
      <c r="R69" s="106"/>
      <c r="S69" s="939"/>
      <c r="T69" s="940"/>
      <c r="U69" s="106"/>
      <c r="V69" s="106"/>
      <c r="W69" s="106"/>
      <c r="X69" s="106"/>
      <c r="Y69" s="106"/>
      <c r="Z69" s="106"/>
    </row>
    <row r="70" spans="1:26" x14ac:dyDescent="0.35">
      <c r="A70" s="458" t="s">
        <v>282</v>
      </c>
      <c r="B70" s="334">
        <f>D70+TableA1!C70+TableA1!H70+TableA1!I70</f>
        <v>2.7548527983833471</v>
      </c>
      <c r="C70" s="334">
        <f>B70-TableA1!M70</f>
        <v>2.1891609433451586</v>
      </c>
      <c r="D70" s="334">
        <f t="shared" si="6"/>
        <v>1.6389327983833466</v>
      </c>
      <c r="E70" s="273">
        <f>TableA2!C70</f>
        <v>0.84902900000000003</v>
      </c>
      <c r="F70" s="471">
        <f t="shared" si="7"/>
        <v>0.36363879838334656</v>
      </c>
      <c r="G70" s="325">
        <f>TableA2!E70-TableA6!D70*TableC2!N$95-O70</f>
        <v>-4.3863782408339533E-2</v>
      </c>
      <c r="H70" s="115">
        <f>TableA2!F70+TableA6!D70+N70</f>
        <v>0.40750258079168611</v>
      </c>
      <c r="I70" s="466">
        <f>TableA2!G70</f>
        <v>0.42626500000000001</v>
      </c>
      <c r="J70" s="383">
        <f t="shared" si="8"/>
        <v>0.48196228616726233</v>
      </c>
      <c r="K70" s="117">
        <f t="shared" si="9"/>
        <v>0.29986678863587141</v>
      </c>
      <c r="L70" s="332">
        <f t="shared" si="10"/>
        <v>0.70013321136412854</v>
      </c>
      <c r="M70" s="942">
        <f>K70-TableA2!I70</f>
        <v>-0.38867666063677958</v>
      </c>
      <c r="N70" s="1005">
        <f>-TableA7!P70</f>
        <v>-1.6236441277636195</v>
      </c>
      <c r="O70" s="1005">
        <f>N70*TableC2!N$95</f>
        <v>-0.11031692614696591</v>
      </c>
      <c r="P70" s="1006">
        <f t="shared" si="20"/>
        <v>-1.5133272016166537</v>
      </c>
      <c r="Q70" s="106"/>
      <c r="R70" s="106"/>
      <c r="S70" s="939"/>
      <c r="T70" s="940"/>
      <c r="U70" s="106"/>
      <c r="V70" s="106"/>
      <c r="W70" s="106"/>
      <c r="X70" s="106"/>
      <c r="Y70" s="106"/>
      <c r="Z70" s="106"/>
    </row>
    <row r="71" spans="1:26" x14ac:dyDescent="0.35">
      <c r="A71" s="458" t="s">
        <v>295</v>
      </c>
      <c r="B71" s="334">
        <f>D71+TableA1!C71+TableA1!H71+TableA1!I71</f>
        <v>1.6998722299728628</v>
      </c>
      <c r="C71" s="334">
        <f>B71-TableA1!M71</f>
        <v>1.3970389561850109</v>
      </c>
      <c r="D71" s="334">
        <f t="shared" si="6"/>
        <v>0.87737222997286313</v>
      </c>
      <c r="E71" s="273">
        <f>TableA2!C71</f>
        <v>0.45451200000000003</v>
      </c>
      <c r="F71" s="471">
        <f t="shared" si="7"/>
        <v>0.19466722997286312</v>
      </c>
      <c r="G71" s="325">
        <f>TableA2!E71-TableA6!D71*TableC2!N$95-O71</f>
        <v>-2.3481753160564459E-2</v>
      </c>
      <c r="H71" s="115">
        <f>TableA2!F71+TableA6!D71+N71</f>
        <v>0.21814898313342757</v>
      </c>
      <c r="I71" s="466">
        <f>TableA2!G71</f>
        <v>0.22819300000000001</v>
      </c>
      <c r="J71" s="383">
        <f t="shared" si="8"/>
        <v>0.48196217697241461</v>
      </c>
      <c r="K71" s="117">
        <f t="shared" si="9"/>
        <v>0.29986669472003991</v>
      </c>
      <c r="L71" s="332">
        <f t="shared" si="10"/>
        <v>0.70013330527996009</v>
      </c>
      <c r="M71" s="942">
        <f>K71-TableA2!I71</f>
        <v>-0.38867588062565495</v>
      </c>
      <c r="N71" s="1005">
        <f>-TableA7!P71</f>
        <v>-0.86918360757516799</v>
      </c>
      <c r="O71" s="1005">
        <f>N71*TableC2!N$95</f>
        <v>-5.9055837548031245E-2</v>
      </c>
      <c r="P71" s="1006">
        <f t="shared" si="20"/>
        <v>-0.81012777002713676</v>
      </c>
      <c r="S71" s="939"/>
      <c r="T71" s="940"/>
    </row>
    <row r="72" spans="1:26" x14ac:dyDescent="0.35">
      <c r="A72" s="458" t="s">
        <v>220</v>
      </c>
      <c r="B72" s="334">
        <f>D72+TableA1!C72+TableA1!H72+TableA1!I72</f>
        <v>292.86646080880678</v>
      </c>
      <c r="C72" s="334">
        <f>B72-TableA1!M72</f>
        <v>253.54923142658379</v>
      </c>
      <c r="D72" s="334">
        <f t="shared" si="6"/>
        <v>202.5564608088068</v>
      </c>
      <c r="E72" s="273">
        <f>TableA2!C72</f>
        <v>117.069</v>
      </c>
      <c r="F72" s="471">
        <f t="shared" si="7"/>
        <v>55.860760808806809</v>
      </c>
      <c r="G72" s="325">
        <f>TableA2!E72-TableA6!D72*TableC2!N$95-O72</f>
        <v>-0.32803796096654469</v>
      </c>
      <c r="H72" s="115">
        <f>TableA2!F72+TableA6!D72+N72</f>
        <v>56.188798769773356</v>
      </c>
      <c r="I72" s="466">
        <f>TableA2!G72</f>
        <v>29.6267</v>
      </c>
      <c r="J72" s="383">
        <f t="shared" si="8"/>
        <v>0.4220426268678662</v>
      </c>
      <c r="K72" s="117">
        <f t="shared" si="9"/>
        <v>0.32302572181642653</v>
      </c>
      <c r="L72" s="332">
        <f t="shared" si="10"/>
        <v>0.67697427818357347</v>
      </c>
      <c r="M72" s="942">
        <f>K72-TableA2!I72</f>
        <v>-5.908276981766164E-2</v>
      </c>
      <c r="N72" s="1005">
        <f>-TableA7!P72</f>
        <v>-39.035168909870336</v>
      </c>
      <c r="O72" s="1005">
        <f>N72*TableC2!N$95</f>
        <v>-2.6522067072024265</v>
      </c>
      <c r="P72" s="1006">
        <f t="shared" si="20"/>
        <v>-36.382962202667912</v>
      </c>
      <c r="S72" s="939"/>
      <c r="T72" s="940"/>
    </row>
    <row r="73" spans="1:26" x14ac:dyDescent="0.35">
      <c r="A73" s="458" t="s">
        <v>284</v>
      </c>
      <c r="B73" s="334">
        <f>D73+TableA1!C73+TableA1!H73+TableA1!I73</f>
        <v>4.6000780332629274</v>
      </c>
      <c r="C73" s="334">
        <f>B73-TableA1!M73</f>
        <v>3.7805713040884594</v>
      </c>
      <c r="D73" s="334">
        <f t="shared" si="6"/>
        <v>2.374288033262927</v>
      </c>
      <c r="E73" s="273">
        <f>TableA2!C73</f>
        <v>1.22997</v>
      </c>
      <c r="F73" s="471">
        <f t="shared" si="7"/>
        <v>0.52679603326292701</v>
      </c>
      <c r="G73" s="325">
        <f>TableA2!E73-TableA6!D73*TableC2!N$95-O73</f>
        <v>-6.3544166301929023E-2</v>
      </c>
      <c r="H73" s="115">
        <f>TableA2!F73+TableA6!D73+N73</f>
        <v>0.59034019956485606</v>
      </c>
      <c r="I73" s="466">
        <f>TableA2!G73</f>
        <v>0.61752200000000002</v>
      </c>
      <c r="J73" s="383">
        <f t="shared" si="8"/>
        <v>0.48196259983264045</v>
      </c>
      <c r="K73" s="117">
        <f t="shared" si="9"/>
        <v>0.29986692780283503</v>
      </c>
      <c r="L73" s="332">
        <f t="shared" si="10"/>
        <v>0.70013307219716503</v>
      </c>
      <c r="M73" s="942">
        <f>K73-TableA2!I73</f>
        <v>-0.38867792840266763</v>
      </c>
      <c r="N73" s="1005">
        <f>-TableA7!P73</f>
        <v>-3.0545895810023342</v>
      </c>
      <c r="O73" s="1005">
        <f>N73*TableC2!N$95</f>
        <v>-0.20754112767362817</v>
      </c>
      <c r="P73" s="1006">
        <f t="shared" si="20"/>
        <v>-2.8470484533287062</v>
      </c>
      <c r="S73" s="939"/>
      <c r="T73" s="940"/>
    </row>
    <row r="74" spans="1:26" x14ac:dyDescent="0.35">
      <c r="A74" s="652" t="s">
        <v>285</v>
      </c>
      <c r="B74" s="334">
        <f>D74+TableA1!C74+TableA1!H74+TableA1!I74</f>
        <v>42.13443741344031</v>
      </c>
      <c r="C74" s="334">
        <f>B74-TableA1!M74</f>
        <v>36.16715195626918</v>
      </c>
      <c r="D74" s="334">
        <f t="shared" ref="D74:D91" si="21">E74+F74+I74</f>
        <v>25.927237413440306</v>
      </c>
      <c r="E74" s="273">
        <f>TableA2!C74</f>
        <v>15.218728393333157</v>
      </c>
      <c r="F74" s="471">
        <f t="shared" ref="F74:F90" si="22">G74+H74</f>
        <v>6.2119890201071488</v>
      </c>
      <c r="G74" s="325">
        <f>TableA2!E74-TableA6!D74*TableC2!N$95-O74</f>
        <v>-1.0924388576814459</v>
      </c>
      <c r="H74" s="115">
        <f>TableA2!F74+TableA6!D74+N74</f>
        <v>7.3044278777885943</v>
      </c>
      <c r="I74" s="466">
        <f>TableA2!G74</f>
        <v>4.4965200000000003</v>
      </c>
      <c r="J74" s="655">
        <f t="shared" ref="J74:J91" si="23">(F74+I74)/D74</f>
        <v>0.41302159768691793</v>
      </c>
      <c r="K74" s="359">
        <f t="shared" ref="K74:K91" si="24">F74/(D74-I74)</f>
        <v>0.28986379225043074</v>
      </c>
      <c r="L74" s="656">
        <f t="shared" ref="L74:L91" si="25">1-K74</f>
        <v>0.7101362077495692</v>
      </c>
      <c r="M74" s="942">
        <f>K74-TableA2!I74</f>
        <v>-0.18089185262499319</v>
      </c>
      <c r="N74" s="1005">
        <f>-TableA7!P74</f>
        <v>-7.9265912025883249</v>
      </c>
      <c r="O74" s="1005">
        <f>N74*TableC2!N$95</f>
        <v>-0.53856455447386808</v>
      </c>
      <c r="P74" s="1006">
        <f t="shared" si="20"/>
        <v>-7.3880266481144572</v>
      </c>
      <c r="S74" s="939"/>
      <c r="T74" s="940"/>
    </row>
    <row r="75" spans="1:26" s="118" customFormat="1" x14ac:dyDescent="0.35">
      <c r="A75" s="458" t="s">
        <v>286</v>
      </c>
      <c r="B75" s="334">
        <f>D75+TableA1!C75+TableA1!H75+TableA1!I75</f>
        <v>6.3040611287160111</v>
      </c>
      <c r="C75" s="334">
        <f>B75-TableA1!M75</f>
        <v>5.513642922019506</v>
      </c>
      <c r="D75" s="334">
        <f t="shared" si="21"/>
        <v>4.7537811287160103</v>
      </c>
      <c r="E75" s="273">
        <f>TableA2!C75</f>
        <v>2.9184000000000001</v>
      </c>
      <c r="F75" s="471">
        <f t="shared" si="22"/>
        <v>1.1678541287160102</v>
      </c>
      <c r="G75" s="325">
        <f>TableA2!E75-TableA6!D75*TableC2!N$95-O75</f>
        <v>-0.23287014781925172</v>
      </c>
      <c r="H75" s="115">
        <f>TableA2!F75+TableA6!D75+N75</f>
        <v>1.4007242765352619</v>
      </c>
      <c r="I75" s="466">
        <f>TableA2!G75</f>
        <v>0.66752699999999998</v>
      </c>
      <c r="J75" s="383">
        <f t="shared" si="23"/>
        <v>0.38608869003856394</v>
      </c>
      <c r="K75" s="117">
        <f t="shared" si="24"/>
        <v>0.28580066044080699</v>
      </c>
      <c r="L75" s="332">
        <f t="shared" si="25"/>
        <v>0.71419933955919301</v>
      </c>
      <c r="M75" s="942">
        <f>K75-TableA2!I75</f>
        <v>2.6122048793649211E-3</v>
      </c>
      <c r="N75" s="1005">
        <f>-TableA7!P75</f>
        <v>1.5976646471228539E-2</v>
      </c>
      <c r="O75" s="1005">
        <f>N75*TableC2!N$95</f>
        <v>1.0855177552179078E-3</v>
      </c>
      <c r="P75" s="1006">
        <f t="shared" si="20"/>
        <v>1.4891128716010631E-2</v>
      </c>
      <c r="S75" s="939"/>
      <c r="T75" s="940"/>
    </row>
    <row r="76" spans="1:26" x14ac:dyDescent="0.35">
      <c r="A76" s="458" t="s">
        <v>287</v>
      </c>
      <c r="B76" s="334">
        <f>D76+TableA1!C76+TableA1!H76+TableA1!I76</f>
        <v>37.875724384860689</v>
      </c>
      <c r="C76" s="334">
        <f>B76-TableA1!M76</f>
        <v>33.350293329601442</v>
      </c>
      <c r="D76" s="334">
        <f t="shared" si="21"/>
        <v>17.677724384860682</v>
      </c>
      <c r="E76" s="273">
        <f>TableA2!C76</f>
        <v>10.102600000000001</v>
      </c>
      <c r="F76" s="471">
        <f t="shared" si="22"/>
        <v>4.1650843848606822</v>
      </c>
      <c r="G76" s="325">
        <f>TableA2!E76-TableA6!D76*TableC2!N$95-O76</f>
        <v>-0.68379070975456502</v>
      </c>
      <c r="H76" s="115">
        <f>TableA2!F76+TableA6!D76+N76</f>
        <v>4.8488750946152468</v>
      </c>
      <c r="I76" s="466">
        <f>TableA2!G76</f>
        <v>3.41004</v>
      </c>
      <c r="J76" s="383">
        <f t="shared" si="23"/>
        <v>0.42851241596164202</v>
      </c>
      <c r="K76" s="117">
        <f t="shared" si="24"/>
        <v>0.29192434262705014</v>
      </c>
      <c r="L76" s="332">
        <f t="shared" si="25"/>
        <v>0.70807565737294986</v>
      </c>
      <c r="M76" s="942">
        <f>K76-TableA2!I76</f>
        <v>-0.24481216864019517</v>
      </c>
      <c r="N76" s="1005">
        <f>-TableA7!P76</f>
        <v>-9.0073525686775824</v>
      </c>
      <c r="O76" s="1005">
        <f>N76*TableC2!N$95</f>
        <v>-0.61199583770068133</v>
      </c>
      <c r="P76" s="1006">
        <f t="shared" si="20"/>
        <v>-8.3953567309769017</v>
      </c>
      <c r="S76" s="939"/>
      <c r="T76" s="940"/>
    </row>
    <row r="77" spans="1:26" x14ac:dyDescent="0.35">
      <c r="A77" s="458" t="s">
        <v>301</v>
      </c>
      <c r="B77" s="334">
        <f>D77+TableA1!C77+TableA1!H77+TableA1!I77</f>
        <v>8.8015181705795076</v>
      </c>
      <c r="C77" s="334">
        <f>B77-TableA1!M77</f>
        <v>7.6529983873623433</v>
      </c>
      <c r="D77" s="334">
        <f t="shared" si="21"/>
        <v>4.9286581705795083</v>
      </c>
      <c r="E77" s="273">
        <f>TableA2!C77</f>
        <v>2.7482700000000002</v>
      </c>
      <c r="F77" s="471">
        <f t="shared" si="22"/>
        <v>1.3896231705795081</v>
      </c>
      <c r="G77" s="325">
        <f>TableA2!E77-TableA6!D77*TableC2!N$95-O77</f>
        <v>7.0555014235770486E-2</v>
      </c>
      <c r="H77" s="115">
        <f>TableA2!F77+TableA6!D77+N77</f>
        <v>1.3190681563437376</v>
      </c>
      <c r="I77" s="466">
        <f>TableA2!G77</f>
        <v>0.79076500000000005</v>
      </c>
      <c r="J77" s="383">
        <f t="shared" si="23"/>
        <v>0.44238981384321474</v>
      </c>
      <c r="K77" s="117">
        <f t="shared" si="24"/>
        <v>0.33582867253793619</v>
      </c>
      <c r="L77" s="332">
        <f t="shared" si="25"/>
        <v>0.66417132746206375</v>
      </c>
      <c r="M77" s="942">
        <f>K77-TableA2!I77</f>
        <v>-0.12347717033973776</v>
      </c>
      <c r="N77" s="1005">
        <f>-TableA7!P77</f>
        <v>-12.327426958163089</v>
      </c>
      <c r="O77" s="1005">
        <f>N77*TableC2!N$95</f>
        <v>-0.8375750733006565</v>
      </c>
      <c r="P77" s="1006">
        <f t="shared" si="20"/>
        <v>-11.489851884862432</v>
      </c>
      <c r="S77" s="939"/>
      <c r="T77" s="940"/>
    </row>
    <row r="78" spans="1:26" x14ac:dyDescent="0.35">
      <c r="A78" s="458" t="s">
        <v>302</v>
      </c>
      <c r="B78" s="334">
        <f>D78+TableA1!C78+TableA1!H78+TableA1!I78</f>
        <v>0.18478325332043657</v>
      </c>
      <c r="C78" s="334">
        <f>B78-TableA1!M78</f>
        <v>0.16164301326538585</v>
      </c>
      <c r="D78" s="334">
        <f t="shared" si="21"/>
        <v>0.13429625332043657</v>
      </c>
      <c r="E78" s="273">
        <f>TableA2!C78</f>
        <v>8.3486143999999998E-2</v>
      </c>
      <c r="F78" s="471">
        <f t="shared" si="22"/>
        <v>3.3373351320436576E-2</v>
      </c>
      <c r="G78" s="325">
        <f>TableA2!E78-TableA6!D78*TableC2!N$95-O78</f>
        <v>-6.6969161737789789E-3</v>
      </c>
      <c r="H78" s="115">
        <f>TableA2!F78+TableA6!D78+N78</f>
        <v>4.0070267494215557E-2</v>
      </c>
      <c r="I78" s="466">
        <f>TableA2!G78</f>
        <v>1.7436758E-2</v>
      </c>
      <c r="J78" s="383">
        <f t="shared" si="23"/>
        <v>0.37834346129673097</v>
      </c>
      <c r="K78" s="117">
        <f t="shared" si="24"/>
        <v>0.28558527682260315</v>
      </c>
      <c r="L78" s="332">
        <f t="shared" si="25"/>
        <v>0.71441472317739685</v>
      </c>
      <c r="M78" s="942">
        <f>K78-TableA2!I78</f>
        <v>3.4277873979706941E-2</v>
      </c>
      <c r="N78" s="1005">
        <f>-TableA7!P78</f>
        <v>5.7402704296166882E-3</v>
      </c>
      <c r="O78" s="1005">
        <f>N78*TableC2!N$95</f>
        <v>3.9001710918011513E-4</v>
      </c>
      <c r="P78" s="1006">
        <f t="shared" si="20"/>
        <v>5.3502533204365732E-3</v>
      </c>
      <c r="S78" s="939"/>
      <c r="T78" s="940"/>
    </row>
    <row r="79" spans="1:26" x14ac:dyDescent="0.35">
      <c r="A79" s="458" t="s">
        <v>296</v>
      </c>
      <c r="B79" s="334">
        <f>D79+TableA1!C79+TableA1!H79+TableA1!I79</f>
        <v>3.8873477123250519</v>
      </c>
      <c r="C79" s="334">
        <f>B79-TableA1!M79</f>
        <v>3.1948147076767817</v>
      </c>
      <c r="D79" s="334">
        <f t="shared" si="21"/>
        <v>2.0064177123250517</v>
      </c>
      <c r="E79" s="273">
        <f>TableA2!C79</f>
        <v>1.0394000000000001</v>
      </c>
      <c r="F79" s="471">
        <f t="shared" si="22"/>
        <v>0.44517471232505146</v>
      </c>
      <c r="G79" s="325">
        <f>TableA2!E79-TableA6!D79*TableC2!N$95-O79</f>
        <v>-5.3698921525945881E-2</v>
      </c>
      <c r="H79" s="115">
        <f>TableA2!F79+TableA6!D79+N79</f>
        <v>0.49887363385099737</v>
      </c>
      <c r="I79" s="466">
        <f>TableA2!G79</f>
        <v>0.52184299999999995</v>
      </c>
      <c r="J79" s="383">
        <f t="shared" si="23"/>
        <v>0.48196230843898608</v>
      </c>
      <c r="K79" s="117">
        <f t="shared" si="24"/>
        <v>0.29986682962411881</v>
      </c>
      <c r="L79" s="332">
        <f t="shared" si="25"/>
        <v>0.70013317037588119</v>
      </c>
      <c r="M79" s="942">
        <f>K79-TableA2!I79</f>
        <v>-0.38867698234911519</v>
      </c>
      <c r="N79" s="1005">
        <f>-TableA7!P79</f>
        <v>-1.9877049751420814</v>
      </c>
      <c r="O79" s="1005">
        <f>N79*TableC2!N$95</f>
        <v>-0.13505268746713289</v>
      </c>
      <c r="P79" s="1006">
        <f t="shared" si="20"/>
        <v>-1.8526522876749485</v>
      </c>
      <c r="S79" s="939"/>
      <c r="T79" s="940"/>
    </row>
    <row r="80" spans="1:26" x14ac:dyDescent="0.35">
      <c r="A80" s="458" t="s">
        <v>288</v>
      </c>
      <c r="B80" s="334">
        <f>D80+TableA1!C80+TableA1!H80+TableA1!I80</f>
        <v>0.53820138171553866</v>
      </c>
      <c r="C80" s="334">
        <f>B80-TableA1!M80</f>
        <v>0.44232064365076529</v>
      </c>
      <c r="D80" s="334">
        <f t="shared" si="21"/>
        <v>0.27778838171553871</v>
      </c>
      <c r="E80" s="273">
        <f>TableA2!C80</f>
        <v>0.14390500000000001</v>
      </c>
      <c r="F80" s="471">
        <f t="shared" si="22"/>
        <v>6.163445371553871E-2</v>
      </c>
      <c r="G80" s="325">
        <f>TableA2!E80-TableA6!D80*TableC2!N$95-O80</f>
        <v>-7.4346344885480378E-3</v>
      </c>
      <c r="H80" s="115">
        <f>TableA2!F80+TableA6!D80+N80</f>
        <v>6.9069088204086748E-2</v>
      </c>
      <c r="I80" s="466">
        <f>TableA2!G80</f>
        <v>7.2248928000000004E-2</v>
      </c>
      <c r="J80" s="383">
        <f t="shared" si="23"/>
        <v>0.48196177568231841</v>
      </c>
      <c r="K80" s="117">
        <f t="shared" si="24"/>
        <v>0.2998667778928672</v>
      </c>
      <c r="L80" s="332">
        <f t="shared" si="25"/>
        <v>0.7001332221071328</v>
      </c>
      <c r="M80" s="942">
        <f>K80-TableA2!I80</f>
        <v>-0.38867620433999084</v>
      </c>
      <c r="N80" s="1005">
        <f>-TableA7!P80</f>
        <v>-0.27916658691983243</v>
      </c>
      <c r="O80" s="1005">
        <f>N80*TableC2!N$95</f>
        <v>-1.8967703097817805E-2</v>
      </c>
      <c r="P80" s="1006">
        <f t="shared" si="20"/>
        <v>-0.26019888382201461</v>
      </c>
      <c r="S80" s="939"/>
      <c r="T80" s="940"/>
    </row>
    <row r="81" spans="1:20" x14ac:dyDescent="0.35">
      <c r="A81" s="458" t="s">
        <v>289</v>
      </c>
      <c r="B81" s="334">
        <f>D81+TableA1!C81+TableA1!H81+TableA1!I81</f>
        <v>5.4987700842501859</v>
      </c>
      <c r="C81" s="334">
        <f>B81-TableA1!M81</f>
        <v>4.0880855990596157</v>
      </c>
      <c r="D81" s="334">
        <f t="shared" si="21"/>
        <v>1.6673400842501878</v>
      </c>
      <c r="E81" s="273">
        <f>TableA2!C81</f>
        <v>0.36308000000000001</v>
      </c>
      <c r="F81" s="471">
        <f t="shared" si="22"/>
        <v>0.2412700842501877</v>
      </c>
      <c r="G81" s="325">
        <f>TableA2!E81-TableA6!D81*TableC2!N$95-O81</f>
        <v>6.7005086194943941E-2</v>
      </c>
      <c r="H81" s="115">
        <f>TableA2!F81+TableA6!D81+N81</f>
        <v>0.17426499805524376</v>
      </c>
      <c r="I81" s="466">
        <f>TableA2!G81</f>
        <v>1.0629900000000001</v>
      </c>
      <c r="J81" s="383">
        <f t="shared" si="23"/>
        <v>0.7822399860534277</v>
      </c>
      <c r="K81" s="117">
        <f t="shared" si="24"/>
        <v>0.39922238870791188</v>
      </c>
      <c r="L81" s="332">
        <f t="shared" si="25"/>
        <v>0.60077761129208818</v>
      </c>
      <c r="M81" s="942">
        <f>K81-TableA2!I81</f>
        <v>-0.54736684205226638</v>
      </c>
      <c r="N81" s="1005">
        <f>-TableA7!P81</f>
        <v>-7.2698575780768468</v>
      </c>
      <c r="O81" s="1005">
        <f>N81*TableC2!N$95</f>
        <v>-0.49394342505602468</v>
      </c>
      <c r="P81" s="1006">
        <f t="shared" si="20"/>
        <v>-6.775914153020822</v>
      </c>
      <c r="S81" s="939"/>
      <c r="T81" s="940"/>
    </row>
    <row r="82" spans="1:20" x14ac:dyDescent="0.35">
      <c r="A82" s="458" t="s">
        <v>297</v>
      </c>
      <c r="B82" s="334">
        <f>D82+TableA1!C82+TableA1!H82+TableA1!I82</f>
        <v>0.71089656475822416</v>
      </c>
      <c r="C82" s="334">
        <f>B82-TableA1!M82</f>
        <v>0.53743567271509152</v>
      </c>
      <c r="D82" s="334">
        <f t="shared" si="21"/>
        <v>0.23977556475822406</v>
      </c>
      <c r="E82" s="273">
        <f>TableA2!C82</f>
        <v>6.9840823999999996E-2</v>
      </c>
      <c r="F82" s="471">
        <f t="shared" si="22"/>
        <v>3.9226740758224084E-2</v>
      </c>
      <c r="G82" s="325">
        <f>TableA2!E82-TableA6!D82*TableC2!N$95-O82</f>
        <v>5.7057231903696673E-3</v>
      </c>
      <c r="H82" s="115">
        <f>TableA2!F82+TableA6!D82+N82</f>
        <v>3.3521017567854416E-2</v>
      </c>
      <c r="I82" s="466">
        <f>TableA2!G82</f>
        <v>0.13070799999999999</v>
      </c>
      <c r="J82" s="383">
        <f t="shared" si="23"/>
        <v>0.70872418100475132</v>
      </c>
      <c r="K82" s="117">
        <f t="shared" si="24"/>
        <v>0.35965541951156704</v>
      </c>
      <c r="L82" s="332">
        <f t="shared" si="25"/>
        <v>0.6403445804884329</v>
      </c>
      <c r="M82" s="942">
        <f>K82-TableA2!I82</f>
        <v>-0.55679203117279252</v>
      </c>
      <c r="N82" s="1005">
        <f>-TableA7!P82</f>
        <v>-0.79067591979762319</v>
      </c>
      <c r="O82" s="1005">
        <f>N82*TableC2!N$95</f>
        <v>-5.3721708814751738E-2</v>
      </c>
      <c r="P82" s="1006">
        <f t="shared" si="20"/>
        <v>-0.7369542109828715</v>
      </c>
      <c r="S82" s="939"/>
      <c r="T82" s="940"/>
    </row>
    <row r="83" spans="1:20" x14ac:dyDescent="0.35">
      <c r="A83" s="458" t="s">
        <v>225</v>
      </c>
      <c r="B83" s="334">
        <f>D83+TableA1!C83+TableA1!H83+TableA1!I83</f>
        <v>291.31593905864736</v>
      </c>
      <c r="C83" s="334">
        <f>B83-TableA1!M83</f>
        <v>225.19527086669848</v>
      </c>
      <c r="D83" s="334">
        <f t="shared" si="21"/>
        <v>179.56293737298026</v>
      </c>
      <c r="E83" s="273">
        <f>TableA2!C83</f>
        <v>103.461294</v>
      </c>
      <c r="F83" s="471">
        <f t="shared" si="22"/>
        <v>31.61113368731322</v>
      </c>
      <c r="G83" s="325">
        <f>TableA2!E83-TableA6!D83*TableC2!N$95-O83</f>
        <v>-18.046468487697744</v>
      </c>
      <c r="H83" s="115">
        <f>TableA2!F83+TableA6!D83+N83</f>
        <v>49.657602175010965</v>
      </c>
      <c r="I83" s="466">
        <f>TableA2!G83</f>
        <v>44.490509685667035</v>
      </c>
      <c r="J83" s="383">
        <f t="shared" si="23"/>
        <v>0.42381598611803312</v>
      </c>
      <c r="K83" s="117">
        <f t="shared" si="24"/>
        <v>0.2340309878822317</v>
      </c>
      <c r="L83" s="332">
        <f t="shared" si="25"/>
        <v>0.76596901211776824</v>
      </c>
      <c r="M83" s="942">
        <f>K83-TableA2!I83</f>
        <v>-7.136719469175784E-2</v>
      </c>
      <c r="N83" s="1005">
        <f>-TableA7!P83</f>
        <v>-70.416271670151048</v>
      </c>
      <c r="O83" s="1005">
        <f>N83*TableC2!N$95</f>
        <v>-4.7843653104454615</v>
      </c>
      <c r="P83" s="1006">
        <f t="shared" si="20"/>
        <v>-65.631906359705582</v>
      </c>
      <c r="S83" s="939"/>
      <c r="T83" s="940"/>
    </row>
    <row r="84" spans="1:20" x14ac:dyDescent="0.35">
      <c r="A84" s="458" t="s">
        <v>298</v>
      </c>
      <c r="B84" s="334">
        <f>D84+TableA1!C84+TableA1!H84+TableA1!I84</f>
        <v>0.47713991547987683</v>
      </c>
      <c r="C84" s="334">
        <f>B84-TableA1!M84</f>
        <v>0.37117500195194641</v>
      </c>
      <c r="D84" s="334">
        <f t="shared" si="21"/>
        <v>0.18933791547987683</v>
      </c>
      <c r="E84" s="273">
        <f>TableA2!C84</f>
        <v>7.3737880000000006E-2</v>
      </c>
      <c r="F84" s="471">
        <f t="shared" si="22"/>
        <v>3.5752427479876815E-2</v>
      </c>
      <c r="G84" s="325">
        <f>TableA2!E84-TableA6!D84*TableC2!N$95-O84</f>
        <v>3.6096687946427647E-4</v>
      </c>
      <c r="H84" s="115">
        <f>TableA2!F84+TableA6!D84+N84</f>
        <v>3.5391460600412539E-2</v>
      </c>
      <c r="I84" s="466">
        <f>TableA2!G84</f>
        <v>7.9847608E-2</v>
      </c>
      <c r="J84" s="383">
        <f t="shared" si="23"/>
        <v>0.6105487914921246</v>
      </c>
      <c r="K84" s="117">
        <f t="shared" si="24"/>
        <v>0.32653509066496811</v>
      </c>
      <c r="L84" s="332">
        <f t="shared" si="25"/>
        <v>0.67346490933503189</v>
      </c>
      <c r="M84" s="942">
        <f>K84-TableA2!I84</f>
        <v>-0.52905989086138983</v>
      </c>
      <c r="N84" s="1005">
        <f>-TableA7!P84</f>
        <v>-0.43731622619230615</v>
      </c>
      <c r="O84" s="1005">
        <f>N84*TableC2!N$95</f>
        <v>-2.9713027012992131E-2</v>
      </c>
      <c r="P84" s="1006">
        <f t="shared" si="20"/>
        <v>-0.40760319917931404</v>
      </c>
      <c r="S84" s="939"/>
      <c r="T84" s="940"/>
    </row>
    <row r="85" spans="1:20" x14ac:dyDescent="0.35">
      <c r="A85" s="458" t="s">
        <v>299</v>
      </c>
      <c r="B85" s="334">
        <f>D85+TableA1!C85+TableA1!H85+TableA1!I85</f>
        <v>0.86388267942978259</v>
      </c>
      <c r="C85" s="334">
        <f>B85-TableA1!M85</f>
        <v>0.66491404738169191</v>
      </c>
      <c r="D85" s="334">
        <f t="shared" si="21"/>
        <v>0.3234826794297827</v>
      </c>
      <c r="E85" s="273">
        <f>TableA2!C85</f>
        <v>0.115233</v>
      </c>
      <c r="F85" s="471">
        <f t="shared" si="22"/>
        <v>5.8320679429782703E-2</v>
      </c>
      <c r="G85" s="325">
        <f>TableA2!E85-TableA6!D85*TableC2!N$95-O85</f>
        <v>3.0130928899019319E-3</v>
      </c>
      <c r="H85" s="115">
        <f>TableA2!F85+TableA6!D85+N85</f>
        <v>5.5307586539880771E-2</v>
      </c>
      <c r="I85" s="466">
        <f>TableA2!G85</f>
        <v>0.14992900000000001</v>
      </c>
      <c r="J85" s="383">
        <f t="shared" si="23"/>
        <v>0.64377381749425866</v>
      </c>
      <c r="K85" s="117">
        <f t="shared" si="24"/>
        <v>0.33603827715665574</v>
      </c>
      <c r="L85" s="332">
        <f t="shared" si="25"/>
        <v>0.66396172284334432</v>
      </c>
      <c r="M85" s="942">
        <f>K85-TableA2!I85</f>
        <v>-0.54377849590915184</v>
      </c>
      <c r="N85" s="1005">
        <f>-TableA7!P85</f>
        <v>-0.92654576830210822</v>
      </c>
      <c r="O85" s="1005">
        <f>N85*TableC2!N$95</f>
        <v>-6.2953253946328058E-2</v>
      </c>
      <c r="P85" s="1006">
        <f t="shared" si="20"/>
        <v>-0.86359251435578011</v>
      </c>
      <c r="S85" s="939"/>
      <c r="T85" s="940"/>
    </row>
    <row r="86" spans="1:20" x14ac:dyDescent="0.35">
      <c r="A86" s="458" t="s">
        <v>322</v>
      </c>
      <c r="B86" s="334">
        <f>D86+TableA1!C86+TableA1!H86+TableA1!I86</f>
        <v>0.42477528431690809</v>
      </c>
      <c r="C86" s="334">
        <f>B86-TableA1!M86</f>
        <v>0.33365941206153027</v>
      </c>
      <c r="D86" s="334">
        <f t="shared" si="21"/>
        <v>0.17730328431690801</v>
      </c>
      <c r="E86" s="273">
        <f>TableA2!C86</f>
        <v>7.3914943999999996E-2</v>
      </c>
      <c r="F86" s="471">
        <f t="shared" si="22"/>
        <v>3.4729972316907998E-2</v>
      </c>
      <c r="G86" s="325">
        <f>TableA2!E86-TableA6!D86*TableC2!N$95-O86</f>
        <v>-7.4647246774944831E-4</v>
      </c>
      <c r="H86" s="115">
        <f>TableA2!F86+TableA6!D86+N86</f>
        <v>3.5476444784657446E-2</v>
      </c>
      <c r="I86" s="466">
        <f>TableA2!G86</f>
        <v>6.8658367999999997E-2</v>
      </c>
      <c r="J86" s="383">
        <f t="shared" si="23"/>
        <v>0.58311576525629349</v>
      </c>
      <c r="K86" s="117">
        <f t="shared" si="24"/>
        <v>0.31966495528979572</v>
      </c>
      <c r="L86" s="332">
        <f t="shared" si="25"/>
        <v>0.68033504471020434</v>
      </c>
      <c r="M86" s="942">
        <f>K86-TableA2!I86</f>
        <v>-0.51199287627030321</v>
      </c>
      <c r="N86" s="1005">
        <f>-TableA7!P86</f>
        <v>-0.37416665279599115</v>
      </c>
      <c r="O86" s="1005">
        <f>N86*TableC2!N$95</f>
        <v>-2.5422390471738981E-2</v>
      </c>
      <c r="P86" s="1006">
        <f t="shared" si="20"/>
        <v>-0.34874426232425215</v>
      </c>
      <c r="S86" s="939"/>
      <c r="T86" s="940"/>
    </row>
    <row r="87" spans="1:20" x14ac:dyDescent="0.35">
      <c r="A87" s="458" t="s">
        <v>300</v>
      </c>
      <c r="B87" s="334">
        <f>D87+TableA1!C87+TableA1!H87+TableA1!I87</f>
        <v>0.42801420846331317</v>
      </c>
      <c r="C87" s="334">
        <f>B87-TableA1!M87</f>
        <v>0.35176332081661754</v>
      </c>
      <c r="D87" s="334">
        <f t="shared" si="21"/>
        <v>0.22091620846331322</v>
      </c>
      <c r="E87" s="273">
        <f>TableA2!C87</f>
        <v>0.114443</v>
      </c>
      <c r="F87" s="471">
        <f t="shared" si="22"/>
        <v>4.9015904463313234E-2</v>
      </c>
      <c r="G87" s="325">
        <f>TableA2!E87-TableA6!D87*TableC2!N$95-O87</f>
        <v>-5.9125112369077665E-3</v>
      </c>
      <c r="H87" s="115">
        <f>TableA2!F87+TableA6!D87+N87</f>
        <v>5.4928415700221001E-2</v>
      </c>
      <c r="I87" s="466">
        <f>TableA2!G87</f>
        <v>5.7457304000000001E-2</v>
      </c>
      <c r="J87" s="383">
        <f t="shared" si="23"/>
        <v>0.48196195835487943</v>
      </c>
      <c r="K87" s="117">
        <f t="shared" si="24"/>
        <v>0.29986683579122103</v>
      </c>
      <c r="L87" s="332">
        <f t="shared" si="25"/>
        <v>0.70013316420877891</v>
      </c>
      <c r="M87" s="942">
        <f>K87-TableA2!I87</f>
        <v>-0.38867677023758934</v>
      </c>
      <c r="N87" s="1005">
        <f>-TableA7!P87</f>
        <v>-0.24501896552426217</v>
      </c>
      <c r="O87" s="1005">
        <f>N87*TableC2!N$95</f>
        <v>-1.664757606802442E-2</v>
      </c>
      <c r="P87" s="1006">
        <f t="shared" si="20"/>
        <v>-0.22837138945623775</v>
      </c>
      <c r="S87" s="939"/>
      <c r="T87" s="940"/>
    </row>
    <row r="88" spans="1:20" x14ac:dyDescent="0.35">
      <c r="A88" s="458" t="s">
        <v>210</v>
      </c>
      <c r="B88" s="334">
        <f>D88+TableA1!C88+TableA1!H88+TableA1!I88</f>
        <v>36.448073914761316</v>
      </c>
      <c r="C88" s="334">
        <f>B88-TableA1!M88</f>
        <v>30.15829413397887</v>
      </c>
      <c r="D88" s="334">
        <f t="shared" si="21"/>
        <v>19.364973914761315</v>
      </c>
      <c r="E88" s="273">
        <f>TableA2!C88</f>
        <v>10.2681</v>
      </c>
      <c r="F88" s="471">
        <f t="shared" si="22"/>
        <v>4.3573439147613122</v>
      </c>
      <c r="G88" s="325">
        <f>TableA2!E88-TableA6!D88*TableC2!N$95-O88</f>
        <v>-0.57096507094719939</v>
      </c>
      <c r="H88" s="115">
        <f>TableA2!F88+TableA6!D88+N88</f>
        <v>4.9283089857085116</v>
      </c>
      <c r="I88" s="466">
        <f>TableA2!G88</f>
        <v>4.7395300000000002</v>
      </c>
      <c r="J88" s="383">
        <f t="shared" si="23"/>
        <v>0.46975916181467459</v>
      </c>
      <c r="K88" s="117">
        <f t="shared" si="24"/>
        <v>0.29792900237123665</v>
      </c>
      <c r="L88" s="332">
        <f t="shared" si="25"/>
        <v>0.70207099762876335</v>
      </c>
      <c r="M88" s="942">
        <f>K88-TableA2!I88</f>
        <v>-0.36329792619644485</v>
      </c>
      <c r="N88" s="1005">
        <f>-TableA7!P88</f>
        <v>-16.911318951094543</v>
      </c>
      <c r="O88" s="1005">
        <f>N88*TableC2!N$95</f>
        <v>-1.1490231707026433</v>
      </c>
      <c r="P88" s="1006">
        <f t="shared" si="20"/>
        <v>-15.7622957803919</v>
      </c>
      <c r="S88" s="939"/>
      <c r="T88" s="940"/>
    </row>
    <row r="89" spans="1:20" x14ac:dyDescent="0.35">
      <c r="A89" s="458" t="s">
        <v>290</v>
      </c>
      <c r="B89" s="334">
        <f>D89+TableA1!C89+TableA1!H89+TableA1!I89</f>
        <v>68.669534622059814</v>
      </c>
      <c r="C89" s="334">
        <f>B89-TableA1!M89</f>
        <v>56.422813828234865</v>
      </c>
      <c r="D89" s="334">
        <f t="shared" si="21"/>
        <v>42.826402694348964</v>
      </c>
      <c r="E89" s="273">
        <f>TableA2!C89</f>
        <v>23.088800000000003</v>
      </c>
      <c r="F89" s="471">
        <f t="shared" si="22"/>
        <v>9.9189526943489632</v>
      </c>
      <c r="G89" s="325">
        <f>TableA2!E89-TableA6!D89*TableC2!N$95-O89</f>
        <v>-1.1628190559482365</v>
      </c>
      <c r="H89" s="115">
        <f>TableA2!F89+TableA6!D89+N89</f>
        <v>11.0817717502972</v>
      </c>
      <c r="I89" s="466">
        <f>TableA2!G89</f>
        <v>9.8186499999999999</v>
      </c>
      <c r="J89" s="383">
        <f t="shared" si="23"/>
        <v>0.46087463463171946</v>
      </c>
      <c r="K89" s="117">
        <f t="shared" si="24"/>
        <v>0.30050372669106673</v>
      </c>
      <c r="L89" s="332">
        <f t="shared" si="25"/>
        <v>0.69949627330893327</v>
      </c>
      <c r="M89" s="942">
        <f>K89-TableA2!I89</f>
        <v>-0.37818792790329692</v>
      </c>
      <c r="N89" s="1005">
        <f>-TableA7!P89</f>
        <v>-41.683062581236264</v>
      </c>
      <c r="O89" s="1005">
        <f>N89*TableC2!N$95</f>
        <v>-2.832115275585227</v>
      </c>
      <c r="P89" s="1006">
        <f t="shared" si="20"/>
        <v>-38.85094730565104</v>
      </c>
      <c r="S89" s="939"/>
      <c r="T89" s="940"/>
    </row>
    <row r="90" spans="1:20" ht="40" customHeight="1" x14ac:dyDescent="0.35">
      <c r="A90" s="492" t="s">
        <v>474</v>
      </c>
      <c r="B90" s="445">
        <f>D90+TableA1!C90+TableA1!H90+TableA1!I90</f>
        <v>9632.318394912365</v>
      </c>
      <c r="C90" s="445">
        <f>B90-TableA1!M90</f>
        <v>8253.7051171722451</v>
      </c>
      <c r="D90" s="334">
        <f t="shared" si="21"/>
        <v>4326.0275122289286</v>
      </c>
      <c r="E90" s="1637">
        <f>TableA2!C90</f>
        <v>2089.5387553579658</v>
      </c>
      <c r="F90" s="494">
        <f t="shared" si="22"/>
        <v>1563.7813422545094</v>
      </c>
      <c r="G90" s="494">
        <f>TableA2!E90-TableA6!D90*TableC2!D$95-O90</f>
        <v>61.917018236375213</v>
      </c>
      <c r="H90" s="446">
        <f>TableA2!F90+TableA6!D90+N90</f>
        <v>1501.8643240181341</v>
      </c>
      <c r="I90" s="448">
        <f>TableA2!G90</f>
        <v>672.70741461645321</v>
      </c>
      <c r="J90" s="496">
        <f t="shared" si="23"/>
        <v>0.51698440441000371</v>
      </c>
      <c r="K90" s="449">
        <f t="shared" si="24"/>
        <v>0.4280438889755307</v>
      </c>
      <c r="L90" s="497">
        <f t="shared" si="25"/>
        <v>0.5719561110244693</v>
      </c>
      <c r="M90" s="1013">
        <f>K90-TableA2!I90</f>
        <v>1.0583465219263066E-2</v>
      </c>
      <c r="N90" s="1017">
        <f>TableC4!C91/1000</f>
        <v>78.718222161267093</v>
      </c>
      <c r="O90" s="1017">
        <f>N90*TableC2!D$95</f>
        <v>12.345416321652717</v>
      </c>
      <c r="P90" s="1009">
        <f t="shared" si="20"/>
        <v>66.372805839614372</v>
      </c>
      <c r="S90" s="939"/>
      <c r="T90" s="940"/>
    </row>
    <row r="91" spans="1:20" ht="40" customHeight="1" thickBot="1" x14ac:dyDescent="0.4">
      <c r="A91" s="488" t="s">
        <v>499</v>
      </c>
      <c r="B91" s="422">
        <f>D91+TableA1!C91+TableA1!H91+TableA1!I91</f>
        <v>75038.958996406785</v>
      </c>
      <c r="C91" s="422">
        <f>B91-TableA1!M91</f>
        <v>63098.894488914579</v>
      </c>
      <c r="D91" s="1016">
        <f t="shared" si="21"/>
        <v>41013.063980041799</v>
      </c>
      <c r="E91" s="1010">
        <f>E90+E53+E45+E9</f>
        <v>22422.077231008858</v>
      </c>
      <c r="F91" s="1010">
        <f>F90+F53+F45+F9</f>
        <v>11662.065790312621</v>
      </c>
      <c r="G91" s="1010">
        <f>G90+G53+G45+G9</f>
        <v>146.77889617196286</v>
      </c>
      <c r="H91" s="1010">
        <f>H90+H53+H45+H9</f>
        <v>11515.286894140656</v>
      </c>
      <c r="I91" s="423">
        <f>TableA2!G91</f>
        <v>6928.9209587203241</v>
      </c>
      <c r="J91" s="474">
        <f t="shared" si="23"/>
        <v>0.45329426638497144</v>
      </c>
      <c r="K91" s="424">
        <f t="shared" si="24"/>
        <v>0.34215517118964578</v>
      </c>
      <c r="L91" s="475">
        <f t="shared" si="25"/>
        <v>0.65784482881035422</v>
      </c>
      <c r="M91" s="673">
        <f>K91-TableA2!I91</f>
        <v>4.9971510509790873E-3</v>
      </c>
      <c r="N91" s="1010">
        <f>N90+N53+N45+N9</f>
        <v>0</v>
      </c>
      <c r="O91" s="1010">
        <f>O90+O53+O45+O9</f>
        <v>-0.46618540505149664</v>
      </c>
      <c r="P91" s="1011">
        <f>P90+P53+P45+P9</f>
        <v>0.4661854050515899</v>
      </c>
      <c r="S91" s="939"/>
      <c r="T91" s="940"/>
    </row>
    <row r="92" spans="1:20" ht="16" thickTop="1" x14ac:dyDescent="0.35">
      <c r="F92" s="7"/>
    </row>
    <row r="93" spans="1:20" s="2" customFormat="1" ht="16" thickBot="1" x14ac:dyDescent="0.4">
      <c r="D93" s="1"/>
      <c r="E93" s="1"/>
      <c r="F93" s="1"/>
      <c r="G93" s="1"/>
      <c r="H93" s="1"/>
      <c r="I93" s="1"/>
      <c r="J93" s="1"/>
      <c r="K93" s="1"/>
      <c r="L93" s="1"/>
      <c r="M93" s="1"/>
      <c r="N93" s="1"/>
      <c r="O93" s="1"/>
      <c r="P93" s="1"/>
    </row>
    <row r="94" spans="1:20" s="2" customFormat="1" ht="41.25" customHeight="1" thickBot="1" x14ac:dyDescent="0.4">
      <c r="A94" s="2459" t="s">
        <v>830</v>
      </c>
      <c r="B94" s="2046"/>
      <c r="C94" s="2046"/>
      <c r="D94" s="2460"/>
      <c r="E94" s="2460"/>
      <c r="F94" s="2460"/>
      <c r="G94" s="2460"/>
      <c r="H94" s="2460"/>
      <c r="I94" s="2460"/>
      <c r="J94" s="2460"/>
      <c r="K94" s="2460"/>
      <c r="L94" s="2460"/>
      <c r="M94" s="2460"/>
      <c r="N94" s="2460"/>
      <c r="O94" s="2460"/>
      <c r="P94" s="2461"/>
    </row>
    <row r="95" spans="1:20" s="2" customFormat="1" x14ac:dyDescent="0.35">
      <c r="A95" s="1"/>
      <c r="B95" s="1"/>
      <c r="C95" s="1"/>
      <c r="D95" s="1"/>
      <c r="E95" s="1"/>
      <c r="F95" s="1"/>
      <c r="G95" s="1"/>
      <c r="H95" s="1"/>
      <c r="I95" s="1"/>
      <c r="J95" s="1"/>
      <c r="K95" s="1"/>
      <c r="L95" s="1"/>
      <c r="M95" s="1"/>
      <c r="N95" s="1"/>
      <c r="O95" s="1"/>
      <c r="P95" s="1"/>
    </row>
    <row r="96" spans="1:20" s="2" customFormat="1" x14ac:dyDescent="0.35">
      <c r="A96" s="430"/>
      <c r="B96" s="430"/>
      <c r="C96" s="430"/>
      <c r="D96" s="443"/>
      <c r="E96" s="443"/>
      <c r="F96" s="443"/>
      <c r="G96" s="443"/>
      <c r="H96" s="443"/>
      <c r="I96" s="443"/>
      <c r="J96" s="443"/>
      <c r="K96" s="443"/>
      <c r="L96" s="1"/>
      <c r="M96" s="1"/>
      <c r="N96" s="1"/>
      <c r="O96" s="1"/>
      <c r="P96" s="1"/>
    </row>
    <row r="97" spans="1:13" x14ac:dyDescent="0.35">
      <c r="A97" s="1530" t="s">
        <v>795</v>
      </c>
      <c r="B97" s="325">
        <f>SUM(B10:B44)-B24-B12-B30-B32-B41</f>
        <v>44609.596787949435</v>
      </c>
      <c r="C97" s="325">
        <f t="shared" ref="C97:I97" si="26">SUM(C10:C44)-C24-C12-C30-C32-C41</f>
        <v>37172.774401003291</v>
      </c>
      <c r="D97" s="325">
        <f t="shared" si="26"/>
        <v>25202.568281223259</v>
      </c>
      <c r="E97" s="325">
        <f t="shared" si="26"/>
        <v>14529.806981991025</v>
      </c>
      <c r="F97" s="325">
        <f t="shared" si="26"/>
        <v>6301.4574219340084</v>
      </c>
      <c r="G97" s="325">
        <f t="shared" si="26"/>
        <v>52.585837117537622</v>
      </c>
      <c r="H97" s="325">
        <f t="shared" si="26"/>
        <v>6248.8715848164684</v>
      </c>
      <c r="I97" s="325">
        <f t="shared" si="26"/>
        <v>4371.3038772982236</v>
      </c>
      <c r="J97" s="383">
        <f t="shared" ref="J97" si="27">(F97+I97)/D97</f>
        <v>0.42347911451484055</v>
      </c>
      <c r="K97" s="941">
        <f t="shared" ref="K97" si="28">F97/(D97-I97)</f>
        <v>0.3024999971075536</v>
      </c>
      <c r="L97" s="332">
        <f t="shared" ref="L97" si="29">1-K97</f>
        <v>0.6975000028924464</v>
      </c>
      <c r="M97" s="941">
        <f>K97-TableA2!I97</f>
        <v>1.250529986731802E-2</v>
      </c>
    </row>
  </sheetData>
  <mergeCells count="15">
    <mergeCell ref="A3:P3"/>
    <mergeCell ref="E7:E8"/>
    <mergeCell ref="F7:F8"/>
    <mergeCell ref="P6:P8"/>
    <mergeCell ref="I7:I8"/>
    <mergeCell ref="B7:B8"/>
    <mergeCell ref="B6:C6"/>
    <mergeCell ref="A94:P94"/>
    <mergeCell ref="D7:D8"/>
    <mergeCell ref="D6:I6"/>
    <mergeCell ref="J6:J8"/>
    <mergeCell ref="K6:K8"/>
    <mergeCell ref="L6:L8"/>
    <mergeCell ref="M6:M8"/>
    <mergeCell ref="C7:C8"/>
  </mergeCells>
  <pageMargins left="0.7" right="0.7" top="0.75" bottom="0.75" header="0.3" footer="0.3"/>
  <pageSetup scale="43" orientation="portrait" horizontalDpi="4294967292" verticalDpi="4294967292"/>
  <ignoredErrors>
    <ignoredError sqref="F53" formula="1"/>
  </ignoredErrors>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A93"/>
  <sheetViews>
    <sheetView workbookViewId="0">
      <pane xSplit="1" ySplit="8" topLeftCell="B9" activePane="bottomRight" state="frozen"/>
      <selection pane="topRight" activeCell="B1" sqref="B1"/>
      <selection pane="bottomLeft" activeCell="A9" sqref="A9"/>
      <selection pane="bottomRight" activeCell="D9" sqref="D9"/>
    </sheetView>
  </sheetViews>
  <sheetFormatPr baseColWidth="10" defaultColWidth="10.81640625" defaultRowHeight="15.5" x14ac:dyDescent="0.35"/>
  <cols>
    <col min="1" max="1" width="19" style="1" customWidth="1"/>
    <col min="2" max="2" width="14.81640625" style="1" customWidth="1"/>
    <col min="3" max="3" width="13.453125" style="1" customWidth="1"/>
    <col min="4" max="17" width="11.36328125" style="1" customWidth="1"/>
    <col min="18" max="16384" width="10.81640625" style="1"/>
  </cols>
  <sheetData>
    <row r="1" spans="1:21" x14ac:dyDescent="0.35">
      <c r="C1" s="1635"/>
      <c r="F1"/>
      <c r="I1" s="1635"/>
      <c r="M1" s="1635"/>
      <c r="N1" s="982"/>
      <c r="O1" s="982"/>
      <c r="P1" s="982"/>
    </row>
    <row r="2" spans="1:21" ht="16" thickBot="1" x14ac:dyDescent="0.4"/>
    <row r="3" spans="1:21" ht="32.25" customHeight="1" x14ac:dyDescent="0.35">
      <c r="A3" s="2212" t="s">
        <v>826</v>
      </c>
      <c r="B3" s="2213"/>
      <c r="C3" s="2213"/>
      <c r="D3" s="2213"/>
      <c r="E3" s="2213"/>
      <c r="F3" s="2213"/>
      <c r="G3" s="2213"/>
      <c r="H3" s="2213"/>
      <c r="I3" s="2213"/>
      <c r="J3" s="2213"/>
      <c r="K3" s="2213"/>
      <c r="L3" s="2213"/>
      <c r="M3" s="2213"/>
      <c r="N3" s="2213"/>
      <c r="O3" s="2213"/>
      <c r="P3" s="2213"/>
      <c r="Q3" s="2214"/>
    </row>
    <row r="4" spans="1:21" ht="12" customHeight="1" x14ac:dyDescent="0.35">
      <c r="A4" s="291"/>
      <c r="B4" s="1312"/>
      <c r="C4" s="1312"/>
      <c r="D4" s="1312"/>
      <c r="E4" s="1312"/>
      <c r="F4" s="1312"/>
      <c r="G4" s="1312"/>
      <c r="H4" s="1312"/>
      <c r="I4" s="1312"/>
      <c r="J4" s="1312"/>
      <c r="K4" s="1312"/>
      <c r="L4" s="1312"/>
      <c r="M4" s="1312"/>
      <c r="N4" s="1312"/>
      <c r="O4" s="1312"/>
      <c r="P4" s="1312"/>
      <c r="Q4" s="1523"/>
      <c r="T4" s="107"/>
      <c r="U4" s="265"/>
    </row>
    <row r="5" spans="1:21" ht="16" thickBot="1" x14ac:dyDescent="0.4">
      <c r="A5" s="310"/>
      <c r="B5" s="323" t="s">
        <v>20</v>
      </c>
      <c r="C5" s="323" t="s">
        <v>21</v>
      </c>
      <c r="D5" s="323" t="s">
        <v>22</v>
      </c>
      <c r="E5" s="323" t="s">
        <v>23</v>
      </c>
      <c r="F5" s="323" t="s">
        <v>24</v>
      </c>
      <c r="G5" s="323" t="s">
        <v>25</v>
      </c>
      <c r="H5" s="323" t="s">
        <v>26</v>
      </c>
      <c r="I5" s="323" t="s">
        <v>33</v>
      </c>
      <c r="J5" s="323" t="s">
        <v>34</v>
      </c>
      <c r="K5" s="323" t="s">
        <v>37</v>
      </c>
      <c r="L5" s="1528" t="s">
        <v>138</v>
      </c>
      <c r="M5" s="1528" t="s">
        <v>139</v>
      </c>
      <c r="N5" s="1528" t="s">
        <v>140</v>
      </c>
      <c r="O5" s="1528" t="s">
        <v>141</v>
      </c>
      <c r="P5" s="1528" t="s">
        <v>255</v>
      </c>
      <c r="Q5" s="1734" t="s">
        <v>655</v>
      </c>
    </row>
    <row r="6" spans="1:21" ht="21" customHeight="1" x14ac:dyDescent="0.35">
      <c r="A6" s="310"/>
      <c r="B6" s="2472" t="s">
        <v>111</v>
      </c>
      <c r="C6" s="2471"/>
      <c r="D6" s="2462" t="s">
        <v>52</v>
      </c>
      <c r="E6" s="2480"/>
      <c r="F6" s="2480"/>
      <c r="G6" s="2480"/>
      <c r="H6" s="2480"/>
      <c r="I6" s="2473" t="s">
        <v>819</v>
      </c>
      <c r="J6" s="2086" t="s">
        <v>820</v>
      </c>
      <c r="K6" s="2474" t="s">
        <v>818</v>
      </c>
      <c r="L6" s="2481" t="s">
        <v>823</v>
      </c>
      <c r="M6" s="2086" t="s">
        <v>822</v>
      </c>
      <c r="N6" s="2483" t="s">
        <v>828</v>
      </c>
      <c r="O6" s="2485" t="s">
        <v>831</v>
      </c>
      <c r="P6" s="2086" t="s">
        <v>825</v>
      </c>
      <c r="Q6" s="2475" t="s">
        <v>832</v>
      </c>
    </row>
    <row r="7" spans="1:21" ht="85" customHeight="1" x14ac:dyDescent="0.35">
      <c r="A7" s="310"/>
      <c r="B7" s="2081" t="s">
        <v>585</v>
      </c>
      <c r="C7" s="2466" t="s">
        <v>815</v>
      </c>
      <c r="D7" s="2057" t="s">
        <v>821</v>
      </c>
      <c r="E7" s="2478" t="s">
        <v>185</v>
      </c>
      <c r="F7" s="1720" t="s">
        <v>816</v>
      </c>
      <c r="G7" s="1720" t="s">
        <v>817</v>
      </c>
      <c r="H7" s="2479" t="s">
        <v>603</v>
      </c>
      <c r="I7" s="2085"/>
      <c r="J7" s="2072"/>
      <c r="K7" s="2082"/>
      <c r="L7" s="2482"/>
      <c r="M7" s="2072"/>
      <c r="N7" s="2484"/>
      <c r="O7" s="2486"/>
      <c r="P7" s="2072"/>
      <c r="Q7" s="2476"/>
      <c r="R7" s="1636"/>
      <c r="S7" s="1636"/>
      <c r="T7" s="431"/>
    </row>
    <row r="8" spans="1:21" x14ac:dyDescent="0.35">
      <c r="A8" s="310"/>
      <c r="B8" s="2057"/>
      <c r="C8" s="2467"/>
      <c r="D8" s="2057"/>
      <c r="E8" s="2082"/>
      <c r="F8" s="324"/>
      <c r="G8" s="324"/>
      <c r="H8" s="2470"/>
      <c r="I8" s="2085"/>
      <c r="J8" s="2072"/>
      <c r="K8" s="2082"/>
      <c r="L8" s="2482"/>
      <c r="M8" s="2072"/>
      <c r="N8" s="2484"/>
      <c r="O8" s="2487"/>
      <c r="P8" s="2072"/>
      <c r="Q8" s="2477"/>
    </row>
    <row r="9" spans="1:21" ht="40" customHeight="1" x14ac:dyDescent="0.35">
      <c r="A9" s="1784" t="s">
        <v>98</v>
      </c>
      <c r="B9" s="432">
        <f>TableC5!C9+D9</f>
        <v>38844.802031957195</v>
      </c>
      <c r="C9" s="432">
        <f>TableB1!D11+TableC5!P9</f>
        <v>319.79276331313173</v>
      </c>
      <c r="D9" s="432">
        <f>E9+H9</f>
        <v>-12.459561953050496</v>
      </c>
      <c r="E9" s="480">
        <f t="shared" ref="E9:E73" si="0">F9+G9</f>
        <v>156.45697872844951</v>
      </c>
      <c r="F9" s="480">
        <f>SUM(F10:F44)</f>
        <v>164.77940361060027</v>
      </c>
      <c r="G9" s="480">
        <f>SUM(G10:G44)</f>
        <v>-8.3224248821507505</v>
      </c>
      <c r="H9" s="481">
        <f>SUM(H10:H44)</f>
        <v>-168.91654068150001</v>
      </c>
      <c r="I9" s="943">
        <f>SUM(TableB1!C12:C46)/TableA1!B9</f>
        <v>1.776726018055117E-3</v>
      </c>
      <c r="J9" s="943">
        <f>C9/TableC5!B9</f>
        <v>6.8454255829430346E-3</v>
      </c>
      <c r="K9" s="1380">
        <f>J9-I9</f>
        <v>5.0686995648879171E-3</v>
      </c>
      <c r="L9" s="1680"/>
      <c r="M9" s="1639">
        <f>D9/TableC5!B9</f>
        <v>-2.6670711138688613E-4</v>
      </c>
      <c r="N9" s="1690"/>
      <c r="O9" s="1697"/>
      <c r="P9" s="1003"/>
      <c r="Q9" s="1785"/>
      <c r="T9" s="939"/>
      <c r="U9" s="940"/>
    </row>
    <row r="10" spans="1:21" ht="14.25" customHeight="1" x14ac:dyDescent="0.35">
      <c r="A10" s="742" t="s">
        <v>54</v>
      </c>
      <c r="B10" s="334">
        <f>TableC5!C10+D10</f>
        <v>975.05377733015894</v>
      </c>
      <c r="C10" s="334">
        <f>TableB1!D12+TableC5!P10</f>
        <v>-16.560906019297711</v>
      </c>
      <c r="D10" s="334">
        <f>E10+H10</f>
        <v>-40.445129022585185</v>
      </c>
      <c r="E10" s="471">
        <f t="shared" si="0"/>
        <v>-21.514285957985187</v>
      </c>
      <c r="F10" s="325">
        <f>TableB1!H12-TableA6!H10/(1+TableA5!O10)-TableC5!N10</f>
        <v>-19.688375567018007</v>
      </c>
      <c r="G10" s="115">
        <f>TableB1!I12+TableC5!O10</f>
        <v>-1.8259103909671803</v>
      </c>
      <c r="H10" s="1677">
        <f>TableB1!F12+TableB1!J12</f>
        <v>-18.930843064599998</v>
      </c>
      <c r="I10" s="1638">
        <f>TableB1!D12/TableA1!B10</f>
        <v>-2.2342277522342281E-2</v>
      </c>
      <c r="J10" s="941">
        <f>C10/TableC5!B10</f>
        <v>-1.3342410557499379E-2</v>
      </c>
      <c r="K10" s="942">
        <f t="shared" ref="K10:K73" si="1">J10-I10</f>
        <v>8.9998669648429022E-3</v>
      </c>
      <c r="L10" s="1681">
        <f>TableB1b!B12/TableA1!B10</f>
        <v>-2.3992933427533548E-2</v>
      </c>
      <c r="M10" s="941">
        <f>D10/TableC5!B10</f>
        <v>-3.2584903014457725E-2</v>
      </c>
      <c r="N10" s="1691">
        <f>M10-L10</f>
        <v>-8.5919695869241773E-3</v>
      </c>
      <c r="O10" s="1698">
        <f>TableB1!C12/TableA1!B10</f>
        <v>-4.7477908836340649E-2</v>
      </c>
      <c r="P10" s="941">
        <f>J10+M10+TableB1!K12/TableC5!B10</f>
        <v>-4.7059952078911373E-2</v>
      </c>
      <c r="Q10" s="1786">
        <f>P10-O10</f>
        <v>4.1795675742927613E-4</v>
      </c>
      <c r="R10" s="552"/>
      <c r="S10" s="552"/>
      <c r="T10" s="939"/>
      <c r="U10" s="940"/>
    </row>
    <row r="11" spans="1:21" ht="14.25" customHeight="1" x14ac:dyDescent="0.35">
      <c r="A11" s="310" t="s">
        <v>55</v>
      </c>
      <c r="B11" s="334">
        <f>TableC5!C11+D11</f>
        <v>310.85061654824818</v>
      </c>
      <c r="C11" s="334">
        <f>TableB1!D13+TableC5!P11</f>
        <v>15.866135006132247</v>
      </c>
      <c r="D11" s="334">
        <f t="shared" ref="D11:D74" si="2">E11+H11</f>
        <v>-5.6991831362778047</v>
      </c>
      <c r="E11" s="471">
        <f t="shared" si="0"/>
        <v>-1.9361005206778046</v>
      </c>
      <c r="F11" s="325">
        <f>TableB1!H13-TableA6!H11/(1+TableA5!O11)-TableC5!N11</f>
        <v>-2.4335874414042031</v>
      </c>
      <c r="G11" s="115">
        <f>TableB1!I13+TableC5!O11</f>
        <v>0.49748692072639855</v>
      </c>
      <c r="H11" s="1677">
        <f>TableB1!F13+TableB1!J13</f>
        <v>-3.7630826156000006</v>
      </c>
      <c r="I11" s="1638">
        <f>TableB1!D13/TableA1!B11</f>
        <v>3.3605794221030189E-2</v>
      </c>
      <c r="J11" s="941">
        <f>C11/TableC5!B11</f>
        <v>4.1200858295742881E-2</v>
      </c>
      <c r="K11" s="942">
        <f t="shared" si="1"/>
        <v>7.595064074712693E-3</v>
      </c>
      <c r="L11" s="1681">
        <f>TableB1b!B13/TableA1!B11</f>
        <v>-6.9953309200968617E-3</v>
      </c>
      <c r="M11" s="941">
        <f>D11/TableC5!B11</f>
        <v>-1.4799523432046621E-2</v>
      </c>
      <c r="N11" s="1691">
        <f t="shared" ref="N11:N44" si="3">M11-L11</f>
        <v>-7.8041925119497592E-3</v>
      </c>
      <c r="O11" s="1698">
        <f>TableB1!C13/TableA1!B11</f>
        <v>1.6753091840694793E-2</v>
      </c>
      <c r="P11" s="941">
        <f>J11+M11+TableB1!K13/TableC5!B11</f>
        <v>1.6621431302661256E-2</v>
      </c>
      <c r="Q11" s="1786">
        <f t="shared" ref="Q11:Q74" si="4">P11-O11</f>
        <v>-1.3166053803353658E-4</v>
      </c>
      <c r="R11" s="552"/>
      <c r="S11" s="552"/>
      <c r="T11" s="939"/>
      <c r="U11" s="940"/>
    </row>
    <row r="12" spans="1:21" ht="14.25" customHeight="1" x14ac:dyDescent="0.35">
      <c r="A12" s="310" t="s">
        <v>2</v>
      </c>
      <c r="B12" s="334">
        <f>TableC5!C12+D12</f>
        <v>366.90384892595705</v>
      </c>
      <c r="C12" s="334">
        <f>TableB1!D14+TableC5!P12</f>
        <v>0.26996925917750936</v>
      </c>
      <c r="D12" s="334">
        <f t="shared" si="2"/>
        <v>7.0899793258845332</v>
      </c>
      <c r="E12" s="471">
        <f t="shared" si="0"/>
        <v>0.23586779158453419</v>
      </c>
      <c r="F12" s="325">
        <f>TableB1!H14-TableA6!H12/(1+TableA5!O12)-TableC5!N12</f>
        <v>-2.5040718818786409</v>
      </c>
      <c r="G12" s="115">
        <f>TableB1!I14+TableC5!O12</f>
        <v>2.7399396734631751</v>
      </c>
      <c r="H12" s="1677">
        <f>TableB1!F14+TableB1!J14</f>
        <v>6.8541115342999994</v>
      </c>
      <c r="I12" s="1638">
        <f>TableB1!D14/TableA1!B12</f>
        <v>2.2626993056897166E-2</v>
      </c>
      <c r="J12" s="941">
        <f>C12/TableC5!B12</f>
        <v>6.0274352794811024E-4</v>
      </c>
      <c r="K12" s="942">
        <f t="shared" si="1"/>
        <v>-2.2024249528949054E-2</v>
      </c>
      <c r="L12" s="1681">
        <f>TableB1b!B14/TableA1!B12</f>
        <v>9.4992884265912122E-5</v>
      </c>
      <c r="M12" s="941">
        <f>D12/TableC5!B12</f>
        <v>1.5829354664239566E-2</v>
      </c>
      <c r="N12" s="1691">
        <f t="shared" si="3"/>
        <v>1.5734361779973654E-2</v>
      </c>
      <c r="O12" s="1698">
        <f>TableB1!C14/TableA1!B12</f>
        <v>6.4473627393895295E-3</v>
      </c>
      <c r="P12" s="941">
        <f>J12+M12+TableB1!K14/TableC5!B12</f>
        <v>-1.0774779578519647E-4</v>
      </c>
      <c r="Q12" s="1786">
        <f t="shared" si="4"/>
        <v>-6.555110535174726E-3</v>
      </c>
      <c r="R12" s="552"/>
      <c r="S12" s="552"/>
      <c r="T12" s="939"/>
      <c r="U12" s="940"/>
    </row>
    <row r="13" spans="1:21" ht="14.25" customHeight="1" x14ac:dyDescent="0.35">
      <c r="A13" s="742" t="s">
        <v>56</v>
      </c>
      <c r="B13" s="334">
        <f>TableC5!C13+D13</f>
        <v>1278.7413417364883</v>
      </c>
      <c r="C13" s="334">
        <f>TableB1!D15+TableC5!P13</f>
        <v>-21.371598347148215</v>
      </c>
      <c r="D13" s="334">
        <f t="shared" si="2"/>
        <v>-30.093418637003381</v>
      </c>
      <c r="E13" s="471">
        <f t="shared" si="0"/>
        <v>-10.400685796703382</v>
      </c>
      <c r="F13" s="325">
        <f>TableB1!H15-TableA6!H13/(1+TableA5!O13)-TableC5!N13</f>
        <v>-13.55192372402526</v>
      </c>
      <c r="G13" s="115">
        <f>TableB1!I15+TableC5!O13</f>
        <v>3.1512379273218789</v>
      </c>
      <c r="H13" s="1677">
        <f>TableB1!F15+TableB1!J15</f>
        <v>-19.6927328403</v>
      </c>
      <c r="I13" s="1638">
        <f>TableB1!D15/TableA1!B13</f>
        <v>-2.3929535215782977E-2</v>
      </c>
      <c r="J13" s="941">
        <f>C13/TableC5!B13</f>
        <v>-1.3564336305808937E-2</v>
      </c>
      <c r="K13" s="942">
        <f t="shared" si="1"/>
        <v>1.036519890997404E-2</v>
      </c>
      <c r="L13" s="1681">
        <f>TableB1b!B15/TableA1!B13</f>
        <v>-9.0688292698478806E-3</v>
      </c>
      <c r="M13" s="941">
        <f>D13/TableC5!B13</f>
        <v>-1.9099987017970572E-2</v>
      </c>
      <c r="N13" s="1691">
        <f t="shared" si="3"/>
        <v>-1.0031157748122691E-2</v>
      </c>
      <c r="O13" s="1698">
        <f>TableB1!C15/TableA1!B13</f>
        <v>-3.4816261949733154E-2</v>
      </c>
      <c r="P13" s="941">
        <f>J13+M13+TableB1!K15/TableC5!B13</f>
        <v>-3.4463818282470783E-2</v>
      </c>
      <c r="Q13" s="1786">
        <f t="shared" si="4"/>
        <v>3.5244366726237125E-4</v>
      </c>
      <c r="R13" s="552"/>
      <c r="S13" s="552"/>
      <c r="T13" s="939"/>
      <c r="U13" s="940"/>
    </row>
    <row r="14" spans="1:21" ht="14.25" customHeight="1" x14ac:dyDescent="0.35">
      <c r="A14" s="742" t="s">
        <v>57</v>
      </c>
      <c r="B14" s="334">
        <f>TableC5!C14+D14</f>
        <v>187.47361197091911</v>
      </c>
      <c r="C14" s="334">
        <f>TableB1!D16+TableC5!P14</f>
        <v>4.4166997626847158</v>
      </c>
      <c r="D14" s="334">
        <f t="shared" si="2"/>
        <v>-10.944940140679446</v>
      </c>
      <c r="E14" s="471">
        <f t="shared" si="0"/>
        <v>-10.720127140679446</v>
      </c>
      <c r="F14" s="325">
        <f>TableB1!H16-TableA6!H14/(1+TableA5!O14)-TableC5!N14</f>
        <v>-9.8953964545255921</v>
      </c>
      <c r="G14" s="115">
        <f>TableB1!I16+TableC5!O14</f>
        <v>-0.8247306861538547</v>
      </c>
      <c r="H14" s="1677">
        <f>TableB1!F16+TableB1!J16</f>
        <v>-0.22481300000000004</v>
      </c>
      <c r="I14" s="1638">
        <f>TableB1!D16/TableA1!B14</f>
        <v>2.1438576893031085E-4</v>
      </c>
      <c r="J14" s="941">
        <f>C14/TableC5!B14</f>
        <v>1.9561892001363435E-2</v>
      </c>
      <c r="K14" s="942">
        <f t="shared" si="1"/>
        <v>1.9347506232433125E-2</v>
      </c>
      <c r="L14" s="1681">
        <f>TableB1b!B16/TableA1!B14</f>
        <v>-2.969902488844255E-2</v>
      </c>
      <c r="M14" s="941">
        <f>D14/TableC5!B14</f>
        <v>-4.8475954558254757E-2</v>
      </c>
      <c r="N14" s="1691">
        <f t="shared" si="3"/>
        <v>-1.8776929669812207E-2</v>
      </c>
      <c r="O14" s="1698">
        <f>TableB1!C16/TableA1!B14</f>
        <v>-2.1091016637896684E-2</v>
      </c>
      <c r="P14" s="941">
        <f>J14+M14+TableB1!K16/TableC5!B14</f>
        <v>-2.0682870561335855E-2</v>
      </c>
      <c r="Q14" s="1786">
        <f t="shared" si="4"/>
        <v>4.0814607656082871E-4</v>
      </c>
      <c r="R14" s="552"/>
      <c r="S14" s="552"/>
      <c r="T14" s="939"/>
      <c r="U14" s="940"/>
    </row>
    <row r="15" spans="1:21" ht="14.25" customHeight="1" x14ac:dyDescent="0.35">
      <c r="A15" s="742" t="s">
        <v>58</v>
      </c>
      <c r="B15" s="334">
        <f>TableC5!C15+D15</f>
        <v>136.3884827948628</v>
      </c>
      <c r="C15" s="334">
        <f>TableB1!D17+TableC5!P15</f>
        <v>12.301531302192826</v>
      </c>
      <c r="D15" s="334">
        <f t="shared" si="2"/>
        <v>-12.542785997753295</v>
      </c>
      <c r="E15" s="471">
        <f t="shared" si="0"/>
        <v>-14.097121631753296</v>
      </c>
      <c r="F15" s="325">
        <f>TableB1!H17-TableA6!H15/(1+TableA5!O15)-TableC5!N15</f>
        <v>-13.90188820066699</v>
      </c>
      <c r="G15" s="115">
        <f>TableB1!I17+TableC5!O15</f>
        <v>-0.19523343108630631</v>
      </c>
      <c r="H15" s="1677">
        <f>TableB1!F17+TableB1!J17</f>
        <v>1.5543356340000001</v>
      </c>
      <c r="I15" s="1638">
        <f>TableB1!D17/TableA1!B15</f>
        <v>5.7897695541206003E-2</v>
      </c>
      <c r="J15" s="941">
        <f>C15/TableC5!B15</f>
        <v>6.5324415510733591E-2</v>
      </c>
      <c r="K15" s="942">
        <f t="shared" si="1"/>
        <v>7.4267199695275884E-3</v>
      </c>
      <c r="L15" s="1681">
        <f>TableB1b!B17/TableA1!B15</f>
        <v>-5.9189001928478445E-2</v>
      </c>
      <c r="M15" s="941">
        <f>D15/TableC5!B15</f>
        <v>-6.6605542354990638E-2</v>
      </c>
      <c r="N15" s="1691">
        <f t="shared" si="3"/>
        <v>-7.4165404265121929E-3</v>
      </c>
      <c r="O15" s="1698">
        <f>TableB1!C17/TableA1!B15</f>
        <v>-1.2608976247203802E-3</v>
      </c>
      <c r="P15" s="941">
        <f>J15+M15+TableB1!K17/TableC5!B15</f>
        <v>-1.2509577980939412E-3</v>
      </c>
      <c r="Q15" s="1786">
        <f t="shared" si="4"/>
        <v>9.9398266264389985E-6</v>
      </c>
      <c r="R15" s="552"/>
      <c r="S15" s="552"/>
      <c r="T15" s="939"/>
      <c r="U15" s="940"/>
    </row>
    <row r="16" spans="1:21" ht="14.25" customHeight="1" x14ac:dyDescent="0.35">
      <c r="A16" s="742" t="s">
        <v>59</v>
      </c>
      <c r="B16" s="334">
        <f>TableC5!C16+D16</f>
        <v>260.92430279403715</v>
      </c>
      <c r="C16" s="334">
        <f>TableB1!D18+TableC5!P16</f>
        <v>24.81608015773708</v>
      </c>
      <c r="D16" s="334">
        <f t="shared" si="2"/>
        <v>7.1799500782613013</v>
      </c>
      <c r="E16" s="471">
        <f t="shared" si="0"/>
        <v>5.1027230813613009</v>
      </c>
      <c r="F16" s="325">
        <f>TableB1!H18-TableA6!H16/(1+TableA5!O16)-TableC5!N16</f>
        <v>3.9267460351738306</v>
      </c>
      <c r="G16" s="115">
        <f>TableB1!I18+TableC5!O16</f>
        <v>1.1759770461874699</v>
      </c>
      <c r="H16" s="1677">
        <f>TableB1!F18+TableB1!J18</f>
        <v>2.0772269969000003</v>
      </c>
      <c r="I16" s="1638">
        <f>TableB1!D18/TableA1!B16</f>
        <v>7.4075418063005646E-2</v>
      </c>
      <c r="J16" s="941">
        <f>C16/TableC5!B16</f>
        <v>8.1686731734046766E-2</v>
      </c>
      <c r="K16" s="942">
        <f t="shared" si="1"/>
        <v>7.61131367104112E-3</v>
      </c>
      <c r="L16" s="1681">
        <f>TableB1b!B18/TableA1!B16</f>
        <v>3.2118388974895225E-2</v>
      </c>
      <c r="M16" s="941">
        <f>D16/TableC5!B16</f>
        <v>2.363413771146769E-2</v>
      </c>
      <c r="N16" s="1691">
        <f t="shared" si="3"/>
        <v>-8.4842512634275349E-3</v>
      </c>
      <c r="O16" s="1698">
        <f>TableB1!C18/TableA1!B16</f>
        <v>9.019736285808988E-2</v>
      </c>
      <c r="P16" s="941">
        <f>J16+M16+TableB1!K18/TableC5!B16</f>
        <v>8.9457877490600565E-2</v>
      </c>
      <c r="Q16" s="1786">
        <f t="shared" si="4"/>
        <v>-7.3948536748931482E-4</v>
      </c>
      <c r="R16" s="552"/>
      <c r="S16" s="552"/>
      <c r="T16" s="939"/>
      <c r="U16" s="940"/>
    </row>
    <row r="17" spans="1:21" ht="14.25" customHeight="1" x14ac:dyDescent="0.35">
      <c r="A17" s="742" t="s">
        <v>60</v>
      </c>
      <c r="B17" s="334">
        <f>TableC5!C17+D17</f>
        <v>18.384414377885491</v>
      </c>
      <c r="C17" s="334">
        <f>TableB1!D19+TableC5!P17</f>
        <v>1.1365925793164415</v>
      </c>
      <c r="D17" s="334">
        <f t="shared" si="2"/>
        <v>-0.66476975877023559</v>
      </c>
      <c r="E17" s="471">
        <f t="shared" si="0"/>
        <v>-1.1931876305702356</v>
      </c>
      <c r="F17" s="325">
        <f>TableB1!H19-TableA6!H17/(1+TableA5!O17)-TableC5!N17</f>
        <v>-1.2702481280118934</v>
      </c>
      <c r="G17" s="115">
        <f>TableB1!I19+TableC5!O17</f>
        <v>7.7060497441657771E-2</v>
      </c>
      <c r="H17" s="1677">
        <f>TableB1!F19+TableB1!J19</f>
        <v>0.52841787179999999</v>
      </c>
      <c r="I17" s="1638">
        <f>TableB1!D19/TableA1!B17</f>
        <v>4.1455809092620283E-2</v>
      </c>
      <c r="J17" s="941">
        <f>C17/TableC5!B17</f>
        <v>5.0145840695243395E-2</v>
      </c>
      <c r="K17" s="942">
        <f t="shared" si="1"/>
        <v>8.690031602623112E-3</v>
      </c>
      <c r="L17" s="1681">
        <f>TableB1b!B19/TableA1!B17</f>
        <v>-2.0449014969120952E-2</v>
      </c>
      <c r="M17" s="941">
        <f>D17/TableC5!B17</f>
        <v>-2.932927684813488E-2</v>
      </c>
      <c r="N17" s="1691">
        <f t="shared" si="3"/>
        <v>-8.880261879013928E-3</v>
      </c>
      <c r="O17" s="1698">
        <f>TableB1!C19/TableA1!B17</f>
        <v>2.2162274221404658E-2</v>
      </c>
      <c r="P17" s="941">
        <f>J17+M17+TableB1!K19/TableC5!B17</f>
        <v>2.1961580316097983E-2</v>
      </c>
      <c r="Q17" s="1786">
        <f t="shared" si="4"/>
        <v>-2.0069390530667516E-4</v>
      </c>
      <c r="R17" s="552"/>
      <c r="S17" s="552"/>
      <c r="T17" s="939"/>
      <c r="U17" s="940"/>
    </row>
    <row r="18" spans="1:21" ht="14.25" customHeight="1" x14ac:dyDescent="0.35">
      <c r="A18" s="742" t="s">
        <v>61</v>
      </c>
      <c r="B18" s="334">
        <f>TableC5!C18+D18</f>
        <v>189.63429441152638</v>
      </c>
      <c r="C18" s="334">
        <f>TableB1!D20+TableC5!P18</f>
        <v>2.1865323562233798</v>
      </c>
      <c r="D18" s="334">
        <f t="shared" si="2"/>
        <v>-1.0730386337554403</v>
      </c>
      <c r="E18" s="471">
        <f t="shared" si="0"/>
        <v>0.99321215734456003</v>
      </c>
      <c r="F18" s="325">
        <f>TableB1!H20-TableA6!H18/(1+TableA5!O18)-TableC5!N18</f>
        <v>0.83144233708138593</v>
      </c>
      <c r="G18" s="115">
        <f>TableB1!I20+TableC5!O18</f>
        <v>0.16176982026317416</v>
      </c>
      <c r="H18" s="1677">
        <f>TableB1!F20+TableB1!J20</f>
        <v>-2.0662507911000003</v>
      </c>
      <c r="I18" s="1638">
        <f>TableB1!D20/TableA1!B18</f>
        <v>-4.4119686883711134E-4</v>
      </c>
      <c r="J18" s="941">
        <f>C18/TableC5!B18</f>
        <v>9.3141463716727244E-3</v>
      </c>
      <c r="K18" s="942">
        <f t="shared" si="1"/>
        <v>9.7553432405098357E-3</v>
      </c>
      <c r="L18" s="1681">
        <f>TableB1b!B20/TableA1!B18</f>
        <v>5.2311418904336443E-3</v>
      </c>
      <c r="M18" s="941">
        <f>D18/TableC5!B18</f>
        <v>-4.5709083009045776E-3</v>
      </c>
      <c r="N18" s="1691">
        <f t="shared" si="3"/>
        <v>-9.8020501913382227E-3</v>
      </c>
      <c r="O18" s="1698">
        <f>TableB1!C20/TableA1!B18</f>
        <v>-6.3230369427510714E-3</v>
      </c>
      <c r="P18" s="941">
        <f>J18+M18+TableB1!K20/TableC5!B18</f>
        <v>-6.2613807495734489E-3</v>
      </c>
      <c r="Q18" s="1786">
        <f t="shared" si="4"/>
        <v>6.1656193177622547E-5</v>
      </c>
      <c r="R18" s="552"/>
      <c r="S18" s="552"/>
      <c r="T18" s="939"/>
      <c r="U18" s="940"/>
    </row>
    <row r="19" spans="1:21" ht="14.25" customHeight="1" x14ac:dyDescent="0.35">
      <c r="A19" s="742" t="s">
        <v>48</v>
      </c>
      <c r="B19" s="334">
        <f>TableC5!C19+D19</f>
        <v>2054.3745445515751</v>
      </c>
      <c r="C19" s="334">
        <f>TableB1!D21+TableC5!P19</f>
        <v>9.0809796794253437</v>
      </c>
      <c r="D19" s="334">
        <f t="shared" si="2"/>
        <v>29.292995636811561</v>
      </c>
      <c r="E19" s="471">
        <f t="shared" si="0"/>
        <v>17.763610621611562</v>
      </c>
      <c r="F19" s="325">
        <f>TableB1!H21-TableA6!H19/(1+TableA5!O19)-TableC5!N19</f>
        <v>13.445434172458036</v>
      </c>
      <c r="G19" s="115">
        <f>TableB1!I21+TableC5!O19</f>
        <v>4.3181764491535244</v>
      </c>
      <c r="H19" s="1677">
        <f>TableB1!F21+TableB1!J21</f>
        <v>11.529385015199997</v>
      </c>
      <c r="I19" s="1638">
        <f>TableB1!D21/TableA1!B19</f>
        <v>-7.3848052636675005E-3</v>
      </c>
      <c r="J19" s="941">
        <f>C19/TableC5!B19</f>
        <v>3.6905336122678755E-3</v>
      </c>
      <c r="K19" s="942">
        <f t="shared" si="1"/>
        <v>1.1075338875935377E-2</v>
      </c>
      <c r="L19" s="1681">
        <f>TableB1b!B21/TableA1!B19</f>
        <v>2.315345085563833E-2</v>
      </c>
      <c r="M19" s="941">
        <f>D19/TableC5!B19</f>
        <v>1.1904749136990737E-2</v>
      </c>
      <c r="N19" s="1691">
        <f t="shared" si="3"/>
        <v>-1.1248701718647593E-2</v>
      </c>
      <c r="O19" s="1698">
        <f>TableB1!C21/TableA1!B19</f>
        <v>-4.4490049881752295E-3</v>
      </c>
      <c r="P19" s="941">
        <f>J19+M19+TableB1!K21/TableC5!B19</f>
        <v>-4.4000919634334841E-3</v>
      </c>
      <c r="Q19" s="1786">
        <f t="shared" si="4"/>
        <v>4.8913024741745366E-5</v>
      </c>
      <c r="R19" s="552"/>
      <c r="S19" s="552"/>
      <c r="T19" s="939"/>
      <c r="U19" s="940"/>
    </row>
    <row r="20" spans="1:21" ht="14.25" customHeight="1" x14ac:dyDescent="0.35">
      <c r="A20" s="742" t="s">
        <v>62</v>
      </c>
      <c r="B20" s="334">
        <f>TableC5!C20+D20</f>
        <v>2844.671338933982</v>
      </c>
      <c r="C20" s="334">
        <f>TableB1!D22+TableC5!P20</f>
        <v>315.26917617218095</v>
      </c>
      <c r="D20" s="334">
        <f t="shared" si="2"/>
        <v>17.359572870677233</v>
      </c>
      <c r="E20" s="471">
        <f t="shared" si="0"/>
        <v>-5.7257226668227634</v>
      </c>
      <c r="F20" s="325">
        <f>TableB1!H22-TableA6!H20/(1+TableA5!O20)-TableC5!N20</f>
        <v>-5.5122143522598677</v>
      </c>
      <c r="G20" s="115">
        <f>TableB1!I22+TableC5!O20</f>
        <v>-0.21350831456289576</v>
      </c>
      <c r="H20" s="1677">
        <f>TableB1!F22+TableB1!J22</f>
        <v>23.085295537499999</v>
      </c>
      <c r="I20" s="1638">
        <f>TableB1!D22/TableA1!B20</f>
        <v>7.9682023373699076E-2</v>
      </c>
      <c r="J20" s="941">
        <f>C20/TableC5!B20</f>
        <v>9.2132660312659556E-2</v>
      </c>
      <c r="K20" s="942">
        <f t="shared" si="1"/>
        <v>1.245063693896048E-2</v>
      </c>
      <c r="L20" s="1681">
        <f>TableB1b!B22/TableA1!B20</f>
        <v>1.885680508332931E-2</v>
      </c>
      <c r="M20" s="941">
        <f>D20/TableC5!B20</f>
        <v>5.0730732699142125E-3</v>
      </c>
      <c r="N20" s="1691">
        <f t="shared" si="3"/>
        <v>-1.3783731813415096E-2</v>
      </c>
      <c r="O20" s="1698">
        <f>TableB1!C22/TableA1!B20</f>
        <v>8.5370526481578446E-2</v>
      </c>
      <c r="P20" s="941">
        <f>J20+M20+TableB1!K22/TableC5!B20</f>
        <v>8.4215580628617476E-2</v>
      </c>
      <c r="Q20" s="1786">
        <f t="shared" si="4"/>
        <v>-1.1549458529609702E-3</v>
      </c>
      <c r="R20" s="552"/>
      <c r="S20" s="552"/>
      <c r="T20" s="939"/>
      <c r="U20" s="940"/>
    </row>
    <row r="21" spans="1:21" ht="14.25" customHeight="1" x14ac:dyDescent="0.35">
      <c r="A21" s="742" t="s">
        <v>63</v>
      </c>
      <c r="B21" s="334">
        <f>TableC5!C21+D21</f>
        <v>157.17664239162912</v>
      </c>
      <c r="C21" s="334">
        <f>TableB1!D23+TableC5!P21</f>
        <v>0.54079524118947531</v>
      </c>
      <c r="D21" s="334">
        <f t="shared" si="2"/>
        <v>-0.42164737368904193</v>
      </c>
      <c r="E21" s="471">
        <f t="shared" si="0"/>
        <v>-0.23774593888904191</v>
      </c>
      <c r="F21" s="325">
        <f>TableB1!H23-TableA6!H21/(1+TableA5!O21)-TableC5!N21</f>
        <v>-0.34124687949661903</v>
      </c>
      <c r="G21" s="115">
        <f>TableB1!I23+TableC5!O21</f>
        <v>0.10350094060757711</v>
      </c>
      <c r="H21" s="1677">
        <f>TableB1!F23+TableB1!J23</f>
        <v>-0.18390143480000004</v>
      </c>
      <c r="I21" s="1638">
        <f>TableB1!D23/TableA1!B21</f>
        <v>-1.7530088910590806E-3</v>
      </c>
      <c r="J21" s="941">
        <f>C21/TableC5!B21</f>
        <v>2.7627837554782745E-3</v>
      </c>
      <c r="K21" s="942">
        <f t="shared" si="1"/>
        <v>4.5157926465373551E-3</v>
      </c>
      <c r="L21" s="1681">
        <f>TableB1b!B23/TableA1!B21</f>
        <v>2.3644610522424803E-3</v>
      </c>
      <c r="M21" s="941">
        <f>D21/TableC5!B21</f>
        <v>-2.1540879538916213E-3</v>
      </c>
      <c r="N21" s="1691">
        <f t="shared" si="3"/>
        <v>-4.5185490061341021E-3</v>
      </c>
      <c r="O21" s="1698">
        <f>TableB1!C23/TableA1!B21</f>
        <v>-2.3600195967038448E-3</v>
      </c>
      <c r="P21" s="941">
        <f>J21+M21+TableB1!K23/TableC5!B21</f>
        <v>-2.3493808859805097E-3</v>
      </c>
      <c r="Q21" s="1800">
        <f t="shared" si="4"/>
        <v>1.0638710723335099E-5</v>
      </c>
      <c r="R21" s="552"/>
      <c r="S21" s="552"/>
      <c r="T21" s="939"/>
      <c r="U21" s="940"/>
    </row>
    <row r="22" spans="1:21" ht="14.25" customHeight="1" x14ac:dyDescent="0.35">
      <c r="A22" s="742" t="s">
        <v>64</v>
      </c>
      <c r="B22" s="334">
        <f>TableC5!C22+D22</f>
        <v>94.887768769265392</v>
      </c>
      <c r="C22" s="334">
        <f>TableB1!D24+TableC5!P22</f>
        <v>12.912571855649055</v>
      </c>
      <c r="D22" s="334">
        <f t="shared" si="2"/>
        <v>-8.0350827004997001</v>
      </c>
      <c r="E22" s="471">
        <f t="shared" si="0"/>
        <v>-9.6958883624996997</v>
      </c>
      <c r="F22" s="325">
        <f>TableB1!H24-TableA6!H22/(1+TableA5!O22)-TableC5!N22</f>
        <v>-10.14242240356068</v>
      </c>
      <c r="G22" s="115">
        <f>TableB1!I24+TableC5!O22</f>
        <v>0.44653404106098027</v>
      </c>
      <c r="H22" s="1677">
        <f>TableB1!F24+TableB1!J24</f>
        <v>1.6608056619999998</v>
      </c>
      <c r="I22" s="1638">
        <f>TableB1!D24/TableA1!B22</f>
        <v>8.9498058640349265E-2</v>
      </c>
      <c r="J22" s="941">
        <f>C22/TableC5!B22</f>
        <v>0.10435708541929473</v>
      </c>
      <c r="K22" s="942">
        <f t="shared" si="1"/>
        <v>1.4859026778945461E-2</v>
      </c>
      <c r="L22" s="1681">
        <f>TableB1b!B24/TableA1!B22</f>
        <v>-4.9425093007384464E-2</v>
      </c>
      <c r="M22" s="941">
        <f>D22/TableC5!B22</f>
        <v>-6.493809452532151E-2</v>
      </c>
      <c r="N22" s="1691">
        <f t="shared" si="3"/>
        <v>-1.5513001517937046E-2</v>
      </c>
      <c r="O22" s="1698">
        <f>TableB1!C24/TableA1!B22</f>
        <v>2.9975787334679319E-2</v>
      </c>
      <c r="P22" s="941">
        <f>J22+M22+TableB1!K24/TableC5!B22</f>
        <v>2.9486594498842663E-2</v>
      </c>
      <c r="Q22" s="1800">
        <f t="shared" si="4"/>
        <v>-4.8919283583665624E-4</v>
      </c>
      <c r="R22" s="552"/>
      <c r="S22" s="552"/>
      <c r="T22" s="939"/>
      <c r="U22" s="940"/>
    </row>
    <row r="23" spans="1:21" ht="14.25" customHeight="1" x14ac:dyDescent="0.35">
      <c r="A23" s="742" t="s">
        <v>65</v>
      </c>
      <c r="B23" s="334">
        <f>TableC5!C23+D23</f>
        <v>14.224749086284454</v>
      </c>
      <c r="C23" s="334">
        <f>TableB1!D25+TableC5!P23</f>
        <v>1.6290201999929406</v>
      </c>
      <c r="D23" s="334">
        <f t="shared" si="2"/>
        <v>-0.47069872833542159</v>
      </c>
      <c r="E23" s="471">
        <f t="shared" si="0"/>
        <v>-0.11544052663542163</v>
      </c>
      <c r="F23" s="325">
        <f>TableB1!H25-TableA6!H23/(1+TableA5!O23)-TableC5!N23</f>
        <v>-0.20386569971824312</v>
      </c>
      <c r="G23" s="115">
        <f>TableB1!I25+TableC5!O23</f>
        <v>8.8425173082821482E-2</v>
      </c>
      <c r="H23" s="1677">
        <f>TableB1!F25+TableB1!J25</f>
        <v>-0.35525820169999994</v>
      </c>
      <c r="I23" s="1638">
        <f>TableB1!D25/TableA1!B23</f>
        <v>7.5086740623123094E-2</v>
      </c>
      <c r="J23" s="941">
        <f>C23/TableC5!B23</f>
        <v>9.4993830601409049E-2</v>
      </c>
      <c r="K23" s="942">
        <f t="shared" si="1"/>
        <v>1.9907089978285955E-2</v>
      </c>
      <c r="L23" s="1681">
        <f>TableB1b!B25/TableA1!B23</f>
        <v>-6.0552098844029898E-3</v>
      </c>
      <c r="M23" s="941">
        <f>D23/TableC5!B23</f>
        <v>-2.7448079074763751E-2</v>
      </c>
      <c r="N23" s="1691">
        <f t="shared" si="3"/>
        <v>-2.139286919036076E-2</v>
      </c>
      <c r="O23" s="1698">
        <f>TableB1!C25/TableA1!B23</f>
        <v>5.2175424855827608E-2</v>
      </c>
      <c r="P23" s="941">
        <f>J23+M23+TableB1!K25/TableC5!B23</f>
        <v>5.1052442925651018E-2</v>
      </c>
      <c r="Q23" s="1800">
        <f t="shared" si="4"/>
        <v>-1.1229819301765906E-3</v>
      </c>
      <c r="R23" s="552"/>
      <c r="S23" s="552"/>
      <c r="T23" s="939"/>
      <c r="U23" s="940"/>
    </row>
    <row r="24" spans="1:21" ht="14.25" customHeight="1" x14ac:dyDescent="0.35">
      <c r="A24" s="742" t="s">
        <v>19</v>
      </c>
      <c r="B24" s="334">
        <f>TableC5!C24+D24</f>
        <v>167.20323607016525</v>
      </c>
      <c r="C24" s="334">
        <f>TableB1!D26+TableC5!P24</f>
        <v>-13.662057106608202</v>
      </c>
      <c r="D24" s="334">
        <f t="shared" si="2"/>
        <v>-4.287406393932315</v>
      </c>
      <c r="E24" s="471">
        <f t="shared" si="0"/>
        <v>4.5719171510676855</v>
      </c>
      <c r="F24" s="325">
        <f>TableB1!H26-TableA6!H24/(1+TableA5!O24)-TableC5!N24</f>
        <v>9.6679774613775038</v>
      </c>
      <c r="G24" s="115">
        <f>TableB1!I26+TableC5!O24</f>
        <v>-5.0960603103098183</v>
      </c>
      <c r="H24" s="1677">
        <f>TableB1!F26+TableB1!J26</f>
        <v>-8.8593235450000005</v>
      </c>
      <c r="I24" s="1638">
        <f>TableB1!D26/TableA1!B24</f>
        <v>0.30992293082579792</v>
      </c>
      <c r="J24" s="941">
        <f>C24/TableC5!B24</f>
        <v>-5.8269076667909883E-2</v>
      </c>
      <c r="K24" s="942">
        <f t="shared" si="1"/>
        <v>-0.36819200749370778</v>
      </c>
      <c r="L24" s="1681">
        <f>TableB1b!B26/TableA1!B24</f>
        <v>-0.21264704474227827</v>
      </c>
      <c r="M24" s="941">
        <f>D24/TableC5!B24</f>
        <v>-1.8285914772943827E-2</v>
      </c>
      <c r="N24" s="1691">
        <f t="shared" si="3"/>
        <v>0.19436112996933444</v>
      </c>
      <c r="O24" s="1698">
        <f>TableB1!C26/TableA1!B24</f>
        <v>8.5293439300712245E-2</v>
      </c>
      <c r="P24" s="941">
        <f>J24+M24+TableB1!K26/TableC5!B24</f>
        <v>-9.1407120778867798E-2</v>
      </c>
      <c r="Q24" s="1800">
        <f t="shared" si="4"/>
        <v>-0.17670056007958004</v>
      </c>
      <c r="R24" s="552"/>
      <c r="S24" s="552"/>
      <c r="T24" s="939"/>
      <c r="U24" s="940"/>
    </row>
    <row r="25" spans="1:21" ht="14.25" customHeight="1" x14ac:dyDescent="0.35">
      <c r="A25" s="742" t="s">
        <v>95</v>
      </c>
      <c r="B25" s="334">
        <f>TableC5!C25+D25</f>
        <v>257.07202381319183</v>
      </c>
      <c r="C25" s="334">
        <f>TableB1!D27+TableC5!P25</f>
        <v>9.5479103510666867</v>
      </c>
      <c r="D25" s="334">
        <f t="shared" si="2"/>
        <v>-3.6256103510666868</v>
      </c>
      <c r="E25" s="471">
        <f t="shared" si="0"/>
        <v>0.80608964893331336</v>
      </c>
      <c r="F25" s="325">
        <f>TableB1!H27-TableA6!H25/(1+TableA5!O25)-TableC5!N25</f>
        <v>0.67374168000843448</v>
      </c>
      <c r="G25" s="115">
        <f>TableB1!I27+TableC5!O25</f>
        <v>0.13234796892487882</v>
      </c>
      <c r="H25" s="1677">
        <f>TableB1!F27+TableB1!J27</f>
        <v>-4.4317000000000002</v>
      </c>
      <c r="I25" s="1638">
        <f>TableB1!D27/TableA1!B25</f>
        <v>3.0003958023600331E-2</v>
      </c>
      <c r="J25" s="941">
        <f>C25/TableC5!B25</f>
        <v>3.1861651108241539E-2</v>
      </c>
      <c r="K25" s="942">
        <f t="shared" si="1"/>
        <v>1.8576930846412078E-3</v>
      </c>
      <c r="L25" s="1681">
        <f>TableB1b!B27/TableA1!B25</f>
        <v>-1.0203151181259317E-2</v>
      </c>
      <c r="M25" s="941">
        <f>D25/TableC5!B25</f>
        <v>-1.2098765888308775E-2</v>
      </c>
      <c r="N25" s="1691">
        <f t="shared" si="3"/>
        <v>-1.8956147070494575E-3</v>
      </c>
      <c r="O25" s="1698">
        <f>TableB1!C27/TableA1!B25</f>
        <v>5.0460746208066412E-2</v>
      </c>
      <c r="P25" s="941">
        <f>J25+M25+TableB1!K27/TableC5!B25</f>
        <v>5.0364106036815973E-2</v>
      </c>
      <c r="Q25" s="1800">
        <f t="shared" si="4"/>
        <v>-9.6640171250439444E-5</v>
      </c>
      <c r="R25" s="552"/>
      <c r="S25" s="552"/>
      <c r="T25" s="939"/>
      <c r="U25" s="940"/>
    </row>
    <row r="26" spans="1:21" ht="14.25" customHeight="1" x14ac:dyDescent="0.35">
      <c r="A26" s="742" t="s">
        <v>66</v>
      </c>
      <c r="B26" s="334">
        <f>TableC5!C26+D26</f>
        <v>1490.1722048768202</v>
      </c>
      <c r="C26" s="334">
        <f>TableB1!D28+TableC5!P26</f>
        <v>72.230453665922141</v>
      </c>
      <c r="D26" s="334">
        <f t="shared" si="2"/>
        <v>-30.330772641347483</v>
      </c>
      <c r="E26" s="471">
        <f t="shared" si="0"/>
        <v>-18.655778836847485</v>
      </c>
      <c r="F26" s="325">
        <f>TableB1!H28-TableA6!H26/(1+TableA5!O26)-TableC5!N26</f>
        <v>-21.103644359182233</v>
      </c>
      <c r="G26" s="115">
        <f>TableB1!I28+TableC5!O26</f>
        <v>2.4478655223347472</v>
      </c>
      <c r="H26" s="1677">
        <f>TableB1!F28+TableB1!J28</f>
        <v>-11.674993804499998</v>
      </c>
      <c r="I26" s="1638">
        <f>TableB1!D28/TableA1!B26</f>
        <v>2.897289712415067E-2</v>
      </c>
      <c r="J26" s="941">
        <f>C26/TableC5!B26</f>
        <v>3.901208260632822E-2</v>
      </c>
      <c r="K26" s="942">
        <f t="shared" si="1"/>
        <v>1.003918548217755E-2</v>
      </c>
      <c r="L26" s="1681">
        <f>TableB1b!B28/TableA1!B26</f>
        <v>-6.1062280406750458E-3</v>
      </c>
      <c r="M26" s="941">
        <f>D26/TableC5!B26</f>
        <v>-1.6381824393223568E-2</v>
      </c>
      <c r="N26" s="1691">
        <f t="shared" si="3"/>
        <v>-1.0275596352548523E-2</v>
      </c>
      <c r="O26" s="1698">
        <f>TableB1!C28/TableA1!B26</f>
        <v>1.3726564445239758E-2</v>
      </c>
      <c r="P26" s="941">
        <f>J26+M26+TableB1!K28/TableC5!B26</f>
        <v>1.3584650070397483E-2</v>
      </c>
      <c r="Q26" s="1800">
        <f t="shared" si="4"/>
        <v>-1.419143748422752E-4</v>
      </c>
      <c r="R26" s="552"/>
      <c r="S26" s="552"/>
      <c r="T26" s="939"/>
      <c r="U26" s="940"/>
    </row>
    <row r="27" spans="1:21" ht="14.25" customHeight="1" x14ac:dyDescent="0.35">
      <c r="A27" s="742" t="s">
        <v>67</v>
      </c>
      <c r="B27" s="334">
        <f>TableC5!C27+D27</f>
        <v>3551.1310304467347</v>
      </c>
      <c r="C27" s="334">
        <f>TableB1!D29+TableC5!P27</f>
        <v>-16.063120384585034</v>
      </c>
      <c r="D27" s="334">
        <f t="shared" si="2"/>
        <v>167.19739211808013</v>
      </c>
      <c r="E27" s="471">
        <f t="shared" si="0"/>
        <v>62.938771855980143</v>
      </c>
      <c r="F27" s="325">
        <f>TableB1!H29-TableA6!H27/(1+TableA5!O27)-TableC5!N27</f>
        <v>60.736871113712503</v>
      </c>
      <c r="G27" s="115">
        <f>TableB1!I29+TableC5!O27</f>
        <v>2.2019007422676364</v>
      </c>
      <c r="H27" s="1677">
        <f>TableB1!F29+TableB1!J29</f>
        <v>104.2586202621</v>
      </c>
      <c r="I27" s="1638">
        <f>TableB1!D29/TableA1!B27</f>
        <v>-5.3279647818995097E-3</v>
      </c>
      <c r="J27" s="941">
        <f>C27/TableC5!B27</f>
        <v>-3.6708630960163584E-3</v>
      </c>
      <c r="K27" s="942">
        <f t="shared" si="1"/>
        <v>1.6571016858831513E-3</v>
      </c>
      <c r="L27" s="1681">
        <f>TableB1b!B29/TableA1!B27</f>
        <v>3.9923310746183958E-2</v>
      </c>
      <c r="M27" s="941">
        <f>D27/TableC5!B27</f>
        <v>3.8209184877019908E-2</v>
      </c>
      <c r="N27" s="1691">
        <f t="shared" si="3"/>
        <v>-1.7141258691640501E-3</v>
      </c>
      <c r="O27" s="1698">
        <f>TableB1!C29/TableA1!B27</f>
        <v>3.0870981623458065E-2</v>
      </c>
      <c r="P27" s="941">
        <f>J27+M27+TableB1!K29/TableC5!B27</f>
        <v>3.0820285244564306E-2</v>
      </c>
      <c r="Q27" s="1800">
        <f t="shared" si="4"/>
        <v>-5.0696378893759497E-5</v>
      </c>
      <c r="R27" s="552"/>
      <c r="S27" s="1640" t="s">
        <v>834</v>
      </c>
      <c r="T27" s="939"/>
      <c r="U27" s="940"/>
    </row>
    <row r="28" spans="1:21" ht="14.25" customHeight="1" x14ac:dyDescent="0.35">
      <c r="A28" s="742" t="s">
        <v>68</v>
      </c>
      <c r="B28" s="334">
        <f>TableC5!C28+D28</f>
        <v>1110.1422717978171</v>
      </c>
      <c r="C28" s="334">
        <f>TableB1!D30+TableC5!P28</f>
        <v>111.42881423606524</v>
      </c>
      <c r="D28" s="334">
        <f t="shared" si="2"/>
        <v>-6.4613546080829201</v>
      </c>
      <c r="E28" s="471">
        <f t="shared" si="0"/>
        <v>-6.4613546080829201</v>
      </c>
      <c r="F28" s="325">
        <f>TableB1!H30-TableA6!H28/(1+TableA5!O28)-TableC5!N28</f>
        <v>-7.4639914502051283</v>
      </c>
      <c r="G28" s="115">
        <f>TableB1!I30+TableC5!O28</f>
        <v>1.0026368421222085</v>
      </c>
      <c r="H28" s="1677">
        <f>TableB1!F30+TableB1!J30</f>
        <v>0</v>
      </c>
      <c r="I28" s="1638">
        <f>TableB1!D30/TableA1!B28</f>
        <v>7.7636095454458556E-2</v>
      </c>
      <c r="J28" s="941">
        <f>C28/TableC5!B28</f>
        <v>8.0347248979562302E-2</v>
      </c>
      <c r="K28" s="942">
        <f t="shared" si="1"/>
        <v>2.7111535251037461E-3</v>
      </c>
      <c r="L28" s="1681">
        <f>TableB1b!B30/TableA1!B28</f>
        <v>-1.7247631014784698E-3</v>
      </c>
      <c r="M28" s="941">
        <f>D28/TableC5!B28</f>
        <v>-4.6590468632380991E-3</v>
      </c>
      <c r="N28" s="1691">
        <f t="shared" si="3"/>
        <v>-2.9342837617596295E-3</v>
      </c>
      <c r="O28" s="1698">
        <f>TableB1!C30/TableA1!B28</f>
        <v>7.2306089591201425E-2</v>
      </c>
      <c r="P28" s="941">
        <f>J28+M28+TableB1!K30/TableC5!B28</f>
        <v>7.2093556437295953E-2</v>
      </c>
      <c r="Q28" s="1800">
        <f t="shared" si="4"/>
        <v>-2.1253315390547256E-4</v>
      </c>
      <c r="R28" s="552"/>
      <c r="S28" s="1640" t="s">
        <v>833</v>
      </c>
      <c r="T28" s="939"/>
      <c r="U28" s="940"/>
    </row>
    <row r="29" spans="1:21" ht="14.25" customHeight="1" x14ac:dyDescent="0.35">
      <c r="A29" s="310" t="s">
        <v>69</v>
      </c>
      <c r="B29" s="334">
        <f>TableC5!C29+D29</f>
        <v>20.674425443521596</v>
      </c>
      <c r="C29" s="334">
        <f>TableB1!D31+TableC5!P29</f>
        <v>-0.14000398460893121</v>
      </c>
      <c r="D29" s="334">
        <f t="shared" si="2"/>
        <v>-0.29487618718025976</v>
      </c>
      <c r="E29" s="471">
        <f t="shared" si="0"/>
        <v>-1.1677954464802598</v>
      </c>
      <c r="F29" s="325">
        <f>TableB1!H31-TableA6!H29/(1+TableA5!O29)-TableC5!N29</f>
        <v>-1.1527260554602903</v>
      </c>
      <c r="G29" s="115">
        <f>TableB1!I31+TableC5!O29</f>
        <v>-1.5069391019969423E-2</v>
      </c>
      <c r="H29" s="1677">
        <f>TableB1!F31+TableB1!J31</f>
        <v>0.87291925930000003</v>
      </c>
      <c r="I29" s="1638">
        <f>TableB1!D31/TableA1!B29</f>
        <v>-1.1457686989123875E-2</v>
      </c>
      <c r="J29" s="941">
        <f>C29/TableC5!B29</f>
        <v>-5.1512406468200399E-3</v>
      </c>
      <c r="K29" s="942">
        <f t="shared" si="1"/>
        <v>6.3064463423038349E-3</v>
      </c>
      <c r="L29" s="1681">
        <f>TableB1b!B31/TableA1!B29</f>
        <v>-4.6434807100774207E-3</v>
      </c>
      <c r="M29" s="941">
        <f>D29/TableC5!B29</f>
        <v>-1.0849535500187248E-2</v>
      </c>
      <c r="N29" s="1691">
        <f t="shared" si="3"/>
        <v>-6.2060547901098273E-3</v>
      </c>
      <c r="O29" s="1698">
        <f>TableB1!C31/TableA1!B29</f>
        <v>-1.018600096435069E-2</v>
      </c>
      <c r="P29" s="941">
        <f>J29+M29+TableB1!K31/TableC5!B29</f>
        <v>-1.0122490760211208E-2</v>
      </c>
      <c r="Q29" s="1800">
        <f t="shared" si="4"/>
        <v>6.3510204139482357E-5</v>
      </c>
      <c r="R29" s="552"/>
      <c r="S29" s="1640" t="s">
        <v>835</v>
      </c>
      <c r="T29" s="939"/>
      <c r="U29" s="940"/>
    </row>
    <row r="30" spans="1:21" s="118" customFormat="1" ht="14.25" customHeight="1" x14ac:dyDescent="0.35">
      <c r="A30" s="310" t="s">
        <v>70</v>
      </c>
      <c r="B30" s="334">
        <f>TableC5!C30+D30</f>
        <v>18.656261023424022</v>
      </c>
      <c r="C30" s="334">
        <f>TableB1!D32+TableC5!P30</f>
        <v>2.1064254897041153</v>
      </c>
      <c r="D30" s="334">
        <f t="shared" si="2"/>
        <v>-26.59901884507336</v>
      </c>
      <c r="E30" s="471">
        <f t="shared" si="0"/>
        <v>14.019190735426642</v>
      </c>
      <c r="F30" s="325">
        <f>TableB1!H32-TableA6!H30/(1+TableA5!O30)-TableC5!N30</f>
        <v>28.157442486362154</v>
      </c>
      <c r="G30" s="115">
        <f>TableB1!I32+TableC5!O30</f>
        <v>-14.138251750935511</v>
      </c>
      <c r="H30" s="1677">
        <f>TableB1!F32+TableB1!J32</f>
        <v>-40.6182095805</v>
      </c>
      <c r="I30" s="1638">
        <f>TableB1!D32/TableA1!B30</f>
        <v>0.3401651052493968</v>
      </c>
      <c r="J30" s="941">
        <f>C30/TableC5!B30</f>
        <v>4.0398615562134164E-2</v>
      </c>
      <c r="K30" s="942">
        <f t="shared" si="1"/>
        <v>-0.29976648968726266</v>
      </c>
      <c r="L30" s="1681">
        <f>TableB1b!B32/TableA1!B30</f>
        <v>-0.25919779080805933</v>
      </c>
      <c r="M30" s="941">
        <f>D30/TableC5!B30</f>
        <v>-0.51013602992575924</v>
      </c>
      <c r="N30" s="1704">
        <f t="shared" si="3"/>
        <v>-0.25093823911769991</v>
      </c>
      <c r="O30" s="1698">
        <f>TableB1!C32/TableA1!B30</f>
        <v>9.7834696519242745E-2</v>
      </c>
      <c r="P30" s="941">
        <f>J30+M30+TableB1!K32/TableC5!B30</f>
        <v>-0.45104440160158987</v>
      </c>
      <c r="Q30" s="1800">
        <f t="shared" si="4"/>
        <v>-0.54887909812083258</v>
      </c>
      <c r="R30" s="552"/>
      <c r="S30" s="1705" t="s">
        <v>836</v>
      </c>
      <c r="T30" s="1014"/>
      <c r="U30" s="1015"/>
    </row>
    <row r="31" spans="1:21" ht="14.25" customHeight="1" x14ac:dyDescent="0.35">
      <c r="A31" s="310" t="s">
        <v>71</v>
      </c>
      <c r="B31" s="334">
        <f>TableC5!C31+D31</f>
        <v>976.9547064839976</v>
      </c>
      <c r="C31" s="334">
        <f>TableB1!D33+TableC5!P31</f>
        <v>-13.309874658504281</v>
      </c>
      <c r="D31" s="334">
        <f t="shared" si="2"/>
        <v>-40.042132037795724</v>
      </c>
      <c r="E31" s="471">
        <f t="shared" si="0"/>
        <v>-22.792054948295721</v>
      </c>
      <c r="F31" s="325">
        <f>TableB1!H33-TableA6!H31/(1+TableA5!O31)-TableC5!N31</f>
        <v>-25.246993319874285</v>
      </c>
      <c r="G31" s="115">
        <f>TableB1!I33+TableC5!O31</f>
        <v>2.4549383715785629</v>
      </c>
      <c r="H31" s="1677">
        <f>TableB1!F33+TableB1!J33</f>
        <v>-17.2500770895</v>
      </c>
      <c r="I31" s="1638">
        <f>TableB1!D33/TableA1!B31</f>
        <v>-2.1211377605229561E-2</v>
      </c>
      <c r="J31" s="941">
        <f>C31/TableC5!B31</f>
        <v>-1.1482921454956507E-2</v>
      </c>
      <c r="K31" s="942">
        <f t="shared" si="1"/>
        <v>9.7284561502730543E-3</v>
      </c>
      <c r="L31" s="1681">
        <f>TableB1b!B33/TableA1!B31</f>
        <v>-2.5260075717136711E-2</v>
      </c>
      <c r="M31" s="941">
        <f>D31/TableC5!B31</f>
        <v>-3.4545829234028019E-2</v>
      </c>
      <c r="N31" s="1691">
        <f t="shared" si="3"/>
        <v>-9.2857535168913083E-3</v>
      </c>
      <c r="O31" s="1698">
        <f>TableB1!C33/TableA1!B31</f>
        <v>-2.5452806167543043E-2</v>
      </c>
      <c r="P31" s="941">
        <f>J31+M31+TableB1!K33/TableC5!B31</f>
        <v>-2.5210334208700676E-2</v>
      </c>
      <c r="Q31" s="1800">
        <f t="shared" si="4"/>
        <v>2.4247195884236766E-4</v>
      </c>
      <c r="R31" s="552"/>
      <c r="S31" s="1640" t="s">
        <v>824</v>
      </c>
      <c r="T31" s="939"/>
      <c r="U31" s="940"/>
    </row>
    <row r="32" spans="1:21" ht="14.25" customHeight="1" x14ac:dyDescent="0.35">
      <c r="A32" s="310" t="s">
        <v>72</v>
      </c>
      <c r="B32" s="334">
        <f>TableC5!C32+D32</f>
        <v>625.47550241115164</v>
      </c>
      <c r="C32" s="334">
        <f>TableB1!D34+TableC5!P32</f>
        <v>47.56382022207859</v>
      </c>
      <c r="D32" s="334">
        <f t="shared" si="2"/>
        <v>3.8866632757620003</v>
      </c>
      <c r="E32" s="471">
        <f t="shared" si="0"/>
        <v>33.036800760761999</v>
      </c>
      <c r="F32" s="325">
        <f>TableB1!H34-TableA6!H32/(1+TableA5!O32)-TableC5!N32</f>
        <v>36.66690551689765</v>
      </c>
      <c r="G32" s="115">
        <f>TableB1!I34+TableC5!O32</f>
        <v>-3.6301047561356512</v>
      </c>
      <c r="H32" s="1677">
        <f>TableB1!F34+TableB1!J34</f>
        <v>-29.150137484999998</v>
      </c>
      <c r="I32" s="1638">
        <f>TableB1!D34/TableA1!B32</f>
        <v>0.10561605404010749</v>
      </c>
      <c r="J32" s="941">
        <f>C32/TableC5!B32</f>
        <v>6.3798445233859205E-2</v>
      </c>
      <c r="K32" s="942">
        <f t="shared" si="1"/>
        <v>-4.1817608806248283E-2</v>
      </c>
      <c r="L32" s="1681">
        <f>TableB1b!B34/TableA1!B32</f>
        <v>4.0611779792872225E-3</v>
      </c>
      <c r="M32" s="941">
        <f>D32/TableC5!B32</f>
        <v>5.2132707798363959E-3</v>
      </c>
      <c r="N32" s="1691">
        <f t="shared" si="3"/>
        <v>1.1520928005491734E-3</v>
      </c>
      <c r="O32" s="1698">
        <f>TableB1!C34/TableA1!B32</f>
        <v>9.2472874257114965E-2</v>
      </c>
      <c r="P32" s="941">
        <f>J32+M32+TableB1!K34/TableC5!B32</f>
        <v>5.1521154090114304E-2</v>
      </c>
      <c r="Q32" s="1800">
        <f t="shared" si="4"/>
        <v>-4.095172016700066E-2</v>
      </c>
      <c r="R32" s="552"/>
      <c r="S32" s="552"/>
      <c r="T32" s="939"/>
      <c r="U32" s="940"/>
    </row>
    <row r="33" spans="1:21" ht="14.25" customHeight="1" x14ac:dyDescent="0.35">
      <c r="A33" s="310" t="s">
        <v>73</v>
      </c>
      <c r="B33" s="334">
        <f>TableC5!C33+D33</f>
        <v>147.36698286079505</v>
      </c>
      <c r="C33" s="334">
        <f>TableB1!D35+TableC5!P33</f>
        <v>2.6478648423910087</v>
      </c>
      <c r="D33" s="334">
        <f t="shared" si="2"/>
        <v>-7.5725105622068067</v>
      </c>
      <c r="E33" s="471">
        <f t="shared" si="0"/>
        <v>-6.6617348188068064</v>
      </c>
      <c r="F33" s="325">
        <f>TableB1!H35-TableA6!H33/(1+TableA5!O33)-TableC5!N33</f>
        <v>-6.2731296315222389</v>
      </c>
      <c r="G33" s="115">
        <f>TableB1!I35+TableC5!O33</f>
        <v>-0.38860518728456761</v>
      </c>
      <c r="H33" s="1677">
        <f>TableB1!F35+TableB1!J35</f>
        <v>-0.91077574340000012</v>
      </c>
      <c r="I33" s="1638">
        <f>TableB1!D35/TableA1!B33</f>
        <v>7.7651198428275647E-3</v>
      </c>
      <c r="J33" s="941">
        <f>C33/TableC5!B33</f>
        <v>1.4971757392883636E-2</v>
      </c>
      <c r="K33" s="942">
        <f t="shared" si="1"/>
        <v>7.2066375500560711E-3</v>
      </c>
      <c r="L33" s="1681">
        <f>TableB1b!B35/TableA1!B33</f>
        <v>-3.581414471929216E-2</v>
      </c>
      <c r="M33" s="941">
        <f>D33/TableC5!B33</f>
        <v>-4.2817061194873225E-2</v>
      </c>
      <c r="N33" s="1691">
        <f t="shared" si="3"/>
        <v>-7.0029164755810655E-3</v>
      </c>
      <c r="O33" s="1698">
        <f>TableB1!C35/TableA1!B33</f>
        <v>-2.9495792856519352E-2</v>
      </c>
      <c r="P33" s="941">
        <f>J33+M33+TableB1!K35/TableC5!B33</f>
        <v>-2.9285506313857085E-2</v>
      </c>
      <c r="Q33" s="1800">
        <f t="shared" si="4"/>
        <v>2.1028654266226632E-4</v>
      </c>
      <c r="R33" s="552"/>
      <c r="S33" s="552"/>
      <c r="T33" s="939"/>
      <c r="U33" s="940"/>
    </row>
    <row r="34" spans="1:21" ht="14.25" customHeight="1" x14ac:dyDescent="0.35">
      <c r="A34" s="310" t="s">
        <v>74</v>
      </c>
      <c r="B34" s="334">
        <f>TableC5!C34+D34</f>
        <v>336.05537085604948</v>
      </c>
      <c r="C34" s="334">
        <f>TableB1!D36+TableC5!P34</f>
        <v>25.484479485843238</v>
      </c>
      <c r="D34" s="334">
        <f t="shared" si="2"/>
        <v>13.498719595034679</v>
      </c>
      <c r="E34" s="471">
        <f t="shared" si="0"/>
        <v>-1.3575000461653195</v>
      </c>
      <c r="F34" s="325">
        <f>TableB1!H36-TableA6!H34/(1+TableA5!O34)-TableC5!N34</f>
        <v>-0.43707264020082359</v>
      </c>
      <c r="G34" s="115">
        <f>TableB1!I36+TableC5!O34</f>
        <v>-0.92042740596449579</v>
      </c>
      <c r="H34" s="1677">
        <f>TableB1!F36+TableB1!J36</f>
        <v>14.856219641199997</v>
      </c>
      <c r="I34" s="1638">
        <f>TableB1!D36/TableA1!B34</f>
        <v>5.4547249532653982E-2</v>
      </c>
      <c r="J34" s="941">
        <f>C34/TableC5!B34</f>
        <v>6.5181678265575638E-2</v>
      </c>
      <c r="K34" s="942">
        <f t="shared" si="1"/>
        <v>1.0634428732921655E-2</v>
      </c>
      <c r="L34" s="1681">
        <f>TableB1b!B36/TableA1!B34</f>
        <v>4.6294381252176359E-2</v>
      </c>
      <c r="M34" s="941">
        <f>D34/TableC5!B34</f>
        <v>3.4525688395148267E-2</v>
      </c>
      <c r="N34" s="1691">
        <f t="shared" si="3"/>
        <v>-1.1768692857028092E-2</v>
      </c>
      <c r="O34" s="1698">
        <f>TableB1!C36/TableA1!B34</f>
        <v>8.2957966808400119E-2</v>
      </c>
      <c r="P34" s="941">
        <f>J34+M34+TableB1!K36/TableC5!B34</f>
        <v>8.2024540523008616E-2</v>
      </c>
      <c r="Q34" s="1786">
        <f t="shared" si="4"/>
        <v>-9.3342628539150319E-4</v>
      </c>
      <c r="R34" s="552"/>
      <c r="S34" s="552"/>
      <c r="T34" s="939"/>
      <c r="U34" s="940"/>
    </row>
    <row r="35" spans="1:21" ht="14.25" customHeight="1" x14ac:dyDescent="0.35">
      <c r="A35" s="310" t="s">
        <v>75</v>
      </c>
      <c r="B35" s="334">
        <f>TableC5!C35+D35</f>
        <v>404.14569916932021</v>
      </c>
      <c r="C35" s="334">
        <f>TableB1!D37+TableC5!P35</f>
        <v>17.693241905071076</v>
      </c>
      <c r="D35" s="334">
        <f t="shared" si="2"/>
        <v>-21.378554408386574</v>
      </c>
      <c r="E35" s="471">
        <f t="shared" si="0"/>
        <v>-20.575554408386573</v>
      </c>
      <c r="F35" s="325">
        <f>TableB1!H37-TableA6!H35/(1+TableA5!O35)-TableC5!N35</f>
        <v>-19.058446628673977</v>
      </c>
      <c r="G35" s="115">
        <f>TableB1!I37+TableC5!O35</f>
        <v>-1.5171077797125956</v>
      </c>
      <c r="H35" s="1677">
        <f>TableB1!F37+TableB1!J37</f>
        <v>-0.80299999999999983</v>
      </c>
      <c r="I35" s="1638">
        <f>TableB1!D37/TableA1!B35</f>
        <v>3.0555491513661218E-2</v>
      </c>
      <c r="J35" s="941">
        <f>C35/TableC5!B35</f>
        <v>3.6846896066553537E-2</v>
      </c>
      <c r="K35" s="942">
        <f t="shared" si="1"/>
        <v>6.2914045528923192E-3</v>
      </c>
      <c r="L35" s="1681">
        <f>TableB1b!B37/TableA1!B35</f>
        <v>-3.8280437313225342E-2</v>
      </c>
      <c r="M35" s="941">
        <f>D35/TableC5!B35</f>
        <v>-4.4521709281169497E-2</v>
      </c>
      <c r="N35" s="1691">
        <f t="shared" si="3"/>
        <v>-6.241271967944155E-3</v>
      </c>
      <c r="O35" s="1698">
        <f>TableB1!C37/TableA1!B35</f>
        <v>-9.7162826273053827E-3</v>
      </c>
      <c r="P35" s="941">
        <f>J35+M35+TableB1!K37/TableC5!B35</f>
        <v>-9.6532268626650028E-3</v>
      </c>
      <c r="Q35" s="1786">
        <f t="shared" si="4"/>
        <v>6.3055764640379888E-5</v>
      </c>
      <c r="R35" s="552"/>
      <c r="S35" s="552"/>
      <c r="T35" s="939"/>
      <c r="U35" s="940"/>
    </row>
    <row r="36" spans="1:21" ht="14.25" customHeight="1" x14ac:dyDescent="0.35">
      <c r="A36" s="310" t="s">
        <v>76</v>
      </c>
      <c r="B36" s="334">
        <f>TableC5!C36+D36</f>
        <v>159.91084330552877</v>
      </c>
      <c r="C36" s="334">
        <f>TableB1!D38+TableC5!P36</f>
        <v>5.7357041470060643</v>
      </c>
      <c r="D36" s="334">
        <f t="shared" si="2"/>
        <v>-7.3387951408491734</v>
      </c>
      <c r="E36" s="471">
        <f t="shared" si="0"/>
        <v>-5.1695264190491734</v>
      </c>
      <c r="F36" s="325">
        <f>TableB1!H38-TableA6!H36/(1+TableA5!O36)-TableC5!N36</f>
        <v>-4.6991917205980442</v>
      </c>
      <c r="G36" s="115">
        <f>TableB1!I38+TableC5!O36</f>
        <v>-0.47033469845112913</v>
      </c>
      <c r="H36" s="1677">
        <f>TableB1!F38+TableB1!J38</f>
        <v>-2.1692687218</v>
      </c>
      <c r="I36" s="1638">
        <f>TableB1!D38/TableA1!B36</f>
        <v>1.7607385932403206E-2</v>
      </c>
      <c r="J36" s="941">
        <f>C36/TableC5!B36</f>
        <v>2.8444609142540284E-2</v>
      </c>
      <c r="K36" s="942">
        <f t="shared" si="1"/>
        <v>1.0837223210137078E-2</v>
      </c>
      <c r="L36" s="1681">
        <f>TableB1b!B38/TableA1!B36</f>
        <v>-2.5646143392219663E-2</v>
      </c>
      <c r="M36" s="941">
        <f>D36/TableC5!B36</f>
        <v>-3.6394687384214537E-2</v>
      </c>
      <c r="N36" s="1691">
        <f t="shared" si="3"/>
        <v>-1.0748543991994874E-2</v>
      </c>
      <c r="O36" s="1698">
        <f>TableB1!C38/TableA1!B36</f>
        <v>3.1141131033729155E-4</v>
      </c>
      <c r="P36" s="941">
        <f>J36+M36+TableB1!K38/TableC5!B36</f>
        <v>3.0797598943604725E-4</v>
      </c>
      <c r="Q36" s="1786">
        <f t="shared" si="4"/>
        <v>-3.4353209012443083E-6</v>
      </c>
      <c r="R36" s="552"/>
      <c r="S36" s="552"/>
      <c r="T36" s="939"/>
      <c r="U36" s="940"/>
    </row>
    <row r="37" spans="1:21" ht="14.25" customHeight="1" x14ac:dyDescent="0.35">
      <c r="A37" s="310" t="s">
        <v>96</v>
      </c>
      <c r="B37" s="334">
        <f>TableC5!C37+D37</f>
        <v>68.34592797293115</v>
      </c>
      <c r="C37" s="334">
        <f>TableB1!D39+TableC5!P37</f>
        <v>2.9592869747412687</v>
      </c>
      <c r="D37" s="334">
        <f t="shared" si="2"/>
        <v>-2.0572903101006705</v>
      </c>
      <c r="E37" s="471">
        <f t="shared" si="0"/>
        <v>-4.6075131704006704</v>
      </c>
      <c r="F37" s="325">
        <f>TableB1!H39-TableA6!H37/(1+TableA5!O37)-TableC5!N37</f>
        <v>-4.4146073518707505</v>
      </c>
      <c r="G37" s="115">
        <f>TableB1!I39+TableC5!O37</f>
        <v>-0.19290581852991961</v>
      </c>
      <c r="H37" s="1677">
        <f>TableB1!F39+TableB1!J39</f>
        <v>2.5502228602999999</v>
      </c>
      <c r="I37" s="1638">
        <f>TableB1!D39/TableA1!B37</f>
        <v>2.7683495699521624E-2</v>
      </c>
      <c r="J37" s="941">
        <f>C37/TableC5!B37</f>
        <v>3.3613607856047008E-2</v>
      </c>
      <c r="K37" s="942">
        <f t="shared" si="1"/>
        <v>5.9301121565253842E-3</v>
      </c>
      <c r="L37" s="1681">
        <f>TableB1b!B39/TableA1!B37</f>
        <v>-1.7375129698240968E-2</v>
      </c>
      <c r="M37" s="941">
        <f>D37/TableC5!B37</f>
        <v>-2.3368112089168152E-2</v>
      </c>
      <c r="N37" s="1691">
        <f t="shared" si="3"/>
        <v>-5.9929823909271839E-3</v>
      </c>
      <c r="O37" s="1698">
        <f>TableB1!C39/TableA1!B37</f>
        <v>-5.3090727454504789E-3</v>
      </c>
      <c r="P37" s="941">
        <f>J37+M37+TableB1!K39/TableC5!B37</f>
        <v>-5.2766929630561673E-3</v>
      </c>
      <c r="Q37" s="1786">
        <f t="shared" si="4"/>
        <v>3.2379782394311579E-5</v>
      </c>
      <c r="R37" s="552"/>
      <c r="S37" s="552"/>
      <c r="T37" s="939"/>
      <c r="U37" s="940"/>
    </row>
    <row r="38" spans="1:21" ht="14.25" customHeight="1" x14ac:dyDescent="0.35">
      <c r="A38" s="310" t="s">
        <v>78</v>
      </c>
      <c r="B38" s="334">
        <f>TableC5!C38+D38</f>
        <v>32.494690187742556</v>
      </c>
      <c r="C38" s="334">
        <f>TableB1!D40+TableC5!P38</f>
        <v>3.8888480970010737</v>
      </c>
      <c r="D38" s="334">
        <f t="shared" si="2"/>
        <v>-1.6049230644686221</v>
      </c>
      <c r="E38" s="471">
        <f t="shared" si="0"/>
        <v>-1.2129735783686222</v>
      </c>
      <c r="F38" s="325">
        <f>TableB1!H40-TableA6!H38/(1+TableA5!O38)-TableC5!N38</f>
        <v>-1.2249629036088918</v>
      </c>
      <c r="G38" s="115">
        <f>TableB1!I40+TableC5!O38</f>
        <v>1.1989325240269737E-2</v>
      </c>
      <c r="H38" s="1677">
        <f>TableB1!F40+TableB1!J40</f>
        <v>-0.39194948609999997</v>
      </c>
      <c r="I38" s="1638">
        <f>TableB1!D40/TableA1!B38</f>
        <v>8.6469539664764464E-2</v>
      </c>
      <c r="J38" s="941">
        <f>C38/TableC5!B38</f>
        <v>9.05084612227776E-2</v>
      </c>
      <c r="K38" s="942">
        <f t="shared" si="1"/>
        <v>4.0389215580131366E-3</v>
      </c>
      <c r="L38" s="1681">
        <f>TableB1b!B40/TableA1!B38</f>
        <v>-3.3077757649479615E-2</v>
      </c>
      <c r="M38" s="941">
        <f>D38/TableC5!B38</f>
        <v>-3.7352736163188731E-2</v>
      </c>
      <c r="N38" s="1691">
        <f t="shared" si="3"/>
        <v>-4.2749785137091156E-3</v>
      </c>
      <c r="O38" s="1698">
        <f>TableB1!C40/TableA1!B38</f>
        <v>4.3643252011520854E-2</v>
      </c>
      <c r="P38" s="941">
        <f>J38+M38+TableB1!K40/TableC5!B38</f>
        <v>4.3450295477430789E-2</v>
      </c>
      <c r="Q38" s="1786">
        <f t="shared" si="4"/>
        <v>-1.9295653409006491E-4</v>
      </c>
      <c r="R38" s="552"/>
      <c r="S38" s="552"/>
      <c r="T38" s="939"/>
      <c r="U38" s="940"/>
    </row>
    <row r="39" spans="1:21" x14ac:dyDescent="0.35">
      <c r="A39" s="310" t="s">
        <v>79</v>
      </c>
      <c r="B39" s="334">
        <f>TableC5!C39+D39</f>
        <v>990.06449121847538</v>
      </c>
      <c r="C39" s="334">
        <f>TableB1!D41+TableC5!P39</f>
        <v>41.198411014067823</v>
      </c>
      <c r="D39" s="334">
        <f t="shared" si="2"/>
        <v>-10.028431741281818</v>
      </c>
      <c r="E39" s="471">
        <f t="shared" si="0"/>
        <v>-3.2399993198818207</v>
      </c>
      <c r="F39" s="325">
        <f>TableB1!H41-TableA6!H39/(1+TableA5!O39)-TableC5!N39</f>
        <v>-1.0620160574860655</v>
      </c>
      <c r="G39" s="115">
        <f>TableB1!I41+TableC5!O39</f>
        <v>-2.1779832623957551</v>
      </c>
      <c r="H39" s="1677">
        <f>TableB1!F41+TableB1!J41</f>
        <v>-6.7884324213999978</v>
      </c>
      <c r="I39" s="1638">
        <f>TableB1!D41/TableA1!B39</f>
        <v>2.4285353540989752E-2</v>
      </c>
      <c r="J39" s="941">
        <f>C39/TableC5!B39</f>
        <v>3.4051101416100578E-2</v>
      </c>
      <c r="K39" s="942">
        <f t="shared" si="1"/>
        <v>9.7657478751108258E-3</v>
      </c>
      <c r="L39" s="1681">
        <f>TableB1b!B41/TableA1!B39</f>
        <v>1.7375579284027404E-3</v>
      </c>
      <c r="M39" s="941">
        <f>D39/TableC5!B39</f>
        <v>-8.2886484663261904E-3</v>
      </c>
      <c r="N39" s="1691">
        <f t="shared" si="3"/>
        <v>-1.0026206394728931E-2</v>
      </c>
      <c r="O39" s="1698">
        <f>TableB1!C41/TableA1!B39</f>
        <v>1.5941881702796305E-2</v>
      </c>
      <c r="P39" s="941">
        <f>J39+M39+TableB1!K41/TableC5!B39</f>
        <v>1.5782322350141979E-2</v>
      </c>
      <c r="Q39" s="1786">
        <f t="shared" si="4"/>
        <v>-1.5955935265432597E-4</v>
      </c>
      <c r="R39" s="552"/>
      <c r="S39" s="552"/>
      <c r="T39" s="939"/>
      <c r="U39" s="940"/>
    </row>
    <row r="40" spans="1:21" x14ac:dyDescent="0.35">
      <c r="A40" s="310" t="s">
        <v>80</v>
      </c>
      <c r="B40" s="334">
        <f>TableC5!C40+D40</f>
        <v>422.84571900722335</v>
      </c>
      <c r="C40" s="334">
        <f>TableB1!D42+TableC5!P40</f>
        <v>31.748236119029382</v>
      </c>
      <c r="D40" s="334">
        <f t="shared" si="2"/>
        <v>-0.70574329863707819</v>
      </c>
      <c r="E40" s="471">
        <f t="shared" si="0"/>
        <v>0.65992005566292233</v>
      </c>
      <c r="F40" s="325">
        <f>TableB1!H42-TableA6!H40/(1+TableA5!O40)-TableC5!N40</f>
        <v>-0.52702008778259213</v>
      </c>
      <c r="G40" s="115">
        <f>TableB1!I42+TableC5!O40</f>
        <v>1.1869401434455145</v>
      </c>
      <c r="H40" s="1677">
        <f>TableB1!F42+TableB1!J42</f>
        <v>-1.3656633543000005</v>
      </c>
      <c r="I40" s="1638">
        <f>TableB1!D42/TableA1!B40</f>
        <v>4.9298568006324789E-2</v>
      </c>
      <c r="J40" s="941">
        <f>C40/TableC5!B40</f>
        <v>6.2852897997116616E-2</v>
      </c>
      <c r="K40" s="942">
        <f t="shared" si="1"/>
        <v>1.3554329990791827E-2</v>
      </c>
      <c r="L40" s="1681">
        <f>TableB1b!B42/TableA1!B40</f>
        <v>1.3046008047079527E-2</v>
      </c>
      <c r="M40" s="941">
        <f>D40/TableC5!B40</f>
        <v>-1.397180347124778E-3</v>
      </c>
      <c r="N40" s="1691">
        <f t="shared" si="3"/>
        <v>-1.4443188394204306E-2</v>
      </c>
      <c r="O40" s="1698">
        <f>TableB1!C42/TableA1!B40</f>
        <v>4.5793039265607412E-2</v>
      </c>
      <c r="P40" s="941">
        <f>J40+M40+TableB1!K42/TableC5!B40</f>
        <v>4.5139924387504846E-2</v>
      </c>
      <c r="Q40" s="1786">
        <f t="shared" si="4"/>
        <v>-6.5311487810256613E-4</v>
      </c>
      <c r="R40" s="552"/>
      <c r="S40" s="552"/>
      <c r="T40" s="939"/>
      <c r="U40" s="940"/>
    </row>
    <row r="41" spans="1:21" x14ac:dyDescent="0.35">
      <c r="A41" s="310" t="s">
        <v>1</v>
      </c>
      <c r="B41" s="334">
        <f>TableC5!C41+D41</f>
        <v>555.75724262859558</v>
      </c>
      <c r="C41" s="334">
        <f>TableB1!D43+TableC5!P41</f>
        <v>19.582653288063113</v>
      </c>
      <c r="D41" s="334">
        <f t="shared" si="2"/>
        <v>69.418680789684899</v>
      </c>
      <c r="E41" s="471">
        <f t="shared" si="0"/>
        <v>83.021680789684893</v>
      </c>
      <c r="F41" s="325">
        <f>TableB1!H43-TableA6!H41/(1+TableA5!O41)-TableC5!N41</f>
        <v>84.970869975528245</v>
      </c>
      <c r="G41" s="115">
        <f>TableB1!I43+TableC5!O41</f>
        <v>-1.9491891858433457</v>
      </c>
      <c r="H41" s="1677">
        <f>TableB1!F43+TableB1!J43</f>
        <v>-13.602999999999996</v>
      </c>
      <c r="I41" s="1638">
        <f>TableB1!D43/TableA1!B41</f>
        <v>0.10634079342270167</v>
      </c>
      <c r="J41" s="941">
        <f>C41/TableC5!B41</f>
        <v>3.1250450168310739E-2</v>
      </c>
      <c r="K41" s="942">
        <f t="shared" si="1"/>
        <v>-7.5090343254390929E-2</v>
      </c>
      <c r="L41" s="1681">
        <f>TableB1b!B43/TableA1!B41</f>
        <v>2.4680438897898893E-2</v>
      </c>
      <c r="M41" s="941">
        <f>D41/TableC5!B41</f>
        <v>0.11077993328362125</v>
      </c>
      <c r="N41" s="1691">
        <f t="shared" si="3"/>
        <v>8.6099494385722355E-2</v>
      </c>
      <c r="O41" s="1698">
        <f>TableB1!C43/TableA1!B41</f>
        <v>0.11150428009322003</v>
      </c>
      <c r="P41" s="941">
        <f>J41+M41+TableB1!K43/TableC5!B41</f>
        <v>0.12087350559655677</v>
      </c>
      <c r="Q41" s="1786">
        <f t="shared" si="4"/>
        <v>9.3692255033367422E-3</v>
      </c>
      <c r="R41" s="552"/>
      <c r="S41" s="552"/>
      <c r="T41" s="939"/>
      <c r="U41" s="940"/>
    </row>
    <row r="42" spans="1:21" x14ac:dyDescent="0.35">
      <c r="A42" s="310" t="s">
        <v>81</v>
      </c>
      <c r="B42" s="334">
        <f>TableC5!C42+D42</f>
        <v>723.59100279133997</v>
      </c>
      <c r="C42" s="334">
        <f>TableB1!D44+TableC5!P42</f>
        <v>-19.710816091236737</v>
      </c>
      <c r="D42" s="334">
        <f t="shared" si="2"/>
        <v>-13.838353908763263</v>
      </c>
      <c r="E42" s="471">
        <f t="shared" si="0"/>
        <v>-7.5143539087632636</v>
      </c>
      <c r="F42" s="325">
        <f>TableB1!H44-TableA6!H42/(1+TableA5!O42)-TableC5!N42</f>
        <v>-8.1546028205897603</v>
      </c>
      <c r="G42" s="115">
        <f>TableB1!I44+TableC5!O42</f>
        <v>0.64024891182649646</v>
      </c>
      <c r="H42" s="1677">
        <f>TableB1!F44+TableB1!J44</f>
        <v>-6.3239999999999998</v>
      </c>
      <c r="I42" s="1638">
        <f>TableB1!D44/TableA1!B42</f>
        <v>-2.7817626649949991E-2</v>
      </c>
      <c r="J42" s="941">
        <f>C42/TableC5!B42</f>
        <v>-2.2824583482671815E-2</v>
      </c>
      <c r="K42" s="942">
        <f t="shared" si="1"/>
        <v>4.9930431672781765E-3</v>
      </c>
      <c r="L42" s="1681">
        <f>TableB1b!B44/TableA1!B42</f>
        <v>-1.1221036676231838E-2</v>
      </c>
      <c r="M42" s="941">
        <f>D42/TableC5!B42</f>
        <v>-1.60244336201661E-2</v>
      </c>
      <c r="N42" s="1691">
        <f t="shared" si="3"/>
        <v>-4.8033969439342621E-3</v>
      </c>
      <c r="O42" s="1698">
        <f>TableB1!C44/TableA1!B42</f>
        <v>-3.7374679133534434E-2</v>
      </c>
      <c r="P42" s="941">
        <f>J42+M42+TableB1!K44/TableC5!B42</f>
        <v>-3.7193116391820082E-2</v>
      </c>
      <c r="Q42" s="1786">
        <f t="shared" si="4"/>
        <v>1.8156274171435283E-4</v>
      </c>
      <c r="R42" s="552"/>
      <c r="S42" s="552"/>
      <c r="T42" s="939"/>
      <c r="U42" s="940"/>
    </row>
    <row r="43" spans="1:21" x14ac:dyDescent="0.35">
      <c r="A43" s="310" t="s">
        <v>82</v>
      </c>
      <c r="B43" s="334">
        <f>TableC5!C43+D43</f>
        <v>2447.6188649695537</v>
      </c>
      <c r="C43" s="334">
        <f>TableB1!D45+TableC5!P43</f>
        <v>6.162183228228244</v>
      </c>
      <c r="D43" s="334">
        <f t="shared" si="2"/>
        <v>-90.886324747785238</v>
      </c>
      <c r="E43" s="471">
        <f t="shared" si="0"/>
        <v>-37.962636971285242</v>
      </c>
      <c r="F43" s="325">
        <f>TableB1!H45-TableA6!H43/(1+TableA5!O43)-TableC5!N43</f>
        <v>-36.65407280487662</v>
      </c>
      <c r="G43" s="115">
        <f>TableB1!I45+TableC5!O43</f>
        <v>-1.3085641664086207</v>
      </c>
      <c r="H43" s="1677">
        <f>TableB1!F45+TableB1!J45</f>
        <v>-52.923687776499996</v>
      </c>
      <c r="I43" s="1638">
        <f>TableB1!D45/TableA1!B43</f>
        <v>-1.5970646442764629E-2</v>
      </c>
      <c r="J43" s="941">
        <f>C43/TableC5!B43</f>
        <v>2.1154453012163076E-3</v>
      </c>
      <c r="K43" s="942">
        <f t="shared" si="1"/>
        <v>1.8086091743980938E-2</v>
      </c>
      <c r="L43" s="1681">
        <f>TableB1b!B45/TableA1!B43</f>
        <v>-1.3641864176004943E-2</v>
      </c>
      <c r="M43" s="941">
        <f>D43/TableC5!B43</f>
        <v>-3.1200800351371877E-2</v>
      </c>
      <c r="N43" s="1691">
        <f t="shared" si="3"/>
        <v>-1.7558936175366933E-2</v>
      </c>
      <c r="O43" s="1698">
        <f>TableB1!C45/TableA1!B43</f>
        <v>-4.2775631597320465E-2</v>
      </c>
      <c r="P43" s="941">
        <f>J43+M43+TableB1!K45/TableC5!B43</f>
        <v>-4.2014148969663219E-2</v>
      </c>
      <c r="Q43" s="1786">
        <f t="shared" si="4"/>
        <v>7.6148262765724645E-4</v>
      </c>
      <c r="R43" s="552"/>
      <c r="S43" s="552"/>
      <c r="T43" s="939"/>
      <c r="U43" s="940"/>
    </row>
    <row r="44" spans="1:21" x14ac:dyDescent="0.35">
      <c r="A44" s="1738" t="s">
        <v>0</v>
      </c>
      <c r="B44" s="334">
        <f>TableC5!C44+D44</f>
        <v>15449.433800000003</v>
      </c>
      <c r="C44" s="334">
        <f>TableB1!D46+TableC5!P44</f>
        <v>-379.79327673306011</v>
      </c>
      <c r="D44" s="334">
        <f t="shared" si="2"/>
        <v>50.059276733060116</v>
      </c>
      <c r="E44" s="471">
        <f t="shared" si="0"/>
        <v>146.32227673306011</v>
      </c>
      <c r="F44" s="325">
        <f>TableB1!H46-TableA6!H44/(1+TableA5!O44)-TableC5!N44</f>
        <v>142.61969139649821</v>
      </c>
      <c r="G44" s="115">
        <f>TableB1!I46+TableC5!O44</f>
        <v>3.7025853365618886</v>
      </c>
      <c r="H44" s="1677">
        <f>TableB1!F46+TableB1!J46</f>
        <v>-96.262999999999991</v>
      </c>
      <c r="I44" s="1638">
        <f>TableB1!D46/TableA1!B44</f>
        <v>-2.7592732178092962E-2</v>
      </c>
      <c r="J44" s="941">
        <f>C44/TableC5!B44</f>
        <v>-2.0820949272423513E-2</v>
      </c>
      <c r="K44" s="942">
        <f t="shared" si="1"/>
        <v>6.7717829056694497E-3</v>
      </c>
      <c r="L44" s="1681">
        <f>TableB1b!B46/TableA1!B44</f>
        <v>9.3962082740703546E-3</v>
      </c>
      <c r="M44" s="941">
        <f>D44/TableC5!B44</f>
        <v>2.7443394218003205E-3</v>
      </c>
      <c r="N44" s="1691">
        <f t="shared" si="3"/>
        <v>-6.6518688522700341E-3</v>
      </c>
      <c r="O44" s="1698">
        <f>TableB1!C46/TableA1!B44</f>
        <v>-2.4818779626764924E-2</v>
      </c>
      <c r="P44" s="941">
        <f>J44+M44+TableB1!K46/TableC5!B44</f>
        <v>-2.4655225286322219E-2</v>
      </c>
      <c r="Q44" s="1786">
        <f t="shared" si="4"/>
        <v>1.6355434044270506E-4</v>
      </c>
      <c r="R44" s="552"/>
      <c r="S44" s="552"/>
      <c r="T44" s="939"/>
      <c r="U44" s="940"/>
    </row>
    <row r="45" spans="1:21" ht="40" customHeight="1" x14ac:dyDescent="0.35">
      <c r="A45" s="1716" t="s">
        <v>99</v>
      </c>
      <c r="B45" s="425">
        <f>TableC5!C45+D45</f>
        <v>14993.510705324537</v>
      </c>
      <c r="C45" s="425">
        <f>TableB1!D47+TableC5!P45</f>
        <v>95.628157581778169</v>
      </c>
      <c r="D45" s="334">
        <f t="shared" si="2"/>
        <v>-263.07438491405253</v>
      </c>
      <c r="E45" s="486">
        <f t="shared" si="0"/>
        <v>-191.30506016625256</v>
      </c>
      <c r="F45" s="487">
        <f>SUM(F46:F52)</f>
        <v>-180.13412432899335</v>
      </c>
      <c r="G45" s="433">
        <f t="shared" ref="G45:H45" si="5">SUM(G46:G52)</f>
        <v>-11.170935837259204</v>
      </c>
      <c r="H45" s="1679">
        <f t="shared" si="5"/>
        <v>-71.769324747799999</v>
      </c>
      <c r="I45" s="472"/>
      <c r="J45" s="436"/>
      <c r="K45" s="1018"/>
      <c r="L45" s="1682"/>
      <c r="M45" s="433"/>
      <c r="N45" s="1683"/>
      <c r="O45" s="1007"/>
      <c r="P45" s="1007"/>
      <c r="Q45" s="1786"/>
      <c r="R45" s="552"/>
      <c r="S45" s="552"/>
      <c r="T45" s="939"/>
      <c r="U45" s="940"/>
    </row>
    <row r="46" spans="1:21" x14ac:dyDescent="0.35">
      <c r="A46" s="742" t="s">
        <v>92</v>
      </c>
      <c r="B46" s="334">
        <f>TableC5!C46+D46</f>
        <v>2032.4671811383153</v>
      </c>
      <c r="C46" s="334">
        <f>TableB1!D48+TableC5!P46</f>
        <v>-6.0020676267719111</v>
      </c>
      <c r="D46" s="334">
        <f t="shared" si="2"/>
        <v>-58.728816448908077</v>
      </c>
      <c r="E46" s="471">
        <f t="shared" si="0"/>
        <v>-34.52201063500808</v>
      </c>
      <c r="F46" s="325">
        <f>TableB1!H48-TableA6!H46/(1+TableA5!O46)-TableC5!N46</f>
        <v>-30.897827550419521</v>
      </c>
      <c r="G46" s="115">
        <f>TableB1!I48+TableC5!O46</f>
        <v>-3.6241830845885619</v>
      </c>
      <c r="H46" s="1677">
        <f>TableB1!F48+TableB1!J48</f>
        <v>-24.206805813900001</v>
      </c>
      <c r="I46" s="1638">
        <f>TableB1!D48/TableA1!B46</f>
        <v>-7.8372005660718169E-3</v>
      </c>
      <c r="J46" s="941">
        <f>C46/TableC5!B46</f>
        <v>-2.4306854282748749E-3</v>
      </c>
      <c r="K46" s="942">
        <f t="shared" si="1"/>
        <v>5.406515137796942E-3</v>
      </c>
      <c r="L46" s="1681">
        <f>TableB1b!B48/TableA1!B46</f>
        <v>-1.8518553347766802E-2</v>
      </c>
      <c r="M46" s="941">
        <f>D46/TableC5!B46</f>
        <v>-2.3783683763484435E-2</v>
      </c>
      <c r="N46" s="1691">
        <f t="shared" ref="N46" si="6">M46-L46</f>
        <v>-5.2651304157176337E-3</v>
      </c>
      <c r="O46" s="1698">
        <f>TableB1!C48/TableA1!B46</f>
        <v>-2.5261154657763428E-2</v>
      </c>
      <c r="P46" s="941">
        <f>J46+M46+TableB1!K48/TableC5!B46</f>
        <v>-2.5111315548629842E-2</v>
      </c>
      <c r="Q46" s="1786">
        <f t="shared" si="4"/>
        <v>1.4983910913358642E-4</v>
      </c>
      <c r="R46" s="552"/>
      <c r="S46" s="552"/>
      <c r="T46" s="939"/>
      <c r="U46" s="940"/>
    </row>
    <row r="47" spans="1:21" x14ac:dyDescent="0.35">
      <c r="A47" s="1738" t="s">
        <v>101</v>
      </c>
      <c r="B47" s="334">
        <f>TableC5!C47+D47</f>
        <v>9542.7014074727285</v>
      </c>
      <c r="C47" s="334">
        <f>TableB1!D49+TableC5!P47</f>
        <v>414.2842048721422</v>
      </c>
      <c r="D47" s="334">
        <f t="shared" si="2"/>
        <v>-97.470414550936582</v>
      </c>
      <c r="E47" s="471">
        <f t="shared" si="0"/>
        <v>-90.969391617436585</v>
      </c>
      <c r="F47" s="325">
        <f>TableB1!H49-TableA6!H47/(1+TableA5!O47)-TableC5!N47</f>
        <v>-95.081758957895346</v>
      </c>
      <c r="G47" s="115">
        <f>TableB1!I49+TableC5!O47</f>
        <v>4.112367340458766</v>
      </c>
      <c r="H47" s="1677">
        <f>TableB1!F49+TableB1!J49</f>
        <v>-6.5010229334999998</v>
      </c>
      <c r="I47" s="1638">
        <f>TableB1!D49/TableA1!B47</f>
        <v>3.2348232839645781E-2</v>
      </c>
      <c r="J47" s="941">
        <f>C47/TableC5!B47</f>
        <v>3.7257504549161768E-2</v>
      </c>
      <c r="K47" s="942">
        <f t="shared" si="1"/>
        <v>4.9092717095159874E-3</v>
      </c>
      <c r="L47" s="1681">
        <f>TableB1b!B49/TableA1!B47</f>
        <v>-3.71117365795339E-3</v>
      </c>
      <c r="M47" s="941">
        <f>D47/TableC5!B47</f>
        <v>-8.7657322457199895E-3</v>
      </c>
      <c r="N47" s="1691">
        <f t="shared" ref="N47:N52" si="7">M47-L47</f>
        <v>-5.0545585877665999E-3</v>
      </c>
      <c r="O47" s="1698">
        <f>TableB1!C49/TableA1!B47</f>
        <v>2.749367597605417E-2</v>
      </c>
      <c r="P47" s="941">
        <f>J47+M47+TableB1!K49/TableC5!B47</f>
        <v>2.7354189923074666E-2</v>
      </c>
      <c r="Q47" s="1786">
        <f t="shared" si="4"/>
        <v>-1.3948605297950389E-4</v>
      </c>
      <c r="R47" s="552"/>
      <c r="S47" s="552"/>
      <c r="T47" s="939"/>
      <c r="U47" s="940"/>
    </row>
    <row r="48" spans="1:21" x14ac:dyDescent="0.35">
      <c r="A48" s="1738" t="s">
        <v>93</v>
      </c>
      <c r="B48" s="334">
        <f>TableC5!C48+D48</f>
        <v>252.25768406694957</v>
      </c>
      <c r="C48" s="334">
        <f>TableB1!D50+TableC5!P48</f>
        <v>-17.235038418298995</v>
      </c>
      <c r="D48" s="334">
        <f t="shared" si="2"/>
        <v>-7.2779716137010055</v>
      </c>
      <c r="E48" s="471">
        <f t="shared" si="0"/>
        <v>-3.056669410701006</v>
      </c>
      <c r="F48" s="325">
        <f>TableB1!H50-TableA6!H48/(1+TableA5!O48)-TableC5!N48</f>
        <v>-2.6647553484306297</v>
      </c>
      <c r="G48" s="115">
        <f>TableB1!I50+TableC5!O48</f>
        <v>-0.39191406227037651</v>
      </c>
      <c r="H48" s="1677">
        <f>TableB1!F50+TableB1!J50</f>
        <v>-4.2213022029999996</v>
      </c>
      <c r="I48" s="1638">
        <f>TableB1!D50/TableA1!B48</f>
        <v>-6.3609064262852538E-2</v>
      </c>
      <c r="J48" s="941">
        <f>C48/TableC5!B48</f>
        <v>-5.88572395551085E-2</v>
      </c>
      <c r="K48" s="942">
        <f t="shared" si="1"/>
        <v>4.7518247077440387E-3</v>
      </c>
      <c r="L48" s="1681">
        <f>TableB1b!B50/TableA1!B48</f>
        <v>-2.0477943073768445E-2</v>
      </c>
      <c r="M48" s="941">
        <f>D48/TableC5!B48</f>
        <v>-2.4854097121598213E-2</v>
      </c>
      <c r="N48" s="1691">
        <f t="shared" si="7"/>
        <v>-4.3761540478297681E-3</v>
      </c>
      <c r="O48" s="1698">
        <f>TableB1!C50/TableA1!B48</f>
        <v>-6.5461390476197173E-2</v>
      </c>
      <c r="P48" s="941">
        <f>J48+M48+TableB1!K50/TableC5!B48</f>
        <v>-6.5168932407608141E-2</v>
      </c>
      <c r="Q48" s="1786">
        <f t="shared" si="4"/>
        <v>2.9245806858903267E-4</v>
      </c>
      <c r="R48" s="552"/>
      <c r="S48" s="552"/>
      <c r="T48" s="939"/>
      <c r="U48" s="940"/>
    </row>
    <row r="49" spans="1:27" x14ac:dyDescent="0.35">
      <c r="A49" s="1738" t="s">
        <v>94</v>
      </c>
      <c r="B49" s="334">
        <f>TableC5!C49+D49</f>
        <v>49.28369016109901</v>
      </c>
      <c r="C49" s="334">
        <f>TableB1!D51+TableC5!P49</f>
        <v>0.96755981531582658</v>
      </c>
      <c r="D49" s="334">
        <f t="shared" si="2"/>
        <v>-3.5328679860158263</v>
      </c>
      <c r="E49" s="471">
        <f t="shared" si="0"/>
        <v>-2.9507817780158265</v>
      </c>
      <c r="F49" s="325">
        <f>TableB1!H51-TableA6!H49/(1+TableA5!O49)-TableC5!N49</f>
        <v>-1.9554452221874608</v>
      </c>
      <c r="G49" s="115">
        <f>TableB1!I51+TableC5!O49</f>
        <v>-0.99533655582836589</v>
      </c>
      <c r="H49" s="1677">
        <f>TableB1!F51+TableB1!J51</f>
        <v>-0.58208620799999988</v>
      </c>
      <c r="I49" s="1638">
        <f>TableB1!D51/TableA1!B49</f>
        <v>-3.3078039623503336E-4</v>
      </c>
      <c r="J49" s="941">
        <f>C49/TableC5!B49</f>
        <v>1.7361889965350867E-2</v>
      </c>
      <c r="K49" s="942">
        <f t="shared" si="1"/>
        <v>1.7692670361585901E-2</v>
      </c>
      <c r="L49" s="1681">
        <f>TableB1b!B51/TableA1!B49</f>
        <v>-4.65299172284072E-2</v>
      </c>
      <c r="M49" s="941">
        <f>D49/TableC5!B49</f>
        <v>-6.3393770870172048E-2</v>
      </c>
      <c r="N49" s="1691">
        <f t="shared" si="7"/>
        <v>-1.6863853641764848E-2</v>
      </c>
      <c r="O49" s="1698">
        <f>TableB1!C51/TableA1!B49</f>
        <v>-3.8511145276925361E-2</v>
      </c>
      <c r="P49" s="941">
        <f>J49+M49+TableB1!K51/TableC5!B49</f>
        <v>-3.7830005585821211E-2</v>
      </c>
      <c r="Q49" s="1786">
        <f t="shared" si="4"/>
        <v>6.8113969110415035E-4</v>
      </c>
      <c r="R49" s="552"/>
      <c r="S49" s="552"/>
      <c r="T49" s="939"/>
      <c r="U49" s="940"/>
    </row>
    <row r="50" spans="1:27" x14ac:dyDescent="0.35">
      <c r="A50" s="1738" t="s">
        <v>102</v>
      </c>
      <c r="B50" s="334">
        <f>TableC5!C50+D50</f>
        <v>1666.0116851860782</v>
      </c>
      <c r="C50" s="334">
        <f>TableB1!D52+TableC5!P50</f>
        <v>-54.416637101426851</v>
      </c>
      <c r="D50" s="334">
        <f t="shared" si="2"/>
        <v>-35.523404047373148</v>
      </c>
      <c r="E50" s="471">
        <f t="shared" si="0"/>
        <v>-17.513990611873147</v>
      </c>
      <c r="F50" s="325">
        <f>TableB1!H52-TableA6!H50/(1+TableA5!O50)-TableC5!N50</f>
        <v>-11.445607456944593</v>
      </c>
      <c r="G50" s="115">
        <f>TableB1!I52+TableC5!O50</f>
        <v>-6.0683831549285543</v>
      </c>
      <c r="H50" s="1677">
        <f>TableB1!F52+TableB1!J52</f>
        <v>-18.009413435499997</v>
      </c>
      <c r="I50" s="1638">
        <f>TableB1!D52/TableA1!B50</f>
        <v>-2.9656095028010171E-2</v>
      </c>
      <c r="J50" s="941">
        <f>C50/TableC5!B50</f>
        <v>-2.540949078450784E-2</v>
      </c>
      <c r="K50" s="942">
        <f t="shared" si="1"/>
        <v>4.2466042435023305E-3</v>
      </c>
      <c r="L50" s="1681">
        <f>TableB1b!B52/TableA1!B50</f>
        <v>-1.2514740546781975E-2</v>
      </c>
      <c r="M50" s="941">
        <f>D50/TableC5!B50</f>
        <v>-1.658741987480165E-2</v>
      </c>
      <c r="N50" s="1691">
        <f t="shared" si="7"/>
        <v>-4.0726793280196748E-3</v>
      </c>
      <c r="O50" s="1698">
        <f>TableB1!C52/TableA1!B50</f>
        <v>-1.2091091799662794E-2</v>
      </c>
      <c r="P50" s="941">
        <f>J50+M50+TableB1!K52/TableC5!B50</f>
        <v>-1.2041224584781091E-2</v>
      </c>
      <c r="Q50" s="1786">
        <f t="shared" si="4"/>
        <v>4.9867214881703023E-5</v>
      </c>
      <c r="R50" s="552"/>
      <c r="S50" s="552"/>
      <c r="T50" s="939"/>
      <c r="U50" s="940"/>
    </row>
    <row r="51" spans="1:27" x14ac:dyDescent="0.35">
      <c r="A51" s="1738" t="s">
        <v>103</v>
      </c>
      <c r="B51" s="334">
        <f>TableC5!C51+D51</f>
        <v>1166.1366423721297</v>
      </c>
      <c r="C51" s="334">
        <f>TableB1!D53+TableC5!P51</f>
        <v>122.51618610614209</v>
      </c>
      <c r="D51" s="334">
        <f t="shared" si="2"/>
        <v>-48.938116106142083</v>
      </c>
      <c r="E51" s="471">
        <f t="shared" si="0"/>
        <v>-34.755606106142082</v>
      </c>
      <c r="F51" s="325">
        <f>TableB1!H53-TableA6!H51/(1+TableA5!O51)-TableC5!N51</f>
        <v>-30.274864349333907</v>
      </c>
      <c r="G51" s="115">
        <f>TableB1!I53+TableC5!O51</f>
        <v>-4.4807417568081718</v>
      </c>
      <c r="H51" s="1677">
        <f>TableB1!F53+TableB1!J53</f>
        <v>-14.182510000000001</v>
      </c>
      <c r="I51" s="1638">
        <f>TableB1!D53/TableA1!B51</f>
        <v>8.1616945890620921E-2</v>
      </c>
      <c r="J51" s="941">
        <f>C51/TableC5!B51</f>
        <v>8.8979488953268029E-2</v>
      </c>
      <c r="K51" s="942">
        <f t="shared" si="1"/>
        <v>7.3625430626471089E-3</v>
      </c>
      <c r="L51" s="1681">
        <f>TableB1b!B53/TableA1!B51</f>
        <v>-2.7747744566353802E-2</v>
      </c>
      <c r="M51" s="941">
        <f>D51/TableC5!B51</f>
        <v>-3.5542149162949781E-2</v>
      </c>
      <c r="N51" s="1691">
        <f t="shared" si="7"/>
        <v>-7.7944045965959788E-3</v>
      </c>
      <c r="O51" s="1698">
        <f>TableB1!C53/TableA1!B51</f>
        <v>4.9681408999641651E-2</v>
      </c>
      <c r="P51" s="941">
        <f>J51+M51+TableB1!K53/TableC5!B51</f>
        <v>4.9283120386261731E-2</v>
      </c>
      <c r="Q51" s="1786">
        <f t="shared" si="4"/>
        <v>-3.9828861337991989E-4</v>
      </c>
      <c r="R51" s="552"/>
      <c r="S51" s="552"/>
      <c r="T51" s="939"/>
      <c r="U51" s="940"/>
    </row>
    <row r="52" spans="1:27" ht="16" thickBot="1" x14ac:dyDescent="0.4">
      <c r="A52" s="1787" t="s">
        <v>97</v>
      </c>
      <c r="B52" s="1788">
        <f>TableC5!C52+D52</f>
        <v>284.65241492723408</v>
      </c>
      <c r="C52" s="1788">
        <f>TableB1!D54+TableC5!P52</f>
        <v>0.33949464207583935</v>
      </c>
      <c r="D52" s="1788">
        <f t="shared" si="2"/>
        <v>-11.60279416097584</v>
      </c>
      <c r="E52" s="1789">
        <f t="shared" si="0"/>
        <v>-7.5366100070758391</v>
      </c>
      <c r="F52" s="1790">
        <f>TableB1!H54-TableA6!H52/(1+TableA5!O52)-TableC5!N52</f>
        <v>-7.8138654437819</v>
      </c>
      <c r="G52" s="1791">
        <f>TableB1!I54+TableC5!O52</f>
        <v>0.27725543670606051</v>
      </c>
      <c r="H52" s="1792">
        <f>TableB1!F54+TableB1!J54</f>
        <v>-4.0661841539000001</v>
      </c>
      <c r="I52" s="1793">
        <f>TableB1!D54/TableA1!B52</f>
        <v>-9.9019757731355715E-3</v>
      </c>
      <c r="J52" s="1794">
        <f>C52/TableC5!B52</f>
        <v>9.6004981209782208E-4</v>
      </c>
      <c r="K52" s="1795">
        <f t="shared" si="1"/>
        <v>1.0862025585233394E-2</v>
      </c>
      <c r="L52" s="1796">
        <f>TableB1b!B54/TableA1!B52</f>
        <v>-2.2295575393895605E-2</v>
      </c>
      <c r="M52" s="1794">
        <f>D52/TableC5!B52</f>
        <v>-3.2811299424178174E-2</v>
      </c>
      <c r="N52" s="1797">
        <f t="shared" si="7"/>
        <v>-1.0515724030282569E-2</v>
      </c>
      <c r="O52" s="1798">
        <f>TableB1!C54/TableA1!B52</f>
        <v>-3.9760815656306035E-2</v>
      </c>
      <c r="P52" s="1794">
        <f>J52+M52+TableB1!K54/TableC5!B52</f>
        <v>-3.9333167223775826E-2</v>
      </c>
      <c r="Q52" s="1799">
        <f t="shared" si="4"/>
        <v>4.2764843253020879E-4</v>
      </c>
      <c r="R52" s="552"/>
      <c r="S52" s="552"/>
      <c r="T52" s="939"/>
      <c r="U52" s="940"/>
    </row>
    <row r="53" spans="1:27" ht="40" hidden="1" customHeight="1" x14ac:dyDescent="0.35">
      <c r="A53" s="454" t="s">
        <v>100</v>
      </c>
      <c r="B53" s="425">
        <f>TableC5!C53+D53</f>
        <v>753.5532366179699</v>
      </c>
      <c r="C53" s="425">
        <f>TableB1!D55+TableC5!P53</f>
        <v>-311.97789921607279</v>
      </c>
      <c r="D53" s="334">
        <f t="shared" si="2"/>
        <v>22.210549024477004</v>
      </c>
      <c r="E53" s="486">
        <f t="shared" si="0"/>
        <v>-43.818864601077706</v>
      </c>
      <c r="F53" s="487">
        <f>SUM(F54:F89)</f>
        <v>-21.07662959034192</v>
      </c>
      <c r="G53" s="433">
        <f>SUM(G54:G89)</f>
        <v>-22.742235010735786</v>
      </c>
      <c r="H53" s="435">
        <f>SUM(H54:H89)</f>
        <v>66.02941362555471</v>
      </c>
      <c r="I53" s="472">
        <f>(E53+H53)/D53</f>
        <v>1</v>
      </c>
      <c r="J53" s="436">
        <f>C53/TableC5!B53</f>
        <v>-0.35414785353704353</v>
      </c>
      <c r="K53" s="1529">
        <f t="shared" si="1"/>
        <v>-1.3541478535370435</v>
      </c>
      <c r="L53" s="1685"/>
      <c r="M53" s="433"/>
      <c r="N53" s="1683"/>
      <c r="O53" s="1007">
        <f>TableB1!C55/TableA1!B53</f>
        <v>0</v>
      </c>
      <c r="P53" s="1007"/>
      <c r="Q53" s="1701">
        <f t="shared" si="4"/>
        <v>0</v>
      </c>
      <c r="T53" s="939"/>
      <c r="U53" s="940"/>
    </row>
    <row r="54" spans="1:27" hidden="1" x14ac:dyDescent="0.35">
      <c r="A54" s="458" t="s">
        <v>272</v>
      </c>
      <c r="B54" s="334">
        <f>TableC5!C54+D54</f>
        <v>1.451883374087104</v>
      </c>
      <c r="C54" s="334" t="e">
        <f>TableB1!D56+TableC5!P54</f>
        <v>#N/A</v>
      </c>
      <c r="D54" s="334">
        <f t="shared" si="2"/>
        <v>-0.11295654841623215</v>
      </c>
      <c r="E54" s="471">
        <f t="shared" si="0"/>
        <v>-0.11295654841623215</v>
      </c>
      <c r="F54" s="325">
        <f>TableB1!H56-TableA6!H54/(1+TableA5!O54)-TableC5!N54</f>
        <v>-4.6806697183874535E-2</v>
      </c>
      <c r="G54" s="115">
        <f>TableB1!I56+TableC5!O54</f>
        <v>-6.6149851232357615E-2</v>
      </c>
      <c r="H54" s="466">
        <f>TableB1!F56+TableB1!J56</f>
        <v>0</v>
      </c>
      <c r="I54" s="1638" t="e">
        <f>TableB1!D56/TableA1!B54</f>
        <v>#N/A</v>
      </c>
      <c r="J54" s="941" t="e">
        <f>C54/TableC5!B54</f>
        <v>#N/A</v>
      </c>
      <c r="K54" s="942" t="e">
        <f t="shared" si="1"/>
        <v>#N/A</v>
      </c>
      <c r="L54" s="1681"/>
      <c r="M54" s="1005"/>
      <c r="N54" s="1684"/>
      <c r="O54" s="1005" t="e">
        <f>TableB1!C56/TableA1!B54</f>
        <v>#N/A</v>
      </c>
      <c r="P54" s="1699"/>
      <c r="Q54" s="1701" t="e">
        <f t="shared" si="4"/>
        <v>#N/A</v>
      </c>
      <c r="T54" s="939"/>
      <c r="U54" s="940"/>
    </row>
    <row r="55" spans="1:27" hidden="1" x14ac:dyDescent="0.35">
      <c r="A55" s="458" t="s">
        <v>273</v>
      </c>
      <c r="B55" s="334">
        <f>TableC5!C55+D55</f>
        <v>0.14108874052884576</v>
      </c>
      <c r="C55" s="334">
        <f>TableB1!D57+TableC5!P55</f>
        <v>-0.20210420852263919</v>
      </c>
      <c r="D55" s="334">
        <f t="shared" si="2"/>
        <v>-2.3982609092080019E-2</v>
      </c>
      <c r="E55" s="471">
        <f t="shared" si="0"/>
        <v>-2.3982609092080019E-2</v>
      </c>
      <c r="F55" s="325">
        <f>TableB1!H57-TableA6!H55/(1+TableA5!O55)-TableC5!N55</f>
        <v>-9.2498302047612779E-3</v>
      </c>
      <c r="G55" s="115">
        <f>TableB1!I57+TableC5!O55</f>
        <v>-1.473277888731874E-2</v>
      </c>
      <c r="H55" s="466">
        <f>TableB1!F57+TableB1!J57</f>
        <v>0</v>
      </c>
      <c r="I55" s="383">
        <f>TableB1!D57/TableA1!B55</f>
        <v>0</v>
      </c>
      <c r="J55" s="117">
        <f>C55/TableC5!B55</f>
        <v>-1.0250114943663862</v>
      </c>
      <c r="K55" s="942">
        <f t="shared" si="1"/>
        <v>-1.0250114943663862</v>
      </c>
      <c r="L55" s="1681"/>
      <c r="M55" s="1005"/>
      <c r="N55" s="1684"/>
      <c r="O55" s="1005">
        <f>TableB1!C57/TableA1!B55</f>
        <v>-0.36283342165695104</v>
      </c>
      <c r="P55" s="1699"/>
      <c r="Q55" s="1701">
        <f t="shared" si="4"/>
        <v>0.36283342165695104</v>
      </c>
      <c r="T55" s="939"/>
      <c r="U55" s="940"/>
    </row>
    <row r="56" spans="1:27" hidden="1" x14ac:dyDescent="0.35">
      <c r="A56" s="458" t="s">
        <v>319</v>
      </c>
      <c r="B56" s="334">
        <f>TableC5!C56+D56</f>
        <v>0.51558547881696593</v>
      </c>
      <c r="C56" s="334">
        <f>TableB1!D58+TableC5!P56</f>
        <v>-0.73787856493654069</v>
      </c>
      <c r="D56" s="334">
        <f t="shared" si="2"/>
        <v>-3.312544798597581E-2</v>
      </c>
      <c r="E56" s="471">
        <f t="shared" si="0"/>
        <v>-3.312544798597581E-2</v>
      </c>
      <c r="F56" s="325">
        <f>TableB1!H58-TableA6!H56/(1+TableA5!O56)-TableC5!N56</f>
        <v>2.0663643405876009E-2</v>
      </c>
      <c r="G56" s="115">
        <f>TableB1!I58+TableC5!O56</f>
        <v>-5.3789091391851819E-2</v>
      </c>
      <c r="H56" s="466">
        <f>TableB1!F58+TableB1!J58</f>
        <v>0</v>
      </c>
      <c r="I56" s="383">
        <f>TableB1!D58/TableA1!B56</f>
        <v>0</v>
      </c>
      <c r="J56" s="117">
        <f>C56/TableC5!B56</f>
        <v>-1.034340190294246</v>
      </c>
      <c r="K56" s="942">
        <f t="shared" si="1"/>
        <v>-1.034340190294246</v>
      </c>
      <c r="L56" s="1681"/>
      <c r="M56" s="1005"/>
      <c r="N56" s="1684"/>
      <c r="O56" s="1005">
        <f>TableB1!C58/TableA1!B56</f>
        <v>-5.6342775083158721E-2</v>
      </c>
      <c r="P56" s="1699"/>
      <c r="Q56" s="1701">
        <f t="shared" si="4"/>
        <v>5.6342775083158721E-2</v>
      </c>
      <c r="T56" s="939"/>
      <c r="U56" s="940"/>
    </row>
    <row r="57" spans="1:27" hidden="1" x14ac:dyDescent="0.35">
      <c r="A57" s="458" t="s">
        <v>274</v>
      </c>
      <c r="B57" s="334">
        <f>TableC5!C57+D57</f>
        <v>1.2517643697286291</v>
      </c>
      <c r="C57" s="334">
        <f>TableB1!D59+TableC5!P57</f>
        <v>-0.51980837837867022</v>
      </c>
      <c r="D57" s="334">
        <f t="shared" si="2"/>
        <v>-0.13970586565878662</v>
      </c>
      <c r="E57" s="471">
        <f t="shared" si="0"/>
        <v>-0.10026452490794663</v>
      </c>
      <c r="F57" s="325">
        <f>TableB1!H59-TableA6!H57/(1+TableA5!O57)-TableC5!N57</f>
        <v>-4.1443737686649107E-2</v>
      </c>
      <c r="G57" s="115">
        <f>TableB1!I59+TableC5!O57</f>
        <v>-5.8820787221297528E-2</v>
      </c>
      <c r="H57" s="466">
        <f>TableB1!F59+TableB1!J59</f>
        <v>-3.9441340750839993E-2</v>
      </c>
      <c r="I57" s="383">
        <f>TableB1!D59/TableA1!B57</f>
        <v>0.11483798884</v>
      </c>
      <c r="J57" s="117">
        <f>C57/TableC5!B57</f>
        <v>-0.3070163646745328</v>
      </c>
      <c r="K57" s="942">
        <f t="shared" si="1"/>
        <v>-0.42185435351453282</v>
      </c>
      <c r="L57" s="1681"/>
      <c r="M57" s="1005"/>
      <c r="N57" s="1684"/>
      <c r="O57" s="1005">
        <f>TableB1!C59/TableA1!B57</f>
        <v>5.578324025966401E-2</v>
      </c>
      <c r="P57" s="1699"/>
      <c r="Q57" s="1701">
        <f t="shared" si="4"/>
        <v>-5.578324025966401E-2</v>
      </c>
      <c r="T57" s="939"/>
      <c r="U57" s="940"/>
    </row>
    <row r="58" spans="1:27" hidden="1" x14ac:dyDescent="0.35">
      <c r="A58" s="458" t="s">
        <v>320</v>
      </c>
      <c r="B58" s="334">
        <f>TableC5!C58+D58</f>
        <v>3.1322714592729772</v>
      </c>
      <c r="C58" s="334" t="e">
        <f>TableB1!D60+TableC5!P58</f>
        <v>#N/A</v>
      </c>
      <c r="D58" s="334">
        <f t="shared" si="2"/>
        <v>-0.99524820043262641</v>
      </c>
      <c r="E58" s="471">
        <f t="shared" si="0"/>
        <v>-0.59261860273262634</v>
      </c>
      <c r="F58" s="325">
        <f>TableB1!H60-TableA6!H58/(1+TableA5!O58)-TableC5!N58</f>
        <v>-9.4508763751958824E-2</v>
      </c>
      <c r="G58" s="115">
        <f>TableB1!I60+TableC5!O58</f>
        <v>-0.49810983898066757</v>
      </c>
      <c r="H58" s="466">
        <f>TableB1!F60+TableB1!J60</f>
        <v>-0.40262959770000001</v>
      </c>
      <c r="I58" s="383" t="e">
        <f>TableB1!D60/TableA1!B58</f>
        <v>#N/A</v>
      </c>
      <c r="J58" s="117" t="e">
        <f>C58/TableC5!B58</f>
        <v>#N/A</v>
      </c>
      <c r="K58" s="942" t="e">
        <f t="shared" si="1"/>
        <v>#N/A</v>
      </c>
      <c r="L58" s="1681"/>
      <c r="M58" s="1005"/>
      <c r="N58" s="1684"/>
      <c r="O58" s="1005" t="e">
        <f>TableB1!C60/TableA1!B58</f>
        <v>#N/A</v>
      </c>
      <c r="P58" s="1699"/>
      <c r="Q58" s="1701" t="e">
        <f t="shared" si="4"/>
        <v>#N/A</v>
      </c>
      <c r="T58" s="939"/>
      <c r="U58" s="940"/>
    </row>
    <row r="59" spans="1:27" hidden="1" x14ac:dyDescent="0.35">
      <c r="A59" s="458" t="s">
        <v>276</v>
      </c>
      <c r="B59" s="334">
        <f>TableC5!C59+D59</f>
        <v>20.644078995447988</v>
      </c>
      <c r="C59" s="334" t="e">
        <f>TableB1!D61+TableC5!P59</f>
        <v>#N/A</v>
      </c>
      <c r="D59" s="334">
        <f t="shared" si="2"/>
        <v>-2.4842250290517187</v>
      </c>
      <c r="E59" s="471">
        <f t="shared" si="0"/>
        <v>-2.4842250290517187</v>
      </c>
      <c r="F59" s="325">
        <f>TableB1!H61-TableA6!H59/(1+TableA5!O59)-TableC5!N59</f>
        <v>-1.943377919092339</v>
      </c>
      <c r="G59" s="115">
        <f>TableB1!I61+TableC5!O59</f>
        <v>-0.54084710995937968</v>
      </c>
      <c r="H59" s="466">
        <f>TableB1!F61+TableB1!J61</f>
        <v>0</v>
      </c>
      <c r="I59" s="383" t="e">
        <f>TableB1!D61/TableA1!B59</f>
        <v>#N/A</v>
      </c>
      <c r="J59" s="117" t="e">
        <f>C59/TableC5!B59</f>
        <v>#N/A</v>
      </c>
      <c r="K59" s="942" t="e">
        <f t="shared" si="1"/>
        <v>#N/A</v>
      </c>
      <c r="L59" s="1681"/>
      <c r="M59" s="1005"/>
      <c r="N59" s="1684"/>
      <c r="O59" s="1005" t="e">
        <f>TableB1!C61/TableA1!B59</f>
        <v>#N/A</v>
      </c>
      <c r="P59" s="1699"/>
      <c r="Q59" s="1701" t="e">
        <f t="shared" si="4"/>
        <v>#N/A</v>
      </c>
      <c r="T59" s="939"/>
      <c r="U59" s="940"/>
    </row>
    <row r="60" spans="1:27" hidden="1" x14ac:dyDescent="0.35">
      <c r="A60" s="458" t="s">
        <v>212</v>
      </c>
      <c r="B60" s="334">
        <f>TableC5!C60+D60</f>
        <v>1.7298739347313359</v>
      </c>
      <c r="C60" s="334">
        <f>TableB1!D62+TableC5!P60</f>
        <v>-4.3128436752005275</v>
      </c>
      <c r="D60" s="334">
        <f t="shared" si="2"/>
        <v>-0.15236576811519958</v>
      </c>
      <c r="E60" s="471">
        <f t="shared" si="0"/>
        <v>-0.15236576811519958</v>
      </c>
      <c r="F60" s="325">
        <f>TableB1!H62-TableA6!H60/(1+TableA5!O60)-TableC5!N60</f>
        <v>0.1620273497064062</v>
      </c>
      <c r="G60" s="115">
        <f>TableB1!I62+TableC5!O60</f>
        <v>-0.31439311782160578</v>
      </c>
      <c r="H60" s="466">
        <f>TableB1!F62+TableB1!J62</f>
        <v>0</v>
      </c>
      <c r="I60" s="383">
        <f>TableB1!D62/TableA1!B60</f>
        <v>0</v>
      </c>
      <c r="J60" s="117">
        <f>C60/TableC5!B60</f>
        <v>-1.7709563031133</v>
      </c>
      <c r="K60" s="942">
        <f t="shared" si="1"/>
        <v>-1.7709563031133</v>
      </c>
      <c r="L60" s="1681"/>
      <c r="M60" s="1005"/>
      <c r="N60" s="1684"/>
      <c r="O60" s="1005">
        <f>TableB1!C62/TableA1!B60</f>
        <v>-0.41355319205048979</v>
      </c>
      <c r="P60" s="1699"/>
      <c r="Q60" s="1701">
        <f t="shared" si="4"/>
        <v>0.41355319205048979</v>
      </c>
      <c r="T60" s="939"/>
      <c r="U60" s="940"/>
    </row>
    <row r="61" spans="1:27" hidden="1" x14ac:dyDescent="0.35">
      <c r="A61" s="458" t="s">
        <v>277</v>
      </c>
      <c r="B61" s="334">
        <f>TableC5!C61+D61</f>
        <v>0.58738056382502979</v>
      </c>
      <c r="C61" s="334">
        <f>TableB1!D63+TableC5!P61</f>
        <v>-0.98598720482324809</v>
      </c>
      <c r="D61" s="334">
        <f t="shared" si="2"/>
        <v>-0.13193648002735775</v>
      </c>
      <c r="E61" s="471">
        <f t="shared" si="0"/>
        <v>-8.6721452352237743E-2</v>
      </c>
      <c r="F61" s="325">
        <f>TableB1!H63-TableA6!H61/(1+TableA5!O61)-TableC5!N61</f>
        <v>-2.5706055061810007E-2</v>
      </c>
      <c r="G61" s="115">
        <f>TableB1!I63+TableC5!O61</f>
        <v>-6.1015397290427743E-2</v>
      </c>
      <c r="H61" s="466">
        <f>TableB1!F63+TableB1!J63</f>
        <v>-4.5215027675120006E-2</v>
      </c>
      <c r="I61" s="383">
        <f>TableB1!D63/TableA1!B61</f>
        <v>-8.5494362399931134E-2</v>
      </c>
      <c r="J61" s="117">
        <f>C61/TableC5!B61</f>
        <v>-1.0607081993422378</v>
      </c>
      <c r="K61" s="942">
        <f t="shared" si="1"/>
        <v>-0.97521383694230668</v>
      </c>
      <c r="L61" s="1681"/>
      <c r="M61" s="1005"/>
      <c r="N61" s="1684"/>
      <c r="O61" s="1005">
        <f>TableB1!C63/TableA1!B61</f>
        <v>-0.10873383591582451</v>
      </c>
      <c r="P61" s="1699"/>
      <c r="Q61" s="1701">
        <f t="shared" si="4"/>
        <v>0.10873383591582451</v>
      </c>
      <c r="T61" s="939"/>
      <c r="U61" s="940"/>
    </row>
    <row r="62" spans="1:27" s="118" customFormat="1" hidden="1" x14ac:dyDescent="0.35">
      <c r="A62" s="458" t="s">
        <v>213</v>
      </c>
      <c r="B62" s="334">
        <f>TableC5!C62+D62</f>
        <v>4.8184992582580399</v>
      </c>
      <c r="C62" s="334">
        <f>TableB1!D64+TableC5!P62</f>
        <v>-22.94061428414005</v>
      </c>
      <c r="D62" s="334">
        <f t="shared" si="2"/>
        <v>-0.6093516060120292</v>
      </c>
      <c r="E62" s="471">
        <f t="shared" si="0"/>
        <v>-2.2222430741120291</v>
      </c>
      <c r="F62" s="325">
        <f>TableB1!H64-TableA6!H62/(1+TableA5!O62)-TableC5!N62</f>
        <v>-0.59493728602341278</v>
      </c>
      <c r="G62" s="115">
        <f>TableB1!I64+TableC5!O62</f>
        <v>-1.6273057880886164</v>
      </c>
      <c r="H62" s="466">
        <f>TableB1!F64+TableB1!J64</f>
        <v>1.6128914680999999</v>
      </c>
      <c r="I62" s="383">
        <f>TableB1!D64/TableA1!B62</f>
        <v>-0.10412882926623535</v>
      </c>
      <c r="J62" s="117">
        <f>C62/TableC5!B62</f>
        <v>-4.0508860868673358</v>
      </c>
      <c r="K62" s="942">
        <f t="shared" si="1"/>
        <v>-3.9467572576011003</v>
      </c>
      <c r="L62" s="1681"/>
      <c r="M62" s="1005"/>
      <c r="N62" s="1684"/>
      <c r="O62" s="1005">
        <f>TableB1!C64/TableA1!B62</f>
        <v>-2.461272739084909</v>
      </c>
      <c r="P62" s="1699"/>
      <c r="Q62" s="1678">
        <f t="shared" si="4"/>
        <v>2.461272739084909</v>
      </c>
      <c r="T62" s="939"/>
      <c r="U62" s="940"/>
    </row>
    <row r="63" spans="1:27" hidden="1" x14ac:dyDescent="0.35">
      <c r="A63" s="458" t="s">
        <v>278</v>
      </c>
      <c r="B63" s="334">
        <f>TableC5!C63+D63</f>
        <v>0.20946544555195309</v>
      </c>
      <c r="C63" s="334" t="e">
        <f>TableB1!D65+TableC5!P63</f>
        <v>#N/A</v>
      </c>
      <c r="D63" s="334">
        <f t="shared" si="2"/>
        <v>-1.6089848517591009E-2</v>
      </c>
      <c r="E63" s="471">
        <f t="shared" si="0"/>
        <v>-1.6089848517591009E-2</v>
      </c>
      <c r="F63" s="325">
        <f>TableB1!H65-TableA6!H63/(1+TableA5!O63)-TableC5!N63</f>
        <v>-6.6742778242408485E-3</v>
      </c>
      <c r="G63" s="115">
        <f>TableB1!I65+TableC5!O63</f>
        <v>-9.4155706933501618E-3</v>
      </c>
      <c r="H63" s="466">
        <f>TableB1!F65+TableB1!J65</f>
        <v>0</v>
      </c>
      <c r="I63" s="383" t="e">
        <f>TableB1!D65/TableA1!B63</f>
        <v>#N/A</v>
      </c>
      <c r="J63" s="117" t="e">
        <f>C63/TableC5!B63</f>
        <v>#N/A</v>
      </c>
      <c r="K63" s="942" t="e">
        <f t="shared" si="1"/>
        <v>#N/A</v>
      </c>
      <c r="L63" s="1681"/>
      <c r="M63" s="1005"/>
      <c r="N63" s="1684"/>
      <c r="O63" s="1005" t="e">
        <f>TableB1!C65/TableA1!B63</f>
        <v>#N/A</v>
      </c>
      <c r="P63" s="1699"/>
      <c r="Q63" s="1701" t="e">
        <f t="shared" si="4"/>
        <v>#N/A</v>
      </c>
      <c r="R63" s="106"/>
      <c r="S63" s="106"/>
      <c r="T63" s="939"/>
      <c r="U63" s="940"/>
      <c r="V63" s="106"/>
      <c r="W63" s="106"/>
      <c r="X63" s="106"/>
      <c r="Y63" s="106"/>
      <c r="Z63" s="106"/>
      <c r="AA63" s="106"/>
    </row>
    <row r="64" spans="1:27" hidden="1" x14ac:dyDescent="0.35">
      <c r="A64" s="458" t="s">
        <v>321</v>
      </c>
      <c r="B64" s="334">
        <f>TableC5!C64+D64</f>
        <v>-1.5039196762956544</v>
      </c>
      <c r="C64" s="334" t="e">
        <f>TableB1!D66+TableC5!P64</f>
        <v>#N/A</v>
      </c>
      <c r="D64" s="334">
        <f t="shared" si="2"/>
        <v>-2.0048483586202877</v>
      </c>
      <c r="E64" s="471">
        <f t="shared" si="0"/>
        <v>-2.0048483586202877</v>
      </c>
      <c r="F64" s="325">
        <f>TableB1!H66-TableA6!H64/(1+TableA5!O64)-TableC5!N64</f>
        <v>-3.1288217762540427E-2</v>
      </c>
      <c r="G64" s="115">
        <f>TableB1!I66+TableC5!O64</f>
        <v>-1.9735601408577472</v>
      </c>
      <c r="H64" s="466">
        <f>TableB1!F66+TableB1!J66</f>
        <v>0</v>
      </c>
      <c r="I64" s="383" t="e">
        <f>TableB1!D66/TableA1!B64</f>
        <v>#N/A</v>
      </c>
      <c r="J64" s="117" t="e">
        <f>C64/TableC5!B64</f>
        <v>#N/A</v>
      </c>
      <c r="K64" s="942" t="e">
        <f t="shared" si="1"/>
        <v>#N/A</v>
      </c>
      <c r="L64" s="1681"/>
      <c r="M64" s="1005"/>
      <c r="N64" s="1684"/>
      <c r="O64" s="1005" t="e">
        <f>TableB1!C66/TableA1!B64</f>
        <v>#N/A</v>
      </c>
      <c r="P64" s="1699"/>
      <c r="Q64" s="1701" t="e">
        <f t="shared" si="4"/>
        <v>#N/A</v>
      </c>
      <c r="R64" s="106"/>
      <c r="S64" s="106"/>
      <c r="T64" s="939"/>
      <c r="U64" s="940"/>
      <c r="V64" s="106"/>
      <c r="W64" s="106"/>
      <c r="X64" s="106"/>
      <c r="Y64" s="106"/>
      <c r="Z64" s="106"/>
      <c r="AA64" s="106"/>
    </row>
    <row r="65" spans="1:27" hidden="1" x14ac:dyDescent="0.35">
      <c r="A65" s="458" t="s">
        <v>291</v>
      </c>
      <c r="B65" s="334">
        <f>TableC5!C65+D65</f>
        <v>1.1186634269120799</v>
      </c>
      <c r="C65" s="334" t="e">
        <f>TableB1!D67+TableC5!P65</f>
        <v>#N/A</v>
      </c>
      <c r="D65" s="334">
        <f t="shared" si="2"/>
        <v>-1.7830697766885339</v>
      </c>
      <c r="E65" s="471">
        <f t="shared" si="0"/>
        <v>-1.7830697766885339</v>
      </c>
      <c r="F65" s="325">
        <f>TableB1!H67-TableA6!H65/(1+TableA5!O65)-TableC5!N65</f>
        <v>-0.27192596738511199</v>
      </c>
      <c r="G65" s="115">
        <f>TableB1!I67+TableC5!O65</f>
        <v>-1.511143809303422</v>
      </c>
      <c r="H65" s="466">
        <f>TableB1!F67+TableB1!J67</f>
        <v>0</v>
      </c>
      <c r="I65" s="383" t="e">
        <f>TableB1!D67/TableA1!B65</f>
        <v>#N/A</v>
      </c>
      <c r="J65" s="117" t="e">
        <f>C65/TableC5!B65</f>
        <v>#N/A</v>
      </c>
      <c r="K65" s="942" t="e">
        <f t="shared" si="1"/>
        <v>#N/A</v>
      </c>
      <c r="L65" s="1681"/>
      <c r="M65" s="1005"/>
      <c r="N65" s="1684"/>
      <c r="O65" s="1005" t="e">
        <f>TableB1!C67/TableA1!B65</f>
        <v>#N/A</v>
      </c>
      <c r="P65" s="1699"/>
      <c r="Q65" s="1701" t="e">
        <f t="shared" si="4"/>
        <v>#N/A</v>
      </c>
      <c r="R65" s="106"/>
      <c r="S65" s="106"/>
      <c r="T65" s="939"/>
      <c r="U65" s="940"/>
      <c r="V65" s="106"/>
      <c r="W65" s="106"/>
      <c r="X65" s="106"/>
      <c r="Y65" s="106"/>
      <c r="Z65" s="106"/>
      <c r="AA65" s="106"/>
    </row>
    <row r="66" spans="1:27" hidden="1" x14ac:dyDescent="0.35">
      <c r="A66" s="458" t="s">
        <v>280</v>
      </c>
      <c r="B66" s="334">
        <f>TableC5!C66+D66</f>
        <v>2.2233226413488856</v>
      </c>
      <c r="C66" s="334">
        <f>TableB1!D68+TableC5!P66</f>
        <v>-10.759637024589763</v>
      </c>
      <c r="D66" s="334">
        <f t="shared" si="2"/>
        <v>-0.44659917276435551</v>
      </c>
      <c r="E66" s="471">
        <f t="shared" si="0"/>
        <v>-0.47816341856491551</v>
      </c>
      <c r="F66" s="325">
        <f>TableB1!H68-TableA6!H66/(1+TableA5!O66)-TableC5!N66</f>
        <v>0.27162685145362175</v>
      </c>
      <c r="G66" s="115">
        <f>TableB1!I68+TableC5!O66</f>
        <v>-0.74979027001853726</v>
      </c>
      <c r="H66" s="466">
        <f>TableB1!F68+TableB1!J68</f>
        <v>3.1564245800559998E-2</v>
      </c>
      <c r="I66" s="383">
        <f>TableB1!D68/TableA1!B66</f>
        <v>-0.16458915270833335</v>
      </c>
      <c r="J66" s="117">
        <f>C66/TableC5!B66</f>
        <v>-3.513277014975019</v>
      </c>
      <c r="K66" s="942">
        <f t="shared" si="1"/>
        <v>-3.3486878622666856</v>
      </c>
      <c r="L66" s="1681"/>
      <c r="M66" s="1005"/>
      <c r="N66" s="1684"/>
      <c r="O66" s="1005">
        <f>TableB1!C68/TableA1!B66</f>
        <v>0.59531685931947698</v>
      </c>
      <c r="P66" s="1699"/>
      <c r="Q66" s="1701">
        <f t="shared" si="4"/>
        <v>-0.59531685931947698</v>
      </c>
      <c r="R66" s="106"/>
      <c r="S66" s="106"/>
      <c r="T66" s="939"/>
      <c r="U66" s="940"/>
      <c r="V66" s="106"/>
      <c r="W66" s="106"/>
      <c r="X66" s="106"/>
      <c r="Y66" s="106"/>
      <c r="Z66" s="106"/>
      <c r="AA66" s="106"/>
    </row>
    <row r="67" spans="1:27" hidden="1" x14ac:dyDescent="0.35">
      <c r="A67" s="458" t="s">
        <v>116</v>
      </c>
      <c r="B67" s="334">
        <f>TableC5!C67+D67</f>
        <v>16.815699882855579</v>
      </c>
      <c r="C67" s="334">
        <f>TableB1!D69+TableC5!P67</f>
        <v>-3.8742004141523947</v>
      </c>
      <c r="D67" s="334">
        <f t="shared" si="2"/>
        <v>-0.1342712988988497</v>
      </c>
      <c r="E67" s="471">
        <f t="shared" si="0"/>
        <v>0.4449134038011503</v>
      </c>
      <c r="F67" s="325">
        <f>TableB1!H69-TableA6!H67/(1+TableA5!O67)-TableC5!N67</f>
        <v>0.73166810095830659</v>
      </c>
      <c r="G67" s="115">
        <f>TableB1!I69+TableC5!O67</f>
        <v>-0.28675469715715629</v>
      </c>
      <c r="H67" s="466">
        <f>TableB1!F69+TableB1!J69</f>
        <v>-0.5791847027</v>
      </c>
      <c r="I67" s="383">
        <f>TableB1!D69/TableA1!B67</f>
        <v>3.0418036461049252E-3</v>
      </c>
      <c r="J67" s="117">
        <f>C67/TableC5!B67</f>
        <v>-0.2025265993870535</v>
      </c>
      <c r="K67" s="942">
        <f t="shared" si="1"/>
        <v>-0.20556840303315843</v>
      </c>
      <c r="L67" s="1681"/>
      <c r="M67" s="1005"/>
      <c r="N67" s="1684"/>
      <c r="O67" s="1005">
        <f>TableB1!C69/TableA1!B67</f>
        <v>-0.1724649823162494</v>
      </c>
      <c r="P67" s="1699"/>
      <c r="Q67" s="1701">
        <f t="shared" si="4"/>
        <v>0.1724649823162494</v>
      </c>
      <c r="R67" s="106"/>
      <c r="S67" s="106"/>
      <c r="T67" s="939"/>
      <c r="U67" s="940"/>
      <c r="V67" s="106"/>
      <c r="W67" s="106"/>
      <c r="X67" s="106"/>
      <c r="Y67" s="106"/>
      <c r="Z67" s="106"/>
      <c r="AA67" s="106"/>
    </row>
    <row r="68" spans="1:27" hidden="1" x14ac:dyDescent="0.35">
      <c r="A68" s="458" t="s">
        <v>281</v>
      </c>
      <c r="B68" s="334">
        <f>TableC5!C68+D68</f>
        <v>2.7492515209745672</v>
      </c>
      <c r="C68" s="334" t="e">
        <f>TableB1!D70+TableC5!P68</f>
        <v>#N/A</v>
      </c>
      <c r="D68" s="334">
        <f t="shared" si="2"/>
        <v>-0.325624305173353</v>
      </c>
      <c r="E68" s="471">
        <f t="shared" si="0"/>
        <v>-0.325624305173353</v>
      </c>
      <c r="F68" s="325">
        <f>TableB1!H70-TableA6!H68/(1+TableA5!O68)-TableC5!N68</f>
        <v>8.2009282883710455E-3</v>
      </c>
      <c r="G68" s="115">
        <f>TableB1!I70+TableC5!O68</f>
        <v>-0.33382523346172405</v>
      </c>
      <c r="H68" s="466">
        <f>TableB1!F70+TableB1!J70</f>
        <v>0</v>
      </c>
      <c r="I68" s="383" t="e">
        <f>TableB1!D70/TableA1!B68</f>
        <v>#N/A</v>
      </c>
      <c r="J68" s="117" t="e">
        <f>C68/TableC5!B68</f>
        <v>#N/A</v>
      </c>
      <c r="K68" s="942" t="e">
        <f t="shared" si="1"/>
        <v>#N/A</v>
      </c>
      <c r="L68" s="1681"/>
      <c r="M68" s="1005"/>
      <c r="N68" s="1684"/>
      <c r="O68" s="1005" t="e">
        <f>TableB1!C70/TableA1!B68</f>
        <v>#N/A</v>
      </c>
      <c r="P68" s="1699"/>
      <c r="Q68" s="1701" t="e">
        <f t="shared" si="4"/>
        <v>#N/A</v>
      </c>
      <c r="R68" s="106"/>
      <c r="S68" s="106"/>
      <c r="T68" s="939"/>
      <c r="U68" s="940"/>
      <c r="V68" s="106"/>
      <c r="W68" s="106"/>
      <c r="X68" s="106"/>
      <c r="Y68" s="106"/>
      <c r="Z68" s="106"/>
      <c r="AA68" s="106"/>
    </row>
    <row r="69" spans="1:27" hidden="1" x14ac:dyDescent="0.35">
      <c r="A69" s="458" t="s">
        <v>294</v>
      </c>
      <c r="B69" s="334">
        <f>TableC5!C69+D69</f>
        <v>0.52118176838009345</v>
      </c>
      <c r="C69" s="334">
        <f>TableB1!D71+TableC5!P69</f>
        <v>-0.3412416163704784</v>
      </c>
      <c r="D69" s="334">
        <f t="shared" si="2"/>
        <v>-2.0916620666896455E-2</v>
      </c>
      <c r="E69" s="471">
        <f t="shared" si="0"/>
        <v>-2.0916620666896455E-2</v>
      </c>
      <c r="F69" s="325">
        <f>TableB1!H71-TableA6!H69/(1+TableA5!O69)-TableC5!N69</f>
        <v>3.9588498534234851E-3</v>
      </c>
      <c r="G69" s="115">
        <f>TableB1!I71+TableC5!O69</f>
        <v>-2.487547052031994E-2</v>
      </c>
      <c r="H69" s="466">
        <f>TableB1!F71+TableB1!J71</f>
        <v>0</v>
      </c>
      <c r="I69" s="383">
        <f>TableB1!D71/TableA1!B69</f>
        <v>0</v>
      </c>
      <c r="J69" s="117">
        <f>C69/TableC5!B69</f>
        <v>-0.50716301647642126</v>
      </c>
      <c r="K69" s="942">
        <f t="shared" si="1"/>
        <v>-0.50716301647642126</v>
      </c>
      <c r="L69" s="1681"/>
      <c r="M69" s="1005"/>
      <c r="N69" s="1684"/>
      <c r="O69" s="1005">
        <f>TableB1!C71/TableA1!B69</f>
        <v>-1.5245614879720122E-2</v>
      </c>
      <c r="P69" s="1699"/>
      <c r="Q69" s="1701">
        <f t="shared" si="4"/>
        <v>1.5245614879720122E-2</v>
      </c>
      <c r="R69" s="106"/>
      <c r="S69" s="106"/>
      <c r="T69" s="939"/>
      <c r="U69" s="940"/>
      <c r="V69" s="106"/>
      <c r="W69" s="106"/>
      <c r="X69" s="106"/>
      <c r="Y69" s="106"/>
      <c r="Z69" s="106"/>
      <c r="AA69" s="106"/>
    </row>
    <row r="70" spans="1:27" hidden="1" x14ac:dyDescent="0.35">
      <c r="A70" s="458" t="s">
        <v>282</v>
      </c>
      <c r="B70" s="334">
        <f>TableC5!C70+D70</f>
        <v>1.9158429848815184</v>
      </c>
      <c r="C70" s="334" t="e">
        <f>TableB1!D72+TableC5!P70</f>
        <v>#N/A</v>
      </c>
      <c r="D70" s="334">
        <f t="shared" si="2"/>
        <v>-0.27331795846364032</v>
      </c>
      <c r="E70" s="471">
        <f t="shared" si="0"/>
        <v>-0.27331795846364032</v>
      </c>
      <c r="F70" s="325">
        <f>TableB1!H72-TableA6!H70/(1+TableA5!O70)-TableC5!N70</f>
        <v>-0.1630010323166744</v>
      </c>
      <c r="G70" s="115">
        <f>TableB1!I72+TableC5!O70</f>
        <v>-0.11031692614696591</v>
      </c>
      <c r="H70" s="466">
        <f>TableB1!F72+TableB1!J72</f>
        <v>0</v>
      </c>
      <c r="I70" s="383" t="e">
        <f>TableB1!D72/TableA1!B70</f>
        <v>#N/A</v>
      </c>
      <c r="J70" s="117" t="e">
        <f>C70/TableC5!B70</f>
        <v>#N/A</v>
      </c>
      <c r="K70" s="942" t="e">
        <f t="shared" si="1"/>
        <v>#N/A</v>
      </c>
      <c r="L70" s="1681"/>
      <c r="M70" s="1005"/>
      <c r="N70" s="1684"/>
      <c r="O70" s="1005" t="e">
        <f>TableB1!C72/TableA1!B70</f>
        <v>#N/A</v>
      </c>
      <c r="P70" s="1699"/>
      <c r="Q70" s="1701" t="e">
        <f t="shared" si="4"/>
        <v>#N/A</v>
      </c>
      <c r="R70" s="106"/>
      <c r="S70" s="106"/>
      <c r="T70" s="939"/>
      <c r="U70" s="940"/>
      <c r="V70" s="106"/>
      <c r="W70" s="106"/>
      <c r="X70" s="106"/>
      <c r="Y70" s="106"/>
      <c r="Z70" s="106"/>
      <c r="AA70" s="106"/>
    </row>
    <row r="71" spans="1:27" hidden="1" x14ac:dyDescent="0.35">
      <c r="A71" s="458" t="s">
        <v>295</v>
      </c>
      <c r="B71" s="334">
        <f>TableC5!C71+D71</f>
        <v>1.2892953772770199</v>
      </c>
      <c r="C71" s="334" t="e">
        <f>TableB1!D73+TableC5!P71</f>
        <v>#N/A</v>
      </c>
      <c r="D71" s="334">
        <f t="shared" si="2"/>
        <v>-0.10774357890799104</v>
      </c>
      <c r="E71" s="471">
        <f t="shared" si="0"/>
        <v>-0.10774357890799104</v>
      </c>
      <c r="F71" s="325">
        <f>TableB1!H73-TableA6!H71/(1+TableA5!O71)-TableC5!N71</f>
        <v>-4.8687741359959791E-2</v>
      </c>
      <c r="G71" s="115">
        <f>TableB1!I73+TableC5!O71</f>
        <v>-5.9055837548031245E-2</v>
      </c>
      <c r="H71" s="466">
        <f>TableB1!F73+TableB1!J73</f>
        <v>0</v>
      </c>
      <c r="I71" s="383" t="e">
        <f>TableB1!D73/TableA1!B71</f>
        <v>#N/A</v>
      </c>
      <c r="J71" s="117" t="e">
        <f>C71/TableC5!B71</f>
        <v>#N/A</v>
      </c>
      <c r="K71" s="942" t="e">
        <f t="shared" si="1"/>
        <v>#N/A</v>
      </c>
      <c r="L71" s="1681"/>
      <c r="M71" s="1005"/>
      <c r="N71" s="1684"/>
      <c r="O71" s="1005" t="e">
        <f>TableB1!C73/TableA1!B71</f>
        <v>#N/A</v>
      </c>
      <c r="P71" s="1699"/>
      <c r="Q71" s="1701" t="e">
        <f t="shared" si="4"/>
        <v>#N/A</v>
      </c>
      <c r="T71" s="939"/>
      <c r="U71" s="940"/>
    </row>
    <row r="72" spans="1:27" hidden="1" x14ac:dyDescent="0.35">
      <c r="A72" s="458" t="s">
        <v>220</v>
      </c>
      <c r="B72" s="334">
        <f>TableC5!C72+D72</f>
        <v>270.29711755546992</v>
      </c>
      <c r="C72" s="334" t="e">
        <f>TableB1!D74+TableC5!P72</f>
        <v>#N/A</v>
      </c>
      <c r="D72" s="334">
        <f t="shared" si="2"/>
        <v>16.747886128886112</v>
      </c>
      <c r="E72" s="471">
        <f t="shared" si="0"/>
        <v>-3.8059028711138887</v>
      </c>
      <c r="F72" s="325">
        <f>TableB1!H74-TableA6!H72/(1+TableA5!O72)-TableC5!N72</f>
        <v>-1.1536961639114622</v>
      </c>
      <c r="G72" s="115">
        <f>TableB1!I74+TableC5!O72</f>
        <v>-2.6522067072024265</v>
      </c>
      <c r="H72" s="466">
        <f>TableB1!F74+TableB1!J74</f>
        <v>20.553789000000002</v>
      </c>
      <c r="I72" s="383" t="e">
        <f>TableB1!D74/TableA1!B72</f>
        <v>#N/A</v>
      </c>
      <c r="J72" s="117" t="e">
        <f>C72/TableC5!B72</f>
        <v>#N/A</v>
      </c>
      <c r="K72" s="942" t="e">
        <f t="shared" si="1"/>
        <v>#N/A</v>
      </c>
      <c r="L72" s="1681"/>
      <c r="M72" s="1005"/>
      <c r="N72" s="1684"/>
      <c r="O72" s="1005" t="e">
        <f>TableB1!C74/TableA1!B72</f>
        <v>#N/A</v>
      </c>
      <c r="P72" s="1699"/>
      <c r="Q72" s="1701" t="e">
        <f t="shared" si="4"/>
        <v>#N/A</v>
      </c>
      <c r="T72" s="939"/>
      <c r="U72" s="940"/>
    </row>
    <row r="73" spans="1:27" hidden="1" x14ac:dyDescent="0.35">
      <c r="A73" s="458" t="s">
        <v>284</v>
      </c>
      <c r="B73" s="334">
        <f>TableC5!C73+D73</f>
        <v>3.3368940965888889</v>
      </c>
      <c r="C73" s="334" t="e">
        <f>TableB1!D75+TableC5!P73</f>
        <v>#N/A</v>
      </c>
      <c r="D73" s="334">
        <f t="shared" si="2"/>
        <v>-0.44367720749957062</v>
      </c>
      <c r="E73" s="471">
        <f t="shared" si="0"/>
        <v>-0.44367720749957062</v>
      </c>
      <c r="F73" s="325">
        <f>TableB1!H75-TableA6!H73/(1+TableA5!O73)-TableC5!N73</f>
        <v>-0.23613607982594242</v>
      </c>
      <c r="G73" s="115">
        <f>TableB1!I75+TableC5!O73</f>
        <v>-0.20754112767362817</v>
      </c>
      <c r="H73" s="466">
        <f>TableB1!F75+TableB1!J75</f>
        <v>0</v>
      </c>
      <c r="I73" s="383" t="e">
        <f>TableB1!D75/TableA1!B73</f>
        <v>#N/A</v>
      </c>
      <c r="J73" s="117" t="e">
        <f>C73/TableC5!B73</f>
        <v>#N/A</v>
      </c>
      <c r="K73" s="942" t="e">
        <f t="shared" si="1"/>
        <v>#N/A</v>
      </c>
      <c r="L73" s="1681"/>
      <c r="M73" s="1005"/>
      <c r="N73" s="1684"/>
      <c r="O73" s="1005" t="e">
        <f>TableB1!C75/TableA1!B73</f>
        <v>#N/A</v>
      </c>
      <c r="P73" s="1699"/>
      <c r="Q73" s="1701" t="e">
        <f t="shared" si="4"/>
        <v>#N/A</v>
      </c>
      <c r="T73" s="939"/>
      <c r="U73" s="940"/>
    </row>
    <row r="74" spans="1:27" hidden="1" x14ac:dyDescent="0.35">
      <c r="A74" s="652" t="s">
        <v>285</v>
      </c>
      <c r="B74" s="334">
        <f>TableC5!C74+D74</f>
        <v>32.635409338470282</v>
      </c>
      <c r="C74" s="334">
        <f>TableB1!D76+TableC5!P74</f>
        <v>-18.288497872714458</v>
      </c>
      <c r="D74" s="334">
        <f t="shared" si="2"/>
        <v>-3.5317426177989</v>
      </c>
      <c r="E74" s="471">
        <f t="shared" ref="E74:E91" si="8">F74+G74</f>
        <v>-2.9438761984988999</v>
      </c>
      <c r="F74" s="325">
        <f>TableB1!H76-TableA6!H74/(1+TableA5!O74)-TableC5!N74</f>
        <v>-2.4053116440250317</v>
      </c>
      <c r="G74" s="115">
        <f>TableB1!I76+TableC5!O74</f>
        <v>-0.53856455447386808</v>
      </c>
      <c r="H74" s="466">
        <f>TableB1!F76+TableB1!J76</f>
        <v>-0.58786641929999994</v>
      </c>
      <c r="I74" s="655">
        <f>TableB1!D76/TableA1!B74</f>
        <v>-0.22039275170898093</v>
      </c>
      <c r="J74" s="359">
        <f>C74/TableC5!B74</f>
        <v>-0.4340510754483381</v>
      </c>
      <c r="K74" s="942">
        <f t="shared" ref="K74:K91" si="9">J74-I74</f>
        <v>-0.21365832373935717</v>
      </c>
      <c r="L74" s="1681"/>
      <c r="M74" s="1005"/>
      <c r="N74" s="1684"/>
      <c r="O74" s="1005">
        <f>TableB1!C76/TableA1!B74</f>
        <v>-0.16278760096079001</v>
      </c>
      <c r="P74" s="1699"/>
      <c r="Q74" s="1701">
        <f t="shared" si="4"/>
        <v>0.16278760096079001</v>
      </c>
      <c r="T74" s="939"/>
      <c r="U74" s="940"/>
    </row>
    <row r="75" spans="1:27" s="118" customFormat="1" hidden="1" x14ac:dyDescent="0.35">
      <c r="A75" s="458" t="s">
        <v>286</v>
      </c>
      <c r="B75" s="334">
        <f>TableC5!C75+D75</f>
        <v>4.9758780699675507</v>
      </c>
      <c r="C75" s="334" t="e">
        <f>TableB1!D77+TableC5!P75</f>
        <v>#N/A</v>
      </c>
      <c r="D75" s="334">
        <f t="shared" ref="D75:D91" si="10">E75+H75</f>
        <v>-0.53776485205195546</v>
      </c>
      <c r="E75" s="471">
        <f t="shared" si="8"/>
        <v>-0.53776485205195546</v>
      </c>
      <c r="F75" s="325">
        <f>TableB1!H77-TableA6!H75/(1+TableA5!O75)-TableC5!N75</f>
        <v>-0.53885036980717338</v>
      </c>
      <c r="G75" s="115">
        <f>TableB1!I77+TableC5!O75</f>
        <v>1.0855177552179078E-3</v>
      </c>
      <c r="H75" s="466">
        <f>TableB1!F77+TableB1!J77</f>
        <v>0</v>
      </c>
      <c r="I75" s="383" t="e">
        <f>TableB1!D77/TableA1!B75</f>
        <v>#N/A</v>
      </c>
      <c r="J75" s="117" t="e">
        <f>C75/TableC5!B75</f>
        <v>#N/A</v>
      </c>
      <c r="K75" s="942" t="e">
        <f t="shared" si="9"/>
        <v>#N/A</v>
      </c>
      <c r="L75" s="1681"/>
      <c r="M75" s="1005"/>
      <c r="N75" s="1684"/>
      <c r="O75" s="1005" t="e">
        <f>TableB1!C77/TableA1!B75</f>
        <v>#N/A</v>
      </c>
      <c r="P75" s="1699"/>
      <c r="Q75" s="1678" t="e">
        <f t="shared" ref="Q75:Q91" si="11">P75-O75</f>
        <v>#N/A</v>
      </c>
      <c r="T75" s="939"/>
      <c r="U75" s="940"/>
    </row>
    <row r="76" spans="1:27" hidden="1" x14ac:dyDescent="0.35">
      <c r="A76" s="458" t="s">
        <v>287</v>
      </c>
      <c r="B76" s="334">
        <f>TableC5!C76+D76</f>
        <v>34.096677770510141</v>
      </c>
      <c r="C76" s="334" t="e">
        <f>TableB1!D78+TableC5!P76</f>
        <v>#N/A</v>
      </c>
      <c r="D76" s="334">
        <f t="shared" si="10"/>
        <v>0.74638444090869727</v>
      </c>
      <c r="E76" s="471">
        <f t="shared" si="8"/>
        <v>-1.8816343729913025</v>
      </c>
      <c r="F76" s="325">
        <f>TableB1!H78-TableA6!H76/(1+TableA5!O76)-TableC5!N76</f>
        <v>-1.2696385352906212</v>
      </c>
      <c r="G76" s="115">
        <f>TableB1!I78+TableC5!O76</f>
        <v>-0.61199583770068133</v>
      </c>
      <c r="H76" s="466">
        <f>TableB1!F78+TableB1!J78</f>
        <v>2.6280188138999998</v>
      </c>
      <c r="I76" s="383" t="e">
        <f>TableB1!D78/TableA1!B76</f>
        <v>#N/A</v>
      </c>
      <c r="J76" s="117" t="e">
        <f>C76/TableC5!B76</f>
        <v>#N/A</v>
      </c>
      <c r="K76" s="942" t="e">
        <f t="shared" si="9"/>
        <v>#N/A</v>
      </c>
      <c r="L76" s="1681"/>
      <c r="M76" s="1005"/>
      <c r="N76" s="1684"/>
      <c r="O76" s="1005" t="e">
        <f>TableB1!C78/TableA1!B76</f>
        <v>#N/A</v>
      </c>
      <c r="P76" s="1699"/>
      <c r="Q76" s="1701" t="e">
        <f t="shared" si="11"/>
        <v>#N/A</v>
      </c>
      <c r="T76" s="939"/>
      <c r="U76" s="940"/>
    </row>
    <row r="77" spans="1:27" hidden="1" x14ac:dyDescent="0.35">
      <c r="A77" s="458" t="s">
        <v>301</v>
      </c>
      <c r="B77" s="334">
        <f>TableC5!C77+D77</f>
        <v>9.3451419439983709</v>
      </c>
      <c r="C77" s="334">
        <f>TableB1!D79+TableC5!P77</f>
        <v>-10.668194702962433</v>
      </c>
      <c r="D77" s="334">
        <f t="shared" si="10"/>
        <v>1.6921435566360286</v>
      </c>
      <c r="E77" s="471">
        <f t="shared" si="8"/>
        <v>-7.812768169063971</v>
      </c>
      <c r="F77" s="325">
        <f>TableB1!H79-TableA6!H77/(1+TableA5!O77)-TableC5!N77</f>
        <v>-6.9751930957633146</v>
      </c>
      <c r="G77" s="115">
        <f>TableB1!I79+TableC5!O77</f>
        <v>-0.8375750733006565</v>
      </c>
      <c r="H77" s="466">
        <f>TableB1!F79+TableB1!J79</f>
        <v>9.5049117256999995</v>
      </c>
      <c r="I77" s="383">
        <f>TableB1!D79/TableA1!B77</f>
        <v>8.4302967009628083E-2</v>
      </c>
      <c r="J77" s="117">
        <f>C77/TableC5!B77</f>
        <v>-1.2120857443233592</v>
      </c>
      <c r="K77" s="942">
        <f t="shared" si="9"/>
        <v>-1.2963887113329873</v>
      </c>
      <c r="L77" s="1681"/>
      <c r="M77" s="1005"/>
      <c r="N77" s="1684"/>
      <c r="O77" s="1005">
        <f>TableB1!C79/TableA1!B77</f>
        <v>0.13418341650219937</v>
      </c>
      <c r="P77" s="1699"/>
      <c r="Q77" s="1701">
        <f t="shared" si="11"/>
        <v>-0.13418341650219937</v>
      </c>
      <c r="T77" s="939"/>
      <c r="U77" s="940"/>
    </row>
    <row r="78" spans="1:27" hidden="1" x14ac:dyDescent="0.35">
      <c r="A78" s="458" t="s">
        <v>302</v>
      </c>
      <c r="B78" s="334">
        <f>TableC5!C78+D78</f>
        <v>0.14600492337687981</v>
      </c>
      <c r="C78" s="334" t="e">
        <f>TableB1!D80+TableC5!P78</f>
        <v>#N/A</v>
      </c>
      <c r="D78" s="334">
        <f t="shared" si="10"/>
        <v>-1.5638089888506047E-2</v>
      </c>
      <c r="E78" s="471">
        <f t="shared" si="8"/>
        <v>-1.5638089888506047E-2</v>
      </c>
      <c r="F78" s="325">
        <f>TableB1!H80-TableA6!H78/(1+TableA5!O78)-TableC5!N78</f>
        <v>-1.6028106997686163E-2</v>
      </c>
      <c r="G78" s="115">
        <f>TableB1!I80+TableC5!O78</f>
        <v>3.9001710918011513E-4</v>
      </c>
      <c r="H78" s="466">
        <f>TableB1!F80+TableB1!J80</f>
        <v>0</v>
      </c>
      <c r="I78" s="383" t="e">
        <f>TableB1!D80/TableA1!B78</f>
        <v>#N/A</v>
      </c>
      <c r="J78" s="117" t="e">
        <f>C78/TableC5!B78</f>
        <v>#N/A</v>
      </c>
      <c r="K78" s="942" t="e">
        <f t="shared" si="9"/>
        <v>#N/A</v>
      </c>
      <c r="L78" s="1681"/>
      <c r="M78" s="1005"/>
      <c r="N78" s="1684"/>
      <c r="O78" s="1005" t="e">
        <f>TableB1!C80/TableA1!B78</f>
        <v>#N/A</v>
      </c>
      <c r="P78" s="1699"/>
      <c r="Q78" s="1701" t="e">
        <f t="shared" si="11"/>
        <v>#N/A</v>
      </c>
      <c r="T78" s="939"/>
      <c r="U78" s="940"/>
    </row>
    <row r="79" spans="1:27" hidden="1" x14ac:dyDescent="0.35">
      <c r="A79" s="458" t="s">
        <v>296</v>
      </c>
      <c r="B79" s="334">
        <f>TableC5!C79+D79</f>
        <v>2.9643675394636539</v>
      </c>
      <c r="C79" s="334" t="e">
        <f>TableB1!D81+TableC5!P79</f>
        <v>#N/A</v>
      </c>
      <c r="D79" s="334">
        <f t="shared" si="10"/>
        <v>-0.23044716821312788</v>
      </c>
      <c r="E79" s="471">
        <f t="shared" si="8"/>
        <v>-0.23044716821312788</v>
      </c>
      <c r="F79" s="325">
        <f>TableB1!H81-TableA6!H79/(1+TableA5!O79)-TableC5!N79</f>
        <v>-9.5394480745994992E-2</v>
      </c>
      <c r="G79" s="115">
        <f>TableB1!I81+TableC5!O79</f>
        <v>-0.13505268746713289</v>
      </c>
      <c r="H79" s="466">
        <f>TableB1!F81+TableB1!J81</f>
        <v>0</v>
      </c>
      <c r="I79" s="383" t="e">
        <f>TableB1!D81/TableA1!B79</f>
        <v>#N/A</v>
      </c>
      <c r="J79" s="117" t="e">
        <f>C79/TableC5!B79</f>
        <v>#N/A</v>
      </c>
      <c r="K79" s="942" t="e">
        <f t="shared" si="9"/>
        <v>#N/A</v>
      </c>
      <c r="L79" s="1681"/>
      <c r="M79" s="1005"/>
      <c r="N79" s="1684"/>
      <c r="O79" s="1005" t="e">
        <f>TableB1!C81/TableA1!B79</f>
        <v>#N/A</v>
      </c>
      <c r="P79" s="1699"/>
      <c r="Q79" s="1701" t="e">
        <f t="shared" si="11"/>
        <v>#N/A</v>
      </c>
      <c r="T79" s="939"/>
      <c r="U79" s="940"/>
    </row>
    <row r="80" spans="1:27" hidden="1" x14ac:dyDescent="0.35">
      <c r="A80" s="458" t="s">
        <v>288</v>
      </c>
      <c r="B80" s="334">
        <f>TableC5!C80+D80</f>
        <v>0.3974886636831621</v>
      </c>
      <c r="C80" s="334">
        <f>TableB1!D82+TableC5!P80</f>
        <v>-0.17776312962201463</v>
      </c>
      <c r="D80" s="334">
        <f t="shared" si="10"/>
        <v>-4.4831979967603172E-2</v>
      </c>
      <c r="E80" s="471">
        <f t="shared" si="8"/>
        <v>-3.197726316760318E-2</v>
      </c>
      <c r="F80" s="325">
        <f>TableB1!H82-TableA6!H80/(1+TableA5!O80)-TableC5!N80</f>
        <v>-1.3009560069785375E-2</v>
      </c>
      <c r="G80" s="115">
        <f>TableB1!I82+TableC5!O80</f>
        <v>-1.8967703097817805E-2</v>
      </c>
      <c r="H80" s="466">
        <f>TableB1!F82+TableB1!J82</f>
        <v>-1.2854716799999995E-2</v>
      </c>
      <c r="I80" s="383">
        <f>TableB1!D82/TableA1!B80</f>
        <v>0.10373191669812509</v>
      </c>
      <c r="J80" s="117">
        <f>C80/TableC5!B80</f>
        <v>-0.33029110600828904</v>
      </c>
      <c r="K80" s="942">
        <f t="shared" si="9"/>
        <v>-0.43402302270641413</v>
      </c>
      <c r="L80" s="1681"/>
      <c r="M80" s="1005"/>
      <c r="N80" s="1684"/>
      <c r="O80" s="1005">
        <f>TableB1!C82/TableA1!B80</f>
        <v>1.417636038756764E-2</v>
      </c>
      <c r="P80" s="1699"/>
      <c r="Q80" s="1701">
        <f t="shared" si="11"/>
        <v>-1.417636038756764E-2</v>
      </c>
      <c r="T80" s="939"/>
      <c r="U80" s="940"/>
    </row>
    <row r="81" spans="1:21" hidden="1" x14ac:dyDescent="0.35">
      <c r="A81" s="458" t="s">
        <v>289</v>
      </c>
      <c r="B81" s="334">
        <f>TableC5!C81+D81</f>
        <v>5.0724588540761033</v>
      </c>
      <c r="C81" s="334">
        <f>TableB1!D83+TableC5!P81</f>
        <v>-8.0364041802208224</v>
      </c>
      <c r="D81" s="334">
        <f t="shared" si="10"/>
        <v>0.98437325501648809</v>
      </c>
      <c r="E81" s="471">
        <f t="shared" si="8"/>
        <v>-0.23294006129325223</v>
      </c>
      <c r="F81" s="325">
        <f>TableB1!H83-TableA6!H81/(1+TableA5!O81)-TableC5!N81</f>
        <v>0.26100336376277244</v>
      </c>
      <c r="G81" s="115">
        <f>TableB1!I83+TableC5!O81</f>
        <v>-0.49394342505602468</v>
      </c>
      <c r="H81" s="466">
        <f>TableB1!F83+TableB1!J83</f>
        <v>1.2173133163097403</v>
      </c>
      <c r="I81" s="383">
        <f>TableB1!D83/TableA1!B81</f>
        <v>-0.10780513904022307</v>
      </c>
      <c r="J81" s="117">
        <f>C81/TableC5!B81</f>
        <v>-1.4614912165975147</v>
      </c>
      <c r="K81" s="942">
        <f t="shared" si="9"/>
        <v>-1.3536860775572916</v>
      </c>
      <c r="L81" s="1681"/>
      <c r="M81" s="1005"/>
      <c r="N81" s="1684"/>
      <c r="O81" s="1005">
        <f>TableB1!C83/TableA1!B81</f>
        <v>-5.0248146719658181E-2</v>
      </c>
      <c r="P81" s="1699"/>
      <c r="Q81" s="1701">
        <f t="shared" si="11"/>
        <v>5.0248146719658181E-2</v>
      </c>
      <c r="T81" s="939"/>
      <c r="U81" s="940"/>
    </row>
    <row r="82" spans="1:21" hidden="1" x14ac:dyDescent="0.35">
      <c r="A82" s="458" t="s">
        <v>297</v>
      </c>
      <c r="B82" s="334">
        <f>TableC5!C82+D82</f>
        <v>0.46446018780397402</v>
      </c>
      <c r="C82" s="334">
        <f>TableB1!D84+TableC5!P82</f>
        <v>-0.86075226018287154</v>
      </c>
      <c r="D82" s="334">
        <f t="shared" si="10"/>
        <v>-7.2975484911117466E-2</v>
      </c>
      <c r="E82" s="471">
        <f t="shared" si="8"/>
        <v>-3.4283798711117468E-2</v>
      </c>
      <c r="F82" s="325">
        <f>TableB1!H84-TableA6!H82/(1+TableA5!O82)-TableC5!N82</f>
        <v>1.9437910103634271E-2</v>
      </c>
      <c r="G82" s="115">
        <f>TableB1!I84+TableC5!O82</f>
        <v>-5.3721708814751738E-2</v>
      </c>
      <c r="H82" s="466">
        <f>TableB1!F84+TableB1!J84</f>
        <v>-3.8691686200000006E-2</v>
      </c>
      <c r="I82" s="383">
        <f>TableB1!D84/TableA1!B82</f>
        <v>-8.6107203906184787E-2</v>
      </c>
      <c r="J82" s="117">
        <f>C82/TableC5!B82</f>
        <v>-1.2107981707234909</v>
      </c>
      <c r="K82" s="942">
        <f t="shared" si="9"/>
        <v>-1.1246909668173062</v>
      </c>
      <c r="L82" s="1681"/>
      <c r="M82" s="1005"/>
      <c r="N82" s="1684"/>
      <c r="O82" s="1005">
        <f>TableB1!C84/TableA1!B82</f>
        <v>-0.17917942894304872</v>
      </c>
      <c r="P82" s="1699"/>
      <c r="Q82" s="1701">
        <f t="shared" si="11"/>
        <v>0.17917942894304872</v>
      </c>
      <c r="T82" s="939"/>
      <c r="U82" s="940"/>
    </row>
    <row r="83" spans="1:21" hidden="1" x14ac:dyDescent="0.35">
      <c r="A83" s="458" t="s">
        <v>225</v>
      </c>
      <c r="B83" s="334">
        <f>TableC5!C83+D83</f>
        <v>246.67847390645639</v>
      </c>
      <c r="C83" s="334">
        <f>TableB1!D85+TableC5!P83</f>
        <v>11.309740758994408</v>
      </c>
      <c r="D83" s="334">
        <f t="shared" si="10"/>
        <v>21.4832030397579</v>
      </c>
      <c r="E83" s="471">
        <f t="shared" si="8"/>
        <v>-11.456805507112474</v>
      </c>
      <c r="F83" s="325">
        <f>TableB1!H85-TableA6!H83/(1+TableA5!O83)-TableC5!N83</f>
        <v>-6.6724401966670115</v>
      </c>
      <c r="G83" s="115">
        <f>TableB1!I85+TableC5!O83</f>
        <v>-4.7843653104454615</v>
      </c>
      <c r="H83" s="466">
        <f>TableB1!F85+TableB1!J85</f>
        <v>32.940008546870374</v>
      </c>
      <c r="I83" s="383">
        <f>TableB1!D85/TableA1!B83</f>
        <v>0.25210732215100407</v>
      </c>
      <c r="J83" s="117">
        <f>C83/TableC5!B83</f>
        <v>3.8822938406804938E-2</v>
      </c>
      <c r="K83" s="942">
        <f t="shared" si="9"/>
        <v>-0.21328438374419911</v>
      </c>
      <c r="L83" s="1681"/>
      <c r="M83" s="1005"/>
      <c r="N83" s="1684"/>
      <c r="O83" s="1005">
        <f>TableB1!C85/TableA1!B83</f>
        <v>0.17780933689558032</v>
      </c>
      <c r="P83" s="1699"/>
      <c r="Q83" s="1701">
        <f t="shared" si="11"/>
        <v>-0.17780933689558032</v>
      </c>
      <c r="T83" s="939"/>
      <c r="U83" s="940"/>
    </row>
    <row r="84" spans="1:21" hidden="1" x14ac:dyDescent="0.35">
      <c r="A84" s="458" t="s">
        <v>298</v>
      </c>
      <c r="B84" s="334">
        <f>TableC5!C84+D84</f>
        <v>0.34880484783717763</v>
      </c>
      <c r="C84" s="334">
        <f>TableB1!D86+TableC5!P84</f>
        <v>-0.40760319917931404</v>
      </c>
      <c r="D84" s="334">
        <f t="shared" si="10"/>
        <v>-2.2370154114768802E-2</v>
      </c>
      <c r="E84" s="471">
        <f t="shared" si="8"/>
        <v>-2.2370154114768802E-2</v>
      </c>
      <c r="F84" s="325">
        <f>TableB1!H86-TableA6!H84/(1+TableA5!O84)-TableC5!N84</f>
        <v>7.3428728982233293E-3</v>
      </c>
      <c r="G84" s="115">
        <f>TableB1!I86+TableC5!O84</f>
        <v>-2.9713027012992131E-2</v>
      </c>
      <c r="H84" s="466">
        <f>TableB1!F86+TableB1!J86</f>
        <v>0</v>
      </c>
      <c r="I84" s="383">
        <f>TableB1!D86/TableA1!B84</f>
        <v>0</v>
      </c>
      <c r="J84" s="117">
        <f>C84/TableC5!B84</f>
        <v>-0.85426346854543245</v>
      </c>
      <c r="K84" s="942">
        <f t="shared" si="9"/>
        <v>-0.85426346854543245</v>
      </c>
      <c r="L84" s="1681"/>
      <c r="M84" s="1005"/>
      <c r="N84" s="1684"/>
      <c r="O84" s="1005">
        <f>TableB1!C86/TableA1!B84</f>
        <v>-3.4157594030163435E-4</v>
      </c>
      <c r="P84" s="1699"/>
      <c r="Q84" s="1701">
        <f t="shared" si="11"/>
        <v>3.4157594030163435E-4</v>
      </c>
      <c r="T84" s="939"/>
      <c r="U84" s="940"/>
    </row>
    <row r="85" spans="1:21" hidden="1" x14ac:dyDescent="0.35">
      <c r="A85" s="458" t="s">
        <v>299</v>
      </c>
      <c r="B85" s="334">
        <f>TableC5!C85+D85</f>
        <v>0.62518639855736424</v>
      </c>
      <c r="C85" s="334">
        <f>TableB1!D87+TableC5!P85</f>
        <v>-0.86359251435578011</v>
      </c>
      <c r="D85" s="334">
        <f t="shared" si="10"/>
        <v>-3.972764882432761E-2</v>
      </c>
      <c r="E85" s="471">
        <f t="shared" si="8"/>
        <v>-3.972764882432761E-2</v>
      </c>
      <c r="F85" s="325">
        <f>TableB1!H87-TableA6!H85/(1+TableA5!O85)-TableC5!N85</f>
        <v>2.3225605122000448E-2</v>
      </c>
      <c r="G85" s="115">
        <f>TableB1!I87+TableC5!O85</f>
        <v>-6.2953253946328058E-2</v>
      </c>
      <c r="H85" s="466">
        <f>TableB1!F87+TableB1!J87</f>
        <v>0</v>
      </c>
      <c r="I85" s="383">
        <f>TableB1!D87/TableA1!B85</f>
        <v>0</v>
      </c>
      <c r="J85" s="117">
        <f>C85/TableC5!B85</f>
        <v>-0.99966411518495313</v>
      </c>
      <c r="K85" s="942">
        <f t="shared" si="9"/>
        <v>-0.99966411518495313</v>
      </c>
      <c r="L85" s="1681"/>
      <c r="M85" s="1005"/>
      <c r="N85" s="1684"/>
      <c r="O85" s="1005">
        <f>TableB1!C87/TableA1!B85</f>
        <v>-4.2082539990540527E-2</v>
      </c>
      <c r="P85" s="1699"/>
      <c r="Q85" s="1701">
        <f t="shared" si="11"/>
        <v>4.2082539990540527E-2</v>
      </c>
      <c r="T85" s="939"/>
      <c r="U85" s="940"/>
    </row>
    <row r="86" spans="1:21" hidden="1" x14ac:dyDescent="0.35">
      <c r="A86" s="458" t="s">
        <v>322</v>
      </c>
      <c r="B86" s="334">
        <f>TableC5!C86+D86</f>
        <v>0.31258049726862813</v>
      </c>
      <c r="C86" s="334">
        <f>TableB1!D88+TableC5!P86</f>
        <v>-0.34874426232425215</v>
      </c>
      <c r="D86" s="334">
        <f t="shared" si="10"/>
        <v>-2.107891479290212E-2</v>
      </c>
      <c r="E86" s="471">
        <f t="shared" si="8"/>
        <v>-2.107891479290212E-2</v>
      </c>
      <c r="F86" s="325">
        <f>TableB1!H88-TableA6!H86/(1+TableA5!O86)-TableC5!N86</f>
        <v>4.3434756788368611E-3</v>
      </c>
      <c r="G86" s="115">
        <f>TableB1!I88+TableC5!O86</f>
        <v>-2.5422390471738981E-2</v>
      </c>
      <c r="H86" s="466">
        <f>TableB1!F88+TableB1!J88</f>
        <v>0</v>
      </c>
      <c r="I86" s="383">
        <f>TableB1!D88/TableA1!B86</f>
        <v>0</v>
      </c>
      <c r="J86" s="117">
        <f>C86/TableC5!B86</f>
        <v>-0.82100883737874875</v>
      </c>
      <c r="K86" s="942">
        <f t="shared" si="9"/>
        <v>-0.82100883737874875</v>
      </c>
      <c r="L86" s="1681"/>
      <c r="M86" s="1005"/>
      <c r="N86" s="1684"/>
      <c r="O86" s="1005">
        <f>TableB1!C88/TableA1!B86</f>
        <v>-2.1583514961480709E-2</v>
      </c>
      <c r="P86" s="1699"/>
      <c r="Q86" s="1701">
        <f t="shared" si="11"/>
        <v>2.1583514961480709E-2</v>
      </c>
      <c r="T86" s="939"/>
      <c r="U86" s="940"/>
    </row>
    <row r="87" spans="1:21" hidden="1" x14ac:dyDescent="0.35">
      <c r="A87" s="458" t="s">
        <v>300</v>
      </c>
      <c r="B87" s="334">
        <f>TableC5!C87+D87</f>
        <v>0.31314437846850474</v>
      </c>
      <c r="C87" s="334" t="e">
        <f>TableB1!D89+TableC5!P87</f>
        <v>#N/A</v>
      </c>
      <c r="D87" s="334">
        <f t="shared" si="10"/>
        <v>-3.8618942348112806E-2</v>
      </c>
      <c r="E87" s="471">
        <f t="shared" si="8"/>
        <v>-3.8618942348112806E-2</v>
      </c>
      <c r="F87" s="325">
        <f>TableB1!H89-TableA6!H87/(1+TableA5!O87)-TableC5!N87</f>
        <v>-2.1971366280088389E-2</v>
      </c>
      <c r="G87" s="115">
        <f>TableB1!I89+TableC5!O87</f>
        <v>-1.664757606802442E-2</v>
      </c>
      <c r="H87" s="466">
        <f>TableB1!F89+TableB1!J89</f>
        <v>0</v>
      </c>
      <c r="I87" s="383" t="e">
        <f>TableB1!D89/TableA1!B87</f>
        <v>#N/A</v>
      </c>
      <c r="J87" s="117" t="e">
        <f>C87/TableC5!B87</f>
        <v>#N/A</v>
      </c>
      <c r="K87" s="942" t="e">
        <f t="shared" si="9"/>
        <v>#N/A</v>
      </c>
      <c r="L87" s="1681"/>
      <c r="M87" s="1005"/>
      <c r="N87" s="1684"/>
      <c r="O87" s="1005" t="e">
        <f>TableB1!C89/TableA1!B87</f>
        <v>#N/A</v>
      </c>
      <c r="P87" s="1699"/>
      <c r="Q87" s="1701" t="e">
        <f t="shared" si="11"/>
        <v>#N/A</v>
      </c>
      <c r="T87" s="939"/>
      <c r="U87" s="940"/>
    </row>
    <row r="88" spans="1:21" hidden="1" x14ac:dyDescent="0.35">
      <c r="A88" s="458" t="s">
        <v>210</v>
      </c>
      <c r="B88" s="334">
        <f>TableC5!C88+D88</f>
        <v>28.165009510892176</v>
      </c>
      <c r="C88" s="334">
        <f>TableB1!D90+TableC5!P88</f>
        <v>-14.8117957803919</v>
      </c>
      <c r="D88" s="334">
        <f t="shared" si="10"/>
        <v>-1.9932846230866932</v>
      </c>
      <c r="E88" s="471">
        <f t="shared" si="8"/>
        <v>-1.2400846230866933</v>
      </c>
      <c r="F88" s="325">
        <f>TableB1!H90-TableA6!H88/(1+TableA5!O88)-TableC5!N88</f>
        <v>-9.1061452384050057E-2</v>
      </c>
      <c r="G88" s="115">
        <f>TableB1!I90+TableC5!O88</f>
        <v>-1.1490231707026433</v>
      </c>
      <c r="H88" s="466">
        <f>TableB1!F90+TableB1!J90</f>
        <v>-0.75319999999999987</v>
      </c>
      <c r="I88" s="383">
        <f>TableB1!D90/TableA1!B88</f>
        <v>1.8232458571749183E-2</v>
      </c>
      <c r="J88" s="117">
        <f>C88/TableC5!B88</f>
        <v>-0.4063807545779034</v>
      </c>
      <c r="K88" s="942">
        <f t="shared" si="9"/>
        <v>-0.42461321314965261</v>
      </c>
      <c r="L88" s="1681"/>
      <c r="M88" s="1005"/>
      <c r="N88" s="1684"/>
      <c r="O88" s="1005">
        <f>TableB1!C90/TableA1!B88</f>
        <v>-6.2552043435281049E-2</v>
      </c>
      <c r="P88" s="1699"/>
      <c r="Q88" s="1701">
        <f t="shared" si="11"/>
        <v>6.2552043435281049E-2</v>
      </c>
      <c r="T88" s="939"/>
      <c r="U88" s="940"/>
    </row>
    <row r="89" spans="1:21" hidden="1" x14ac:dyDescent="0.35">
      <c r="A89" s="458" t="s">
        <v>290</v>
      </c>
      <c r="B89" s="334">
        <f>TableC5!C89+D89</f>
        <v>53.766908588497742</v>
      </c>
      <c r="C89" s="334">
        <f>TableB1!D91+TableC5!P89</f>
        <v>-14.027447305651027</v>
      </c>
      <c r="D89" s="334">
        <f t="shared" si="10"/>
        <v>-2.6559052397371263</v>
      </c>
      <c r="E89" s="471">
        <f t="shared" si="8"/>
        <v>-2.6559052397371263</v>
      </c>
      <c r="F89" s="325">
        <f>TableB1!H91-TableA6!H89/(1+TableA5!O89)-TableC5!N89</f>
        <v>0.17621003584810069</v>
      </c>
      <c r="G89" s="115">
        <f>TableB1!I91+TableC5!O89</f>
        <v>-2.832115275585227</v>
      </c>
      <c r="H89" s="466">
        <f>TableB1!F91+TableB1!J91</f>
        <v>0</v>
      </c>
      <c r="I89" s="383">
        <f>TableB1!D91/TableA1!B89</f>
        <v>0.2308722910737098</v>
      </c>
      <c r="J89" s="117">
        <f>C89/TableC5!B89</f>
        <v>-0.2042746813831583</v>
      </c>
      <c r="K89" s="942">
        <f t="shared" si="9"/>
        <v>-0.43514697245686806</v>
      </c>
      <c r="L89" s="1681"/>
      <c r="M89" s="1005"/>
      <c r="N89" s="1684"/>
      <c r="O89" s="1005" t="e">
        <f>TableB1!C91/TableA1!B89</f>
        <v>#N/A</v>
      </c>
      <c r="P89" s="1699"/>
      <c r="Q89" s="1701" t="e">
        <f t="shared" si="11"/>
        <v>#N/A</v>
      </c>
      <c r="T89" s="939"/>
      <c r="U89" s="940"/>
    </row>
    <row r="90" spans="1:21" ht="40" hidden="1" customHeight="1" x14ac:dyDescent="0.35">
      <c r="A90" s="492" t="s">
        <v>474</v>
      </c>
      <c r="B90" s="445">
        <f>TableC5!C90+D90</f>
        <v>8117.7876368692487</v>
      </c>
      <c r="C90" s="445">
        <f>TableB1!D92+TableC5!P90</f>
        <v>-46.487721995686414</v>
      </c>
      <c r="D90" s="334">
        <f t="shared" si="10"/>
        <v>-135.91748030299684</v>
      </c>
      <c r="E90" s="494">
        <f t="shared" si="8"/>
        <v>-58.618932106742115</v>
      </c>
      <c r="F90" s="494">
        <f>TableB1!H92-TableA6!H90/(1+TableA5!O90)-TableC5!N90</f>
        <v>-84.133342431836368</v>
      </c>
      <c r="G90" s="446">
        <f>TableB1!I92+TableC5!O90</f>
        <v>25.514410325094254</v>
      </c>
      <c r="H90" s="448">
        <f>TableB1!F92+TableB1!J92</f>
        <v>-77.298548196254714</v>
      </c>
      <c r="I90" s="496">
        <f>TableB1!D92/TableA1!B90</f>
        <v>-1.1798156991842206E-2</v>
      </c>
      <c r="J90" s="449">
        <f>C90/TableC5!B90</f>
        <v>-4.8262235621530612E-3</v>
      </c>
      <c r="K90" s="1013">
        <f t="shared" si="9"/>
        <v>6.971933429689145E-3</v>
      </c>
      <c r="L90" s="1686"/>
      <c r="M90" s="1017"/>
      <c r="N90" s="1687"/>
      <c r="O90" s="1017">
        <f>TableB1!C92/TableA1!B90</f>
        <v>-8.0014620095803599E-3</v>
      </c>
      <c r="P90" s="1700"/>
      <c r="Q90" s="1702">
        <f t="shared" si="11"/>
        <v>8.0014620095803599E-3</v>
      </c>
      <c r="T90" s="939"/>
      <c r="U90" s="940"/>
    </row>
    <row r="91" spans="1:21" ht="40" hidden="1" customHeight="1" thickBot="1" x14ac:dyDescent="0.4">
      <c r="A91" s="488" t="s">
        <v>499</v>
      </c>
      <c r="B91" s="422">
        <f>TableC5!C91+D91</f>
        <v>62741.131789438376</v>
      </c>
      <c r="C91" s="422">
        <f>TableB1!D93+TableC5!P91</f>
        <v>512.22218540505105</v>
      </c>
      <c r="D91" s="1016">
        <f t="shared" si="10"/>
        <v>-357.76269947620142</v>
      </c>
      <c r="E91" s="1675">
        <f t="shared" si="8"/>
        <v>-105.80769947620139</v>
      </c>
      <c r="F91" s="1675">
        <f>TableB1!H93-TableA6!H91/(1+TableA5!O91)-TableC5!N91</f>
        <v>-89.086514071149907</v>
      </c>
      <c r="G91" s="1675">
        <f>G90+G53+G45+G9</f>
        <v>-16.721185405051486</v>
      </c>
      <c r="H91" s="423">
        <f>H90+H53+H45+H9</f>
        <v>-251.95500000000001</v>
      </c>
      <c r="I91" s="474">
        <f>(E91+H91)/D91</f>
        <v>1</v>
      </c>
      <c r="J91" s="424">
        <f>C91/TableC5!B91</f>
        <v>6.8260833073334427E-3</v>
      </c>
      <c r="K91" s="673">
        <f t="shared" si="9"/>
        <v>-0.99317391669266653</v>
      </c>
      <c r="L91" s="1688"/>
      <c r="M91" s="1010"/>
      <c r="N91" s="1689"/>
      <c r="O91" s="1010">
        <f>TableB1!C93/TableA1!B91</f>
        <v>3.7454467652643683E-3</v>
      </c>
      <c r="P91" s="1010"/>
      <c r="Q91" s="1703">
        <f t="shared" si="11"/>
        <v>-3.7454467652643683E-3</v>
      </c>
      <c r="T91" s="939"/>
      <c r="U91" s="940"/>
    </row>
    <row r="92" spans="1:21" x14ac:dyDescent="0.35">
      <c r="E92" s="1676"/>
    </row>
    <row r="93" spans="1:21" s="2" customFormat="1" x14ac:dyDescent="0.35">
      <c r="D93" s="1"/>
      <c r="E93" s="1"/>
      <c r="F93" s="1"/>
      <c r="G93" s="1"/>
      <c r="H93" s="1"/>
      <c r="I93" s="1"/>
      <c r="J93" s="1"/>
      <c r="K93" s="1"/>
      <c r="L93" s="1"/>
      <c r="M93" s="1"/>
      <c r="N93" s="1"/>
      <c r="O93" s="1"/>
      <c r="P93" s="1"/>
      <c r="Q93" s="1"/>
    </row>
  </sheetData>
  <mergeCells count="17">
    <mergeCell ref="O6:O8"/>
    <mergeCell ref="A3:Q3"/>
    <mergeCell ref="B6:C6"/>
    <mergeCell ref="I6:I8"/>
    <mergeCell ref="J6:J8"/>
    <mergeCell ref="K6:K8"/>
    <mergeCell ref="B7:B8"/>
    <mergeCell ref="C7:C8"/>
    <mergeCell ref="Q6:Q8"/>
    <mergeCell ref="D7:D8"/>
    <mergeCell ref="E7:E8"/>
    <mergeCell ref="H7:H8"/>
    <mergeCell ref="D6:H6"/>
    <mergeCell ref="M6:M8"/>
    <mergeCell ref="L6:L8"/>
    <mergeCell ref="P6:P8"/>
    <mergeCell ref="N6:N8"/>
  </mergeCells>
  <pageMargins left="0.7" right="0.7" top="0.75" bottom="0.75" header="0.3" footer="0.3"/>
  <pageSetup scale="18"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S64"/>
  <sheetViews>
    <sheetView workbookViewId="0">
      <pane xSplit="1" ySplit="8" topLeftCell="B9" activePane="bottomRight" state="frozen"/>
      <selection activeCell="AR8" sqref="AR8"/>
      <selection pane="topRight" activeCell="AR8" sqref="AR8"/>
      <selection pane="bottomLeft" activeCell="AR8" sqref="AR8"/>
      <selection pane="bottomRight" activeCell="D25" sqref="D25"/>
    </sheetView>
  </sheetViews>
  <sheetFormatPr baseColWidth="10" defaultColWidth="10.81640625" defaultRowHeight="15.5" x14ac:dyDescent="0.35"/>
  <cols>
    <col min="1" max="1" width="19" style="1" customWidth="1"/>
    <col min="2" max="2" width="11.36328125" style="1" customWidth="1"/>
    <col min="3" max="3" width="11.81640625" style="1" customWidth="1"/>
    <col min="4" max="12" width="11.36328125" style="1" customWidth="1"/>
    <col min="13" max="14" width="10.81640625" style="1"/>
    <col min="16" max="16384" width="10.81640625" style="1"/>
  </cols>
  <sheetData>
    <row r="2" spans="1:16" ht="16" thickBot="1" x14ac:dyDescent="0.4"/>
    <row r="3" spans="1:16" ht="32.25" customHeight="1" thickTop="1" x14ac:dyDescent="0.35">
      <c r="A3" s="2048" t="s">
        <v>261</v>
      </c>
      <c r="B3" s="2049"/>
      <c r="C3" s="2049"/>
      <c r="D3" s="2049"/>
      <c r="E3" s="2049"/>
      <c r="F3" s="2049"/>
      <c r="G3" s="2049"/>
      <c r="H3" s="2049"/>
      <c r="I3" s="2049"/>
      <c r="J3" s="2049"/>
      <c r="K3" s="2049"/>
      <c r="L3" s="2050"/>
    </row>
    <row r="4" spans="1:16" ht="12" customHeight="1" x14ac:dyDescent="0.35">
      <c r="A4" s="11"/>
      <c r="B4" s="267"/>
      <c r="C4" s="267"/>
      <c r="D4" s="267"/>
      <c r="E4" s="267"/>
      <c r="F4" s="267"/>
      <c r="G4" s="267"/>
      <c r="H4" s="267"/>
      <c r="I4" s="267"/>
      <c r="J4" s="267"/>
      <c r="K4" s="267"/>
      <c r="L4" s="12"/>
    </row>
    <row r="5" spans="1:16" ht="16" thickBot="1" x14ac:dyDescent="0.4">
      <c r="A5" s="350"/>
      <c r="B5" s="351" t="s">
        <v>20</v>
      </c>
      <c r="C5" s="351" t="s">
        <v>21</v>
      </c>
      <c r="D5" s="351" t="s">
        <v>22</v>
      </c>
      <c r="E5" s="351" t="s">
        <v>23</v>
      </c>
      <c r="F5" s="351" t="s">
        <v>24</v>
      </c>
      <c r="G5" s="351" t="s">
        <v>25</v>
      </c>
      <c r="H5" s="351" t="s">
        <v>26</v>
      </c>
      <c r="I5" s="351" t="s">
        <v>33</v>
      </c>
      <c r="J5" s="351" t="s">
        <v>34</v>
      </c>
      <c r="K5" s="351" t="s">
        <v>37</v>
      </c>
      <c r="L5" s="352" t="s">
        <v>105</v>
      </c>
    </row>
    <row r="6" spans="1:16" ht="21" customHeight="1" x14ac:dyDescent="0.35">
      <c r="A6" s="350"/>
      <c r="B6" s="2095" t="s">
        <v>111</v>
      </c>
      <c r="C6" s="2096"/>
      <c r="D6" s="2096"/>
      <c r="E6" s="2096"/>
      <c r="F6" s="2096"/>
      <c r="G6" s="2097"/>
      <c r="H6" s="2098" t="s">
        <v>9</v>
      </c>
      <c r="I6" s="2101" t="s">
        <v>31</v>
      </c>
      <c r="J6" s="2103" t="s">
        <v>32</v>
      </c>
      <c r="K6" s="2105" t="s">
        <v>104</v>
      </c>
      <c r="L6" s="2107" t="s">
        <v>107</v>
      </c>
    </row>
    <row r="7" spans="1:16" ht="85" customHeight="1" x14ac:dyDescent="0.35">
      <c r="A7" s="350"/>
      <c r="B7" s="2109" t="s">
        <v>262</v>
      </c>
      <c r="C7" s="2111" t="s">
        <v>13</v>
      </c>
      <c r="D7" s="2113" t="s">
        <v>12</v>
      </c>
      <c r="E7" s="353" t="s">
        <v>11</v>
      </c>
      <c r="F7" s="353" t="s">
        <v>8</v>
      </c>
      <c r="G7" s="2092" t="s">
        <v>36</v>
      </c>
      <c r="H7" s="2099"/>
      <c r="I7" s="2102"/>
      <c r="J7" s="2104"/>
      <c r="K7" s="2106"/>
      <c r="L7" s="2108"/>
      <c r="M7" s="43"/>
      <c r="O7" s="426" t="s">
        <v>147</v>
      </c>
    </row>
    <row r="8" spans="1:16" ht="33" customHeight="1" x14ac:dyDescent="0.35">
      <c r="A8" s="350"/>
      <c r="B8" s="2110"/>
      <c r="C8" s="2112"/>
      <c r="D8" s="2113"/>
      <c r="E8" s="354"/>
      <c r="F8" s="354"/>
      <c r="G8" s="2093"/>
      <c r="H8" s="2100"/>
      <c r="I8" s="2102"/>
      <c r="J8" s="2104"/>
      <c r="K8" s="2106"/>
      <c r="L8" s="2108"/>
      <c r="M8" s="43"/>
      <c r="O8" s="426"/>
    </row>
    <row r="9" spans="1:16" ht="40" customHeight="1" x14ac:dyDescent="0.35">
      <c r="A9" s="355" t="s">
        <v>98</v>
      </c>
      <c r="B9" s="509">
        <f t="shared" ref="B9:G9" si="0">SUM(B10:B44)</f>
        <v>23569.365024501058</v>
      </c>
      <c r="C9" s="515">
        <f t="shared" si="0"/>
        <v>13940.970631802091</v>
      </c>
      <c r="D9" s="525">
        <f t="shared" si="0"/>
        <v>5294.6355779161286</v>
      </c>
      <c r="E9" s="526">
        <f t="shared" si="0"/>
        <v>552.88837341264343</v>
      </c>
      <c r="F9" s="525">
        <f t="shared" si="0"/>
        <v>4741.7472045034856</v>
      </c>
      <c r="G9" s="516">
        <f t="shared" si="0"/>
        <v>4333.7591429357853</v>
      </c>
      <c r="H9" s="517">
        <f>(G9+D9)/B9</f>
        <v>0.40851311483541919</v>
      </c>
      <c r="I9" s="513">
        <f>D9/(D9+C9)</f>
        <v>0.27525181791469466</v>
      </c>
      <c r="J9" s="518">
        <f>1-I9</f>
        <v>0.72474818208530534</v>
      </c>
      <c r="K9" s="513">
        <f>E9/D9</f>
        <v>0.10442425456413568</v>
      </c>
      <c r="L9" s="514">
        <f>F9/C9</f>
        <v>0.34013034886442051</v>
      </c>
      <c r="M9" s="43"/>
      <c r="O9" s="524">
        <f>B9-C9-D9-G9</f>
        <v>-3.2815294707688736E-4</v>
      </c>
      <c r="P9" s="524">
        <f>D9-E9-F9</f>
        <v>0</v>
      </c>
    </row>
    <row r="10" spans="1:16" ht="14.25" customHeight="1" x14ac:dyDescent="0.35">
      <c r="A10" s="350" t="s">
        <v>54</v>
      </c>
      <c r="B10" s="356">
        <f>+TableA1!F10</f>
        <v>672.06429734683604</v>
      </c>
      <c r="C10" s="346">
        <f>B10-D10-G10</f>
        <v>468.67008658723302</v>
      </c>
      <c r="D10" s="348">
        <f>+((VLOOKUP($A10,'[1]OECDTable14a(small)'!$A:$D,2,0))/VLOOKUP($A10,[1]FX!$B$2:$D$54,3,0))/1000-G10</f>
        <v>97.263896505871102</v>
      </c>
      <c r="E10" s="347">
        <v>14.216168703844218</v>
      </c>
      <c r="F10" s="357">
        <f>D10-E10</f>
        <v>83.047727802026884</v>
      </c>
      <c r="G10" s="349">
        <v>106.1303142537319</v>
      </c>
      <c r="H10" s="358">
        <f>(G10+D10)/B10</f>
        <v>0.30264099962244562</v>
      </c>
      <c r="I10" s="359">
        <f>D10/(D10+C10)</f>
        <v>0.17186438597356651</v>
      </c>
      <c r="J10" s="360">
        <f>1-I10</f>
        <v>0.82813561402643354</v>
      </c>
      <c r="K10" s="361">
        <f>E10/D10</f>
        <v>0.14616079773224069</v>
      </c>
      <c r="L10" s="362">
        <f>F10/C10</f>
        <v>0.1771986951562553</v>
      </c>
      <c r="M10" s="43"/>
      <c r="N10" s="42"/>
      <c r="O10" s="524">
        <f t="shared" ref="O10:O52" si="1">B10-C10-D10-G10</f>
        <v>0</v>
      </c>
      <c r="P10" s="524">
        <f t="shared" ref="P10:P52" si="2">D10-E10-F10</f>
        <v>0</v>
      </c>
    </row>
    <row r="11" spans="1:16" ht="14.25" customHeight="1" x14ac:dyDescent="0.35">
      <c r="A11" s="350" t="s">
        <v>55</v>
      </c>
      <c r="B11" s="356">
        <f>+TableA1!F11</f>
        <v>203.4286798002349</v>
      </c>
      <c r="C11" s="346">
        <f>+((VLOOKUP($A11,[1]OECDTable14a!$A$15:$XO$66,140,0))/VLOOKUP($A11,[1]FX!$B$2:$D$54,3,0))/1000</f>
        <v>114.85727974766515</v>
      </c>
      <c r="D11" s="348">
        <f>+((VLOOKUP($A11,'[1]OECDTable14a(small)'!$A:$D,2,0))/VLOOKUP($A11,[1]FX!$B$2:$D$54,3,0))/1000-G11</f>
        <v>46.245531847405729</v>
      </c>
      <c r="E11" s="347">
        <f>+((VLOOKUP($A11,[1]OECDTable14a!$A$15:$XO$66,162,0)-VLOOKUP($A11,[1]OECDTable14a!$A$15:$XO$66,154,0))/VLOOKUP($A11,[1]FX!$B$2:$D$54,3,0))/1000</f>
        <v>2.7204297855397659</v>
      </c>
      <c r="F11" s="348">
        <f t="shared" ref="F11:F43" si="3">D11-E11</f>
        <v>43.525102061865965</v>
      </c>
      <c r="G11" s="349">
        <f>+((VLOOKUP($A11,[1]OECDTable14a!$A$15:$XO$66,133,0))/VLOOKUP($A11,[1]FX!$B$2:$D$54,3,0))/1000</f>
        <v>42.325757298490899</v>
      </c>
      <c r="H11" s="358">
        <f t="shared" ref="H11:H44" si="4">(G11+D11)/B11</f>
        <v>0.43539234110388381</v>
      </c>
      <c r="I11" s="359">
        <f t="shared" ref="I11:I44" si="5">D11/(D11+C11)</f>
        <v>0.28705601962827981</v>
      </c>
      <c r="J11" s="360">
        <f t="shared" ref="J11:J44" si="6">1-I11</f>
        <v>0.71294398037172013</v>
      </c>
      <c r="K11" s="361">
        <f t="shared" ref="K11:K44" si="7">E11/D11</f>
        <v>5.882578655417444E-2</v>
      </c>
      <c r="L11" s="362">
        <f t="shared" ref="L11:L44" si="8">F11/C11</f>
        <v>0.37894944192904551</v>
      </c>
      <c r="M11" s="43"/>
      <c r="N11"/>
      <c r="O11" s="524">
        <f t="shared" si="1"/>
        <v>1.1090667312885216E-4</v>
      </c>
      <c r="P11" s="524">
        <f t="shared" si="2"/>
        <v>0</v>
      </c>
    </row>
    <row r="12" spans="1:16" ht="14.25" customHeight="1" x14ac:dyDescent="0.35">
      <c r="A12" s="350" t="s">
        <v>2</v>
      </c>
      <c r="B12" s="356">
        <f>+TableA1!F12</f>
        <v>261.0124226564588</v>
      </c>
      <c r="C12" s="346">
        <f>+((VLOOKUP($A12,[1]OECDTable14a!$A$15:$XO$66,140,0))/VLOOKUP($A12,[1]FX!$B$2:$D$54,3,0))/1000</f>
        <v>154.93041160793604</v>
      </c>
      <c r="D12" s="348">
        <f>+((VLOOKUP($A12,'[1]OECDTable14a(small)'!$A:$D,2,0))/VLOOKUP($A12,[1]FX!$B$2:$D$54,3,0))/1000-G12</f>
        <v>52.287727400269944</v>
      </c>
      <c r="E12" s="347">
        <f>+((VLOOKUP($A12,[1]OECDTable14a!$A$15:$XO$66,162,0)-VLOOKUP($A12,[1]OECDTable14a!$A$15:$XO$66,154,0))/VLOOKUP($A12,[1]FX!$B$2:$D$54,3,0))/1000</f>
        <v>0.67120718586516714</v>
      </c>
      <c r="F12" s="348">
        <f t="shared" si="3"/>
        <v>51.61652021440478</v>
      </c>
      <c r="G12" s="349">
        <f>+((VLOOKUP($A12,[1]OECDTable14a!$A$15:$XO$66,133,0))/VLOOKUP($A12,[1]FX!$B$2:$D$54,3,0))/1000</f>
        <v>53.794283648252829</v>
      </c>
      <c r="H12" s="358">
        <f t="shared" si="4"/>
        <v>0.40642514240843836</v>
      </c>
      <c r="I12" s="359">
        <f t="shared" si="5"/>
        <v>0.25233180671601008</v>
      </c>
      <c r="J12" s="360">
        <f t="shared" si="6"/>
        <v>0.74766819328398992</v>
      </c>
      <c r="K12" s="361">
        <f t="shared" si="7"/>
        <v>1.2836801659536306E-2</v>
      </c>
      <c r="L12" s="362">
        <f t="shared" si="8"/>
        <v>0.33315938219427549</v>
      </c>
      <c r="M12" s="43"/>
      <c r="N12"/>
      <c r="O12" s="524">
        <f t="shared" si="1"/>
        <v>0</v>
      </c>
      <c r="P12" s="524">
        <f t="shared" si="2"/>
        <v>0</v>
      </c>
    </row>
    <row r="13" spans="1:16" x14ac:dyDescent="0.35">
      <c r="A13" s="350" t="s">
        <v>56</v>
      </c>
      <c r="B13" s="356">
        <f>+TableA1!F13</f>
        <v>861.40154797047046</v>
      </c>
      <c r="C13" s="346">
        <f>B13-D13-G13</f>
        <v>547.53896668271921</v>
      </c>
      <c r="D13" s="348">
        <f>+((VLOOKUP($A13,'[1]OECDTable14a(small)'!$A:$D,2,0))/VLOOKUP($A13,[1]FX!$B$2:$D$54,3,0))/1000-G13</f>
        <v>153.69893471805912</v>
      </c>
      <c r="E13" s="347">
        <f>+((VLOOKUP($A13,[1]OECDTable14a!$A$15:$XO$66,162,0)-VLOOKUP($A13,[1]OECDTable14a!$A$15:$XO$66,154,0))/VLOOKUP($A13,[1]FX!$B$2:$D$54,3,0))/1000</f>
        <v>51.226723831950324</v>
      </c>
      <c r="F13" s="348">
        <f t="shared" si="3"/>
        <v>102.4722108861088</v>
      </c>
      <c r="G13" s="349">
        <f>+((VLOOKUP($A13,[1]OECDTable14a!$A$15:$XO$66,133,0))/VLOOKUP($A13,[1]FX!$B$2:$D$54,3,0))/1000</f>
        <v>160.16364656969208</v>
      </c>
      <c r="H13" s="358">
        <f t="shared" si="4"/>
        <v>0.36436268547141115</v>
      </c>
      <c r="I13" s="359">
        <f t="shared" si="5"/>
        <v>0.21918229806322975</v>
      </c>
      <c r="J13" s="360">
        <f t="shared" si="6"/>
        <v>0.78081770193677025</v>
      </c>
      <c r="K13" s="361">
        <f t="shared" si="7"/>
        <v>0.3332926407454882</v>
      </c>
      <c r="L13" s="362">
        <f t="shared" si="8"/>
        <v>0.18715053561747336</v>
      </c>
      <c r="N13"/>
      <c r="O13" s="524">
        <f t="shared" si="1"/>
        <v>0</v>
      </c>
      <c r="P13" s="524">
        <f t="shared" si="2"/>
        <v>0</v>
      </c>
    </row>
    <row r="14" spans="1:16" x14ac:dyDescent="0.35">
      <c r="A14" s="350" t="s">
        <v>57</v>
      </c>
      <c r="B14" s="356">
        <f>+TableA1!F14</f>
        <v>137.80198608309047</v>
      </c>
      <c r="C14" s="346">
        <f>+((VLOOKUP($A14,[1]OECDTable14a!$A$15:$XO$66,140,0))/VLOOKUP($A14,[1]FX!$B$2:$D$54,3,0))/1000</f>
        <v>62.198900940934621</v>
      </c>
      <c r="D14" s="348">
        <f>B14-C14-G14</f>
        <v>56.111266903425999</v>
      </c>
      <c r="E14" s="347">
        <f>+((VLOOKUP($A14,[1]OECDTable14a!$A$15:$XO$66,162,0)-VLOOKUP($A14,[1]OECDTable14a!$A$15:$XO$66,154,0))/VLOOKUP($A14,[1]FX!$B$2:$D$54,3,0))/1000</f>
        <v>7.9971162734140586</v>
      </c>
      <c r="F14" s="348">
        <f t="shared" si="3"/>
        <v>48.114150630011942</v>
      </c>
      <c r="G14" s="349">
        <f>+TableA2!G14*$F$61</f>
        <v>19.491818238729849</v>
      </c>
      <c r="H14" s="358">
        <f t="shared" si="4"/>
        <v>0.54863567130715707</v>
      </c>
      <c r="I14" s="359">
        <f t="shared" si="5"/>
        <v>0.47427256613515661</v>
      </c>
      <c r="J14" s="360">
        <f t="shared" si="6"/>
        <v>0.52572743386484344</v>
      </c>
      <c r="K14" s="361">
        <f t="shared" si="7"/>
        <v>0.1425224685655026</v>
      </c>
      <c r="L14" s="362">
        <f t="shared" si="8"/>
        <v>0.77355306769330456</v>
      </c>
      <c r="N14"/>
      <c r="O14" s="524">
        <f t="shared" si="1"/>
        <v>0</v>
      </c>
      <c r="P14" s="524">
        <f t="shared" si="2"/>
        <v>0</v>
      </c>
    </row>
    <row r="15" spans="1:16" x14ac:dyDescent="0.35">
      <c r="A15" s="350" t="s">
        <v>58</v>
      </c>
      <c r="B15" s="356">
        <f>+TableA1!F15</f>
        <v>105.46442400528483</v>
      </c>
      <c r="C15" s="346">
        <f>+((VLOOKUP($A15,[1]OECDTable14a!$A$15:$XO$66,140,0))/VLOOKUP($A15,[1]FX!$B$2:$D$54,3,0))/1000</f>
        <v>51.58871893897048</v>
      </c>
      <c r="D15" s="348">
        <f>+((VLOOKUP($A15,'[1]OECDTable14a(small)'!$A:$D,2,0))/VLOOKUP($A15,[1]FX!$B$2:$D$54,3,0))/1000-G15</f>
        <v>29.490035062757251</v>
      </c>
      <c r="E15" s="347">
        <f>+((VLOOKUP($A15,[1]OECDTable14a!$A$15:$XO$66,162,0)-VLOOKUP($A15,[1]OECDTable14a!$A$15:$XO$66,154,0))/VLOOKUP($A15,[1]FX!$B$2:$D$54,3,0))/1000</f>
        <v>1.1001372020936024</v>
      </c>
      <c r="F15" s="348">
        <f t="shared" si="3"/>
        <v>28.389897860663648</v>
      </c>
      <c r="G15" s="349">
        <f>+((VLOOKUP($A15,[1]OECDTable14a!$A$15:$XO$66,133,0))/VLOOKUP($A15,[1]FX!$B$2:$D$54,3,0))/1000</f>
        <v>24.385670003557095</v>
      </c>
      <c r="H15" s="358">
        <f t="shared" si="4"/>
        <v>0.51084245303055587</v>
      </c>
      <c r="I15" s="359">
        <f t="shared" si="5"/>
        <v>0.36372087146441395</v>
      </c>
      <c r="J15" s="360">
        <f t="shared" si="6"/>
        <v>0.63627912853558599</v>
      </c>
      <c r="K15" s="361">
        <f t="shared" si="7"/>
        <v>3.7305388065915109E-2</v>
      </c>
      <c r="L15" s="362">
        <f t="shared" si="8"/>
        <v>0.55031213111240329</v>
      </c>
      <c r="N15"/>
      <c r="O15" s="524">
        <f t="shared" si="1"/>
        <v>0</v>
      </c>
      <c r="P15" s="524">
        <f t="shared" si="2"/>
        <v>0</v>
      </c>
    </row>
    <row r="16" spans="1:16" x14ac:dyDescent="0.35">
      <c r="A16" s="350" t="s">
        <v>59</v>
      </c>
      <c r="B16" s="356">
        <f>+TableA1!F16</f>
        <v>156.43854767909247</v>
      </c>
      <c r="C16" s="346">
        <f>+((VLOOKUP($A16,[1]OECDTable14a!$A$15:$XO$66,140,0))/VLOOKUP($A16,[1]FX!$B$2:$D$54,3,0))/1000</f>
        <v>90.782021808565418</v>
      </c>
      <c r="D16" s="348">
        <f>+((VLOOKUP($A16,'[1]OECDTable14a(small)'!$A:$D,2,0))/VLOOKUP($A16,[1]FX!$B$2:$D$54,3,0))/1000-G16</f>
        <v>35.862416053016176</v>
      </c>
      <c r="E16" s="347">
        <f>+((VLOOKUP($A16,[1]OECDTable14a!$A$15:$XO$66,162,0)-VLOOKUP($A16,[1]OECDTable14a!$A$15:$XO$66,154,0))/VLOOKUP($A16,[1]FX!$B$2:$D$54,3,0))/1000</f>
        <v>2.7357690883658168</v>
      </c>
      <c r="F16" s="348">
        <f t="shared" si="3"/>
        <v>33.126646964650362</v>
      </c>
      <c r="G16" s="349">
        <f>+((VLOOKUP($A16,[1]OECDTable14a!$A$15:$XO$66,133,0))/VLOOKUP($A16,[1]FX!$B$2:$D$54,3,0))/1000</f>
        <v>29.793961182876043</v>
      </c>
      <c r="H16" s="358">
        <f t="shared" si="4"/>
        <v>0.41969436695727519</v>
      </c>
      <c r="I16" s="359">
        <f t="shared" si="5"/>
        <v>0.28317403163187216</v>
      </c>
      <c r="J16" s="360">
        <f t="shared" si="6"/>
        <v>0.71682596836812784</v>
      </c>
      <c r="K16" s="361">
        <f t="shared" si="7"/>
        <v>7.6285130492085948E-2</v>
      </c>
      <c r="L16" s="362">
        <f t="shared" si="8"/>
        <v>0.36490316369584108</v>
      </c>
      <c r="N16"/>
      <c r="O16" s="524">
        <f t="shared" si="1"/>
        <v>1.486346348293921E-4</v>
      </c>
      <c r="P16" s="524">
        <f t="shared" si="2"/>
        <v>0</v>
      </c>
    </row>
    <row r="17" spans="1:16" x14ac:dyDescent="0.35">
      <c r="A17" s="350" t="s">
        <v>60</v>
      </c>
      <c r="B17" s="356">
        <f>+TableA1!F17</f>
        <v>13.555235404959081</v>
      </c>
      <c r="C17" s="346">
        <f>+((VLOOKUP($A17,[1]OECDTable14a!$A$15:$XO$66,140,0))/VLOOKUP($A17,[1]FX!$B$2:$D$54,3,0))/1000</f>
        <v>7.653004073602105</v>
      </c>
      <c r="D17" s="348">
        <f>+((VLOOKUP($A17,'[1]OECDTable14a(small)'!$A:$D,2,0))/VLOOKUP($A17,[1]FX!$B$2:$D$54,3,0))/1000-G17</f>
        <v>3.653820346716441</v>
      </c>
      <c r="E17" s="347">
        <f>+((VLOOKUP($A17,[1]OECDTable14a!$A$15:$XO$66,162,0)-VLOOKUP($A17,[1]OECDTable14a!$A$15:$XO$66,154,0))/VLOOKUP($A17,[1]FX!$B$2:$D$54,3,0))/1000</f>
        <v>0.13164622102147266</v>
      </c>
      <c r="F17" s="348">
        <f t="shared" si="3"/>
        <v>3.5221741256949683</v>
      </c>
      <c r="G17" s="349">
        <f>+((VLOOKUP($A17,[1]OECDTable14a!$A$15:$XO$66,133,0))/VLOOKUP($A17,[1]FX!$B$2:$D$54,3,0))/1000</f>
        <v>2.2483000779673912</v>
      </c>
      <c r="H17" s="358">
        <f t="shared" si="4"/>
        <v>0.43541260984110874</v>
      </c>
      <c r="I17" s="359">
        <f t="shared" si="5"/>
        <v>0.32315177196441358</v>
      </c>
      <c r="J17" s="360">
        <f t="shared" si="6"/>
        <v>0.67684822803558642</v>
      </c>
      <c r="K17" s="361">
        <f t="shared" si="7"/>
        <v>3.6029746547275775E-2</v>
      </c>
      <c r="L17" s="362">
        <f t="shared" si="8"/>
        <v>0.46023418932235804</v>
      </c>
      <c r="N17"/>
      <c r="O17" s="524">
        <f t="shared" si="1"/>
        <v>1.109066731439512E-4</v>
      </c>
      <c r="P17" s="524">
        <f t="shared" si="2"/>
        <v>0</v>
      </c>
    </row>
    <row r="18" spans="1:16" x14ac:dyDescent="0.35">
      <c r="A18" s="350" t="s">
        <v>61</v>
      </c>
      <c r="B18" s="356">
        <f>+TableA1!F18</f>
        <v>121.94743245506339</v>
      </c>
      <c r="C18" s="346">
        <f>+((VLOOKUP($A18,[1]OECDTable14a!$A$15:$XO$66,140,0))/VLOOKUP($A18,[1]FX!$B$2:$D$54,3,0))/1000</f>
        <v>72.22020741766012</v>
      </c>
      <c r="D18" s="348">
        <f>+((VLOOKUP($A18,'[1]OECDTable14a(small)'!$A:$D,2,0))/VLOOKUP($A18,[1]FX!$B$2:$D$54,3,0))/1000-G18</f>
        <v>24.432740093538687</v>
      </c>
      <c r="E18" s="347">
        <f>+((VLOOKUP($A18,[1]OECDTable14a!$A$15:$XO$66,162,0)-VLOOKUP($A18,[1]OECDTable14a!$A$15:$XO$66,154,0))/VLOOKUP($A18,[1]FX!$B$2:$D$54,3,0))/1000</f>
        <v>2.6063068188749847</v>
      </c>
      <c r="F18" s="348">
        <f t="shared" si="3"/>
        <v>21.826433274663703</v>
      </c>
      <c r="G18" s="349">
        <f>+((VLOOKUP($A18,[1]OECDTable14a!$A$15:$XO$66,133,0))/VLOOKUP($A18,[1]FX!$B$2:$D$54,3,0))/1000</f>
        <v>25.294484943864585</v>
      </c>
      <c r="H18" s="358">
        <f t="shared" si="4"/>
        <v>0.40777590832613336</v>
      </c>
      <c r="I18" s="359">
        <f t="shared" si="5"/>
        <v>0.25278836003121125</v>
      </c>
      <c r="J18" s="360">
        <f t="shared" si="6"/>
        <v>0.7472116399687887</v>
      </c>
      <c r="K18" s="361">
        <f t="shared" si="7"/>
        <v>0.10667271901951883</v>
      </c>
      <c r="L18" s="362">
        <f t="shared" si="8"/>
        <v>0.30222058417027547</v>
      </c>
      <c r="N18"/>
      <c r="O18" s="524">
        <f t="shared" si="1"/>
        <v>0</v>
      </c>
      <c r="P18" s="524">
        <f t="shared" si="2"/>
        <v>0</v>
      </c>
    </row>
    <row r="19" spans="1:16" x14ac:dyDescent="0.35">
      <c r="A19" s="350" t="s">
        <v>48</v>
      </c>
      <c r="B19" s="356">
        <f>+TableA1!F19</f>
        <v>1208.8882825990756</v>
      </c>
      <c r="C19" s="346">
        <f>+((VLOOKUP($A19,[1]OECDTable14a!$A$15:$XO$66,140,0))/VLOOKUP($A19,[1]FX!$B$2:$D$54,3,0))/1000</f>
        <v>812.93925974231945</v>
      </c>
      <c r="D19" s="348">
        <f>+((VLOOKUP($A19,'[1]OECDTable14a(small)'!$A:$D,2,0))/VLOOKUP($A19,[1]FX!$B$2:$D$54,3,0))/1000-G19</f>
        <v>149.87040555243172</v>
      </c>
      <c r="E19" s="347">
        <f>+((VLOOKUP($A19,[1]OECDTable14a!$A$15:$XO$66,162,0)-VLOOKUP($A19,[1]OECDTable14a!$A$15:$XO$66,154,0))/VLOOKUP($A19,[1]FX!$B$2:$D$54,3,0))/1000</f>
        <v>35.820637291925216</v>
      </c>
      <c r="F19" s="348">
        <f t="shared" si="3"/>
        <v>114.04976826050651</v>
      </c>
      <c r="G19" s="349">
        <f>+((VLOOKUP($A19,[1]OECDTable14a!$A$15:$XO$66,133,0))/VLOOKUP($A19,[1]FX!$B$2:$D$54,3,0))/1000</f>
        <v>246.07861730432458</v>
      </c>
      <c r="H19" s="358">
        <f t="shared" si="4"/>
        <v>0.32753152508474737</v>
      </c>
      <c r="I19" s="359">
        <f t="shared" si="5"/>
        <v>0.15565943192578038</v>
      </c>
      <c r="J19" s="360">
        <f t="shared" si="6"/>
        <v>0.84434056807421964</v>
      </c>
      <c r="K19" s="361">
        <f t="shared" si="7"/>
        <v>0.23901074504928507</v>
      </c>
      <c r="L19" s="362">
        <f t="shared" si="8"/>
        <v>0.14029309926138556</v>
      </c>
      <c r="N19"/>
      <c r="O19" s="524">
        <f t="shared" si="1"/>
        <v>0</v>
      </c>
      <c r="P19" s="524">
        <f t="shared" si="2"/>
        <v>0</v>
      </c>
    </row>
    <row r="20" spans="1:16" x14ac:dyDescent="0.35">
      <c r="A20" s="350" t="s">
        <v>62</v>
      </c>
      <c r="B20" s="356">
        <f>+TableA1!F20</f>
        <v>1955.0417619077721</v>
      </c>
      <c r="C20" s="346">
        <f>+((VLOOKUP($A20,[1]OECDTable14a!$A$15:$XO$66,140,0))/VLOOKUP($A20,[1]FX!$B$2:$D$54,3,0))/1000</f>
        <v>1145.721386910129</v>
      </c>
      <c r="D20" s="348">
        <f>+((VLOOKUP($A20,'[1]OECDTable14a(small)'!$A:$D,2,0))/VLOOKUP($A20,[1]FX!$B$2:$D$54,3,0))/1000-G20</f>
        <v>477.86247350716854</v>
      </c>
      <c r="E20" s="347">
        <f>+((VLOOKUP($A20,[1]OECDTable14a!$A$15:$XO$66,162,0)-VLOOKUP($A20,[1]OECDTable14a!$A$15:$XO$66,154,0))/VLOOKUP($A20,[1]FX!$B$2:$D$54,3,0))/1000</f>
        <v>-14.800495531015606</v>
      </c>
      <c r="F20" s="348">
        <f>D20-E20</f>
        <v>492.66296903818414</v>
      </c>
      <c r="G20" s="349">
        <f>+((VLOOKUP($A20,[1]OECDTable14a!$A$15:$XO$66,133,0))/VLOOKUP($A20,[1]FX!$B$2:$D$54,3,0))/1000</f>
        <v>331.45790149047474</v>
      </c>
      <c r="H20" s="358">
        <f t="shared" si="4"/>
        <v>0.4139657734000991</v>
      </c>
      <c r="I20" s="359">
        <f t="shared" si="5"/>
        <v>0.29432571064382668</v>
      </c>
      <c r="J20" s="360">
        <f t="shared" si="6"/>
        <v>0.70567428935617338</v>
      </c>
      <c r="K20" s="361">
        <f t="shared" si="7"/>
        <v>-3.0972290881915381E-2</v>
      </c>
      <c r="L20" s="362">
        <f t="shared" si="8"/>
        <v>0.43000242001839223</v>
      </c>
      <c r="N20"/>
      <c r="O20" s="524">
        <f t="shared" si="1"/>
        <v>0</v>
      </c>
      <c r="P20" s="524">
        <f t="shared" si="2"/>
        <v>0</v>
      </c>
    </row>
    <row r="21" spans="1:16" x14ac:dyDescent="0.35">
      <c r="A21" s="350" t="s">
        <v>63</v>
      </c>
      <c r="B21" s="356">
        <f>+TableA1!F21</f>
        <v>57.459378101921011</v>
      </c>
      <c r="C21" s="346">
        <f>+((VLOOKUP($A21,[1]OECDTable14a!$A$15:$XO$66,140,0))/VLOOKUP($A21,[1]FX!$B$2:$D$54,3,0))/1000</f>
        <v>24.420737995184432</v>
      </c>
      <c r="D21" s="348">
        <f>+((VLOOKUP($A21,'[1]OECDTable14a(small)'!$A:$D,2,0))/VLOOKUP($A21,[1]FX!$B$2:$D$54,3,0))/1000-G21</f>
        <v>15.691846030483809</v>
      </c>
      <c r="E21" s="347">
        <f>+((VLOOKUP($A21,[1]OECDTable14a!$A$15:$XO$66,162,0)-VLOOKUP($A21,[1]OECDTable14a!$A$15:$XO$66,154,0))/VLOOKUP($A21,[1]FX!$B$2:$D$54,3,0))/1000</f>
        <v>1.2365813461630173</v>
      </c>
      <c r="F21" s="348">
        <f t="shared" si="3"/>
        <v>14.455264684320792</v>
      </c>
      <c r="G21" s="349">
        <f>+((VLOOKUP($A21,[1]OECDTable14a!$A$15:$XO$66,133,0))/VLOOKUP($A21,[1]FX!$B$2:$D$54,3,0))/1000</f>
        <v>17.346794076252777</v>
      </c>
      <c r="H21" s="358">
        <f t="shared" si="4"/>
        <v>0.57499125813949636</v>
      </c>
      <c r="I21" s="359">
        <f t="shared" si="5"/>
        <v>0.39119509280286008</v>
      </c>
      <c r="J21" s="360">
        <f t="shared" si="6"/>
        <v>0.60880490719713998</v>
      </c>
      <c r="K21" s="361">
        <f t="shared" si="7"/>
        <v>7.8804070837858661E-2</v>
      </c>
      <c r="L21" s="362">
        <f t="shared" si="8"/>
        <v>0.59192579221689579</v>
      </c>
      <c r="N21"/>
      <c r="O21" s="524">
        <f t="shared" si="1"/>
        <v>0</v>
      </c>
      <c r="P21" s="524">
        <f t="shared" si="2"/>
        <v>0</v>
      </c>
    </row>
    <row r="22" spans="1:16" x14ac:dyDescent="0.35">
      <c r="A22" s="350" t="s">
        <v>64</v>
      </c>
      <c r="B22" s="356">
        <f>+TableA1!F22</f>
        <v>63.378081676854649</v>
      </c>
      <c r="C22" s="346">
        <f>+((VLOOKUP($A22,[1]OECDTable14a!$A$15:$XO$66,140,0))/VLOOKUP($A22,[1]FX!$B$2:$D$54,3,0))/1000</f>
        <v>32.21090993708215</v>
      </c>
      <c r="D22" s="348">
        <f>+((VLOOKUP($A22,'[1]OECDTable14a(small)'!$A:$D,2,0))/VLOOKUP($A22,[1]FX!$B$2:$D$54,3,0))/1000-G22</f>
        <v>18.714850581296485</v>
      </c>
      <c r="E22" s="347">
        <f>+((VLOOKUP($A22,[1]OECDTable14a!$A$15:$XO$66,162,0)-VLOOKUP($A22,[1]OECDTable14a!$A$15:$XO$66,154,0))/VLOOKUP($A22,[1]FX!$B$2:$D$54,3,0))/1000</f>
        <v>0.9780959967064341</v>
      </c>
      <c r="F22" s="348">
        <f t="shared" si="3"/>
        <v>17.736754584590052</v>
      </c>
      <c r="G22" s="349">
        <f>+((VLOOKUP($A22,[1]OECDTable14a!$A$15:$XO$66,133,0))/VLOOKUP($A22,[1]FX!$B$2:$D$54,3,0))/1000</f>
        <v>12.452321158476011</v>
      </c>
      <c r="H22" s="358">
        <f t="shared" si="4"/>
        <v>0.4917657795116665</v>
      </c>
      <c r="I22" s="359">
        <f t="shared" si="5"/>
        <v>0.36749280503218928</v>
      </c>
      <c r="J22" s="360">
        <f t="shared" si="6"/>
        <v>0.63250719496781072</v>
      </c>
      <c r="K22" s="361">
        <f t="shared" si="7"/>
        <v>5.2263094084434615E-2</v>
      </c>
      <c r="L22" s="362">
        <f t="shared" si="8"/>
        <v>0.55064431955618176</v>
      </c>
      <c r="N22"/>
      <c r="O22" s="524">
        <f t="shared" si="1"/>
        <v>0</v>
      </c>
      <c r="P22" s="524">
        <f t="shared" si="2"/>
        <v>0</v>
      </c>
    </row>
    <row r="23" spans="1:16" x14ac:dyDescent="0.35">
      <c r="A23" s="350" t="s">
        <v>65</v>
      </c>
      <c r="B23" s="356">
        <f>+TableA1!F23</f>
        <v>7.8626017902984664</v>
      </c>
      <c r="C23" s="346">
        <f>+B23*$C$61</f>
        <v>4.6522290068914876</v>
      </c>
      <c r="D23" s="348">
        <f>B23-C23-G23</f>
        <v>1.7974770396604092</v>
      </c>
      <c r="E23" s="347">
        <f>+B23*$E$61</f>
        <v>0.17686161711807702</v>
      </c>
      <c r="F23" s="348">
        <f t="shared" si="3"/>
        <v>1.6206154225423322</v>
      </c>
      <c r="G23" s="349">
        <f>+TableA2!G23*$F$61</f>
        <v>1.4128957437465697</v>
      </c>
      <c r="H23" s="358">
        <f t="shared" si="4"/>
        <v>0.40830921735960285</v>
      </c>
      <c r="I23" s="359">
        <f t="shared" si="5"/>
        <v>0.27869131192752045</v>
      </c>
      <c r="J23" s="360">
        <f t="shared" si="6"/>
        <v>0.7213086880724795</v>
      </c>
      <c r="K23" s="361">
        <f t="shared" si="7"/>
        <v>9.8394367892171153E-2</v>
      </c>
      <c r="L23" s="362">
        <f t="shared" si="8"/>
        <v>0.34835246075411713</v>
      </c>
      <c r="N23"/>
      <c r="O23" s="524">
        <f t="shared" si="1"/>
        <v>0</v>
      </c>
      <c r="P23" s="524">
        <f t="shared" si="2"/>
        <v>0</v>
      </c>
    </row>
    <row r="24" spans="1:16" x14ac:dyDescent="0.35">
      <c r="A24" s="350" t="s">
        <v>19</v>
      </c>
      <c r="B24" s="356">
        <f>+TableA1!F24</f>
        <v>198.23817651684283</v>
      </c>
      <c r="C24" s="346">
        <f>+((VLOOKUP($A24,[1]OECDTable14a!$A$15:$XO$66,140,0))/VLOOKUP($A24,[1]FX!$B$2:$D$54,3,0))/1000</f>
        <v>54.273519257280192</v>
      </c>
      <c r="D24" s="348">
        <f>+((VLOOKUP($A24,'[1]OECDTable14a(small)'!$A:$D,2,0))/VLOOKUP($A24,[1]FX!$B$2:$D$54,3,0))/1000-G24</f>
        <v>90.893910558204396</v>
      </c>
      <c r="E24" s="347">
        <f>+((VLOOKUP($A24,[1]OECDTable14a!$A$15:$XO$66,162,0)-VLOOKUP($A24,[1]OECDTable14a!$A$15:$XO$66,154,0))/VLOOKUP($A24,[1]FX!$B$2:$D$54,3,0))/1000</f>
        <v>7.5018704410425672</v>
      </c>
      <c r="F24" s="348">
        <f t="shared" si="3"/>
        <v>83.392040117161827</v>
      </c>
      <c r="G24" s="349">
        <f>+((VLOOKUP($A24,[1]OECDTable14a!$A$15:$XO$66,133,0))/VLOOKUP($A24,[1]FX!$B$2:$D$54,3,0))/1000</f>
        <v>53.070746701358274</v>
      </c>
      <c r="H24" s="358">
        <f t="shared" si="4"/>
        <v>0.72622064926697438</v>
      </c>
      <c r="I24" s="359">
        <f t="shared" si="5"/>
        <v>0.62613156872540432</v>
      </c>
      <c r="J24" s="360">
        <f t="shared" si="6"/>
        <v>0.37386843127459568</v>
      </c>
      <c r="K24" s="361">
        <f t="shared" si="7"/>
        <v>8.2534356756921626E-2</v>
      </c>
      <c r="L24" s="362">
        <f t="shared" si="8"/>
        <v>1.5365143307152633</v>
      </c>
      <c r="N24"/>
      <c r="O24" s="524">
        <f t="shared" si="1"/>
        <v>0</v>
      </c>
      <c r="P24" s="524">
        <f t="shared" si="2"/>
        <v>0</v>
      </c>
    </row>
    <row r="25" spans="1:16" x14ac:dyDescent="0.35">
      <c r="A25" s="350" t="s">
        <v>95</v>
      </c>
      <c r="B25" s="356">
        <f>+TableA1!F25</f>
        <v>156.86592670691022</v>
      </c>
      <c r="C25" s="346">
        <f>+((VLOOKUP($A25,[1]OECDTable14a!$A$15:$XO$66,140,0))/VLOOKUP($A25,[1]FX!$B$2:$D$54,3,0))/1000</f>
        <v>88.265835810285637</v>
      </c>
      <c r="D25" s="348">
        <f>+((VLOOKUP($A25,'[1]OECDTable14a(small)'!$A:$D,2,0))/VLOOKUP($A25,[1]FX!$B$2:$D$54,3,0))/1000-G25</f>
        <v>47.457278843727011</v>
      </c>
      <c r="E25" s="347">
        <f>+B25*$E$61</f>
        <v>3.5285471918903748</v>
      </c>
      <c r="F25" s="348">
        <f t="shared" si="3"/>
        <v>43.928731651836635</v>
      </c>
      <c r="G25" s="349">
        <f>+((VLOOKUP($A25,[1]OECDTable14a!$A$15:$XO$66,133,0))/VLOOKUP($A25,[1]FX!$B$2:$D$54,3,0))/1000</f>
        <v>21.14281207862545</v>
      </c>
      <c r="H25" s="358">
        <f t="shared" si="4"/>
        <v>0.43731670964163888</v>
      </c>
      <c r="I25" s="359">
        <f t="shared" si="5"/>
        <v>0.3496624651202988</v>
      </c>
      <c r="J25" s="360">
        <f t="shared" si="6"/>
        <v>0.65033753487970114</v>
      </c>
      <c r="K25" s="361">
        <f t="shared" si="7"/>
        <v>7.4352075758696484E-2</v>
      </c>
      <c r="L25" s="362">
        <f t="shared" si="8"/>
        <v>0.49768668985648024</v>
      </c>
      <c r="N25"/>
      <c r="O25" s="524">
        <f t="shared" si="1"/>
        <v>-2.5727882047021922E-8</v>
      </c>
      <c r="P25" s="524">
        <f t="shared" si="2"/>
        <v>0</v>
      </c>
    </row>
    <row r="26" spans="1:16" x14ac:dyDescent="0.35">
      <c r="A26" s="350" t="s">
        <v>66</v>
      </c>
      <c r="B26" s="356">
        <f>+TableA1!F26</f>
        <v>795.37641170331563</v>
      </c>
      <c r="C26" s="346">
        <f>+((VLOOKUP($A26,[1]OECDTable14a!$A$15:$XO$66,140,0))/VLOOKUP($A26,[1]FX!$B$2:$D$54,3,0))/1000</f>
        <v>455.78683293795103</v>
      </c>
      <c r="D26" s="348">
        <f>+((VLOOKUP($A26,'[1]OECDTable14a(small)'!$A:$D,2,0))/VLOOKUP($A26,[1]FX!$B$2:$D$54,3,0))/1000-G26</f>
        <v>156.92296089763431</v>
      </c>
      <c r="E26" s="347">
        <f>+((VLOOKUP($A26,[1]OECDTable14a!$A$15:$XO$66,162,0)-VLOOKUP($A26,[1]OECDTable14a!$A$15:$XO$66,154,0))/VLOOKUP($A26,[1]FX!$B$2:$D$54,3,0))/1000</f>
        <v>5.653911290188419</v>
      </c>
      <c r="F26" s="348">
        <f t="shared" si="3"/>
        <v>151.26904960744588</v>
      </c>
      <c r="G26" s="349">
        <f>+((VLOOKUP($A26,[1]OECDTable14a!$A$15:$XO$66,133,0))/VLOOKUP($A26,[1]FX!$B$2:$D$54,3,0))/1000</f>
        <v>182.66650696105734</v>
      </c>
      <c r="H26" s="358">
        <f t="shared" si="4"/>
        <v>0.42695441159922448</v>
      </c>
      <c r="I26" s="359">
        <f t="shared" si="5"/>
        <v>0.25611302851108508</v>
      </c>
      <c r="J26" s="360">
        <f t="shared" si="6"/>
        <v>0.74388697148891492</v>
      </c>
      <c r="K26" s="361">
        <f t="shared" si="7"/>
        <v>3.6029853488914472E-2</v>
      </c>
      <c r="L26" s="362">
        <f t="shared" si="8"/>
        <v>0.33188551900980218</v>
      </c>
      <c r="N26"/>
      <c r="O26" s="524">
        <f t="shared" si="1"/>
        <v>1.1090667294411105E-4</v>
      </c>
      <c r="P26" s="524">
        <f t="shared" si="2"/>
        <v>0</v>
      </c>
    </row>
    <row r="27" spans="1:16" x14ac:dyDescent="0.35">
      <c r="A27" s="350" t="s">
        <v>67</v>
      </c>
      <c r="B27" s="356">
        <f>+TableA1!F27</f>
        <v>2443.427856470912</v>
      </c>
      <c r="C27" s="346">
        <f>B27-D27-G27</f>
        <v>1332.0768877366427</v>
      </c>
      <c r="D27" s="348">
        <f>+((VLOOKUP($A27,'[1]OECDTable14a(small)'!$A:$D,2,0))/VLOOKUP($A27,[1]FX!$B$2:$D$54,3,0))/1000-G27</f>
        <v>471.3276648175048</v>
      </c>
      <c r="E27" s="347">
        <f>+((VLOOKUP($A27,[1]OECDTable14a!$A$15:$XO$66,162,0)-VLOOKUP($A27,[1]OECDTable14a!$A$15:$XO$66,154,0))/VLOOKUP($A27,[1]FX!$B$2:$D$54,3,0))/1000</f>
        <v>-14.69878357486941</v>
      </c>
      <c r="F27" s="348">
        <f t="shared" si="3"/>
        <v>486.02644839237422</v>
      </c>
      <c r="G27" s="349">
        <f>+((VLOOKUP($A27,[1]OECDTable14a!$A$15:$XO$66,133,0))/VLOOKUP($A27,[1]FX!$B$2:$D$54,3,0))/1000</f>
        <v>640.0233039167648</v>
      </c>
      <c r="H27" s="358">
        <f t="shared" si="4"/>
        <v>0.4548327325446041</v>
      </c>
      <c r="I27" s="359">
        <f t="shared" si="5"/>
        <v>0.26135437228988206</v>
      </c>
      <c r="J27" s="360">
        <f t="shared" si="6"/>
        <v>0.73864562771011788</v>
      </c>
      <c r="K27" s="361">
        <f t="shared" si="7"/>
        <v>-3.1185913053842679E-2</v>
      </c>
      <c r="L27" s="362">
        <f t="shared" si="8"/>
        <v>0.36486365979834023</v>
      </c>
      <c r="N27"/>
      <c r="O27" s="524">
        <f t="shared" si="1"/>
        <v>0</v>
      </c>
      <c r="P27" s="524">
        <f t="shared" si="2"/>
        <v>0</v>
      </c>
    </row>
    <row r="28" spans="1:16" x14ac:dyDescent="0.35">
      <c r="A28" s="350" t="s">
        <v>68</v>
      </c>
      <c r="B28" s="356">
        <f>C28+D28+G28</f>
        <v>776.97252593029702</v>
      </c>
      <c r="C28" s="346">
        <f>+((VLOOKUP($A28,[1]OECDTable14a!$A$15:$XO$66,140,0))/VLOOKUP($A28,[1]FX!$B$2:$D$54,3,0))/1000</f>
        <v>385.60359631616285</v>
      </c>
      <c r="D28" s="348">
        <f>+((VLOOKUP($A28,'[1]OECDTable14a(small)'!$A:$D,2,0))/VLOOKUP($A28,[1]FX!$B$2:$D$54,3,0))/1000-G28</f>
        <v>213.34942304674635</v>
      </c>
      <c r="E28" s="347">
        <f>+((VLOOKUP($A28,[1]OECDTable14a!$A$15:$XO$66,162,0)-VLOOKUP($A28,[1]OECDTable14a!$A$15:$XO$66,154,0))/VLOOKUP($A28,[1]FX!$B$2:$D$54,3,0))/1000</f>
        <v>24.138901965464576</v>
      </c>
      <c r="F28" s="348">
        <f t="shared" si="3"/>
        <v>189.21052108128177</v>
      </c>
      <c r="G28" s="349">
        <f>+((VLOOKUP($A28,[1]OECDTable14a!$A$15:$XO$66,133,0))/VLOOKUP($A28,[1]FX!$B$2:$D$54,3,0))/1000</f>
        <v>178.01950656738782</v>
      </c>
      <c r="H28" s="358">
        <f t="shared" si="4"/>
        <v>0.50371012687422134</v>
      </c>
      <c r="I28" s="359">
        <f t="shared" si="5"/>
        <v>0.35620393611786211</v>
      </c>
      <c r="J28" s="360">
        <f t="shared" si="6"/>
        <v>0.64379606388213784</v>
      </c>
      <c r="K28" s="361">
        <f t="shared" si="7"/>
        <v>0.11314256969035991</v>
      </c>
      <c r="L28" s="362">
        <f>F28/C28</f>
        <v>0.49068660896550587</v>
      </c>
      <c r="N28"/>
      <c r="O28" s="524">
        <f t="shared" si="1"/>
        <v>0</v>
      </c>
      <c r="P28" s="524">
        <f t="shared" si="2"/>
        <v>0</v>
      </c>
    </row>
    <row r="29" spans="1:16" x14ac:dyDescent="0.35">
      <c r="A29" s="350" t="s">
        <v>69</v>
      </c>
      <c r="B29" s="356">
        <f>+TableA1!F29</f>
        <v>15.789667712516593</v>
      </c>
      <c r="C29" s="346">
        <f>+((VLOOKUP($A29,[1]OECDTable14a!$A$15:$XO$66,140,0))/VLOOKUP($A29,[1]FX!$B$2:$D$54,3,0))/1000</f>
        <v>8.7351116109305185</v>
      </c>
      <c r="D29" s="348">
        <f>+((VLOOKUP($A29,'[1]OECDTable14a(small)'!$A:$D,2,0))/VLOOKUP($A29,[1]FX!$B$2:$D$54,3,0))/1000-G29</f>
        <v>3.5420341836547964</v>
      </c>
      <c r="E29" s="347">
        <f>+((VLOOKUP($A29,[1]OECDTable14a!$A$15:$XO$66,162,0)-VLOOKUP($A29,[1]OECDTable14a!$A$15:$XO$66,154,0))/VLOOKUP($A29,[1]FX!$B$2:$D$54,3,0))/1000</f>
        <v>3.3419507818365966E-2</v>
      </c>
      <c r="F29" s="348">
        <f t="shared" si="3"/>
        <v>3.5086146758364305</v>
      </c>
      <c r="G29" s="349">
        <f>+((VLOOKUP($A29,[1]OECDTable14a!$A$15:$XO$66,133,0))/VLOOKUP($A29,[1]FX!$B$2:$D$54,3,0))/1000</f>
        <v>3.5125230269980117</v>
      </c>
      <c r="H29" s="358">
        <f t="shared" si="4"/>
        <v>0.44678313306496031</v>
      </c>
      <c r="I29" s="359">
        <f t="shared" si="5"/>
        <v>0.28850632247252184</v>
      </c>
      <c r="J29" s="360">
        <f t="shared" si="6"/>
        <v>0.71149367752747816</v>
      </c>
      <c r="K29" s="361">
        <f t="shared" si="7"/>
        <v>9.4351172477625655E-3</v>
      </c>
      <c r="L29" s="362">
        <f t="shared" si="8"/>
        <v>0.4016679845791542</v>
      </c>
      <c r="N29"/>
      <c r="O29" s="524">
        <f t="shared" si="1"/>
        <v>-1.1090667335622584E-6</v>
      </c>
      <c r="P29" s="524">
        <f t="shared" si="2"/>
        <v>0</v>
      </c>
    </row>
    <row r="30" spans="1:16" x14ac:dyDescent="0.35">
      <c r="A30" s="350" t="s">
        <v>70</v>
      </c>
      <c r="B30" s="356">
        <f>+TableA1!F30</f>
        <v>25.812973640810995</v>
      </c>
      <c r="C30" s="346">
        <f>+((VLOOKUP($A30,[1]OECDTable14a!$A$15:$XO$66,140,0))/VLOOKUP($A30,[1]FX!$B$2:$D$54,3,0))/1000</f>
        <v>16.264463616511343</v>
      </c>
      <c r="D30" s="348">
        <f>+((VLOOKUP($A30,'[1]OECDTable14a(small)'!$A:$D,2,0))/VLOOKUP($A30,[1]FX!$B$2:$D$54,3,0))/1000-G30</f>
        <v>5.7481819623604951</v>
      </c>
      <c r="E30" s="347">
        <f>+((VLOOKUP($A30,[1]OECDTable14a!$A$15:$XO$66,162,0)-VLOOKUP($A30,[1]OECDTable14a!$A$15:$XO$66,154,0))/VLOOKUP($A30,[1]FX!$B$2:$D$54,3,0))/1000</f>
        <v>2.617619299535634</v>
      </c>
      <c r="F30" s="348">
        <f t="shared" si="3"/>
        <v>3.1305626628248611</v>
      </c>
      <c r="G30" s="349">
        <f>+((VLOOKUP($A30,[1]OECDTable14a!$A$15:$XO$66,133,0))/VLOOKUP($A30,[1]FX!$B$2:$D$54,3,0))/1000</f>
        <v>3.8004389686123021</v>
      </c>
      <c r="H30" s="358">
        <f t="shared" si="4"/>
        <v>0.36991557283722531</v>
      </c>
      <c r="I30" s="359">
        <f t="shared" si="5"/>
        <v>0.26113090049828958</v>
      </c>
      <c r="J30" s="360">
        <f t="shared" si="6"/>
        <v>0.73886909950171042</v>
      </c>
      <c r="K30" s="361">
        <f t="shared" si="7"/>
        <v>0.45538212197804306</v>
      </c>
      <c r="L30" s="362">
        <f t="shared" si="8"/>
        <v>0.19247869076031376</v>
      </c>
      <c r="N30"/>
      <c r="O30" s="524">
        <f t="shared" si="1"/>
        <v>-1.1090667314483937E-4</v>
      </c>
      <c r="P30" s="524">
        <f t="shared" si="2"/>
        <v>0</v>
      </c>
    </row>
    <row r="31" spans="1:16" x14ac:dyDescent="0.35">
      <c r="A31" s="350" t="s">
        <v>71</v>
      </c>
      <c r="B31" s="356">
        <f>+TableA1!F31</f>
        <v>539.63509070108421</v>
      </c>
      <c r="C31" s="346">
        <f>+((VLOOKUP($A31,[1]OECDTable14a!$A$15:$XO$66,140,0))/VLOOKUP($A31,[1]FX!$B$2:$D$54,3,0))/1000</f>
        <v>129.55605808508906</v>
      </c>
      <c r="D31" s="348">
        <f>+((VLOOKUP($A31,'[1]OECDTable14a(small)'!$A:$D,2,0))/VLOOKUP($A31,[1]FX!$B$2:$D$54,3,0))/1000-G31</f>
        <v>308.94393689858964</v>
      </c>
      <c r="E31" s="347">
        <f>+((VLOOKUP($A31,[1]OECDTable14a!$A$15:$XO$66,162,0)-VLOOKUP($A31,[1]OECDTable14a!$A$15:$XO$66,154,0))/VLOOKUP($A31,[1]FX!$B$2:$D$54,3,0))/1000</f>
        <v>32.216456221995756</v>
      </c>
      <c r="F31" s="348">
        <f t="shared" si="3"/>
        <v>276.72748067659387</v>
      </c>
      <c r="G31" s="349">
        <f>+((VLOOKUP($A31,[1]OECDTable14a!$A$15:$XO$66,133,0))/VLOOKUP($A31,[1]FX!$B$2:$D$54,3,0))/1000</f>
        <v>101.13509571740556</v>
      </c>
      <c r="H31" s="358">
        <f t="shared" si="4"/>
        <v>0.75991913736230143</v>
      </c>
      <c r="I31" s="359">
        <f t="shared" si="5"/>
        <v>0.70454718456744514</v>
      </c>
      <c r="J31" s="360">
        <f t="shared" si="6"/>
        <v>0.29545281543255486</v>
      </c>
      <c r="K31" s="361">
        <f t="shared" si="7"/>
        <v>0.10427929593119271</v>
      </c>
      <c r="L31" s="362">
        <f t="shared" si="8"/>
        <v>2.1359671231649116</v>
      </c>
      <c r="N31"/>
      <c r="O31" s="524">
        <f t="shared" si="1"/>
        <v>0</v>
      </c>
      <c r="P31" s="524">
        <f t="shared" si="2"/>
        <v>0</v>
      </c>
    </row>
    <row r="32" spans="1:16" x14ac:dyDescent="0.35">
      <c r="A32" s="350" t="s">
        <v>72</v>
      </c>
      <c r="B32" s="356">
        <f>+TableA1!F32</f>
        <v>450.70808365468542</v>
      </c>
      <c r="C32" s="346">
        <f>+((VLOOKUP($A32,[1]OECDTable14a!$A$15:$XO$66,140,0))/VLOOKUP($A32,[1]FX!$B$2:$D$54,3,0))/1000</f>
        <v>260.66839015636731</v>
      </c>
      <c r="D32" s="348">
        <f>+((VLOOKUP($A32,'[1]OECDTable14a(small)'!$A:$D,2,0))/VLOOKUP($A32,[1]FX!$B$2:$D$54,3,0))/1000-G32</f>
        <v>122.74706956842888</v>
      </c>
      <c r="E32" s="347">
        <f>+((VLOOKUP($A32,[1]OECDTable14a!$A$15:$XO$66,162,0)-VLOOKUP($A32,[1]OECDTable14a!$A$15:$XO$66,154,0))/VLOOKUP($A32,[1]FX!$B$2:$D$54,3,0))/1000</f>
        <v>1.3053715429003647</v>
      </c>
      <c r="F32" s="348">
        <f t="shared" si="3"/>
        <v>121.44169802552852</v>
      </c>
      <c r="G32" s="349">
        <f>+((VLOOKUP($A32,[1]OECDTable14a!$A$15:$XO$66,133,0))/VLOOKUP($A32,[1]FX!$B$2:$D$54,3,0))/1000</f>
        <v>67.292623929889231</v>
      </c>
      <c r="H32" s="358">
        <f t="shared" si="4"/>
        <v>0.42164696039469962</v>
      </c>
      <c r="I32" s="359">
        <f t="shared" si="5"/>
        <v>0.32014115877469562</v>
      </c>
      <c r="J32" s="360">
        <f t="shared" si="6"/>
        <v>0.67985884122530438</v>
      </c>
      <c r="K32" s="361">
        <f t="shared" si="7"/>
        <v>1.0634645270880767E-2</v>
      </c>
      <c r="L32" s="362">
        <f t="shared" si="8"/>
        <v>0.46588578673723813</v>
      </c>
      <c r="N32"/>
      <c r="O32" s="524">
        <f t="shared" si="1"/>
        <v>0</v>
      </c>
      <c r="P32" s="524">
        <f t="shared" si="2"/>
        <v>0</v>
      </c>
    </row>
    <row r="33" spans="1:19" x14ac:dyDescent="0.35">
      <c r="A33" s="350" t="s">
        <v>73</v>
      </c>
      <c r="B33" s="356">
        <f>+TableA1!F33</f>
        <v>110.9119754528496</v>
      </c>
      <c r="C33" s="346">
        <f>+((VLOOKUP($A33,[1]OECDTable14a!$A$15:$XO$66,140,0))/VLOOKUP($A33,[1]FX!$B$2:$D$54,3,0))/1000</f>
        <v>54.636935790372917</v>
      </c>
      <c r="D33" s="348">
        <f>+((VLOOKUP($A33,'[1]OECDTable14a(small)'!$A:$D,2,0))/VLOOKUP($A33,[1]FX!$B$2:$D$54,3,0))/1000-G33</f>
        <v>40.519529502395059</v>
      </c>
      <c r="E33" s="347">
        <f>+B33*$E$61</f>
        <v>2.4948575369231323</v>
      </c>
      <c r="F33" s="348">
        <f t="shared" si="3"/>
        <v>38.024671965471924</v>
      </c>
      <c r="G33" s="349">
        <f>+TableA2!G33*$F$61</f>
        <v>15.756207522308994</v>
      </c>
      <c r="H33" s="358">
        <f t="shared" si="4"/>
        <v>0.50739098997139176</v>
      </c>
      <c r="I33" s="359">
        <f t="shared" si="5"/>
        <v>0.42582003627108878</v>
      </c>
      <c r="J33" s="360">
        <f t="shared" si="6"/>
        <v>0.57417996372891122</v>
      </c>
      <c r="K33" s="361">
        <f t="shared" si="7"/>
        <v>6.1571730164726231E-2</v>
      </c>
      <c r="L33" s="362">
        <f t="shared" si="8"/>
        <v>0.69595176624403432</v>
      </c>
      <c r="N33"/>
      <c r="O33" s="524">
        <f t="shared" si="1"/>
        <v>-6.9736222736693776E-4</v>
      </c>
      <c r="P33" s="524">
        <f t="shared" si="2"/>
        <v>0</v>
      </c>
    </row>
    <row r="34" spans="1:19" x14ac:dyDescent="0.35">
      <c r="A34" s="350" t="s">
        <v>74</v>
      </c>
      <c r="B34" s="356">
        <f>+TableA1!F34</f>
        <v>227.26315067631907</v>
      </c>
      <c r="C34" s="346">
        <f>+((VLOOKUP($A34,[1]OECDTable14a!$A$15:$XO$66,140,0))/VLOOKUP($A34,[1]FX!$B$2:$D$54,3,0))/1000</f>
        <v>114.60526549115365</v>
      </c>
      <c r="D34" s="348">
        <f>+((VLOOKUP($A34,'[1]OECDTable14a(small)'!$A:$D,2,0))/VLOOKUP($A34,[1]FX!$B$2:$D$54,3,0))/1000-G34</f>
        <v>70.203903267380241</v>
      </c>
      <c r="E34" s="347">
        <f>+((VLOOKUP($A34,[1]OECDTable14a!$A$15:$XO$66,162,0)-VLOOKUP($A34,[1]OECDTable14a!$A$15:$XO$66,154,0))/VLOOKUP($A34,[1]FX!$B$2:$D$54,3,0))/1000</f>
        <v>9.142791809743029</v>
      </c>
      <c r="F34" s="348">
        <f t="shared" si="3"/>
        <v>61.06111145763721</v>
      </c>
      <c r="G34" s="349">
        <f>+((VLOOKUP($A34,[1]OECDTable14a!$A$15:$XO$66,133,0))/VLOOKUP($A34,[1]FX!$B$2:$D$54,3,0))/1000</f>
        <v>42.453981917785192</v>
      </c>
      <c r="H34" s="358">
        <f t="shared" si="4"/>
        <v>0.4957155827942345</v>
      </c>
      <c r="I34" s="359">
        <f t="shared" si="5"/>
        <v>0.37987240426965263</v>
      </c>
      <c r="J34" s="360">
        <f t="shared" si="6"/>
        <v>0.62012759573034737</v>
      </c>
      <c r="K34" s="361">
        <f t="shared" si="7"/>
        <v>0.1302319583986887</v>
      </c>
      <c r="L34" s="362">
        <f t="shared" si="8"/>
        <v>0.53279499153859122</v>
      </c>
      <c r="N34"/>
      <c r="O34" s="524">
        <f t="shared" si="1"/>
        <v>0</v>
      </c>
      <c r="P34" s="524">
        <f t="shared" si="2"/>
        <v>0</v>
      </c>
    </row>
    <row r="35" spans="1:19" x14ac:dyDescent="0.35">
      <c r="A35" s="350" t="s">
        <v>75</v>
      </c>
      <c r="B35" s="356">
        <f>+TableA1!F35</f>
        <v>219.12534818941506</v>
      </c>
      <c r="C35" s="346">
        <f>+((VLOOKUP($A35,[1]OECDTable14a!$A$15:$XO$66,140,0))/VLOOKUP($A35,[1]FX!$B$2:$D$54,3,0))/1000</f>
        <v>104.39766547287439</v>
      </c>
      <c r="D35" s="348">
        <f>+((VLOOKUP($A35,'[1]OECDTable14a(small)'!$A:$D,2,0))/VLOOKUP($A35,[1]FX!$B$2:$D$54,3,0))/1000-G35</f>
        <v>80.254145112083833</v>
      </c>
      <c r="E35" s="347">
        <f>+((VLOOKUP($A35,[1]OECDTable14a!$A$15:$XO$66,162,0)-VLOOKUP($A35,[1]OECDTable14a!$A$15:$XO$66,154,0))/VLOOKUP($A35,[1]FX!$B$2:$D$54,3,0))/1000</f>
        <v>2.7316620241411327</v>
      </c>
      <c r="F35" s="348">
        <f t="shared" si="3"/>
        <v>77.522483087942703</v>
      </c>
      <c r="G35" s="349">
        <f>+((VLOOKUP($A35,[1]OECDTable14a!$A$15:$XO$66,133,0))/VLOOKUP($A35,[1]FX!$B$2:$D$54,3,0))/1000</f>
        <v>34.473537604456823</v>
      </c>
      <c r="H35" s="358">
        <f t="shared" si="4"/>
        <v>0.52357102299898417</v>
      </c>
      <c r="I35" s="359">
        <f t="shared" si="5"/>
        <v>0.43462419814810821</v>
      </c>
      <c r="J35" s="360">
        <f t="shared" si="6"/>
        <v>0.56537580185189173</v>
      </c>
      <c r="K35" s="361">
        <f t="shared" si="7"/>
        <v>3.4037644041015738E-2</v>
      </c>
      <c r="L35" s="362">
        <f t="shared" si="8"/>
        <v>0.74256912486309712</v>
      </c>
      <c r="N35"/>
      <c r="O35" s="524">
        <f t="shared" si="1"/>
        <v>0</v>
      </c>
      <c r="P35" s="524">
        <f t="shared" si="2"/>
        <v>0</v>
      </c>
    </row>
    <row r="36" spans="1:19" x14ac:dyDescent="0.35">
      <c r="A36" s="350" t="s">
        <v>76</v>
      </c>
      <c r="B36" s="356">
        <f>+TableA1!F36</f>
        <v>93.25897817245766</v>
      </c>
      <c r="C36" s="346">
        <f>+((VLOOKUP($A36,[1]OECDTable14a!$A$15:$XO$66,140,0))/VLOOKUP($A36,[1]FX!$B$2:$D$54,3,0))/1000</f>
        <v>53.761702594883424</v>
      </c>
      <c r="D36" s="348">
        <f>+((VLOOKUP($A36,'[1]OECDTable14a(small)'!$A:$D,2,0))/VLOOKUP($A36,[1]FX!$B$2:$D$54,3,0))/1000-G36</f>
        <v>23.199564358587892</v>
      </c>
      <c r="E36" s="347">
        <f>+((VLOOKUP($A36,[1]OECDTable14a!$A$15:$XO$66,162,0)-VLOOKUP($A36,[1]OECDTable14a!$A$15:$XO$66,154,0))/VLOOKUP($A36,[1]FX!$B$2:$D$54,3,0))/1000</f>
        <v>2.0908924549081194</v>
      </c>
      <c r="F36" s="348">
        <f t="shared" si="3"/>
        <v>21.108671903679774</v>
      </c>
      <c r="G36" s="349">
        <f>+((VLOOKUP($A36,[1]OECDTable14a!$A$15:$XO$66,133,0))/VLOOKUP($A36,[1]FX!$B$2:$D$54,3,0))/1000</f>
        <v>16.297711218986336</v>
      </c>
      <c r="H36" s="358">
        <f t="shared" si="4"/>
        <v>0.42352249994134106</v>
      </c>
      <c r="I36" s="359">
        <f t="shared" si="5"/>
        <v>0.30144467830309646</v>
      </c>
      <c r="J36" s="360">
        <f t="shared" si="6"/>
        <v>0.6985553216969036</v>
      </c>
      <c r="K36" s="361">
        <f t="shared" si="7"/>
        <v>9.0126367141636604E-2</v>
      </c>
      <c r="L36" s="362">
        <f t="shared" si="8"/>
        <v>0.39263399194668946</v>
      </c>
      <c r="N36"/>
      <c r="O36" s="524">
        <f t="shared" si="1"/>
        <v>0</v>
      </c>
      <c r="P36" s="524">
        <f t="shared" si="2"/>
        <v>0</v>
      </c>
    </row>
    <row r="37" spans="1:19" x14ac:dyDescent="0.35">
      <c r="A37" s="350" t="s">
        <v>96</v>
      </c>
      <c r="B37" s="356">
        <f>+TableA1!F37</f>
        <v>40.681291929654115</v>
      </c>
      <c r="C37" s="346">
        <f>+((VLOOKUP($A37,[1]OECDTable14a!$A$15:$XO$66,140,0))/VLOOKUP($A37,[1]FX!$B$2:$D$54,3,0))/1000</f>
        <v>20.182797487742043</v>
      </c>
      <c r="D37" s="348">
        <f>+((VLOOKUP($A37,'[1]OECDTable14a(small)'!$A:$D,2,0))/VLOOKUP($A37,[1]FX!$B$2:$D$54,3,0))/1000-G37</f>
        <v>9.9271110253432813</v>
      </c>
      <c r="E37" s="347">
        <f>+((VLOOKUP($A37,[1]OECDTable14a!$A$15:$XO$66,162,0)-VLOOKUP($A37,[1]OECDTable14a!$A$15:$XO$66,154,0))/VLOOKUP($A37,[1]FX!$B$2:$D$54,3,0))/1000</f>
        <v>0.30852905588476354</v>
      </c>
      <c r="F37" s="348">
        <f t="shared" si="3"/>
        <v>9.6185819694585177</v>
      </c>
      <c r="G37" s="349">
        <f>+((VLOOKUP($A37,[1]OECDTable14a!$A$15:$XO$66,133,0))/VLOOKUP($A37,[1]FX!$B$2:$D$54,3,0))/1000</f>
        <v>10.571383416568791</v>
      </c>
      <c r="H37" s="358">
        <f t="shared" si="4"/>
        <v>0.50388012448960484</v>
      </c>
      <c r="I37" s="359">
        <f t="shared" si="5"/>
        <v>0.32969582159404787</v>
      </c>
      <c r="J37" s="360">
        <f t="shared" si="6"/>
        <v>0.67030417840595213</v>
      </c>
      <c r="K37" s="361">
        <f t="shared" si="7"/>
        <v>3.107944044315698E-2</v>
      </c>
      <c r="L37" s="362">
        <f t="shared" si="8"/>
        <v>0.47657327857054171</v>
      </c>
      <c r="N37"/>
      <c r="O37" s="524">
        <f t="shared" si="1"/>
        <v>0</v>
      </c>
      <c r="P37" s="524">
        <f t="shared" si="2"/>
        <v>0</v>
      </c>
    </row>
    <row r="38" spans="1:19" x14ac:dyDescent="0.35">
      <c r="A38" s="350" t="s">
        <v>78</v>
      </c>
      <c r="B38" s="356">
        <f>+TableA1!F38</f>
        <v>22.013766401710626</v>
      </c>
      <c r="C38" s="346">
        <f>+((VLOOKUP($A38,[1]OECDTable14a!$A$15:$XO$66,140,0))/VLOOKUP($A38,[1]FX!$B$2:$D$54,3,0))/1000</f>
        <v>14.141094249599904</v>
      </c>
      <c r="D38" s="348">
        <f>+((VLOOKUP($A38,'[1]OECDTable14a(small)'!$A:$D,2,0))/VLOOKUP($A38,[1]FX!$B$2:$D$54,3,0))/1000-G38</f>
        <v>2.680655879883636</v>
      </c>
      <c r="E38" s="347">
        <f>+((VLOOKUP($A38,[1]OECDTable14a!$A$15:$XO$66,162,0)-VLOOKUP($A38,[1]OECDTable14a!$A$15:$XO$66,154,0))/VLOOKUP($A38,[1]FX!$B$2:$D$54,3,0))/1000</f>
        <v>-2.4480429962990798E-3</v>
      </c>
      <c r="F38" s="348">
        <f t="shared" si="3"/>
        <v>2.6831039228799352</v>
      </c>
      <c r="G38" s="349">
        <f>+((VLOOKUP($A38,[1]OECDTable14a!$A$15:$XO$66,133,0))/VLOOKUP($A38,[1]FX!$B$2:$D$54,3,0))/1000</f>
        <v>5.1920162722270842</v>
      </c>
      <c r="H38" s="358">
        <f t="shared" si="4"/>
        <v>0.35762495197091571</v>
      </c>
      <c r="I38" s="359">
        <f t="shared" si="5"/>
        <v>0.15935653895995286</v>
      </c>
      <c r="J38" s="360">
        <f t="shared" si="6"/>
        <v>0.84064346104004717</v>
      </c>
      <c r="K38" s="361">
        <f t="shared" si="7"/>
        <v>-9.1322538438068607E-4</v>
      </c>
      <c r="L38" s="362">
        <f t="shared" si="8"/>
        <v>0.18973806945356075</v>
      </c>
      <c r="N38"/>
      <c r="O38" s="524">
        <f t="shared" si="1"/>
        <v>0</v>
      </c>
      <c r="P38" s="524">
        <f t="shared" si="2"/>
        <v>0</v>
      </c>
    </row>
    <row r="39" spans="1:19" x14ac:dyDescent="0.35">
      <c r="A39" s="350" t="s">
        <v>79</v>
      </c>
      <c r="B39" s="356">
        <f>+TableA1!F39</f>
        <v>641.19251291230933</v>
      </c>
      <c r="C39" s="346">
        <f>+((VLOOKUP($A39,[1]OECDTable14a!$A$15:$XO$66,140,0))/VLOOKUP($A39,[1]FX!$B$2:$D$54,3,0))/1000</f>
        <v>371.05269286947726</v>
      </c>
      <c r="D39" s="348">
        <f>+((VLOOKUP($A39,'[1]OECDTable14a(small)'!$A:$D,2,0))/VLOOKUP($A39,[1]FX!$B$2:$D$54,3,0))/1000-G39</f>
        <v>141.43151679293393</v>
      </c>
      <c r="E39" s="347">
        <f>+((VLOOKUP($A39,[1]OECDTable14a!$A$15:$XO$66,162,0)-VLOOKUP($A39,[1]OECDTable14a!$A$15:$XO$66,154,0))/VLOOKUP($A39,[1]FX!$B$2:$D$54,3,0))/1000</f>
        <v>15.135433683909326</v>
      </c>
      <c r="F39" s="348">
        <f t="shared" si="3"/>
        <v>126.29608310902461</v>
      </c>
      <c r="G39" s="349">
        <f>+((VLOOKUP($A39,[1]OECDTable14a!$A$15:$XO$66,133,0))/VLOOKUP($A39,[1]FX!$B$2:$D$54,3,0))/1000</f>
        <v>128.70830324989825</v>
      </c>
      <c r="H39" s="358">
        <f t="shared" si="4"/>
        <v>0.42130844419229363</v>
      </c>
      <c r="I39" s="359">
        <f t="shared" si="5"/>
        <v>0.2759724380310159</v>
      </c>
      <c r="J39" s="360">
        <f t="shared" si="6"/>
        <v>0.7240275619689841</v>
      </c>
      <c r="K39" s="361">
        <f t="shared" si="7"/>
        <v>0.10701598927252337</v>
      </c>
      <c r="L39" s="362">
        <f t="shared" si="8"/>
        <v>0.34037236634056972</v>
      </c>
      <c r="N39"/>
      <c r="O39" s="524">
        <f t="shared" si="1"/>
        <v>0</v>
      </c>
      <c r="P39" s="524">
        <f t="shared" si="2"/>
        <v>0</v>
      </c>
    </row>
    <row r="40" spans="1:19" x14ac:dyDescent="0.35">
      <c r="A40" s="350" t="s">
        <v>80</v>
      </c>
      <c r="B40" s="356">
        <f>+TableA1!F40</f>
        <v>269.43791827255546</v>
      </c>
      <c r="C40" s="346">
        <f>+((VLOOKUP($A40,[1]OECDTable14a!$A$15:$XO$66,140,0))/VLOOKUP($A40,[1]FX!$B$2:$D$54,3,0))/1000</f>
        <v>156.5661996473911</v>
      </c>
      <c r="D40" s="348">
        <f>+((VLOOKUP($A40,'[1]OECDTable14a(small)'!$A:$D,2,0))/VLOOKUP($A40,[1]FX!$B$2:$D$54,3,0))/1000-G40</f>
        <v>57.64186900499962</v>
      </c>
      <c r="E40" s="347">
        <f>+((VLOOKUP($A40,[1]OECDTable14a!$A$15:$XO$66,162,0)-VLOOKUP($A40,[1]OECDTable14a!$A$15:$XO$66,154,0))/VLOOKUP($A40,[1]FX!$B$2:$D$54,3,0))/1000</f>
        <v>1.0889357606148116</v>
      </c>
      <c r="F40" s="348">
        <f t="shared" si="3"/>
        <v>56.552933244384811</v>
      </c>
      <c r="G40" s="349">
        <f>+((VLOOKUP($A40,[1]OECDTable14a!$A$15:$XO$66,133,0))/VLOOKUP($A40,[1]FX!$B$2:$D$54,3,0))/1000</f>
        <v>55.229849620164742</v>
      </c>
      <c r="H40" s="358">
        <f t="shared" si="4"/>
        <v>0.41891549396171718</v>
      </c>
      <c r="I40" s="359">
        <f t="shared" si="5"/>
        <v>0.26909289350131255</v>
      </c>
      <c r="J40" s="360">
        <f t="shared" si="6"/>
        <v>0.7309071064986874</v>
      </c>
      <c r="K40" s="361">
        <f t="shared" si="7"/>
        <v>1.8891402714932122E-2</v>
      </c>
      <c r="L40" s="362">
        <f t="shared" si="8"/>
        <v>0.36120780456924861</v>
      </c>
      <c r="N40"/>
      <c r="O40" s="524">
        <f t="shared" si="1"/>
        <v>0</v>
      </c>
      <c r="P40" s="524">
        <f t="shared" si="2"/>
        <v>0</v>
      </c>
    </row>
    <row r="41" spans="1:19" x14ac:dyDescent="0.35">
      <c r="A41" s="350" t="s">
        <v>1</v>
      </c>
      <c r="B41" s="356">
        <f>+TableA1!F41</f>
        <v>418.96218472725457</v>
      </c>
      <c r="C41" s="346">
        <f>+((VLOOKUP($A41,[1]OECDTable14a!$A$15:$XO$66,140,0))/VLOOKUP($A41,[1]FX!$B$2:$D$54,3,0))/1000</f>
        <v>285.58877294959063</v>
      </c>
      <c r="D41" s="348">
        <f>+((VLOOKUP($A41,'[1]OECDTable14a(small)'!$A:$D,2,0))/VLOOKUP($A41,[1]FX!$B$2:$D$54,3,0))/1000-G41</f>
        <v>43.027734961517311</v>
      </c>
      <c r="E41" s="347">
        <f>+((VLOOKUP($A41,[1]OECDTable14a!$A$15:$XO$66,162,0)-VLOOKUP($A41,[1]OECDTable14a!$A$15:$XO$66,154,0))/VLOOKUP($A41,[1]FX!$B$2:$D$54,3,0))/1000</f>
        <v>6.1228571636389333</v>
      </c>
      <c r="F41" s="348">
        <f t="shared" si="3"/>
        <v>36.904877797878378</v>
      </c>
      <c r="G41" s="349">
        <f>+((VLOOKUP($A41,[1]OECDTable14a!$A$15:$XO$66,133,0))/VLOOKUP($A41,[1]FX!$B$2:$D$54,3,0))/1000</f>
        <v>90.345676920055567</v>
      </c>
      <c r="H41" s="358">
        <f t="shared" si="4"/>
        <v>0.31834236297101443</v>
      </c>
      <c r="I41" s="359">
        <f t="shared" si="5"/>
        <v>0.13093601181215303</v>
      </c>
      <c r="J41" s="360">
        <f t="shared" si="6"/>
        <v>0.86906398818784703</v>
      </c>
      <c r="K41" s="361">
        <f t="shared" si="7"/>
        <v>0.14230024353164369</v>
      </c>
      <c r="L41" s="362">
        <f t="shared" si="8"/>
        <v>0.12922383963739523</v>
      </c>
      <c r="N41"/>
      <c r="O41" s="524">
        <f t="shared" si="1"/>
        <v>-1.0390894544798357E-7</v>
      </c>
      <c r="P41" s="524">
        <f t="shared" si="2"/>
        <v>0</v>
      </c>
    </row>
    <row r="42" spans="1:19" x14ac:dyDescent="0.35">
      <c r="A42" s="350" t="s">
        <v>81</v>
      </c>
      <c r="B42" s="356">
        <f>+TableA1!F42</f>
        <v>436.54209967687609</v>
      </c>
      <c r="C42" s="346">
        <f>+((VLOOKUP($A42,[1]OECDTable14a!$A$15:$XO$66,140,0))/VLOOKUP($A42,[1]FX!$B$2:$D$54,3,0))/1000</f>
        <v>169.57876977612943</v>
      </c>
      <c r="D42" s="348">
        <f>+((VLOOKUP($A42,'[1]OECDTable14a(small)'!$A:$D,2,0))/VLOOKUP($A42,[1]FX!$B$2:$D$54,3,0))/1000-G42</f>
        <v>208.55153926154807</v>
      </c>
      <c r="E42" s="347">
        <f>+((VLOOKUP($A42,[1]OECDTable14a!$A$15:$XO$66,162,0)-VLOOKUP($A42,[1]OECDTable14a!$A$15:$XO$66,154,0))/VLOOKUP($A42,[1]FX!$B$2:$D$54,3,0))/1000</f>
        <v>23.184110787868718</v>
      </c>
      <c r="F42" s="348">
        <f t="shared" si="3"/>
        <v>185.36742847367935</v>
      </c>
      <c r="G42" s="349">
        <f>+TableA2!G42*$F$61</f>
        <v>58.411790639198593</v>
      </c>
      <c r="H42" s="358">
        <f t="shared" si="4"/>
        <v>0.61154085733850216</v>
      </c>
      <c r="I42" s="359">
        <f t="shared" si="5"/>
        <v>0.55153351708912512</v>
      </c>
      <c r="J42" s="360">
        <f t="shared" si="6"/>
        <v>0.44846648291087488</v>
      </c>
      <c r="K42" s="361">
        <f t="shared" si="7"/>
        <v>0.11116729643885834</v>
      </c>
      <c r="L42" s="362">
        <f t="shared" si="8"/>
        <v>1.0931051612085252</v>
      </c>
      <c r="N42" s="261"/>
      <c r="O42" s="524">
        <f t="shared" si="1"/>
        <v>0</v>
      </c>
      <c r="P42" s="524">
        <f t="shared" si="2"/>
        <v>0</v>
      </c>
      <c r="Q42" s="261"/>
      <c r="R42" s="261"/>
      <c r="S42" s="262"/>
    </row>
    <row r="43" spans="1:19" x14ac:dyDescent="0.35">
      <c r="A43" s="350" t="s">
        <v>82</v>
      </c>
      <c r="B43" s="356">
        <f>+TableA1!F43</f>
        <v>1440.0278055748649</v>
      </c>
      <c r="C43" s="346">
        <f>+((VLOOKUP($A43,[1]OECDTable14a!$A$15:$XO$66,140,0))/VLOOKUP($A43,[1]FX!$B$2:$D$54,3,0))/1000</f>
        <v>914.7102185487629</v>
      </c>
      <c r="D43" s="348">
        <f>+((VLOOKUP($A43,'[1]OECDTable14a(small)'!$A:$D,2,0))/VLOOKUP($A43,[1]FX!$B$2:$D$54,3,0))/1000-G43</f>
        <v>333.91592633050448</v>
      </c>
      <c r="E43" s="347">
        <f>+((VLOOKUP($A43,[1]OECDTable14a!$A$15:$XO$66,162,0)-VLOOKUP($A43,[1]OECDTable14a!$A$15:$XO$66,154,0))/VLOOKUP($A43,[1]FX!$B$2:$D$54,3,0))/1000</f>
        <v>18.102651460174624</v>
      </c>
      <c r="F43" s="348">
        <f t="shared" si="3"/>
        <v>315.81327487032985</v>
      </c>
      <c r="G43" s="349">
        <f>+((VLOOKUP($A43,[1]OECDTable14a!$A$15:$XO$66,133,0))/VLOOKUP($A43,[1]FX!$B$2:$D$54,3,0))/1000</f>
        <v>191.40166069559771</v>
      </c>
      <c r="H43" s="358">
        <f t="shared" si="4"/>
        <v>0.36479683586136952</v>
      </c>
      <c r="I43" s="359">
        <f t="shared" si="5"/>
        <v>0.26742666545941307</v>
      </c>
      <c r="J43" s="360">
        <f t="shared" si="6"/>
        <v>0.73257333454058693</v>
      </c>
      <c r="K43" s="361">
        <f t="shared" si="7"/>
        <v>5.4213201685555178E-2</v>
      </c>
      <c r="L43" s="362">
        <f t="shared" si="8"/>
        <v>0.34526046442488051</v>
      </c>
      <c r="N43"/>
      <c r="O43" s="524">
        <f t="shared" si="1"/>
        <v>0</v>
      </c>
      <c r="P43" s="524">
        <f t="shared" si="2"/>
        <v>0</v>
      </c>
    </row>
    <row r="44" spans="1:19" x14ac:dyDescent="0.35">
      <c r="A44" s="350" t="s">
        <v>0</v>
      </c>
      <c r="B44" s="356">
        <f>+TableA1!F44</f>
        <v>8421.3765999999996</v>
      </c>
      <c r="C44" s="346">
        <f>+((VLOOKUP($A44,[1]OECDTable14a!$A$15:$XO$66,140,0))/VLOOKUP($A44,[1]FX!$B$2:$D$54,3,0))/1000</f>
        <v>5360.1337000000003</v>
      </c>
      <c r="D44" s="348">
        <f>+((VLOOKUP($A44,'[1]OECDTable14a(small)'!$A:$D,2,0))/VLOOKUP($A44,[1]FX!$B$2:$D$54,3,0))/1000-G44</f>
        <v>1699.3661999999997</v>
      </c>
      <c r="E44" s="347">
        <f>+((VLOOKUP($A44,[1]OECDTable14a!$A$15:$XO$66,162,0)-VLOOKUP($A44,[1]OECDTable14a!$A$15:$XO$66,154,0))/VLOOKUP($A44,[1]FX!$B$2:$D$54,3,0))/1000</f>
        <v>303.37359999999995</v>
      </c>
      <c r="F44" s="348">
        <f>D44-E44</f>
        <v>1395.9925999999998</v>
      </c>
      <c r="G44" s="349">
        <f>+((VLOOKUP($A44,[1]OECDTable14a!$A$15:$XO$66,133,0))/VLOOKUP($A44,[1]FX!$B$2:$D$54,3,0))/1000</f>
        <v>1361.8767</v>
      </c>
      <c r="H44" s="358">
        <f t="shared" si="4"/>
        <v>0.36350860974439736</v>
      </c>
      <c r="I44" s="359">
        <f t="shared" si="5"/>
        <v>0.24072047936426769</v>
      </c>
      <c r="J44" s="360">
        <f t="shared" si="6"/>
        <v>0.75927952063573234</v>
      </c>
      <c r="K44" s="361">
        <f t="shared" si="7"/>
        <v>0.17852161588243901</v>
      </c>
      <c r="L44" s="362">
        <f t="shared" si="8"/>
        <v>0.26043988417676966</v>
      </c>
      <c r="N44" s="230"/>
      <c r="O44" s="524">
        <f t="shared" si="1"/>
        <v>0</v>
      </c>
      <c r="P44" s="524">
        <f t="shared" si="2"/>
        <v>0</v>
      </c>
    </row>
    <row r="45" spans="1:19" ht="40" customHeight="1" x14ac:dyDescent="0.35">
      <c r="A45" s="363" t="s">
        <v>99</v>
      </c>
      <c r="B45" s="519">
        <f t="shared" ref="B45:G45" si="9">SUM(B46:B52)</f>
        <v>8417.5286702232133</v>
      </c>
      <c r="C45" s="485">
        <f t="shared" si="9"/>
        <v>4264.816588853183</v>
      </c>
      <c r="D45" s="520">
        <f t="shared" si="9"/>
        <v>2892.6736026455983</v>
      </c>
      <c r="E45" s="520">
        <f t="shared" si="9"/>
        <v>35.963796296323743</v>
      </c>
      <c r="F45" s="520">
        <f t="shared" si="9"/>
        <v>2856.709806349274</v>
      </c>
      <c r="G45" s="521">
        <f t="shared" si="9"/>
        <v>1260.0384774477184</v>
      </c>
      <c r="H45" s="522">
        <f>(G45+D45)/B45</f>
        <v>0.49334100812551157</v>
      </c>
      <c r="I45" s="510">
        <f>D45/(D45+C45)</f>
        <v>0.40414635930361942</v>
      </c>
      <c r="J45" s="523">
        <f>1-I45</f>
        <v>0.59585364069638058</v>
      </c>
      <c r="K45" s="510">
        <f>E45/D45</f>
        <v>1.2432718390153582E-2</v>
      </c>
      <c r="L45" s="511">
        <f>F45/C45</f>
        <v>0.66983180796467701</v>
      </c>
      <c r="O45" s="524">
        <f t="shared" si="1"/>
        <v>1.2767136468028184E-6</v>
      </c>
      <c r="P45" s="524">
        <f t="shared" si="2"/>
        <v>0</v>
      </c>
    </row>
    <row r="46" spans="1:19" x14ac:dyDescent="0.35">
      <c r="A46" s="350" t="s">
        <v>92</v>
      </c>
      <c r="B46" s="356">
        <f>+TableA1!F46</f>
        <v>987.70778556038204</v>
      </c>
      <c r="C46" s="346">
        <f>'[1]OECDTable14a2014(small)'!$I$39/(VLOOKUP($A46,[1]FX!$B$2:$E$54,4,0))/1000</f>
        <v>629.29120526045574</v>
      </c>
      <c r="D46" s="348">
        <f>B46-C46-G46</f>
        <v>195.49770050907927</v>
      </c>
      <c r="E46" s="347">
        <f>+(('[1]OECDTable14a2014(small)'!$O$39-'[1]OECDTable14a2014(small)'!$K$39)/VLOOKUP($A46,[1]FX!$B$2:$D$54,3,0))/1000</f>
        <v>1.3288631111688225</v>
      </c>
      <c r="F46" s="348">
        <f>D46-E46</f>
        <v>194.16883739791044</v>
      </c>
      <c r="G46" s="349">
        <f>+TableA2!G46*$F$62</f>
        <v>162.91887979084703</v>
      </c>
      <c r="H46" s="358">
        <f t="shared" ref="H46:H52" si="10">(G46+D46)/B46</f>
        <v>0.36287714396882725</v>
      </c>
      <c r="I46" s="359">
        <f t="shared" ref="I46:I52" si="11">D46/(D46+C46)</f>
        <v>0.2370275583746829</v>
      </c>
      <c r="J46" s="360">
        <f t="shared" ref="J46:J52" si="12">1-I46</f>
        <v>0.76297244162531708</v>
      </c>
      <c r="K46" s="361">
        <f t="shared" ref="K46:K52" si="13">E46/D46</f>
        <v>6.7973337165012212E-3</v>
      </c>
      <c r="L46" s="362">
        <f t="shared" ref="L46:L51" si="14">F46/C46</f>
        <v>0.30855164632015852</v>
      </c>
      <c r="O46" s="524">
        <f t="shared" si="1"/>
        <v>0</v>
      </c>
      <c r="P46" s="524">
        <f t="shared" si="2"/>
        <v>0</v>
      </c>
    </row>
    <row r="47" spans="1:19" x14ac:dyDescent="0.35">
      <c r="A47" s="350" t="s">
        <v>101</v>
      </c>
      <c r="B47" s="356">
        <f>+TableA1!F47</f>
        <v>5523.3790716286385</v>
      </c>
      <c r="C47" s="346">
        <f>+[2]China!$D$16</f>
        <v>2772.8839473044236</v>
      </c>
      <c r="D47" s="348">
        <f>B47-C47-G47</f>
        <v>1906.3654101597481</v>
      </c>
      <c r="E47" s="347">
        <f>+[2]China!$D$22</f>
        <v>22.671035034582214</v>
      </c>
      <c r="F47" s="348">
        <f t="shared" ref="F47:F52" si="15">D47-E47</f>
        <v>1883.6943751251658</v>
      </c>
      <c r="G47" s="349">
        <f>+[2]China!$D$19</f>
        <v>844.12971416446669</v>
      </c>
      <c r="H47" s="358">
        <f t="shared" si="10"/>
        <v>0.49797326756955618</v>
      </c>
      <c r="I47" s="359">
        <f t="shared" si="11"/>
        <v>0.40740838209846242</v>
      </c>
      <c r="J47" s="360">
        <f t="shared" si="12"/>
        <v>0.59259161790153758</v>
      </c>
      <c r="K47" s="361">
        <f t="shared" si="13"/>
        <v>1.1892281990514319E-2</v>
      </c>
      <c r="L47" s="362">
        <f t="shared" si="14"/>
        <v>0.67932679871306667</v>
      </c>
      <c r="O47" s="524">
        <f t="shared" si="1"/>
        <v>0</v>
      </c>
      <c r="P47" s="524">
        <f t="shared" si="2"/>
        <v>0</v>
      </c>
    </row>
    <row r="48" spans="1:19" x14ac:dyDescent="0.35">
      <c r="A48" s="350" t="s">
        <v>93</v>
      </c>
      <c r="B48" s="356">
        <f>+TableA1!F48</f>
        <v>97.612859020116034</v>
      </c>
      <c r="C48" s="346">
        <f>+((VLOOKUP($A48,[1]OECDTable14a!$A$15:$XO$66,140,0))/VLOOKUP($A48,[1]FX!$B$2:$D$54,3,0))/1000</f>
        <v>49.734472420009197</v>
      </c>
      <c r="D48" s="348">
        <f>B48-C48-G48</f>
        <v>33.300141909710767</v>
      </c>
      <c r="E48" s="347">
        <f>+((VLOOKUP($A48,[1]OECDTable14a!$A$15:$XO$66,162,0)-VLOOKUP($A48,[1]OECDTable14a!$A$15:$XO$66,154,0))/VLOOKUP($A48,[1]FX!$B$2:$D$54,3,0))/1000</f>
        <v>6.2898428593306139</v>
      </c>
      <c r="F48" s="348">
        <f t="shared" si="15"/>
        <v>27.010299050380155</v>
      </c>
      <c r="G48" s="349">
        <f>+TableA2!G48*$F$62</f>
        <v>14.578244690396067</v>
      </c>
      <c r="H48" s="358">
        <f t="shared" si="10"/>
        <v>0.49049261624680074</v>
      </c>
      <c r="I48" s="359">
        <f t="shared" si="11"/>
        <v>0.40103927956454533</v>
      </c>
      <c r="J48" s="360">
        <f t="shared" si="12"/>
        <v>0.59896072043545467</v>
      </c>
      <c r="K48" s="361">
        <f t="shared" si="13"/>
        <v>0.1888833650134209</v>
      </c>
      <c r="L48" s="362">
        <f t="shared" si="14"/>
        <v>0.54309008894831179</v>
      </c>
      <c r="O48" s="524">
        <f t="shared" si="1"/>
        <v>0</v>
      </c>
      <c r="P48" s="524">
        <f t="shared" si="2"/>
        <v>0</v>
      </c>
    </row>
    <row r="49" spans="1:16" x14ac:dyDescent="0.35">
      <c r="A49" s="350" t="s">
        <v>94</v>
      </c>
      <c r="B49" s="356">
        <f>+TableA1!F49</f>
        <v>27.462161051015293</v>
      </c>
      <c r="C49" s="346">
        <f>+((VLOOKUP($A49,[1]OECDTable14a!$A$15:$XO$66,140,0))/VLOOKUP($A49,[1]FX!$B$2:$D$54,3,0))/1000</f>
        <v>14.181859728130364</v>
      </c>
      <c r="D49" s="348">
        <f>+((VLOOKUP($A49,'[1]OECDTable14a(small)'!$A:$D,2,0))/VLOOKUP($A49,[1]FX!$B$2:$D$54,3,0))/1000-G49</f>
        <v>10.859412357061322</v>
      </c>
      <c r="E49" s="347">
        <f>+((VLOOKUP($A49,[1]OECDTable14a!$A$15:$XO$66,162,0)-VLOOKUP($A49,[1]OECDTable14a!$A$15:$XO$66,154,0))/VLOOKUP($A49,[1]FX!$B$2:$D$54,3,0))/1000</f>
        <v>-5.3605354865875379E-2</v>
      </c>
      <c r="F49" s="348">
        <f t="shared" si="15"/>
        <v>10.913017711927196</v>
      </c>
      <c r="G49" s="349">
        <f>+((VLOOKUP($A49,[1]OECDTable14a!$A$15:$XO$66,133,0))/VLOOKUP($A49,[1]FX!$B$2:$D$54,3,0))/1000</f>
        <v>2.4208889658236061</v>
      </c>
      <c r="H49" s="358">
        <f>(G49+D49)/B49</f>
        <v>0.48358544319271429</v>
      </c>
      <c r="I49" s="359">
        <f>D49/(D49+C49)</f>
        <v>0.43366057124083179</v>
      </c>
      <c r="J49" s="360">
        <f>1-I49</f>
        <v>0.56633942875916821</v>
      </c>
      <c r="K49" s="361">
        <f>E49/D49</f>
        <v>-4.9363034668278849E-3</v>
      </c>
      <c r="L49" s="362">
        <f>F49/C49</f>
        <v>0.76950540487160013</v>
      </c>
      <c r="O49" s="524">
        <f t="shared" si="1"/>
        <v>0</v>
      </c>
      <c r="P49" s="524">
        <f t="shared" si="2"/>
        <v>0</v>
      </c>
    </row>
    <row r="50" spans="1:16" x14ac:dyDescent="0.35">
      <c r="A50" s="350" t="s">
        <v>102</v>
      </c>
      <c r="B50" s="356">
        <f>+TableA1!F50</f>
        <v>806.65022403685839</v>
      </c>
      <c r="C50" s="346">
        <f>+[2]India!$G$8</f>
        <v>282.3499783576317</v>
      </c>
      <c r="D50" s="348">
        <f>B50-C50-G50</f>
        <v>400.1431351791926</v>
      </c>
      <c r="E50" s="347">
        <f>+B50*$E$62</f>
        <v>3.4464039834242941</v>
      </c>
      <c r="F50" s="348">
        <f t="shared" si="15"/>
        <v>396.69673119576828</v>
      </c>
      <c r="G50" s="349">
        <f>+[2]India!$G$9</f>
        <v>124.15711050003411</v>
      </c>
      <c r="H50" s="358">
        <f t="shared" si="10"/>
        <v>0.64997223090744438</v>
      </c>
      <c r="I50" s="359">
        <f t="shared" si="11"/>
        <v>0.58629622371655288</v>
      </c>
      <c r="J50" s="360">
        <f t="shared" si="12"/>
        <v>0.41370377628344712</v>
      </c>
      <c r="K50" s="361">
        <f t="shared" si="13"/>
        <v>8.6129279261055458E-3</v>
      </c>
      <c r="L50" s="362">
        <f t="shared" si="14"/>
        <v>1.4049823325762825</v>
      </c>
      <c r="O50" s="524">
        <f t="shared" si="1"/>
        <v>0</v>
      </c>
      <c r="P50" s="524">
        <f t="shared" si="2"/>
        <v>0</v>
      </c>
    </row>
    <row r="51" spans="1:16" x14ac:dyDescent="0.35">
      <c r="A51" s="350" t="s">
        <v>103</v>
      </c>
      <c r="B51" s="356">
        <f>+TableA1!F51</f>
        <v>810.92385311543865</v>
      </c>
      <c r="C51" s="346">
        <f>+((VLOOKUP($A51,[1]OECDTable14a!$A$15:$XO$66,140,0))/VLOOKUP($A51,[1]FX!$B$2:$D$54,3,0))/1000</f>
        <v>445.85926516693706</v>
      </c>
      <c r="D51" s="348">
        <f>+((VLOOKUP($A51,'[1]OECDTable14a(small)'!$A:$D,2,0))/VLOOKUP($A51,[1]FX!$B$2:$D$54,3,0))/1000-G51</f>
        <v>282.42814261790539</v>
      </c>
      <c r="E51" s="347">
        <f>+B51*$E$62</f>
        <v>3.4646630154572708</v>
      </c>
      <c r="F51" s="348">
        <f t="shared" si="15"/>
        <v>278.9634796024481</v>
      </c>
      <c r="G51" s="349">
        <f>+((VLOOKUP($A51,[1]OECDTable14a!$A$15:$XO$66,133,0))/VLOOKUP($A51,[1]FX!$B$2:$D$54,3,0))/1000</f>
        <v>82.636444053881306</v>
      </c>
      <c r="H51" s="358">
        <f t="shared" si="10"/>
        <v>0.45018355949115002</v>
      </c>
      <c r="I51" s="359">
        <f t="shared" si="11"/>
        <v>0.38779764636730196</v>
      </c>
      <c r="J51" s="360">
        <f t="shared" si="12"/>
        <v>0.61220235363269804</v>
      </c>
      <c r="K51" s="361">
        <f t="shared" si="13"/>
        <v>1.226741422912866E-2</v>
      </c>
      <c r="L51" s="362">
        <f t="shared" si="14"/>
        <v>0.62567608525080121</v>
      </c>
      <c r="O51" s="524">
        <f t="shared" si="1"/>
        <v>1.2767148831471786E-6</v>
      </c>
      <c r="P51" s="524">
        <f t="shared" si="2"/>
        <v>0</v>
      </c>
    </row>
    <row r="52" spans="1:16" ht="16" thickBot="1" x14ac:dyDescent="0.4">
      <c r="A52" s="364" t="s">
        <v>97</v>
      </c>
      <c r="B52" s="422">
        <f>+TableA1!F52</f>
        <v>163.79271581076557</v>
      </c>
      <c r="C52" s="506">
        <f>+('[1]OECDTable14a2014(small)'!$I$46/VLOOKUP($A52,[1]FX!$B$2:$D$54,3,0))/1000</f>
        <v>70.515860615595457</v>
      </c>
      <c r="D52" s="365">
        <f>B52-C52-G52</f>
        <v>64.07965991290078</v>
      </c>
      <c r="E52" s="507">
        <f>+(('[1]OECDTable14a2014(small)'!$O$46-'[1]OECDTable14a2014(small)'!$K$46)/VLOOKUP($A52,[1]FX!$B$2:$D$54,3,0))/1000</f>
        <v>-1.1834063527735983</v>
      </c>
      <c r="F52" s="365">
        <f t="shared" si="15"/>
        <v>65.263066265674382</v>
      </c>
      <c r="G52" s="508">
        <f>+([1]OECDTable14a2014!$EI$59/VLOOKUP($A52,[1]FX!$B$2:$D$54,3,0))/1000</f>
        <v>29.197195282269334</v>
      </c>
      <c r="H52" s="366">
        <f t="shared" si="10"/>
        <v>0.56948109525783519</v>
      </c>
      <c r="I52" s="367">
        <f t="shared" si="11"/>
        <v>0.47609058355945794</v>
      </c>
      <c r="J52" s="368">
        <f t="shared" si="12"/>
        <v>0.52390941644054201</v>
      </c>
      <c r="K52" s="369">
        <f t="shared" si="13"/>
        <v>-1.8467737724921197E-2</v>
      </c>
      <c r="L52" s="370">
        <f>F52/C52</f>
        <v>0.92550903720007416</v>
      </c>
      <c r="O52" s="524">
        <f t="shared" si="1"/>
        <v>0</v>
      </c>
      <c r="P52" s="524">
        <f t="shared" si="2"/>
        <v>0</v>
      </c>
    </row>
    <row r="53" spans="1:16" ht="16" thickTop="1" x14ac:dyDescent="0.35">
      <c r="B53" s="28"/>
      <c r="C53" s="28"/>
      <c r="D53" s="30"/>
      <c r="E53" s="30"/>
      <c r="F53" s="30"/>
      <c r="G53" s="30"/>
    </row>
    <row r="54" spans="1:16" s="2" customFormat="1" ht="16" thickBot="1" x14ac:dyDescent="0.4">
      <c r="B54" s="1"/>
      <c r="C54" s="1"/>
      <c r="D54" s="1"/>
      <c r="E54" s="1"/>
      <c r="F54" s="1"/>
      <c r="G54" s="1"/>
      <c r="H54" s="1"/>
      <c r="I54" s="1"/>
      <c r="J54" s="1"/>
      <c r="K54" s="1"/>
      <c r="L54" s="1"/>
      <c r="M54" s="1"/>
    </row>
    <row r="55" spans="1:16" s="2" customFormat="1" ht="47.25" customHeight="1" thickBot="1" x14ac:dyDescent="0.4">
      <c r="A55" s="2094" t="s">
        <v>42</v>
      </c>
      <c r="B55" s="2077"/>
      <c r="C55" s="2077"/>
      <c r="D55" s="2077"/>
      <c r="E55" s="2077"/>
      <c r="F55" s="2077"/>
      <c r="G55" s="2077"/>
      <c r="H55" s="2077"/>
      <c r="I55" s="2077"/>
      <c r="J55" s="2077"/>
      <c r="K55" s="2077"/>
      <c r="L55" s="2078"/>
      <c r="M55" s="1"/>
    </row>
    <row r="56" spans="1:16" s="2" customFormat="1" x14ac:dyDescent="0.35">
      <c r="A56" s="1"/>
      <c r="B56" s="1"/>
      <c r="C56" s="1"/>
      <c r="D56" s="1"/>
      <c r="E56" s="1"/>
      <c r="F56" s="1"/>
      <c r="G56" s="1"/>
      <c r="H56" s="1"/>
      <c r="I56" s="1"/>
      <c r="J56" s="1"/>
      <c r="K56" s="1"/>
      <c r="L56" s="1"/>
      <c r="M56" s="1"/>
    </row>
    <row r="57" spans="1:16" s="2" customFormat="1" x14ac:dyDescent="0.35">
      <c r="A57" s="1"/>
      <c r="B57" s="1"/>
      <c r="C57" s="1"/>
      <c r="D57" s="1"/>
      <c r="E57" s="1"/>
      <c r="F57" s="1"/>
      <c r="G57" s="1"/>
      <c r="H57" s="1"/>
      <c r="I57" s="1"/>
      <c r="J57" s="1"/>
      <c r="K57" s="1"/>
      <c r="L57" s="1"/>
      <c r="M57" s="1"/>
    </row>
    <row r="58" spans="1:16" s="2" customFormat="1" x14ac:dyDescent="0.35">
      <c r="A58" s="1"/>
      <c r="B58" s="1"/>
      <c r="C58" s="1"/>
      <c r="D58" s="1"/>
      <c r="E58" s="1"/>
      <c r="F58" s="1"/>
      <c r="G58" s="1"/>
      <c r="H58" s="1"/>
      <c r="I58" s="1"/>
      <c r="J58" s="1"/>
      <c r="K58" s="1"/>
      <c r="L58" s="1"/>
      <c r="M58" s="1"/>
    </row>
    <row r="59" spans="1:16" s="2" customFormat="1" x14ac:dyDescent="0.35">
      <c r="A59" s="1"/>
      <c r="B59" s="339" t="s">
        <v>264</v>
      </c>
      <c r="C59" s="2091" t="s">
        <v>270</v>
      </c>
      <c r="D59" s="2091"/>
      <c r="E59" s="2091"/>
      <c r="F59" s="339" t="s">
        <v>271</v>
      </c>
      <c r="G59" s="339"/>
      <c r="H59" s="1"/>
      <c r="I59" s="1"/>
      <c r="J59" s="1"/>
      <c r="K59" s="1"/>
      <c r="L59" s="1"/>
      <c r="M59" s="1"/>
    </row>
    <row r="60" spans="1:16" x14ac:dyDescent="0.35">
      <c r="B60" s="341"/>
      <c r="C60" s="339" t="s">
        <v>13</v>
      </c>
      <c r="D60" s="339" t="s">
        <v>269</v>
      </c>
      <c r="E60" s="339" t="s">
        <v>11</v>
      </c>
      <c r="F60" s="339" t="s">
        <v>10</v>
      </c>
      <c r="G60" s="339"/>
      <c r="H60" s="7"/>
    </row>
    <row r="61" spans="1:16" s="2" customFormat="1" x14ac:dyDescent="0.35">
      <c r="A61" s="1"/>
      <c r="B61" s="339" t="s">
        <v>263</v>
      </c>
      <c r="C61" s="342">
        <f>(SUM(C11:C12)+SUM(C14:C22)+SUM(C24:C26)+SUM(C28:C44))/(SUM(B11:B12)+SUM(B14:B22)+SUM(B24:B26)+SUM(B28:B44))</f>
        <v>0.59169078264039721</v>
      </c>
      <c r="D61" s="344">
        <f>+TableA2!D101</f>
        <v>0.17664274579679837</v>
      </c>
      <c r="E61" s="342">
        <f>(SUM(E11:E12,E26,E27:E32)+SUM(E14:E22)+SUM(E24)+SUM(E34:E44))/(SUM(D11:D12)+SUM(B14:B22)+SUM(B24)+SUM(B34:B44,B26,B27:B32))</f>
        <v>2.2494032107324018E-2</v>
      </c>
      <c r="F61" s="342">
        <f>(SUM(G11:G13,G25:G26,G27:G32)+SUM(G15:G22)+SUM(G24)+SUM(G34:G41,G43:G44))/(SUM(TableA2!G11:G13,TableA2!G25:G26,TableA2!G27:G32)+SUM(TableA2!G15:G22)+SUM(TableA2!G24)+SUM(TableA2!G34:G41,TableA2!G43:G44))</f>
        <v>0.93076135951684424</v>
      </c>
      <c r="G61" s="340"/>
      <c r="H61" s="270"/>
      <c r="I61" s="1"/>
      <c r="J61" s="1"/>
      <c r="L61" s="1"/>
      <c r="M61" s="1"/>
    </row>
    <row r="62" spans="1:16" x14ac:dyDescent="0.35">
      <c r="B62" s="339" t="s">
        <v>267</v>
      </c>
      <c r="C62" s="342"/>
      <c r="D62" s="342">
        <f>+TableA2!D103</f>
        <v>0</v>
      </c>
      <c r="E62" s="342">
        <f>+SUM(E46:E49,E52)/SUM(B46:B49,B52)</f>
        <v>4.2724887202991923E-3</v>
      </c>
      <c r="F62" s="344">
        <f>+SUM(G47,G49:G52)/SUM(TableA2!G47,TableA2!G49:G52)</f>
        <v>0.84434226565789416</v>
      </c>
      <c r="G62" s="339"/>
    </row>
    <row r="63" spans="1:16" x14ac:dyDescent="0.35">
      <c r="B63" s="339"/>
      <c r="C63" s="343"/>
      <c r="D63" s="344"/>
      <c r="E63" s="339"/>
      <c r="F63" s="339"/>
      <c r="G63" s="339"/>
    </row>
    <row r="64" spans="1:16" x14ac:dyDescent="0.35">
      <c r="B64" s="339"/>
      <c r="C64" s="339"/>
      <c r="D64" s="339"/>
      <c r="E64" s="339"/>
      <c r="F64" s="339"/>
      <c r="G64" s="339"/>
    </row>
  </sheetData>
  <mergeCells count="13">
    <mergeCell ref="C59:E59"/>
    <mergeCell ref="G7:G8"/>
    <mergeCell ref="A55:L55"/>
    <mergeCell ref="A3:L3"/>
    <mergeCell ref="B6:G6"/>
    <mergeCell ref="H6:H8"/>
    <mergeCell ref="I6:I8"/>
    <mergeCell ref="J6:J8"/>
    <mergeCell ref="K6:K8"/>
    <mergeCell ref="L6:L8"/>
    <mergeCell ref="B7:B8"/>
    <mergeCell ref="C7:C8"/>
    <mergeCell ref="D7:D8"/>
  </mergeCells>
  <pageMargins left="0.75" right="0.75" top="1" bottom="1" header="0.5" footer="0.5"/>
  <pageSetup scale="47"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B1:Y99"/>
  <sheetViews>
    <sheetView topLeftCell="B1" zoomScale="130" zoomScaleNormal="130" zoomScalePageLayoutView="130" workbookViewId="0">
      <pane xSplit="1" ySplit="7" topLeftCell="C42" activePane="bottomRight" state="frozen"/>
      <selection activeCell="B1" sqref="B1"/>
      <selection pane="topRight" activeCell="C1" sqref="C1"/>
      <selection pane="bottomLeft" activeCell="B8" sqref="B8"/>
      <selection pane="bottomRight" activeCell="M58" sqref="M58"/>
    </sheetView>
  </sheetViews>
  <sheetFormatPr baseColWidth="10" defaultColWidth="8.81640625" defaultRowHeight="14.5" x14ac:dyDescent="0.35"/>
  <cols>
    <col min="1" max="1" width="8.81640625" style="1141"/>
    <col min="2" max="2" width="12" style="1141" bestFit="1" customWidth="1"/>
    <col min="3" max="13" width="12.81640625" style="1141" customWidth="1"/>
    <col min="14" max="14" width="5.1796875" style="1141" customWidth="1"/>
    <col min="15" max="15" width="6.1796875" style="1141" customWidth="1"/>
    <col min="16" max="16" width="4.6328125" style="1141" customWidth="1"/>
    <col min="17" max="17" width="14" style="1141" customWidth="1"/>
    <col min="18" max="21" width="21.6328125" style="1141" customWidth="1"/>
    <col min="22" max="16384" width="8.81640625" style="1141"/>
  </cols>
  <sheetData>
    <row r="1" spans="2:25" hidden="1" x14ac:dyDescent="0.35"/>
    <row r="2" spans="2:25" ht="15" thickBot="1" x14ac:dyDescent="0.4"/>
    <row r="3" spans="2:25" ht="21.5" thickTop="1" x14ac:dyDescent="0.5">
      <c r="B3" s="2514" t="s">
        <v>678</v>
      </c>
      <c r="C3" s="2515"/>
      <c r="D3" s="2515"/>
      <c r="E3" s="2515"/>
      <c r="F3" s="2515"/>
      <c r="G3" s="2515"/>
      <c r="H3" s="2515"/>
      <c r="I3" s="2515"/>
      <c r="J3" s="2515"/>
      <c r="K3" s="2515"/>
      <c r="L3" s="2515"/>
      <c r="M3" s="2516"/>
      <c r="N3" s="1197"/>
      <c r="O3" s="1197"/>
      <c r="Q3" s="2500" t="s">
        <v>676</v>
      </c>
      <c r="R3" s="2501"/>
      <c r="S3" s="2501"/>
      <c r="T3" s="2501"/>
      <c r="U3" s="2502"/>
    </row>
    <row r="4" spans="2:25" x14ac:dyDescent="0.35">
      <c r="B4" s="1230"/>
      <c r="C4" s="1165"/>
      <c r="D4" s="1165"/>
      <c r="E4" s="1165"/>
      <c r="F4" s="1165"/>
      <c r="G4" s="1165"/>
      <c r="H4" s="1165"/>
      <c r="I4" s="1165"/>
      <c r="J4" s="1165"/>
      <c r="K4" s="1165"/>
      <c r="L4" s="1165"/>
      <c r="M4" s="1231"/>
      <c r="N4" s="1165"/>
      <c r="O4" s="1165"/>
      <c r="Q4" s="1164"/>
      <c r="R4" s="1165"/>
      <c r="S4" s="1165"/>
      <c r="T4" s="1165"/>
      <c r="U4" s="1166"/>
    </row>
    <row r="5" spans="2:25" ht="15" thickBot="1" x14ac:dyDescent="0.4">
      <c r="B5" s="1230"/>
      <c r="C5" s="323" t="s">
        <v>20</v>
      </c>
      <c r="D5" s="323" t="s">
        <v>21</v>
      </c>
      <c r="E5" s="323" t="s">
        <v>22</v>
      </c>
      <c r="F5" s="323" t="s">
        <v>23</v>
      </c>
      <c r="G5" s="323" t="s">
        <v>24</v>
      </c>
      <c r="H5" s="323" t="s">
        <v>25</v>
      </c>
      <c r="I5" s="323" t="s">
        <v>26</v>
      </c>
      <c r="J5" s="323" t="s">
        <v>33</v>
      </c>
      <c r="K5" s="10" t="s">
        <v>34</v>
      </c>
      <c r="L5" s="10" t="s">
        <v>37</v>
      </c>
      <c r="M5" s="997" t="s">
        <v>105</v>
      </c>
      <c r="N5" s="227"/>
      <c r="O5" s="1198"/>
      <c r="P5" s="351"/>
      <c r="Q5" s="1164"/>
      <c r="R5" s="351" t="s">
        <v>20</v>
      </c>
      <c r="S5" s="351" t="s">
        <v>21</v>
      </c>
      <c r="T5" s="351" t="s">
        <v>22</v>
      </c>
      <c r="U5" s="1167" t="s">
        <v>23</v>
      </c>
    </row>
    <row r="6" spans="2:25" ht="15.75" customHeight="1" x14ac:dyDescent="0.35">
      <c r="B6" s="1232"/>
      <c r="C6" s="2506" t="s">
        <v>563</v>
      </c>
      <c r="D6" s="2507"/>
      <c r="E6" s="2507"/>
      <c r="F6" s="2507"/>
      <c r="G6" s="2507"/>
      <c r="H6" s="2507"/>
      <c r="I6" s="2508" t="s">
        <v>671</v>
      </c>
      <c r="J6" s="2510" t="s">
        <v>672</v>
      </c>
      <c r="K6" s="2510" t="s">
        <v>670</v>
      </c>
      <c r="L6" s="2510" t="s">
        <v>675</v>
      </c>
      <c r="M6" s="2512" t="s">
        <v>677</v>
      </c>
      <c r="N6" s="1198"/>
      <c r="O6" s="1198"/>
      <c r="P6" s="1142"/>
      <c r="Q6" s="1168"/>
      <c r="R6" s="2503"/>
      <c r="S6" s="2504"/>
      <c r="T6" s="2504"/>
      <c r="U6" s="2505"/>
    </row>
    <row r="7" spans="2:25" ht="64.5" customHeight="1" x14ac:dyDescent="0.35">
      <c r="B7" s="1233"/>
      <c r="C7" s="1219" t="s">
        <v>17</v>
      </c>
      <c r="D7" s="1220" t="s">
        <v>10</v>
      </c>
      <c r="E7" s="1220" t="s">
        <v>673</v>
      </c>
      <c r="F7" s="1220" t="s">
        <v>674</v>
      </c>
      <c r="G7" s="1220" t="s">
        <v>668</v>
      </c>
      <c r="H7" s="1196" t="s">
        <v>669</v>
      </c>
      <c r="I7" s="2509"/>
      <c r="J7" s="2511"/>
      <c r="K7" s="2511"/>
      <c r="L7" s="2511"/>
      <c r="M7" s="2513"/>
      <c r="N7" s="1198"/>
      <c r="O7" s="1198"/>
      <c r="P7" s="1142"/>
      <c r="Q7" s="1172"/>
      <c r="R7" s="1178" t="s">
        <v>643</v>
      </c>
      <c r="S7" s="1174" t="s">
        <v>642</v>
      </c>
      <c r="T7" s="1173" t="s">
        <v>641</v>
      </c>
      <c r="U7" s="1175" t="s">
        <v>642</v>
      </c>
      <c r="X7" s="1185"/>
      <c r="Y7" s="1185"/>
    </row>
    <row r="8" spans="2:25" ht="15.5" x14ac:dyDescent="0.35">
      <c r="B8" s="1381">
        <v>1975</v>
      </c>
      <c r="C8" s="1143">
        <f>+'[3]Data C1'!AS9/1000</f>
        <v>5893.7420930127637</v>
      </c>
      <c r="D8" s="1170">
        <f t="shared" ref="D8:D47" si="0">I8*C8</f>
        <v>766.18647209165931</v>
      </c>
      <c r="E8" s="1170">
        <f>C8-D8</f>
        <v>5127.5556209211045</v>
      </c>
      <c r="F8" s="1170">
        <f t="shared" ref="F8:F47" si="1">J8*E8</f>
        <v>2563.7778104605522</v>
      </c>
      <c r="G8" s="1170">
        <f t="shared" ref="G8:G47" si="2">(1-K8)*F8</f>
        <v>741.9679016916815</v>
      </c>
      <c r="H8" s="1170">
        <f>+TableB7!T14*$H$48/TableB7!$T$54</f>
        <v>29.320843602943309</v>
      </c>
      <c r="I8" s="1203">
        <v>0.13</v>
      </c>
      <c r="J8" s="1202">
        <v>0.5</v>
      </c>
      <c r="K8" s="1199">
        <f t="shared" ref="K8:K46" si="3">K9*L8/L9</f>
        <v>0.71059586417186604</v>
      </c>
      <c r="L8" s="1139">
        <v>0.63735446570972798</v>
      </c>
      <c r="M8" s="1234">
        <f>H8/TableC6!G8</f>
        <v>3.9517671230914431E-2</v>
      </c>
      <c r="N8" s="1171"/>
      <c r="O8" s="1171"/>
      <c r="P8" s="1142"/>
      <c r="Q8" s="1168">
        <v>1975</v>
      </c>
      <c r="R8" s="1179">
        <f>+[1]UNnataccount_corp_va_gdpshare.x!B18</f>
        <v>0.53137999999999996</v>
      </c>
      <c r="S8" s="1181">
        <f>+[1]UNnataccount_corp_va_gdpshare.x!C18</f>
        <v>16</v>
      </c>
      <c r="T8" s="1182">
        <f>+[1]UNnataccount_labour_corp_share.!B18</f>
        <v>0.71513000000000004</v>
      </c>
      <c r="U8" s="1176">
        <f>+[1]UNnataccount_labour_corp_share.!C18</f>
        <v>2</v>
      </c>
    </row>
    <row r="9" spans="2:25" ht="15.5" x14ac:dyDescent="0.35">
      <c r="B9" s="1381">
        <v>1976</v>
      </c>
      <c r="C9" s="1143">
        <f>+'[3]Data C1'!AS10/1000</f>
        <v>6412.2453094432731</v>
      </c>
      <c r="D9" s="1170">
        <f t="shared" si="0"/>
        <v>838.25971716361755</v>
      </c>
      <c r="E9" s="1170">
        <f t="shared" ref="E9:E47" si="4">C9-D9</f>
        <v>5573.985592279656</v>
      </c>
      <c r="F9" s="1170">
        <f t="shared" si="1"/>
        <v>2792.5905002895956</v>
      </c>
      <c r="G9" s="1170">
        <f t="shared" si="2"/>
        <v>802.49374352175323</v>
      </c>
      <c r="H9" s="1170">
        <f>+TableB7!T15*$H$48/TableB7!$T$54</f>
        <v>33.977957353466813</v>
      </c>
      <c r="I9" s="1203">
        <f>I8+(I$48-I$8)/40</f>
        <v>0.13072795514063035</v>
      </c>
      <c r="J9" s="1199">
        <f>J8+(J$48-J$8)/40</f>
        <v>0.50100425522403946</v>
      </c>
      <c r="K9" s="1199">
        <f t="shared" si="3"/>
        <v>0.71263465107450108</v>
      </c>
      <c r="L9" s="1139">
        <v>0.63918311403508699</v>
      </c>
      <c r="M9" s="1234">
        <f>H9/TableC6!G9</f>
        <v>4.2340463869978785E-2</v>
      </c>
      <c r="N9" s="1171"/>
      <c r="O9" s="1171"/>
      <c r="P9" s="1142"/>
      <c r="Q9" s="1168">
        <v>1976</v>
      </c>
      <c r="R9" s="1179">
        <f>+[1]UNnataccount_corp_va_gdpshare.x!B19</f>
        <v>0.53154000000000001</v>
      </c>
      <c r="S9" s="1181">
        <f>+[1]UNnataccount_corp_va_gdpshare.x!C19</f>
        <v>17</v>
      </c>
      <c r="T9" s="1182">
        <f>+[1]UNnataccount_labour_corp_share.!B19</f>
        <v>0.71840999999999999</v>
      </c>
      <c r="U9" s="1176">
        <f>+[1]UNnataccount_labour_corp_share.!C19</f>
        <v>2</v>
      </c>
    </row>
    <row r="10" spans="2:25" ht="15.5" x14ac:dyDescent="0.35">
      <c r="B10" s="1381">
        <v>1977</v>
      </c>
      <c r="C10" s="1143">
        <f>+'[3]Data C1'!AS11/1000</f>
        <v>7252.9683068481354</v>
      </c>
      <c r="D10" s="1170">
        <f t="shared" si="0"/>
        <v>953.44555101785579</v>
      </c>
      <c r="E10" s="1170">
        <f t="shared" si="4"/>
        <v>6299.5227558302795</v>
      </c>
      <c r="F10" s="1170">
        <f t="shared" si="1"/>
        <v>3162.414035188136</v>
      </c>
      <c r="G10" s="1170">
        <f t="shared" si="2"/>
        <v>910.66784059710983</v>
      </c>
      <c r="H10" s="1170">
        <f>+TableB7!T16*$H$48/TableB7!$T$54</f>
        <v>34.746503237843683</v>
      </c>
      <c r="I10" s="1203">
        <f t="shared" ref="I10:I47" si="5">I9+(I$48-I$8)/40</f>
        <v>0.13145591028126069</v>
      </c>
      <c r="J10" s="1199">
        <f t="shared" ref="J10:J47" si="6">J9+(J$48-J$8)/40</f>
        <v>0.50200851044807893</v>
      </c>
      <c r="K10" s="1199">
        <f t="shared" si="3"/>
        <v>0.71203396188350998</v>
      </c>
      <c r="L10" s="1139">
        <v>0.63864433811802201</v>
      </c>
      <c r="M10" s="1234">
        <f>H10/TableC6!G10</f>
        <v>3.8154969011600294E-2</v>
      </c>
      <c r="N10" s="1171"/>
      <c r="O10" s="1171"/>
      <c r="P10" s="1142"/>
      <c r="Q10" s="1168">
        <v>1977</v>
      </c>
      <c r="R10" s="1179">
        <f>+[1]UNnataccount_corp_va_gdpshare.x!B20</f>
        <v>0.53434999999999999</v>
      </c>
      <c r="S10" s="1181">
        <f>+[1]UNnataccount_corp_va_gdpshare.x!C20</f>
        <v>18</v>
      </c>
      <c r="T10" s="1182">
        <f>+[1]UNnataccount_labour_corp_share.!B20</f>
        <v>0.71557999999999999</v>
      </c>
      <c r="U10" s="1176">
        <f>+[1]UNnataccount_labour_corp_share.!C20</f>
        <v>2</v>
      </c>
    </row>
    <row r="11" spans="2:25" ht="15.5" x14ac:dyDescent="0.35">
      <c r="B11" s="1381">
        <v>1978</v>
      </c>
      <c r="C11" s="1143">
        <f>+'[3]Data C1'!AS12/1000</f>
        <v>8537.7537570009863</v>
      </c>
      <c r="D11" s="1170">
        <f t="shared" si="0"/>
        <v>1128.553293620663</v>
      </c>
      <c r="E11" s="1170">
        <f t="shared" si="4"/>
        <v>7409.2004633803235</v>
      </c>
      <c r="F11" s="1170">
        <f t="shared" si="1"/>
        <v>3726.9224165040778</v>
      </c>
      <c r="G11" s="1170">
        <f t="shared" si="2"/>
        <v>1073.3057796291864</v>
      </c>
      <c r="H11" s="1170">
        <f>+TableB7!T17*$H$48/TableB7!$T$54</f>
        <v>43.623280388922893</v>
      </c>
      <c r="I11" s="1203">
        <f t="shared" si="5"/>
        <v>0.13218386542189103</v>
      </c>
      <c r="J11" s="1199">
        <f t="shared" si="6"/>
        <v>0.50301276567211839</v>
      </c>
      <c r="K11" s="1199">
        <f t="shared" si="3"/>
        <v>0.71201284607476023</v>
      </c>
      <c r="L11" s="1139">
        <v>0.63862539872408197</v>
      </c>
      <c r="M11" s="1234">
        <f>H11/TableC6!G11</f>
        <v>4.0643851190286316E-2</v>
      </c>
      <c r="N11" s="1171"/>
      <c r="O11" s="1171"/>
      <c r="P11" s="1142"/>
      <c r="Q11" s="1168">
        <v>1978</v>
      </c>
      <c r="R11" s="1179">
        <f>+[1]UNnataccount_corp_va_gdpshare.x!B21</f>
        <v>0.53310000000000002</v>
      </c>
      <c r="S11" s="1181">
        <f>+[1]UNnataccount_corp_va_gdpshare.x!C21</f>
        <v>18</v>
      </c>
      <c r="T11" s="1182">
        <f>+[1]UNnataccount_labour_corp_share.!B21</f>
        <v>0.69645000000000001</v>
      </c>
      <c r="U11" s="1176">
        <f>+[1]UNnataccount_labour_corp_share.!C21</f>
        <v>3</v>
      </c>
    </row>
    <row r="12" spans="2:25" ht="15.5" x14ac:dyDescent="0.35">
      <c r="B12" s="1381">
        <v>1979</v>
      </c>
      <c r="C12" s="1143">
        <f>+'[3]Data C1'!AS13/1000</f>
        <v>9919.0460897251069</v>
      </c>
      <c r="D12" s="1170">
        <f t="shared" si="0"/>
        <v>1318.3584740289227</v>
      </c>
      <c r="E12" s="1170">
        <f t="shared" si="4"/>
        <v>8600.6876156961844</v>
      </c>
      <c r="F12" s="1170">
        <f t="shared" si="1"/>
        <v>4334.8929497216695</v>
      </c>
      <c r="G12" s="1170">
        <f t="shared" si="2"/>
        <v>1220.4898310249257</v>
      </c>
      <c r="H12" s="1170">
        <f>+TableB7!T18*$H$48/TableB7!$T$54</f>
        <v>71.998239874306563</v>
      </c>
      <c r="I12" s="1203">
        <f t="shared" si="5"/>
        <v>0.13291182056252138</v>
      </c>
      <c r="J12" s="1199">
        <f t="shared" si="6"/>
        <v>0.50401702089615785</v>
      </c>
      <c r="K12" s="1199">
        <f t="shared" si="3"/>
        <v>0.71844983366814408</v>
      </c>
      <c r="L12" s="1139">
        <v>0.64439892344497596</v>
      </c>
      <c r="M12" s="1234">
        <f>H12/TableC6!G12</f>
        <v>5.8991265673917902E-2</v>
      </c>
      <c r="N12" s="1171"/>
      <c r="O12" s="1171"/>
      <c r="P12" s="1142"/>
      <c r="Q12" s="1168">
        <v>1979</v>
      </c>
      <c r="R12" s="1179">
        <f>+[1]UNnataccount_corp_va_gdpshare.x!B22</f>
        <v>0.53742000000000001</v>
      </c>
      <c r="S12" s="1181">
        <f>+[1]UNnataccount_corp_va_gdpshare.x!C22</f>
        <v>18</v>
      </c>
      <c r="T12" s="1182">
        <f>+[1]UNnataccount_labour_corp_share.!B22</f>
        <v>0.67381999999999997</v>
      </c>
      <c r="U12" s="1176">
        <f>+[1]UNnataccount_labour_corp_share.!C22</f>
        <v>3</v>
      </c>
    </row>
    <row r="13" spans="2:25" ht="15.5" x14ac:dyDescent="0.35">
      <c r="B13" s="1381">
        <v>1980</v>
      </c>
      <c r="C13" s="1143">
        <f>+'[3]Data C1'!AS14/1000</f>
        <v>11166.00384468405</v>
      </c>
      <c r="D13" s="1170">
        <f t="shared" si="0"/>
        <v>1492.2222493041061</v>
      </c>
      <c r="E13" s="1170">
        <f t="shared" si="4"/>
        <v>9673.7815953799436</v>
      </c>
      <c r="F13" s="1170">
        <f t="shared" si="1"/>
        <v>4885.4655262068572</v>
      </c>
      <c r="G13" s="1170">
        <f t="shared" si="2"/>
        <v>1344.0396620232009</v>
      </c>
      <c r="H13" s="1170">
        <f>+TableB7!T19*$H$48/TableB7!$T$54</f>
        <v>69.361386375889566</v>
      </c>
      <c r="I13" s="1203">
        <f t="shared" si="5"/>
        <v>0.13363977570315172</v>
      </c>
      <c r="J13" s="1199">
        <f t="shared" si="6"/>
        <v>0.50502127612019732</v>
      </c>
      <c r="K13" s="1199">
        <f t="shared" si="3"/>
        <v>0.72489015533659251</v>
      </c>
      <c r="L13" s="1139">
        <v>0.65017543859649096</v>
      </c>
      <c r="M13" s="1234">
        <f>H13/TableC6!G13</f>
        <v>5.1606651452144603E-2</v>
      </c>
      <c r="N13" s="1171"/>
      <c r="O13" s="1171"/>
      <c r="P13" s="1142"/>
      <c r="Q13" s="1168">
        <v>1980</v>
      </c>
      <c r="R13" s="1179">
        <f>+[1]UNnataccount_corp_va_gdpshare.x!B23</f>
        <v>0.56916</v>
      </c>
      <c r="S13" s="1181">
        <f>+[1]UNnataccount_corp_va_gdpshare.x!C23</f>
        <v>19</v>
      </c>
      <c r="T13" s="1182">
        <f>+[1]UNnataccount_labour_corp_share.!B23</f>
        <v>0.67095000000000005</v>
      </c>
      <c r="U13" s="1176">
        <f>+[1]UNnataccount_labour_corp_share.!C23</f>
        <v>6</v>
      </c>
    </row>
    <row r="14" spans="2:25" ht="15.5" x14ac:dyDescent="0.35">
      <c r="B14" s="1381">
        <v>1981</v>
      </c>
      <c r="C14" s="1143">
        <f>+'[3]Data C1'!AS15/1000</f>
        <v>11457.611762624569</v>
      </c>
      <c r="D14" s="1170">
        <f t="shared" si="0"/>
        <v>1539.5332934328894</v>
      </c>
      <c r="E14" s="1170">
        <f t="shared" si="4"/>
        <v>9918.0784691916797</v>
      </c>
      <c r="F14" s="1170">
        <f t="shared" si="1"/>
        <v>5018.8009272865538</v>
      </c>
      <c r="G14" s="1170">
        <f t="shared" si="2"/>
        <v>1432.3430306131424</v>
      </c>
      <c r="H14" s="1170">
        <f>+TableB7!T20*$H$48/TableB7!$T$54</f>
        <v>60.487496685866255</v>
      </c>
      <c r="I14" s="1203">
        <f t="shared" si="5"/>
        <v>0.13436773084378206</v>
      </c>
      <c r="J14" s="1199">
        <f t="shared" si="6"/>
        <v>0.50602553134423678</v>
      </c>
      <c r="K14" s="1199">
        <f t="shared" si="3"/>
        <v>0.71460453375911293</v>
      </c>
      <c r="L14" s="1139">
        <v>0.64094996012759098</v>
      </c>
      <c r="M14" s="1234">
        <f>H14/TableC6!G14</f>
        <v>4.2229755996350538E-2</v>
      </c>
      <c r="N14" s="1171"/>
      <c r="O14" s="1171"/>
      <c r="P14" s="1142"/>
      <c r="Q14" s="1168">
        <v>1981</v>
      </c>
      <c r="R14" s="1179">
        <f>+[1]UNnataccount_corp_va_gdpshare.x!B24</f>
        <v>0.55969999999999998</v>
      </c>
      <c r="S14" s="1181">
        <f>+[1]UNnataccount_corp_va_gdpshare.x!C24</f>
        <v>19</v>
      </c>
      <c r="T14" s="1182">
        <f>+[1]UNnataccount_labour_corp_share.!B24</f>
        <v>0.66971999999999998</v>
      </c>
      <c r="U14" s="1176">
        <f>+[1]UNnataccount_labour_corp_share.!C24</f>
        <v>7</v>
      </c>
    </row>
    <row r="15" spans="2:25" ht="15.5" x14ac:dyDescent="0.35">
      <c r="B15" s="1381">
        <v>1982</v>
      </c>
      <c r="C15" s="1143">
        <f>+'[3]Data C1'!AS16/1000</f>
        <v>11355.65642129017</v>
      </c>
      <c r="D15" s="1170">
        <f t="shared" si="0"/>
        <v>1534.1001940374931</v>
      </c>
      <c r="E15" s="1170">
        <f t="shared" si="4"/>
        <v>9821.5562272526768</v>
      </c>
      <c r="F15" s="1170">
        <f t="shared" si="1"/>
        <v>4979.8215576722487</v>
      </c>
      <c r="G15" s="1170">
        <f t="shared" si="2"/>
        <v>1425.7013319477085</v>
      </c>
      <c r="H15" s="1170">
        <f>+TableB7!T21*$H$48/TableB7!$T$54</f>
        <v>49.629440006935091</v>
      </c>
      <c r="I15" s="1203">
        <f t="shared" si="5"/>
        <v>0.13509568598441241</v>
      </c>
      <c r="J15" s="1199">
        <f t="shared" si="6"/>
        <v>0.50702978656827624</v>
      </c>
      <c r="K15" s="1199">
        <f t="shared" si="3"/>
        <v>0.71370433349139251</v>
      </c>
      <c r="L15" s="1139">
        <v>0.64014254385964897</v>
      </c>
      <c r="M15" s="1234">
        <f>H15/TableC6!G15</f>
        <v>3.4810544743711716E-2</v>
      </c>
      <c r="N15" s="1171"/>
      <c r="O15" s="1171"/>
      <c r="P15" s="1142"/>
      <c r="Q15" s="1168">
        <v>1982</v>
      </c>
      <c r="R15" s="1179">
        <f>+[1]UNnataccount_corp_va_gdpshare.x!B25</f>
        <v>0.56457000000000002</v>
      </c>
      <c r="S15" s="1181">
        <f>+[1]UNnataccount_corp_va_gdpshare.x!C25</f>
        <v>19</v>
      </c>
      <c r="T15" s="1182">
        <f>+[1]UNnataccount_labour_corp_share.!B25</f>
        <v>0.66051000000000004</v>
      </c>
      <c r="U15" s="1176">
        <f>+[1]UNnataccount_labour_corp_share.!C25</f>
        <v>7</v>
      </c>
    </row>
    <row r="16" spans="2:25" ht="15.5" x14ac:dyDescent="0.35">
      <c r="B16" s="1381">
        <v>1983</v>
      </c>
      <c r="C16" s="1143">
        <f>+'[3]Data C1'!AS17/1000</f>
        <v>11616.289845913423</v>
      </c>
      <c r="D16" s="1170">
        <f t="shared" si="0"/>
        <v>1577.7667832358229</v>
      </c>
      <c r="E16" s="1170">
        <f t="shared" si="4"/>
        <v>10038.523062677599</v>
      </c>
      <c r="F16" s="1170">
        <f t="shared" si="1"/>
        <v>5099.9114451574769</v>
      </c>
      <c r="G16" s="1170">
        <f t="shared" si="2"/>
        <v>1512.518468127596</v>
      </c>
      <c r="H16" s="1170">
        <f>+TableB7!T22*$H$48/TableB7!$T$54</f>
        <v>54.351401320338866</v>
      </c>
      <c r="I16" s="1203">
        <f t="shared" si="5"/>
        <v>0.13582364112504275</v>
      </c>
      <c r="J16" s="1199">
        <f t="shared" si="6"/>
        <v>0.5080340417923157</v>
      </c>
      <c r="K16" s="1199">
        <f t="shared" si="3"/>
        <v>0.70342260166815662</v>
      </c>
      <c r="L16" s="1139">
        <v>0.63092055422647497</v>
      </c>
      <c r="M16" s="1234">
        <f>H16/TableC6!G16</f>
        <v>3.5934372019683518E-2</v>
      </c>
      <c r="N16" s="1171"/>
      <c r="O16" s="1171"/>
      <c r="P16" s="1142"/>
      <c r="Q16" s="1168">
        <v>1983</v>
      </c>
      <c r="R16" s="1179">
        <f>+[1]UNnataccount_corp_va_gdpshare.x!B26</f>
        <v>0.56903000000000004</v>
      </c>
      <c r="S16" s="1181">
        <f>+[1]UNnataccount_corp_va_gdpshare.x!C26</f>
        <v>19</v>
      </c>
      <c r="T16" s="1182">
        <f>+[1]UNnataccount_labour_corp_share.!B26</f>
        <v>0.64142999999999994</v>
      </c>
      <c r="U16" s="1176">
        <f>+[1]UNnataccount_labour_corp_share.!C26</f>
        <v>7</v>
      </c>
    </row>
    <row r="17" spans="2:21" ht="15.5" x14ac:dyDescent="0.35">
      <c r="B17" s="1381">
        <v>1984</v>
      </c>
      <c r="C17" s="1143">
        <f>+'[3]Data C1'!AS18/1000</f>
        <v>12058.393957860559</v>
      </c>
      <c r="D17" s="1170">
        <f t="shared" si="0"/>
        <v>1646.5929433462068</v>
      </c>
      <c r="E17" s="1170">
        <f t="shared" si="4"/>
        <v>10411.801014514353</v>
      </c>
      <c r="F17" s="1170">
        <f t="shared" si="1"/>
        <v>5300.005457301545</v>
      </c>
      <c r="G17" s="1170">
        <f t="shared" si="2"/>
        <v>1620.1497331109906</v>
      </c>
      <c r="H17" s="1170">
        <f>+TableB7!T23*$H$48/TableB7!$T$54</f>
        <v>64.669743403572681</v>
      </c>
      <c r="I17" s="1203">
        <f t="shared" si="5"/>
        <v>0.13655159626567309</v>
      </c>
      <c r="J17" s="1199">
        <f t="shared" si="6"/>
        <v>0.50903829701635517</v>
      </c>
      <c r="K17" s="1199">
        <f t="shared" si="3"/>
        <v>0.69431168587213554</v>
      </c>
      <c r="L17" s="1139">
        <v>0.62274870414673</v>
      </c>
      <c r="M17" s="1234">
        <f>H17/TableC6!G17</f>
        <v>3.9915905352398924E-2</v>
      </c>
      <c r="N17" s="1171"/>
      <c r="O17" s="1171"/>
      <c r="P17" s="1142"/>
      <c r="Q17" s="1168">
        <v>1984</v>
      </c>
      <c r="R17" s="1179">
        <f>+[1]UNnataccount_corp_va_gdpshare.x!B27</f>
        <v>0.57208000000000003</v>
      </c>
      <c r="S17" s="1181">
        <f>+[1]UNnataccount_corp_va_gdpshare.x!C27</f>
        <v>19</v>
      </c>
      <c r="T17" s="1182">
        <f>+[1]UNnataccount_labour_corp_share.!B27</f>
        <v>0.62982000000000005</v>
      </c>
      <c r="U17" s="1176">
        <f>+[1]UNnataccount_labour_corp_share.!C27</f>
        <v>7</v>
      </c>
    </row>
    <row r="18" spans="2:21" ht="15.5" x14ac:dyDescent="0.35">
      <c r="B18" s="1381">
        <v>1985</v>
      </c>
      <c r="C18" s="1143">
        <f>+'[3]Data C1'!AS19/1000</f>
        <v>12681.690896005781</v>
      </c>
      <c r="D18" s="1170">
        <f t="shared" si="0"/>
        <v>1740.9368372770759</v>
      </c>
      <c r="E18" s="1170">
        <f t="shared" si="4"/>
        <v>10940.754058728704</v>
      </c>
      <c r="F18" s="1170">
        <f t="shared" si="1"/>
        <v>5580.2501235484442</v>
      </c>
      <c r="G18" s="1170">
        <f t="shared" si="2"/>
        <v>1727.2222738821888</v>
      </c>
      <c r="H18" s="1170">
        <f>+TableB7!T24*$H$48/TableB7!$T$54</f>
        <v>61.931708457322088</v>
      </c>
      <c r="I18" s="1203">
        <f t="shared" si="5"/>
        <v>0.13727955140630344</v>
      </c>
      <c r="J18" s="1199">
        <f t="shared" si="6"/>
        <v>0.51004255224039463</v>
      </c>
      <c r="K18" s="1199">
        <f t="shared" si="3"/>
        <v>0.69047583250912425</v>
      </c>
      <c r="L18" s="1139">
        <v>0.619308213716108</v>
      </c>
      <c r="M18" s="1234">
        <f>H18/TableC6!G18</f>
        <v>3.5856246989057969E-2</v>
      </c>
      <c r="N18" s="1171"/>
      <c r="O18" s="1171"/>
      <c r="P18" s="1142"/>
      <c r="Q18" s="1168">
        <v>1985</v>
      </c>
      <c r="R18" s="1179">
        <f>+[1]UNnataccount_corp_va_gdpshare.x!B28</f>
        <v>0.57572999999999996</v>
      </c>
      <c r="S18" s="1181">
        <f>+[1]UNnataccount_corp_va_gdpshare.x!C28</f>
        <v>20</v>
      </c>
      <c r="T18" s="1182">
        <f>+[1]UNnataccount_labour_corp_share.!B28</f>
        <v>0.62617</v>
      </c>
      <c r="U18" s="1176">
        <f>+[1]UNnataccount_labour_corp_share.!C28</f>
        <v>8</v>
      </c>
    </row>
    <row r="19" spans="2:21" ht="15.5" x14ac:dyDescent="0.35">
      <c r="B19" s="1381">
        <v>1986</v>
      </c>
      <c r="C19" s="1143">
        <f>+'[3]Data C1'!AS20/1000</f>
        <v>15014.21823002051</v>
      </c>
      <c r="D19" s="1170">
        <f t="shared" si="0"/>
        <v>2072.074820676648</v>
      </c>
      <c r="E19" s="1170">
        <f t="shared" si="4"/>
        <v>12942.143409343862</v>
      </c>
      <c r="F19" s="1170">
        <f t="shared" si="1"/>
        <v>6614.0410710920469</v>
      </c>
      <c r="G19" s="1170">
        <f t="shared" si="2"/>
        <v>2033.7172606860956</v>
      </c>
      <c r="H19" s="1170">
        <f>+TableB7!T25*$H$48/TableB7!$T$54</f>
        <v>78.111115240509491</v>
      </c>
      <c r="I19" s="1203">
        <f t="shared" si="5"/>
        <v>0.13800750654693378</v>
      </c>
      <c r="J19" s="1199">
        <f t="shared" si="6"/>
        <v>0.51104680746443409</v>
      </c>
      <c r="K19" s="1199">
        <f t="shared" si="3"/>
        <v>0.69251517509093607</v>
      </c>
      <c r="L19" s="1139">
        <v>0.62113736044656997</v>
      </c>
      <c r="M19" s="1234">
        <f>H19/TableC6!G19</f>
        <v>3.8408050494766366E-2</v>
      </c>
      <c r="N19" s="1171"/>
      <c r="O19" s="1171"/>
      <c r="P19" s="1142"/>
      <c r="Q19" s="1168">
        <v>1986</v>
      </c>
      <c r="R19" s="1179">
        <f>+[1]UNnataccount_corp_va_gdpshare.x!B29</f>
        <v>0.57460999999999995</v>
      </c>
      <c r="S19" s="1181">
        <f>+[1]UNnataccount_corp_va_gdpshare.x!C29</f>
        <v>20</v>
      </c>
      <c r="T19" s="1182">
        <f>+[1]UNnataccount_labour_corp_share.!B29</f>
        <v>0.63441000000000003</v>
      </c>
      <c r="U19" s="1176">
        <f>+[1]UNnataccount_labour_corp_share.!C29</f>
        <v>8</v>
      </c>
    </row>
    <row r="20" spans="2:21" ht="15.5" x14ac:dyDescent="0.35">
      <c r="B20" s="1381">
        <v>1987</v>
      </c>
      <c r="C20" s="1143">
        <f>+'[3]Data C1'!AS21/1000</f>
        <v>17083.141772179115</v>
      </c>
      <c r="D20" s="1170">
        <f t="shared" si="0"/>
        <v>2370.037560837382</v>
      </c>
      <c r="E20" s="1170">
        <f t="shared" si="4"/>
        <v>14713.104211341733</v>
      </c>
      <c r="F20" s="1170">
        <f t="shared" si="1"/>
        <v>7533.86064686379</v>
      </c>
      <c r="G20" s="1170">
        <f t="shared" si="2"/>
        <v>2329.9443322532161</v>
      </c>
      <c r="H20" s="1170">
        <f>+TableB7!T26*$H$48/TableB7!$T$54</f>
        <v>100.13077294187255</v>
      </c>
      <c r="I20" s="1203">
        <f t="shared" si="5"/>
        <v>0.13873546168756412</v>
      </c>
      <c r="J20" s="1199">
        <f t="shared" si="6"/>
        <v>0.51205106268847356</v>
      </c>
      <c r="K20" s="1199">
        <f t="shared" si="3"/>
        <v>0.69073700172259889</v>
      </c>
      <c r="L20" s="1139">
        <v>0.61954246411483205</v>
      </c>
      <c r="M20" s="1234">
        <f>H20/TableC6!G20</f>
        <v>4.2975607423649996E-2</v>
      </c>
      <c r="N20" s="1171"/>
      <c r="O20" s="1171"/>
      <c r="P20" s="1142"/>
      <c r="Q20" s="1168">
        <v>1987</v>
      </c>
      <c r="R20" s="1179">
        <f>+[1]UNnataccount_corp_va_gdpshare.x!B30</f>
        <v>0.57452999999999999</v>
      </c>
      <c r="S20" s="1181">
        <f>+[1]UNnataccount_corp_va_gdpshare.x!C30</f>
        <v>21</v>
      </c>
      <c r="T20" s="1182">
        <f>+[1]UNnataccount_labour_corp_share.!B30</f>
        <v>0.64707000000000003</v>
      </c>
      <c r="U20" s="1176">
        <f>+[1]UNnataccount_labour_corp_share.!C30</f>
        <v>8</v>
      </c>
    </row>
    <row r="21" spans="2:21" ht="15.5" x14ac:dyDescent="0.35">
      <c r="B21" s="1381">
        <v>1988</v>
      </c>
      <c r="C21" s="1143">
        <f>+'[3]Data C1'!AS22/1000</f>
        <v>19129.417553427633</v>
      </c>
      <c r="D21" s="1170">
        <f t="shared" si="0"/>
        <v>2667.8539339342578</v>
      </c>
      <c r="E21" s="1170">
        <f t="shared" si="4"/>
        <v>16461.563619493376</v>
      </c>
      <c r="F21" s="1170">
        <f t="shared" si="1"/>
        <v>8445.6927561362318</v>
      </c>
      <c r="G21" s="1170">
        <f t="shared" si="2"/>
        <v>2666.5819764218941</v>
      </c>
      <c r="H21" s="1170">
        <f>+TableB7!T27*$H$48/TableB7!$T$54</f>
        <v>131.19660550959392</v>
      </c>
      <c r="I21" s="1203">
        <f t="shared" si="5"/>
        <v>0.13946341682819446</v>
      </c>
      <c r="J21" s="1199">
        <f t="shared" si="6"/>
        <v>0.51305531791251302</v>
      </c>
      <c r="K21" s="1199">
        <f t="shared" si="3"/>
        <v>0.68426722905773663</v>
      </c>
      <c r="L21" s="1139">
        <v>0.61373953349282195</v>
      </c>
      <c r="M21" s="1234">
        <f>H21/TableC6!G21</f>
        <v>4.9200289610311462E-2</v>
      </c>
      <c r="N21" s="1171"/>
      <c r="O21" s="1171"/>
      <c r="P21" s="1142"/>
      <c r="Q21" s="1168">
        <v>1988</v>
      </c>
      <c r="R21" s="1179">
        <f>+[1]UNnataccount_corp_va_gdpshare.x!B31</f>
        <v>0.57650000000000001</v>
      </c>
      <c r="S21" s="1181">
        <f>+[1]UNnataccount_corp_va_gdpshare.x!C31</f>
        <v>23</v>
      </c>
      <c r="T21" s="1182">
        <f>+[1]UNnataccount_labour_corp_share.!B31</f>
        <v>0.64141000000000004</v>
      </c>
      <c r="U21" s="1176">
        <f>+[1]UNnataccount_labour_corp_share.!C31</f>
        <v>8</v>
      </c>
    </row>
    <row r="22" spans="2:21" ht="15.5" x14ac:dyDescent="0.35">
      <c r="B22" s="1381">
        <v>1989</v>
      </c>
      <c r="C22" s="1143">
        <f>+'[3]Data C1'!AS23/1000</f>
        <v>20080.076891209112</v>
      </c>
      <c r="D22" s="1170">
        <f t="shared" si="0"/>
        <v>2815.0535286180998</v>
      </c>
      <c r="E22" s="1170">
        <f t="shared" si="4"/>
        <v>17265.023362591011</v>
      </c>
      <c r="F22" s="1170">
        <f t="shared" si="1"/>
        <v>8875.2505399661404</v>
      </c>
      <c r="G22" s="1170">
        <f t="shared" si="2"/>
        <v>2817.989179937817</v>
      </c>
      <c r="H22" s="1170">
        <f>+TableB7!T28*$H$48/TableB7!$T$54</f>
        <v>138.74370684443437</v>
      </c>
      <c r="I22" s="1203">
        <f t="shared" si="5"/>
        <v>0.14019137196882481</v>
      </c>
      <c r="J22" s="1199">
        <f t="shared" si="6"/>
        <v>0.51405957313655248</v>
      </c>
      <c r="K22" s="1199">
        <f t="shared" si="3"/>
        <v>0.68248905568939944</v>
      </c>
      <c r="L22" s="1139">
        <v>0.61214463716108403</v>
      </c>
      <c r="M22" s="1234">
        <f>H22/TableC6!G22</f>
        <v>4.9235003396108125E-2</v>
      </c>
      <c r="N22" s="1171"/>
      <c r="O22" s="1171"/>
      <c r="P22" s="1142"/>
      <c r="Q22" s="1168">
        <v>1989</v>
      </c>
      <c r="R22" s="1179">
        <f>+[1]UNnataccount_corp_va_gdpshare.x!B32</f>
        <v>0.70777000000000001</v>
      </c>
      <c r="S22" s="1181">
        <f>+[1]UNnataccount_corp_va_gdpshare.x!C32</f>
        <v>31</v>
      </c>
      <c r="T22" s="1182">
        <f>+[1]UNnataccount_labour_corp_share.!B32</f>
        <v>0.66815000000000002</v>
      </c>
      <c r="U22" s="1176">
        <f>+[1]UNnataccount_labour_corp_share.!C32</f>
        <v>13</v>
      </c>
    </row>
    <row r="23" spans="2:21" ht="15.5" x14ac:dyDescent="0.35">
      <c r="B23" s="1381">
        <v>1990</v>
      </c>
      <c r="C23" s="1143">
        <f>+'[3]Data C1'!AS24/1000</f>
        <v>22579.759701369676</v>
      </c>
      <c r="D23" s="1170">
        <f t="shared" si="0"/>
        <v>3181.9245434102068</v>
      </c>
      <c r="E23" s="1170">
        <f t="shared" si="4"/>
        <v>19397.835157959467</v>
      </c>
      <c r="F23" s="1170">
        <f t="shared" si="1"/>
        <v>9991.1232383662918</v>
      </c>
      <c r="G23" s="1170">
        <f t="shared" si="2"/>
        <v>3102.1099226922647</v>
      </c>
      <c r="H23" s="1170">
        <f>+TableB7!T29*$H$48/TableB7!$T$54</f>
        <v>142.27723731158349</v>
      </c>
      <c r="I23" s="1203">
        <f t="shared" si="5"/>
        <v>0.14091932710945515</v>
      </c>
      <c r="J23" s="1199">
        <f t="shared" si="6"/>
        <v>0.51506382836059195</v>
      </c>
      <c r="K23" s="1199">
        <f t="shared" si="3"/>
        <v>0.68951339617351082</v>
      </c>
      <c r="L23" s="1139">
        <v>0.61844497607655402</v>
      </c>
      <c r="M23" s="1234">
        <f>H23/TableC6!G23</f>
        <v>4.5864666584124032E-2</v>
      </c>
      <c r="N23" s="1171"/>
      <c r="O23" s="1171"/>
      <c r="P23" s="1142"/>
      <c r="Q23" s="1168">
        <v>1990</v>
      </c>
      <c r="R23" s="1179">
        <f>+[1]UNnataccount_corp_va_gdpshare.x!B33</f>
        <v>0.68457000000000001</v>
      </c>
      <c r="S23" s="1181">
        <f>+[1]UNnataccount_corp_va_gdpshare.x!C33</f>
        <v>39</v>
      </c>
      <c r="T23" s="1182">
        <f>+[1]UNnataccount_labour_corp_share.!B33</f>
        <v>0.72474000000000005</v>
      </c>
      <c r="U23" s="1176">
        <f>+[1]UNnataccount_labour_corp_share.!C33</f>
        <v>14</v>
      </c>
    </row>
    <row r="24" spans="2:21" ht="15.5" x14ac:dyDescent="0.35">
      <c r="B24" s="1381">
        <v>1991</v>
      </c>
      <c r="C24" s="1143">
        <f>+'[3]Data C1'!AS25/1000</f>
        <v>23909.82910607454</v>
      </c>
      <c r="D24" s="1170">
        <f t="shared" si="0"/>
        <v>3386.7623119394498</v>
      </c>
      <c r="E24" s="1170">
        <f t="shared" si="4"/>
        <v>20523.066794135091</v>
      </c>
      <c r="F24" s="1170">
        <f t="shared" si="1"/>
        <v>10591.299749728681</v>
      </c>
      <c r="G24" s="1170">
        <f t="shared" si="2"/>
        <v>3210.9346651160845</v>
      </c>
      <c r="H24" s="1170">
        <f>+TableB7!T30*$H$48/TableB7!$T$54</f>
        <v>125.78863157366088</v>
      </c>
      <c r="I24" s="1203">
        <f t="shared" si="5"/>
        <v>0.14164728225008549</v>
      </c>
      <c r="J24" s="1199">
        <f t="shared" si="6"/>
        <v>0.51606808358463141</v>
      </c>
      <c r="K24" s="1199">
        <f t="shared" si="3"/>
        <v>0.69683280230093203</v>
      </c>
      <c r="L24" s="1139">
        <v>0.62500996810207299</v>
      </c>
      <c r="M24" s="1234">
        <f>H24/TableC6!G24</f>
        <v>3.9175082863018414E-2</v>
      </c>
      <c r="N24" s="1171"/>
      <c r="O24" s="1171"/>
      <c r="P24" s="1142"/>
      <c r="Q24" s="1168">
        <v>1991</v>
      </c>
      <c r="R24" s="1179">
        <f>+[1]UNnataccount_corp_va_gdpshare.x!B34</f>
        <v>0.68884000000000001</v>
      </c>
      <c r="S24" s="1181">
        <f>+[1]UNnataccount_corp_va_gdpshare.x!C34</f>
        <v>43</v>
      </c>
      <c r="T24" s="1182">
        <f>+[1]UNnataccount_labour_corp_share.!B34</f>
        <v>0.59109999999999996</v>
      </c>
      <c r="U24" s="1176">
        <f>+[1]UNnataccount_labour_corp_share.!C34</f>
        <v>14</v>
      </c>
    </row>
    <row r="25" spans="2:21" ht="15.5" x14ac:dyDescent="0.35">
      <c r="B25" s="1381">
        <v>1992</v>
      </c>
      <c r="C25" s="1143">
        <f>+'[3]Data C1'!AS26/1000</f>
        <v>25389.800980622156</v>
      </c>
      <c r="D25" s="1170">
        <f t="shared" si="0"/>
        <v>3614.8789419191094</v>
      </c>
      <c r="E25" s="1170">
        <f t="shared" si="4"/>
        <v>21774.922038703047</v>
      </c>
      <c r="F25" s="1170">
        <f t="shared" si="1"/>
        <v>11259.209865928657</v>
      </c>
      <c r="G25" s="1170">
        <f t="shared" si="2"/>
        <v>3370.6974069576563</v>
      </c>
      <c r="H25" s="1170">
        <f>+TableB7!T31*$H$48/TableB7!$T$54</f>
        <v>126.75472791861176</v>
      </c>
      <c r="I25" s="1203">
        <f t="shared" si="5"/>
        <v>0.14237523739071584</v>
      </c>
      <c r="J25" s="1199">
        <f t="shared" si="6"/>
        <v>0.51707233880867087</v>
      </c>
      <c r="K25" s="1199">
        <f t="shared" si="3"/>
        <v>0.70062753540479972</v>
      </c>
      <c r="L25" s="1139">
        <v>0.62841357655502295</v>
      </c>
      <c r="M25" s="1234">
        <f>H25/TableC6!G25</f>
        <v>3.7604896736494295E-2</v>
      </c>
      <c r="N25" s="1171"/>
      <c r="O25" s="1171"/>
      <c r="P25" s="1142"/>
      <c r="Q25" s="1168">
        <v>1992</v>
      </c>
      <c r="R25" s="1179">
        <f>+[1]UNnataccount_corp_va_gdpshare.x!B35</f>
        <v>0.71650999999999998</v>
      </c>
      <c r="S25" s="1181">
        <f>+[1]UNnataccount_corp_va_gdpshare.x!C35</f>
        <v>52</v>
      </c>
      <c r="T25" s="1182">
        <f>+[1]UNnataccount_labour_corp_share.!B35</f>
        <v>0.53071999999999997</v>
      </c>
      <c r="U25" s="1176">
        <f>+[1]UNnataccount_labour_corp_share.!C35</f>
        <v>18</v>
      </c>
    </row>
    <row r="26" spans="2:21" ht="15.5" x14ac:dyDescent="0.35">
      <c r="B26" s="1381">
        <v>1993</v>
      </c>
      <c r="C26" s="1143">
        <f>+'[3]Data C1'!AS27/1000</f>
        <v>25834.73503794018</v>
      </c>
      <c r="D26" s="1170">
        <f t="shared" si="0"/>
        <v>3697.0330621306684</v>
      </c>
      <c r="E26" s="1170">
        <f t="shared" si="4"/>
        <v>22137.701975809512</v>
      </c>
      <c r="F26" s="1170">
        <f t="shared" si="1"/>
        <v>11469.025239338594</v>
      </c>
      <c r="G26" s="1170">
        <f t="shared" si="2"/>
        <v>3453.878775252676</v>
      </c>
      <c r="H26" s="1170">
        <f>+TableB7!T32*$H$48/TableB7!$T$54</f>
        <v>148.2530785885088</v>
      </c>
      <c r="I26" s="1203">
        <f t="shared" si="5"/>
        <v>0.14310319253134618</v>
      </c>
      <c r="J26" s="1199">
        <f t="shared" si="6"/>
        <v>0.51807659403271034</v>
      </c>
      <c r="K26" s="1199">
        <f t="shared" si="3"/>
        <v>0.69885158475317322</v>
      </c>
      <c r="L26" s="1139">
        <v>0.62682067384369999</v>
      </c>
      <c r="M26" s="1234">
        <f>H26/TableC6!G26</f>
        <v>4.2923648522569538E-2</v>
      </c>
      <c r="N26" s="1171"/>
      <c r="O26" s="1171"/>
      <c r="P26" s="1142"/>
      <c r="Q26" s="1168">
        <v>1993</v>
      </c>
      <c r="R26" s="1179">
        <f>+[1]UNnataccount_corp_va_gdpshare.x!B36</f>
        <v>0.64585000000000004</v>
      </c>
      <c r="S26" s="1181">
        <f>+[1]UNnataccount_corp_va_gdpshare.x!C36</f>
        <v>57</v>
      </c>
      <c r="T26" s="1182">
        <f>+[1]UNnataccount_labour_corp_share.!B36</f>
        <v>0.52434000000000003</v>
      </c>
      <c r="U26" s="1176">
        <f>+[1]UNnataccount_labour_corp_share.!C36</f>
        <v>22</v>
      </c>
    </row>
    <row r="27" spans="2:21" ht="15.5" x14ac:dyDescent="0.35">
      <c r="B27" s="1381">
        <v>1994</v>
      </c>
      <c r="C27" s="1143">
        <f>+'[3]Data C1'!AS28/1000</f>
        <v>27740.746941930633</v>
      </c>
      <c r="D27" s="1170">
        <f t="shared" si="0"/>
        <v>3989.9834699357561</v>
      </c>
      <c r="E27" s="1170">
        <f t="shared" si="4"/>
        <v>23750.763471994876</v>
      </c>
      <c r="F27" s="1170">
        <f t="shared" si="1"/>
        <v>12328.566473539291</v>
      </c>
      <c r="G27" s="1170">
        <f t="shared" si="2"/>
        <v>3828.6288666460609</v>
      </c>
      <c r="H27" s="1170">
        <f>+TableB7!T33*$H$48/TableB7!$T$54</f>
        <v>187.68617174182157</v>
      </c>
      <c r="I27" s="1203">
        <f t="shared" si="5"/>
        <v>0.14383114767197652</v>
      </c>
      <c r="J27" s="1199">
        <f t="shared" si="6"/>
        <v>0.5190808492567498</v>
      </c>
      <c r="K27" s="1199">
        <f t="shared" si="3"/>
        <v>0.68945060442644179</v>
      </c>
      <c r="L27" s="1139">
        <v>0.61838865629983997</v>
      </c>
      <c r="M27" s="1234">
        <f>H27/TableC6!G27</f>
        <v>4.9021772096243324E-2</v>
      </c>
      <c r="N27" s="1171"/>
      <c r="O27" s="1171"/>
      <c r="P27" s="1142"/>
      <c r="Q27" s="1168">
        <v>1994</v>
      </c>
      <c r="R27" s="1179">
        <f>+[1]UNnataccount_corp_va_gdpshare.x!B37</f>
        <v>0.61561999999999995</v>
      </c>
      <c r="S27" s="1181">
        <f>+[1]UNnataccount_corp_va_gdpshare.x!C37</f>
        <v>63</v>
      </c>
      <c r="T27" s="1182">
        <f>+[1]UNnataccount_labour_corp_share.!B37</f>
        <v>0.48715999999999998</v>
      </c>
      <c r="U27" s="1176">
        <f>+[1]UNnataccount_labour_corp_share.!C37</f>
        <v>28</v>
      </c>
    </row>
    <row r="28" spans="2:21" ht="15.5" x14ac:dyDescent="0.35">
      <c r="B28" s="1381">
        <v>1995</v>
      </c>
      <c r="C28" s="1143">
        <f>+'[3]Data C1'!AS29/1000</f>
        <v>30840.585358589611</v>
      </c>
      <c r="D28" s="1170">
        <f t="shared" si="0"/>
        <v>4458.2873496533339</v>
      </c>
      <c r="E28" s="1170">
        <f t="shared" si="4"/>
        <v>26382.298008936275</v>
      </c>
      <c r="F28" s="1170">
        <f t="shared" si="1"/>
        <v>13721.040216420941</v>
      </c>
      <c r="G28" s="1170">
        <f t="shared" si="2"/>
        <v>4313.6468971301183</v>
      </c>
      <c r="H28" s="1170">
        <f>+TableB7!T34*$H$48/TableB7!$T$54</f>
        <v>225.53837996703288</v>
      </c>
      <c r="I28" s="1203">
        <f t="shared" si="5"/>
        <v>0.14455910281260687</v>
      </c>
      <c r="J28" s="1199">
        <f t="shared" si="6"/>
        <v>0.52008510448078926</v>
      </c>
      <c r="K28" s="1199">
        <f t="shared" si="3"/>
        <v>0.6856180851384962</v>
      </c>
      <c r="L28" s="1139">
        <v>0.61495115629983998</v>
      </c>
      <c r="M28" s="1234">
        <f>H28/TableC6!G28</f>
        <v>5.2284849767625673E-2</v>
      </c>
      <c r="N28" s="1171"/>
      <c r="O28" s="1171"/>
      <c r="P28" s="1142"/>
      <c r="Q28" s="1168">
        <v>1995</v>
      </c>
      <c r="R28" s="1179">
        <f>+[1]UNnataccount_corp_va_gdpshare.x!B38</f>
        <v>0.5595</v>
      </c>
      <c r="S28" s="1181">
        <f>+[1]UNnataccount_corp_va_gdpshare.x!C38</f>
        <v>73</v>
      </c>
      <c r="T28" s="1182">
        <f>+[1]UNnataccount_labour_corp_share.!B38</f>
        <v>0.55347999999999997</v>
      </c>
      <c r="U28" s="1176">
        <f>+[1]UNnataccount_labour_corp_share.!C38</f>
        <v>46</v>
      </c>
    </row>
    <row r="29" spans="2:21" ht="15.5" x14ac:dyDescent="0.35">
      <c r="B29" s="1381">
        <v>1996</v>
      </c>
      <c r="C29" s="1143">
        <f>+'[3]Data C1'!AS30/1000</f>
        <v>31518.975357769596</v>
      </c>
      <c r="D29" s="1170">
        <f t="shared" si="0"/>
        <v>4579.2991994309268</v>
      </c>
      <c r="E29" s="1170">
        <f t="shared" si="4"/>
        <v>26939.676158338669</v>
      </c>
      <c r="F29" s="1170">
        <f t="shared" si="1"/>
        <v>14037.978600004137</v>
      </c>
      <c r="G29" s="1170">
        <f t="shared" si="2"/>
        <v>4475.363866562715</v>
      </c>
      <c r="H29" s="1170">
        <f>+TableB7!T35*$H$48/TableB7!$T$54</f>
        <v>276.10143238204006</v>
      </c>
      <c r="I29" s="1203">
        <f t="shared" si="5"/>
        <v>0.14528705795323721</v>
      </c>
      <c r="J29" s="1199">
        <f t="shared" si="6"/>
        <v>0.52108935970482873</v>
      </c>
      <c r="K29" s="1199">
        <f t="shared" si="3"/>
        <v>0.68119599024311117</v>
      </c>
      <c r="L29" s="1139">
        <v>0.61098484848484802</v>
      </c>
      <c r="M29" s="1234">
        <f>H29/TableC6!G29</f>
        <v>6.169362773939064E-2</v>
      </c>
      <c r="N29" s="1171"/>
      <c r="O29" s="1171"/>
      <c r="P29" s="1142"/>
      <c r="Q29" s="1168">
        <v>1996</v>
      </c>
      <c r="R29" s="1179">
        <f>+[1]UNnataccount_corp_va_gdpshare.x!B39</f>
        <v>0.49248999999999998</v>
      </c>
      <c r="S29" s="1181">
        <f>+[1]UNnataccount_corp_va_gdpshare.x!C39</f>
        <v>83</v>
      </c>
      <c r="T29" s="1182">
        <f>+[1]UNnataccount_labour_corp_share.!B39</f>
        <v>0.46244000000000002</v>
      </c>
      <c r="U29" s="1176">
        <f>+[1]UNnataccount_labour_corp_share.!C39</f>
        <v>52</v>
      </c>
    </row>
    <row r="30" spans="2:21" ht="15.5" x14ac:dyDescent="0.35">
      <c r="B30" s="1381">
        <v>1997</v>
      </c>
      <c r="C30" s="1143">
        <f>+'[3]Data C1'!AS31/1000</f>
        <v>31403.319223790677</v>
      </c>
      <c r="D30" s="1170">
        <f t="shared" si="0"/>
        <v>4585.3560676526986</v>
      </c>
      <c r="E30" s="1170">
        <f t="shared" si="4"/>
        <v>26817.963156137979</v>
      </c>
      <c r="F30" s="1170">
        <f t="shared" si="1"/>
        <v>14001.487329217276</v>
      </c>
      <c r="G30" s="1170">
        <f t="shared" si="2"/>
        <v>4533.7533177939222</v>
      </c>
      <c r="H30" s="1170">
        <f>+TableB7!T36*$H$48/TableB7!$T$54</f>
        <v>297.48187839215478</v>
      </c>
      <c r="I30" s="1203">
        <f t="shared" si="5"/>
        <v>0.14601501309386755</v>
      </c>
      <c r="J30" s="1199">
        <f t="shared" si="6"/>
        <v>0.52209361492886819</v>
      </c>
      <c r="K30" s="1199">
        <f t="shared" si="3"/>
        <v>0.67619487764466146</v>
      </c>
      <c r="L30" s="1139">
        <v>0.60649920255183398</v>
      </c>
      <c r="M30" s="1234">
        <f>H30/TableC6!G30</f>
        <v>6.5614923781717002E-2</v>
      </c>
      <c r="N30" s="1171"/>
      <c r="O30" s="1171"/>
      <c r="P30" s="1142"/>
      <c r="Q30" s="1168">
        <v>1997</v>
      </c>
      <c r="R30" s="1179">
        <f>+[1]UNnataccount_corp_va_gdpshare.x!B40</f>
        <v>0.48898000000000003</v>
      </c>
      <c r="S30" s="1181">
        <f>+[1]UNnataccount_corp_va_gdpshare.x!C40</f>
        <v>89</v>
      </c>
      <c r="T30" s="1182">
        <f>+[1]UNnataccount_labour_corp_share.!B40</f>
        <v>0.45422000000000001</v>
      </c>
      <c r="U30" s="1176">
        <f>+[1]UNnataccount_labour_corp_share.!C40</f>
        <v>55</v>
      </c>
    </row>
    <row r="31" spans="2:21" ht="15.5" x14ac:dyDescent="0.35">
      <c r="B31" s="1381">
        <v>1998</v>
      </c>
      <c r="C31" s="1143">
        <f>+'[3]Data C1'!AS32/1000</f>
        <v>31314.851252939232</v>
      </c>
      <c r="D31" s="1170">
        <f t="shared" si="0"/>
        <v>4595.2342226780884</v>
      </c>
      <c r="E31" s="1170">
        <f t="shared" si="4"/>
        <v>26719.617030261143</v>
      </c>
      <c r="F31" s="1170">
        <f t="shared" si="1"/>
        <v>13976.974759830962</v>
      </c>
      <c r="G31" s="1170">
        <f t="shared" si="2"/>
        <v>4480.9865499803163</v>
      </c>
      <c r="H31" s="1170">
        <f>+TableB7!T37*$H$48/TableB7!$T$54</f>
        <v>293.29385675233658</v>
      </c>
      <c r="I31" s="1203">
        <f t="shared" si="5"/>
        <v>0.14674296823449789</v>
      </c>
      <c r="J31" s="1199">
        <f t="shared" si="6"/>
        <v>0.52309787015290765</v>
      </c>
      <c r="K31" s="1199">
        <f t="shared" si="3"/>
        <v>0.67940225785780062</v>
      </c>
      <c r="L31" s="1139">
        <v>0.60937599681020704</v>
      </c>
      <c r="M31" s="1234">
        <f>H31/TableC6!G31</f>
        <v>6.545296520776768E-2</v>
      </c>
      <c r="N31" s="1171"/>
      <c r="O31" s="1171"/>
      <c r="P31" s="1142"/>
      <c r="Q31" s="1168">
        <v>1998</v>
      </c>
      <c r="R31" s="1179">
        <f>+[1]UNnataccount_corp_va_gdpshare.x!B41</f>
        <v>0.51712999999999998</v>
      </c>
      <c r="S31" s="1181">
        <f>+[1]UNnataccount_corp_va_gdpshare.x!C41</f>
        <v>96</v>
      </c>
      <c r="T31" s="1182">
        <f>+[1]UNnataccount_labour_corp_share.!B41</f>
        <v>0.55740000000000001</v>
      </c>
      <c r="U31" s="1176">
        <f>+[1]UNnataccount_labour_corp_share.!C41</f>
        <v>60</v>
      </c>
    </row>
    <row r="32" spans="2:21" ht="15.5" x14ac:dyDescent="0.35">
      <c r="B32" s="1381">
        <v>1999</v>
      </c>
      <c r="C32" s="1143">
        <f>+'[3]Data C1'!AS33/1000</f>
        <v>32486.11387303469</v>
      </c>
      <c r="D32" s="1170">
        <f t="shared" si="0"/>
        <v>4790.757209725989</v>
      </c>
      <c r="E32" s="1170">
        <f t="shared" si="4"/>
        <v>27695.356663308703</v>
      </c>
      <c r="F32" s="1170">
        <f t="shared" si="1"/>
        <v>14515.195290312686</v>
      </c>
      <c r="G32" s="1170">
        <f t="shared" si="2"/>
        <v>4598.4172157911598</v>
      </c>
      <c r="H32" s="1170">
        <f>+TableB7!T38*$H$48/TableB7!$T$54</f>
        <v>379.10198068083832</v>
      </c>
      <c r="I32" s="1203">
        <f t="shared" si="5"/>
        <v>0.14747092337512824</v>
      </c>
      <c r="J32" s="1199">
        <f t="shared" si="6"/>
        <v>0.52410212537694711</v>
      </c>
      <c r="K32" s="1199">
        <f t="shared" si="3"/>
        <v>0.68319976935755711</v>
      </c>
      <c r="L32" s="1139">
        <v>0.61278209728867605</v>
      </c>
      <c r="M32" s="1234">
        <f>H32/TableC6!G32</f>
        <v>8.2441840940179603E-2</v>
      </c>
      <c r="N32" s="1171"/>
      <c r="O32" s="1171"/>
      <c r="P32" s="1142"/>
      <c r="Q32" s="1168">
        <v>1999</v>
      </c>
      <c r="R32" s="1179">
        <f>+[1]UNnataccount_corp_va_gdpshare.x!B42</f>
        <v>0.49095</v>
      </c>
      <c r="S32" s="1181">
        <f>+[1]UNnataccount_corp_va_gdpshare.x!C42</f>
        <v>101</v>
      </c>
      <c r="T32" s="1182">
        <f>+[1]UNnataccount_labour_corp_share.!B42</f>
        <v>0.58123999999999998</v>
      </c>
      <c r="U32" s="1176">
        <f>+[1]UNnataccount_labour_corp_share.!C42</f>
        <v>64</v>
      </c>
    </row>
    <row r="33" spans="2:21" ht="15.5" x14ac:dyDescent="0.35">
      <c r="B33" s="1381">
        <v>2000</v>
      </c>
      <c r="C33" s="1143">
        <f>+'[3]Data C1'!AS34/1000</f>
        <v>33543.172517932886</v>
      </c>
      <c r="D33" s="1170">
        <f t="shared" si="0"/>
        <v>4971.0605490182679</v>
      </c>
      <c r="E33" s="1170">
        <f t="shared" si="4"/>
        <v>28572.111968914618</v>
      </c>
      <c r="F33" s="1170">
        <f t="shared" si="1"/>
        <v>15003.398302122883</v>
      </c>
      <c r="G33" s="1170">
        <f t="shared" si="2"/>
        <v>4621.2208480454574</v>
      </c>
      <c r="H33" s="1170">
        <f>+TableB7!T39*$H$48/TableB7!$T$54</f>
        <v>440.6241509117329</v>
      </c>
      <c r="I33" s="1203">
        <f t="shared" si="5"/>
        <v>0.14819887851575858</v>
      </c>
      <c r="J33" s="1199">
        <f t="shared" si="6"/>
        <v>0.52510638060098658</v>
      </c>
      <c r="K33" s="1199">
        <f t="shared" si="3"/>
        <v>0.69198839123056644</v>
      </c>
      <c r="L33" s="1139">
        <v>0.62066487240829304</v>
      </c>
      <c r="M33" s="1234">
        <f>H33/TableC6!G33</f>
        <v>9.5347996860633624E-2</v>
      </c>
      <c r="N33" s="1171"/>
      <c r="O33" s="1171"/>
      <c r="P33" s="1142"/>
      <c r="Q33" s="1168">
        <v>2000</v>
      </c>
      <c r="R33" s="1179">
        <f>+[1]UNnataccount_corp_va_gdpshare.x!B43</f>
        <v>0.5776</v>
      </c>
      <c r="S33" s="1181">
        <f>+[1]UNnataccount_corp_va_gdpshare.x!C43</f>
        <v>106</v>
      </c>
      <c r="T33" s="1182">
        <f>+[1]UNnataccount_labour_corp_share.!B43</f>
        <v>0.60068999999999995</v>
      </c>
      <c r="U33" s="1176">
        <f>+[1]UNnataccount_labour_corp_share.!C43</f>
        <v>67</v>
      </c>
    </row>
    <row r="34" spans="2:21" ht="15.5" x14ac:dyDescent="0.35">
      <c r="B34" s="1381">
        <v>2001</v>
      </c>
      <c r="C34" s="1143">
        <f>+'[3]Data C1'!AS35/1000</f>
        <v>33335.98179663792</v>
      </c>
      <c r="D34" s="1170">
        <f t="shared" si="0"/>
        <v>4964.6222158003047</v>
      </c>
      <c r="E34" s="1170">
        <f t="shared" si="4"/>
        <v>28371.359580837616</v>
      </c>
      <c r="F34" s="1170">
        <f t="shared" si="1"/>
        <v>14926.474028294922</v>
      </c>
      <c r="G34" s="1170">
        <f t="shared" si="2"/>
        <v>4567.1368506129529</v>
      </c>
      <c r="H34" s="1170">
        <f>+TableB7!T40*$H$48/TableB7!$T$54</f>
        <v>369.95715089507036</v>
      </c>
      <c r="I34" s="1203">
        <f t="shared" si="5"/>
        <v>0.14892683365638892</v>
      </c>
      <c r="J34" s="1199">
        <f t="shared" si="6"/>
        <v>0.52611063582502604</v>
      </c>
      <c r="K34" s="1199">
        <f t="shared" si="3"/>
        <v>0.69402439973731256</v>
      </c>
      <c r="L34" s="1139">
        <v>0.622491028708133</v>
      </c>
      <c r="M34" s="1234">
        <f>H34/TableC6!G34</f>
        <v>8.1004174605676341E-2</v>
      </c>
      <c r="N34" s="1171"/>
      <c r="O34" s="1171"/>
      <c r="P34" s="1142"/>
      <c r="Q34" s="1168">
        <v>2001</v>
      </c>
      <c r="R34" s="1179">
        <f>+[1]UNnataccount_corp_va_gdpshare.x!B44</f>
        <v>0.57091999999999998</v>
      </c>
      <c r="S34" s="1181">
        <f>+[1]UNnataccount_corp_va_gdpshare.x!C44</f>
        <v>109</v>
      </c>
      <c r="T34" s="1182">
        <f>+[1]UNnataccount_labour_corp_share.!B44</f>
        <v>0.59001999999999999</v>
      </c>
      <c r="U34" s="1176">
        <f>+[1]UNnataccount_labour_corp_share.!C44</f>
        <v>68</v>
      </c>
    </row>
    <row r="35" spans="2:21" ht="15.5" x14ac:dyDescent="0.35">
      <c r="B35" s="1381">
        <v>2002</v>
      </c>
      <c r="C35" s="1143">
        <f>+'[3]Data C1'!AS36/1000</f>
        <v>34612.40754836415</v>
      </c>
      <c r="D35" s="1170">
        <f t="shared" si="0"/>
        <v>5179.9125414067921</v>
      </c>
      <c r="E35" s="1170">
        <f t="shared" si="4"/>
        <v>29432.495006957357</v>
      </c>
      <c r="F35" s="1170">
        <f t="shared" si="1"/>
        <v>15514.306398894492</v>
      </c>
      <c r="G35" s="1170">
        <f t="shared" si="2"/>
        <v>4874.7362295790444</v>
      </c>
      <c r="H35" s="1170">
        <f>+TableB7!T41*$H$48/TableB7!$T$54</f>
        <v>414.23877240473689</v>
      </c>
      <c r="I35" s="1203">
        <f t="shared" si="5"/>
        <v>0.14965478879701927</v>
      </c>
      <c r="J35" s="1199">
        <f t="shared" si="6"/>
        <v>0.5271148910490655</v>
      </c>
      <c r="K35" s="1199">
        <f t="shared" si="3"/>
        <v>0.68579090136273158</v>
      </c>
      <c r="L35" s="1139">
        <v>0.61510616028708098</v>
      </c>
      <c r="M35" s="1234">
        <f>H35/TableC6!G35</f>
        <v>8.4976653688708048E-2</v>
      </c>
      <c r="N35" s="1171"/>
      <c r="O35" s="1171"/>
      <c r="P35" s="1142"/>
      <c r="Q35" s="1168">
        <v>2002</v>
      </c>
      <c r="R35" s="1179">
        <f>+[1]UNnataccount_corp_va_gdpshare.x!B45</f>
        <v>0.57062999999999997</v>
      </c>
      <c r="S35" s="1181">
        <f>+[1]UNnataccount_corp_va_gdpshare.x!C45</f>
        <v>114</v>
      </c>
      <c r="T35" s="1182">
        <f>+[1]UNnataccount_labour_corp_share.!B45</f>
        <v>0.57604</v>
      </c>
      <c r="U35" s="1176">
        <f>+[1]UNnataccount_labour_corp_share.!C45</f>
        <v>70</v>
      </c>
    </row>
    <row r="36" spans="2:21" ht="15.5" x14ac:dyDescent="0.35">
      <c r="B36" s="1381">
        <v>2003</v>
      </c>
      <c r="C36" s="1143">
        <f>+'[3]Data C1'!AS37/1000</f>
        <v>38867.460637801349</v>
      </c>
      <c r="D36" s="1170">
        <f t="shared" si="0"/>
        <v>5844.9953806011554</v>
      </c>
      <c r="E36" s="1170">
        <f t="shared" si="4"/>
        <v>33022.465257200194</v>
      </c>
      <c r="F36" s="1170">
        <f t="shared" si="1"/>
        <v>17439.796159465837</v>
      </c>
      <c r="G36" s="1170">
        <f t="shared" si="2"/>
        <v>5623.3137831522918</v>
      </c>
      <c r="H36" s="1170">
        <f>+TableB7!T42*$H$48/TableB7!$T$54</f>
        <v>582.85807630747797</v>
      </c>
      <c r="I36" s="1203">
        <f t="shared" si="5"/>
        <v>0.15038274393764961</v>
      </c>
      <c r="J36" s="1199">
        <f t="shared" si="6"/>
        <v>0.52811914627310497</v>
      </c>
      <c r="K36" s="1199">
        <f t="shared" si="3"/>
        <v>0.67755851434650438</v>
      </c>
      <c r="L36" s="1139">
        <v>0.60772228867623501</v>
      </c>
      <c r="M36" s="1234">
        <f>H36/TableC6!G36</f>
        <v>0.10365028500699139</v>
      </c>
      <c r="N36" s="1171"/>
      <c r="O36" s="1171"/>
      <c r="P36" s="1142"/>
      <c r="Q36" s="1168">
        <v>2003</v>
      </c>
      <c r="R36" s="1179">
        <f>+[1]UNnataccount_corp_va_gdpshare.x!B46</f>
        <v>0.56552000000000002</v>
      </c>
      <c r="S36" s="1181">
        <f>+[1]UNnataccount_corp_va_gdpshare.x!C46</f>
        <v>114</v>
      </c>
      <c r="T36" s="1182">
        <f>+[1]UNnataccount_labour_corp_share.!B46</f>
        <v>0.56644000000000005</v>
      </c>
      <c r="U36" s="1176">
        <f>+[1]UNnataccount_labour_corp_share.!C46</f>
        <v>70</v>
      </c>
    </row>
    <row r="37" spans="2:21" ht="15.5" x14ac:dyDescent="0.35">
      <c r="B37" s="1381">
        <v>2004</v>
      </c>
      <c r="C37" s="1143">
        <f>+'[3]Data C1'!AS38/1000</f>
        <v>43770.74399911514</v>
      </c>
      <c r="D37" s="1170">
        <f t="shared" si="0"/>
        <v>6614.2277248827158</v>
      </c>
      <c r="E37" s="1170">
        <f t="shared" si="4"/>
        <v>37156.516274232425</v>
      </c>
      <c r="F37" s="1170">
        <f t="shared" si="1"/>
        <v>19660.382278805864</v>
      </c>
      <c r="G37" s="1170">
        <f t="shared" si="2"/>
        <v>6593.4133819685367</v>
      </c>
      <c r="H37" s="1170">
        <f>+TableB7!T43*$H$48/TableB7!$T$54</f>
        <v>879.34979617921624</v>
      </c>
      <c r="I37" s="1203">
        <f t="shared" si="5"/>
        <v>0.15111069907827995</v>
      </c>
      <c r="J37" s="1199">
        <f t="shared" si="6"/>
        <v>0.52912340149714443</v>
      </c>
      <c r="K37" s="1199">
        <f t="shared" si="3"/>
        <v>0.66463452803375456</v>
      </c>
      <c r="L37" s="1139">
        <v>0.59613038277511898</v>
      </c>
      <c r="M37" s="1234">
        <f>H37/TableC6!G37</f>
        <v>0.13336791510510093</v>
      </c>
      <c r="N37" s="1171"/>
      <c r="O37" s="1171"/>
      <c r="P37" s="1142"/>
      <c r="Q37" s="1168">
        <v>2004</v>
      </c>
      <c r="R37" s="1179">
        <f>+[1]UNnataccount_corp_va_gdpshare.x!B47</f>
        <v>0.56801000000000001</v>
      </c>
      <c r="S37" s="1181">
        <f>+[1]UNnataccount_corp_va_gdpshare.x!C47</f>
        <v>115</v>
      </c>
      <c r="T37" s="1182">
        <f>+[1]UNnataccount_labour_corp_share.!B47</f>
        <v>0.55098000000000003</v>
      </c>
      <c r="U37" s="1176">
        <f>+[1]UNnataccount_labour_corp_share.!C47</f>
        <v>71</v>
      </c>
    </row>
    <row r="38" spans="2:21" ht="15.5" x14ac:dyDescent="0.35">
      <c r="B38" s="1381">
        <v>2005</v>
      </c>
      <c r="C38" s="1143">
        <f>+'[3]Data C1'!AS39/1000</f>
        <v>47385.623695561335</v>
      </c>
      <c r="D38" s="1170">
        <f t="shared" si="0"/>
        <v>7194.9693312577401</v>
      </c>
      <c r="E38" s="1170">
        <f t="shared" si="4"/>
        <v>40190.654364303598</v>
      </c>
      <c r="F38" s="1170">
        <f t="shared" si="1"/>
        <v>21306.177420239288</v>
      </c>
      <c r="G38" s="1170">
        <f t="shared" si="2"/>
        <v>7258.2449171998196</v>
      </c>
      <c r="H38" s="1170">
        <f>+TableB7!T44*$H$48/TableB7!$T$54</f>
        <v>1154.5272410233706</v>
      </c>
      <c r="I38" s="1203">
        <f t="shared" si="5"/>
        <v>0.1518386542189103</v>
      </c>
      <c r="J38" s="1199">
        <f t="shared" si="6"/>
        <v>0.53012765672118389</v>
      </c>
      <c r="K38" s="1199">
        <f t="shared" si="3"/>
        <v>0.65933612707528544</v>
      </c>
      <c r="L38" s="1139">
        <v>0.591378090111642</v>
      </c>
      <c r="M38" s="1234">
        <f>H38/TableC6!G38</f>
        <v>0.15906424406918185</v>
      </c>
      <c r="N38" s="1171"/>
      <c r="O38" s="1171"/>
      <c r="P38" s="1142"/>
      <c r="Q38" s="1168">
        <v>2005</v>
      </c>
      <c r="R38" s="1179">
        <f>+[1]UNnataccount_corp_va_gdpshare.x!B48</f>
        <v>0.57111000000000001</v>
      </c>
      <c r="S38" s="1181">
        <f>+[1]UNnataccount_corp_va_gdpshare.x!C48</f>
        <v>117</v>
      </c>
      <c r="T38" s="1182">
        <f>+[1]UNnataccount_labour_corp_share.!B48</f>
        <v>0.53764999999999996</v>
      </c>
      <c r="U38" s="1176">
        <f>+[1]UNnataccount_labour_corp_share.!C48</f>
        <v>70</v>
      </c>
    </row>
    <row r="39" spans="2:21" ht="15.5" x14ac:dyDescent="0.35">
      <c r="B39" s="1381">
        <v>2006</v>
      </c>
      <c r="C39" s="1143">
        <f>+'[3]Data C1'!AS40/1000</f>
        <v>51306.757202149049</v>
      </c>
      <c r="D39" s="1170">
        <f t="shared" si="0"/>
        <v>7827.6979835650718</v>
      </c>
      <c r="E39" s="1170">
        <f t="shared" si="4"/>
        <v>43479.059218583978</v>
      </c>
      <c r="F39" s="1170">
        <f t="shared" si="1"/>
        <v>23093.115852346098</v>
      </c>
      <c r="G39" s="1170">
        <f t="shared" si="2"/>
        <v>7982.5970480585947</v>
      </c>
      <c r="H39" s="1170">
        <f>+TableB7!T45*$H$48/TableB7!$T$54</f>
        <v>1340.0586449522318</v>
      </c>
      <c r="I39" s="1203">
        <f t="shared" si="5"/>
        <v>0.15256660935954064</v>
      </c>
      <c r="J39" s="1199">
        <f t="shared" si="6"/>
        <v>0.53113191194522336</v>
      </c>
      <c r="K39" s="1199">
        <f t="shared" si="3"/>
        <v>0.65433001336423735</v>
      </c>
      <c r="L39" s="1139">
        <v>0.58688795853269504</v>
      </c>
      <c r="M39" s="1234">
        <f>H39/TableC6!G39</f>
        <v>0.16787251528349917</v>
      </c>
      <c r="N39" s="1171"/>
      <c r="O39" s="1171"/>
      <c r="P39" s="1142"/>
      <c r="Q39" s="1168">
        <v>2006</v>
      </c>
      <c r="R39" s="1179">
        <f>+[1]UNnataccount_corp_va_gdpshare.x!B49</f>
        <v>0.5756</v>
      </c>
      <c r="S39" s="1181">
        <f>+[1]UNnataccount_corp_va_gdpshare.x!C49</f>
        <v>118</v>
      </c>
      <c r="T39" s="1182">
        <f>+[1]UNnataccount_labour_corp_share.!B49</f>
        <v>0.52773000000000003</v>
      </c>
      <c r="U39" s="1176">
        <f>+[1]UNnataccount_labour_corp_share.!C49</f>
        <v>70</v>
      </c>
    </row>
    <row r="40" spans="2:21" ht="15.5" x14ac:dyDescent="0.35">
      <c r="B40" s="1381">
        <v>2007</v>
      </c>
      <c r="C40" s="1143">
        <f>+'[3]Data C1'!AS41/1000</f>
        <v>57793.33057329747</v>
      </c>
      <c r="D40" s="1170">
        <f t="shared" si="0"/>
        <v>8859.4034412480523</v>
      </c>
      <c r="E40" s="1170">
        <f t="shared" si="4"/>
        <v>48933.927132049415</v>
      </c>
      <c r="F40" s="1170">
        <f t="shared" si="1"/>
        <v>26039.512428588772</v>
      </c>
      <c r="G40" s="1170">
        <f t="shared" si="2"/>
        <v>8978.6066013275668</v>
      </c>
      <c r="H40" s="1170">
        <f>+TableB7!T46*$H$48/TableB7!$T$54</f>
        <v>1626.0616625384382</v>
      </c>
      <c r="I40" s="1203">
        <f t="shared" si="5"/>
        <v>0.15329456450017098</v>
      </c>
      <c r="J40" s="1199">
        <f t="shared" si="6"/>
        <v>0.53213616716926282</v>
      </c>
      <c r="K40" s="1199">
        <f t="shared" si="3"/>
        <v>0.65519298312705898</v>
      </c>
      <c r="L40" s="1139">
        <v>0.58766198165869199</v>
      </c>
      <c r="M40" s="1234">
        <f>H40/TableC6!G40</f>
        <v>0.18110401031469744</v>
      </c>
      <c r="N40" s="1171"/>
      <c r="O40" s="1171"/>
      <c r="P40" s="1142"/>
      <c r="Q40" s="1168">
        <v>2007</v>
      </c>
      <c r="R40" s="1179">
        <f>+[1]UNnataccount_corp_va_gdpshare.x!B50</f>
        <v>0.57330000000000003</v>
      </c>
      <c r="S40" s="1181">
        <f>+[1]UNnataccount_corp_va_gdpshare.x!C50</f>
        <v>115</v>
      </c>
      <c r="T40" s="1182">
        <f>+[1]UNnataccount_labour_corp_share.!B50</f>
        <v>0.52429000000000003</v>
      </c>
      <c r="U40" s="1176">
        <f>+[1]UNnataccount_labour_corp_share.!C50</f>
        <v>74</v>
      </c>
    </row>
    <row r="41" spans="2:21" ht="15.5" x14ac:dyDescent="0.35">
      <c r="B41" s="1381">
        <v>2008</v>
      </c>
      <c r="C41" s="1143">
        <f>+'[3]Data C1'!AS42/1000</f>
        <v>63386.360636271289</v>
      </c>
      <c r="D41" s="1170">
        <f t="shared" si="0"/>
        <v>9762.9269760590105</v>
      </c>
      <c r="E41" s="1170">
        <f t="shared" si="4"/>
        <v>53623.433660212278</v>
      </c>
      <c r="F41" s="1170">
        <f t="shared" si="1"/>
        <v>28588.820071784798</v>
      </c>
      <c r="G41" s="1170">
        <f t="shared" si="2"/>
        <v>9681.9560322836423</v>
      </c>
      <c r="H41" s="1170">
        <f>+TableB7!T47*$H$48/TableB7!$T$54</f>
        <v>1451.1898023409158</v>
      </c>
      <c r="I41" s="1203">
        <f t="shared" si="5"/>
        <v>0.15402251964080133</v>
      </c>
      <c r="J41" s="1199">
        <f t="shared" si="6"/>
        <v>0.53314042239330228</v>
      </c>
      <c r="K41" s="1199">
        <f t="shared" si="3"/>
        <v>0.66133768347302069</v>
      </c>
      <c r="L41" s="1139">
        <v>0.59317334529505505</v>
      </c>
      <c r="M41" s="1234">
        <f>H41/TableC6!G41</f>
        <v>0.14988601451008962</v>
      </c>
      <c r="N41" s="1171"/>
      <c r="O41" s="1171"/>
      <c r="P41" s="1142"/>
      <c r="Q41" s="1168">
        <v>2008</v>
      </c>
      <c r="R41" s="1179">
        <f>+[1]UNnataccount_corp_va_gdpshare.x!B51</f>
        <v>0.67188000000000003</v>
      </c>
      <c r="S41" s="1181">
        <f>+[1]UNnataccount_corp_va_gdpshare.x!C51</f>
        <v>119</v>
      </c>
      <c r="T41" s="1182">
        <f>+[1]UNnataccount_labour_corp_share.!B51</f>
        <v>0.56511999999999996</v>
      </c>
      <c r="U41" s="1176">
        <f>+[1]UNnataccount_labour_corp_share.!C51</f>
        <v>76</v>
      </c>
    </row>
    <row r="42" spans="2:21" ht="15.5" x14ac:dyDescent="0.35">
      <c r="B42" s="1381">
        <v>2009</v>
      </c>
      <c r="C42" s="1143">
        <f>+'[3]Data C1'!AS43/1000</f>
        <v>60086.989443247432</v>
      </c>
      <c r="D42" s="1170">
        <f t="shared" si="0"/>
        <v>9298.4901445294126</v>
      </c>
      <c r="E42" s="1170">
        <f t="shared" si="4"/>
        <v>50788.499298718016</v>
      </c>
      <c r="F42" s="1170">
        <f t="shared" si="1"/>
        <v>27128.406584582321</v>
      </c>
      <c r="G42" s="1170">
        <f t="shared" si="2"/>
        <v>9068.4297083077108</v>
      </c>
      <c r="H42" s="1170">
        <f>+TableB7!T48*$H$48/TableB7!$T$54</f>
        <v>1351.0670902278241</v>
      </c>
      <c r="I42" s="1203">
        <f t="shared" si="5"/>
        <v>0.15475047478143167</v>
      </c>
      <c r="J42" s="1199">
        <f t="shared" si="6"/>
        <v>0.53414467761734175</v>
      </c>
      <c r="K42" s="1199">
        <f t="shared" si="3"/>
        <v>0.66572199218432893</v>
      </c>
      <c r="L42" s="1204">
        <v>0.59710576156299799</v>
      </c>
      <c r="M42" s="1234">
        <f>H42/TableC6!G42</f>
        <v>0.14898578184821715</v>
      </c>
      <c r="N42" s="1200"/>
      <c r="O42" s="1200"/>
      <c r="P42" s="1142"/>
      <c r="Q42" s="1168">
        <v>2009</v>
      </c>
      <c r="R42" s="1179">
        <f>+[1]UNnataccount_corp_va_gdpshare.x!B52</f>
        <v>0.65393000000000001</v>
      </c>
      <c r="S42" s="1181">
        <f>+[1]UNnataccount_corp_va_gdpshare.x!C52</f>
        <v>119</v>
      </c>
      <c r="T42" s="1182">
        <f>+[1]UNnataccount_labour_corp_share.!B52</f>
        <v>0.62566999999999995</v>
      </c>
      <c r="U42" s="1176">
        <f>+[1]UNnataccount_labour_corp_share.!C52</f>
        <v>77</v>
      </c>
    </row>
    <row r="43" spans="2:21" ht="15.5" x14ac:dyDescent="0.35">
      <c r="B43" s="1381">
        <v>2010</v>
      </c>
      <c r="C43" s="1143">
        <f>+'[3]Data C1'!AS44/1000</f>
        <v>65906.150720610196</v>
      </c>
      <c r="D43" s="1170">
        <f t="shared" si="0"/>
        <v>10246.984836247249</v>
      </c>
      <c r="E43" s="1170">
        <f t="shared" si="4"/>
        <v>55659.165884362948</v>
      </c>
      <c r="F43" s="1170">
        <f t="shared" si="1"/>
        <v>29785.943225858242</v>
      </c>
      <c r="G43" s="1170">
        <f t="shared" si="2"/>
        <v>10394.173810299038</v>
      </c>
      <c r="H43" s="1170">
        <f>+TableB7!T49*$H$48/TableB7!$T$54</f>
        <v>1784.5592123315012</v>
      </c>
      <c r="I43" s="1203">
        <f t="shared" si="5"/>
        <v>0.15547842992206201</v>
      </c>
      <c r="J43" s="1199">
        <f t="shared" si="6"/>
        <v>0.53514893284138121</v>
      </c>
      <c r="K43" s="1199">
        <f t="shared" si="3"/>
        <v>0.65103761423692352</v>
      </c>
      <c r="L43" s="1204">
        <v>0.58393490829345995</v>
      </c>
      <c r="M43" s="1234">
        <f>H43/TableC6!G43</f>
        <v>0.17168841361525777</v>
      </c>
      <c r="N43" s="1200"/>
      <c r="O43" s="1200"/>
      <c r="P43" s="1142"/>
      <c r="Q43" s="1168">
        <v>2010</v>
      </c>
      <c r="R43" s="1179">
        <f>+[1]UNnataccount_corp_va_gdpshare.x!B53</f>
        <v>0.66044999999999998</v>
      </c>
      <c r="S43" s="1181">
        <f>+[1]UNnataccount_corp_va_gdpshare.x!C53</f>
        <v>114</v>
      </c>
      <c r="T43" s="1182">
        <f>+[1]UNnataccount_labour_corp_share.!B53</f>
        <v>0.57135000000000002</v>
      </c>
      <c r="U43" s="1176">
        <f>+[1]UNnataccount_labour_corp_share.!C53</f>
        <v>77</v>
      </c>
    </row>
    <row r="44" spans="2:21" ht="15.5" x14ac:dyDescent="0.35">
      <c r="B44" s="1381">
        <v>2011</v>
      </c>
      <c r="C44" s="1143">
        <f>+'[3]Data C1'!AS45/1000</f>
        <v>73241.71791843549</v>
      </c>
      <c r="D44" s="1170">
        <f t="shared" si="0"/>
        <v>11440.823991820229</v>
      </c>
      <c r="E44" s="1170">
        <f t="shared" si="4"/>
        <v>61800.893926615259</v>
      </c>
      <c r="F44" s="1170">
        <f t="shared" si="1"/>
        <v>33134.746304047665</v>
      </c>
      <c r="G44" s="1170">
        <f t="shared" si="2"/>
        <v>11437.042603226486</v>
      </c>
      <c r="H44" s="1170">
        <f>+TableB7!T50*$H$48/TableB7!$T$54</f>
        <v>1934.2740680795559</v>
      </c>
      <c r="I44" s="1203">
        <f t="shared" si="5"/>
        <v>0.15620638506269235</v>
      </c>
      <c r="J44" s="1199">
        <f t="shared" si="6"/>
        <v>0.53615318806542067</v>
      </c>
      <c r="K44" s="1199">
        <f t="shared" si="3"/>
        <v>0.65483234734079243</v>
      </c>
      <c r="L44" s="1204">
        <v>0.58733851674641102</v>
      </c>
      <c r="M44" s="1234">
        <f>H44/TableC6!G44</f>
        <v>0.16912362182981472</v>
      </c>
      <c r="N44" s="1200"/>
      <c r="O44" s="1200"/>
      <c r="P44" s="1142"/>
      <c r="Q44" s="1168">
        <v>2011</v>
      </c>
      <c r="R44" s="1179">
        <f>+[1]UNnataccount_corp_va_gdpshare.x!B54</f>
        <v>0.61506000000000005</v>
      </c>
      <c r="S44" s="1181">
        <f>+[1]UNnataccount_corp_va_gdpshare.x!C54</f>
        <v>112</v>
      </c>
      <c r="T44" s="1182">
        <f>+[1]UNnataccount_labour_corp_share.!B54</f>
        <v>0.58191000000000004</v>
      </c>
      <c r="U44" s="1176">
        <f>+[1]UNnataccount_labour_corp_share.!C54</f>
        <v>76</v>
      </c>
    </row>
    <row r="45" spans="2:21" ht="15.5" x14ac:dyDescent="0.35">
      <c r="B45" s="1381">
        <v>2012</v>
      </c>
      <c r="C45" s="1143">
        <f>+'[3]Data C1'!AS46/1000</f>
        <v>74802.287630428982</v>
      </c>
      <c r="D45" s="1170">
        <f t="shared" si="0"/>
        <v>11739.047654980539</v>
      </c>
      <c r="E45" s="1170">
        <f t="shared" si="4"/>
        <v>63063.239975448443</v>
      </c>
      <c r="F45" s="1170">
        <f t="shared" si="1"/>
        <v>33874.888750761565</v>
      </c>
      <c r="G45" s="1170">
        <f t="shared" si="2"/>
        <v>11444.590589474463</v>
      </c>
      <c r="H45" s="1170">
        <f>+TableB7!T51*$H$48/TableB7!$T$54</f>
        <v>1820.351698336842</v>
      </c>
      <c r="I45" s="1203">
        <f t="shared" si="5"/>
        <v>0.1569343402033227</v>
      </c>
      <c r="J45" s="1199">
        <f t="shared" si="6"/>
        <v>0.53715744328946013</v>
      </c>
      <c r="K45" s="1199">
        <f t="shared" si="3"/>
        <v>0.66215119778903575</v>
      </c>
      <c r="L45" s="1204">
        <v>0.59390301036682602</v>
      </c>
      <c r="M45" s="1234">
        <f>H45/TableC6!G45</f>
        <v>0.15905782597509527</v>
      </c>
      <c r="N45" s="1200"/>
      <c r="O45" s="1200"/>
      <c r="P45" s="1142"/>
      <c r="Q45" s="1168">
        <v>2012</v>
      </c>
      <c r="R45" s="1179">
        <f>+[1]UNnataccount_corp_va_gdpshare.x!B55</f>
        <v>0.60602</v>
      </c>
      <c r="S45" s="1181">
        <f>+[1]UNnataccount_corp_va_gdpshare.x!C55</f>
        <v>217</v>
      </c>
      <c r="T45" s="1182">
        <f>+[1]UNnataccount_labour_corp_share.!B55</f>
        <v>0.58535999999999999</v>
      </c>
      <c r="U45" s="1176">
        <f>+[1]UNnataccount_labour_corp_share.!C55</f>
        <v>74</v>
      </c>
    </row>
    <row r="46" spans="2:21" ht="15.5" x14ac:dyDescent="0.35">
      <c r="B46" s="1381">
        <v>2013</v>
      </c>
      <c r="C46" s="1143">
        <f>+'[3]Data C1'!AS47/1000</f>
        <v>76924.649544655607</v>
      </c>
      <c r="D46" s="1170">
        <f t="shared" si="0"/>
        <v>12128.116815739575</v>
      </c>
      <c r="E46" s="1170">
        <f t="shared" si="4"/>
        <v>64796.532728916034</v>
      </c>
      <c r="F46" s="1170">
        <f t="shared" si="1"/>
        <v>34871.012111179021</v>
      </c>
      <c r="G46" s="1170">
        <f t="shared" si="2"/>
        <v>11781.129673645861</v>
      </c>
      <c r="H46" s="1170">
        <f>+TableB7!T52*$H$48/TableB7!$T$54</f>
        <v>1891.539644452339</v>
      </c>
      <c r="I46" s="1203">
        <f t="shared" si="5"/>
        <v>0.15766229534395304</v>
      </c>
      <c r="J46" s="1199">
        <f t="shared" si="6"/>
        <v>0.5381616985134996</v>
      </c>
      <c r="K46" s="1199">
        <f t="shared" si="3"/>
        <v>0.66215119778903575</v>
      </c>
      <c r="L46" s="1204">
        <v>0.59390301036682602</v>
      </c>
      <c r="M46" s="1234">
        <f>H46/TableC6!G46</f>
        <v>0.16055672901077334</v>
      </c>
      <c r="N46" s="1200"/>
      <c r="O46" s="1200"/>
      <c r="P46" s="1142"/>
      <c r="Q46" s="1168">
        <v>2013</v>
      </c>
      <c r="R46" s="1179">
        <f>+[1]UNnataccount_corp_va_gdpshare.x!B56</f>
        <v>0.60607999999999995</v>
      </c>
      <c r="S46" s="1181">
        <f>+[1]UNnataccount_corp_va_gdpshare.x!C56</f>
        <v>217</v>
      </c>
      <c r="T46" s="1182">
        <f>+[1]UNnataccount_labour_corp_share.!B56</f>
        <v>0.59719</v>
      </c>
      <c r="U46" s="1176">
        <f>+[1]UNnataccount_labour_corp_share.!C56</f>
        <v>69</v>
      </c>
    </row>
    <row r="47" spans="2:21" ht="15.5" x14ac:dyDescent="0.35">
      <c r="B47" s="1381">
        <v>2014</v>
      </c>
      <c r="C47" s="1143">
        <f>+'[3]Data C1'!AS48/1000</f>
        <v>78870.11901370289</v>
      </c>
      <c r="D47" s="1170">
        <f t="shared" si="0"/>
        <v>12492.257906329303</v>
      </c>
      <c r="E47" s="1170">
        <f t="shared" si="4"/>
        <v>66377.861107373581</v>
      </c>
      <c r="F47" s="1170">
        <f t="shared" si="1"/>
        <v>35788.68279101498</v>
      </c>
      <c r="G47" s="1170">
        <f t="shared" si="2"/>
        <v>12091.163613652559</v>
      </c>
      <c r="H47" s="1170">
        <f>+TableB7!T53*$H$48/TableB7!$T$54</f>
        <v>1965.6631759746599</v>
      </c>
      <c r="I47" s="1203">
        <f t="shared" si="5"/>
        <v>0.15839025048458338</v>
      </c>
      <c r="J47" s="1199">
        <f t="shared" si="6"/>
        <v>0.53916595373753906</v>
      </c>
      <c r="K47" s="1199">
        <f>K48*L47/L48</f>
        <v>0.66215119778903575</v>
      </c>
      <c r="L47" s="1204">
        <v>0.59390301036682602</v>
      </c>
      <c r="M47" s="1234">
        <f>H47/TableC6!G47</f>
        <v>0.16257022390757828</v>
      </c>
      <c r="N47" s="1200"/>
      <c r="O47" s="1200"/>
      <c r="P47" s="1142"/>
      <c r="Q47" s="1168">
        <v>2014</v>
      </c>
      <c r="R47" s="1179">
        <f>+[1]UNnataccount_corp_va_gdpshare.x!B57</f>
        <v>0.58847000000000005</v>
      </c>
      <c r="S47" s="1181">
        <f>+[1]UNnataccount_corp_va_gdpshare.x!C57</f>
        <v>217</v>
      </c>
      <c r="T47" s="1182">
        <f>+[1]UNnataccount_labour_corp_share.!B57</f>
        <v>0.50897000000000003</v>
      </c>
      <c r="U47" s="1176">
        <f>+[1]UNnataccount_labour_corp_share.!C57</f>
        <v>67</v>
      </c>
    </row>
    <row r="48" spans="2:21" ht="16" thickBot="1" x14ac:dyDescent="0.4">
      <c r="B48" s="1382">
        <v>2015</v>
      </c>
      <c r="C48" s="1235">
        <f>TableC5!B91</f>
        <v>75038.958996406785</v>
      </c>
      <c r="D48" s="1236">
        <f>TableA1!M91</f>
        <v>11940.064507492207</v>
      </c>
      <c r="E48" s="1236">
        <f>C48-D48</f>
        <v>63098.894488914579</v>
      </c>
      <c r="F48" s="1236">
        <f>TableC5!D91-TableC5!I91</f>
        <v>34084.143021321477</v>
      </c>
      <c r="G48" s="1236">
        <f>TableC5!$H$91</f>
        <v>11515.286894140656</v>
      </c>
      <c r="H48" s="1236">
        <f>TableA6!$E$91</f>
        <v>1703.2290592571803</v>
      </c>
      <c r="I48" s="1237">
        <f>D48/C48</f>
        <v>0.15911820562521334</v>
      </c>
      <c r="J48" s="1238">
        <f>F48/E48</f>
        <v>0.54017020896157686</v>
      </c>
      <c r="K48" s="1238">
        <f>1-G48/F48</f>
        <v>0.66215119778903575</v>
      </c>
      <c r="L48" s="1239">
        <v>0.59390301036682602</v>
      </c>
      <c r="M48" s="1240">
        <f>H48/TableC6!G48</f>
        <v>0.1479102583300671</v>
      </c>
      <c r="N48" s="1201"/>
      <c r="O48" s="1201"/>
      <c r="P48" s="1142"/>
      <c r="Q48" s="1169">
        <v>2015</v>
      </c>
      <c r="R48" s="1180">
        <f>+[1]UNnataccount_corp_va_gdpshare.x!B58</f>
        <v>0.57533000000000001</v>
      </c>
      <c r="S48" s="1183">
        <f>+[1]UNnataccount_corp_va_gdpshare.x!C58</f>
        <v>221</v>
      </c>
      <c r="T48" s="1184">
        <f>+[1]UNnataccount_labour_corp_share.!B58</f>
        <v>0.56013999999999997</v>
      </c>
      <c r="U48" s="1177">
        <f>+[1]UNnataccount_labour_corp_share.!C58</f>
        <v>49</v>
      </c>
    </row>
    <row r="49" spans="2:21" ht="15.5" thickTop="1" thickBot="1" x14ac:dyDescent="0.4"/>
    <row r="50" spans="2:21" ht="15.75" customHeight="1" x14ac:dyDescent="0.35">
      <c r="B50" s="2488" t="s">
        <v>774</v>
      </c>
      <c r="C50" s="2489"/>
      <c r="D50" s="2489"/>
      <c r="E50" s="2489"/>
      <c r="F50" s="2489"/>
      <c r="G50" s="2489"/>
      <c r="H50" s="2489"/>
      <c r="I50" s="2489"/>
      <c r="J50" s="2489"/>
      <c r="K50" s="2489"/>
      <c r="L50" s="2489"/>
      <c r="M50" s="2490"/>
      <c r="Q50" s="2494" t="s">
        <v>630</v>
      </c>
      <c r="R50" s="2495"/>
      <c r="S50" s="2495"/>
      <c r="T50" s="2495"/>
      <c r="U50" s="2496"/>
    </row>
    <row r="51" spans="2:21" ht="15.75" customHeight="1" thickBot="1" x14ac:dyDescent="0.4">
      <c r="B51" s="2491"/>
      <c r="C51" s="2492"/>
      <c r="D51" s="2492"/>
      <c r="E51" s="2492"/>
      <c r="F51" s="2492"/>
      <c r="G51" s="2492"/>
      <c r="H51" s="2492"/>
      <c r="I51" s="2492"/>
      <c r="J51" s="2492"/>
      <c r="K51" s="2492"/>
      <c r="L51" s="2492"/>
      <c r="M51" s="2493"/>
      <c r="Q51" s="2497"/>
      <c r="R51" s="2498"/>
      <c r="S51" s="2498"/>
      <c r="T51" s="2498"/>
      <c r="U51" s="2499"/>
    </row>
    <row r="53" spans="2:21" ht="15.5" x14ac:dyDescent="0.35">
      <c r="F53"/>
      <c r="G53"/>
      <c r="H53"/>
      <c r="I53"/>
    </row>
    <row r="54" spans="2:21" ht="15.5" x14ac:dyDescent="0.35">
      <c r="F54"/>
      <c r="G54"/>
      <c r="H54"/>
      <c r="I54"/>
    </row>
    <row r="55" spans="2:21" ht="15.5" x14ac:dyDescent="0.35">
      <c r="F55"/>
      <c r="G55"/>
      <c r="H55"/>
      <c r="I55"/>
    </row>
    <row r="56" spans="2:21" ht="15.5" x14ac:dyDescent="0.35">
      <c r="F56"/>
      <c r="G56"/>
      <c r="H56"/>
      <c r="I56"/>
    </row>
    <row r="57" spans="2:21" ht="15.5" x14ac:dyDescent="0.35">
      <c r="F57"/>
      <c r="G57"/>
      <c r="H57"/>
      <c r="I57"/>
    </row>
    <row r="58" spans="2:21" ht="15.5" x14ac:dyDescent="0.35">
      <c r="F58"/>
      <c r="G58"/>
      <c r="H58"/>
      <c r="I58"/>
    </row>
    <row r="59" spans="2:21" ht="15.5" x14ac:dyDescent="0.35">
      <c r="F59"/>
      <c r="G59"/>
      <c r="H59"/>
      <c r="I59"/>
    </row>
    <row r="60" spans="2:21" ht="15.5" x14ac:dyDescent="0.35">
      <c r="F60"/>
      <c r="G60"/>
      <c r="H60"/>
      <c r="I60"/>
    </row>
    <row r="61" spans="2:21" ht="15.5" x14ac:dyDescent="0.35">
      <c r="F61"/>
      <c r="G61"/>
      <c r="H61"/>
      <c r="I61"/>
    </row>
    <row r="62" spans="2:21" ht="15.5" x14ac:dyDescent="0.35">
      <c r="F62"/>
      <c r="G62"/>
      <c r="H62"/>
      <c r="I62"/>
    </row>
    <row r="63" spans="2:21" ht="15.5" x14ac:dyDescent="0.35">
      <c r="F63"/>
      <c r="G63"/>
      <c r="H63"/>
      <c r="I63"/>
    </row>
    <row r="64" spans="2:21" ht="15.5" x14ac:dyDescent="0.35">
      <c r="F64"/>
      <c r="G64"/>
      <c r="H64"/>
      <c r="I64"/>
    </row>
    <row r="65" spans="6:9" ht="15.5" x14ac:dyDescent="0.35">
      <c r="F65"/>
      <c r="G65"/>
      <c r="H65"/>
      <c r="I65"/>
    </row>
    <row r="66" spans="6:9" ht="15.5" x14ac:dyDescent="0.35">
      <c r="F66"/>
      <c r="G66"/>
      <c r="H66"/>
      <c r="I66"/>
    </row>
    <row r="67" spans="6:9" ht="15.5" x14ac:dyDescent="0.35">
      <c r="F67"/>
      <c r="G67"/>
      <c r="H67"/>
      <c r="I67"/>
    </row>
    <row r="68" spans="6:9" ht="15.5" x14ac:dyDescent="0.35">
      <c r="F68"/>
      <c r="G68"/>
      <c r="H68"/>
      <c r="I68"/>
    </row>
    <row r="69" spans="6:9" ht="15.5" x14ac:dyDescent="0.35">
      <c r="F69"/>
      <c r="G69"/>
      <c r="H69"/>
      <c r="I69"/>
    </row>
    <row r="70" spans="6:9" ht="15.5" x14ac:dyDescent="0.35">
      <c r="F70"/>
      <c r="G70"/>
      <c r="H70"/>
      <c r="I70"/>
    </row>
    <row r="71" spans="6:9" ht="15.5" x14ac:dyDescent="0.35">
      <c r="F71"/>
      <c r="G71"/>
      <c r="H71"/>
      <c r="I71"/>
    </row>
    <row r="72" spans="6:9" ht="15.5" x14ac:dyDescent="0.35">
      <c r="F72"/>
      <c r="G72"/>
      <c r="H72"/>
      <c r="I72"/>
    </row>
    <row r="73" spans="6:9" ht="15.5" x14ac:dyDescent="0.35">
      <c r="F73"/>
      <c r="G73"/>
      <c r="H73"/>
      <c r="I73"/>
    </row>
    <row r="74" spans="6:9" ht="15.5" x14ac:dyDescent="0.35">
      <c r="F74"/>
      <c r="G74"/>
      <c r="H74"/>
      <c r="I74"/>
    </row>
    <row r="75" spans="6:9" ht="15.5" x14ac:dyDescent="0.35">
      <c r="F75"/>
      <c r="G75"/>
      <c r="H75"/>
      <c r="I75"/>
    </row>
    <row r="76" spans="6:9" ht="15.5" x14ac:dyDescent="0.35">
      <c r="F76"/>
      <c r="G76"/>
      <c r="H76"/>
      <c r="I76"/>
    </row>
    <row r="77" spans="6:9" ht="15.5" x14ac:dyDescent="0.35">
      <c r="F77"/>
      <c r="G77"/>
      <c r="H77"/>
      <c r="I77"/>
    </row>
    <row r="78" spans="6:9" ht="15.5" x14ac:dyDescent="0.35">
      <c r="F78"/>
      <c r="G78"/>
      <c r="H78"/>
      <c r="I78"/>
    </row>
    <row r="79" spans="6:9" ht="15.5" x14ac:dyDescent="0.35">
      <c r="F79"/>
      <c r="G79"/>
      <c r="H79"/>
      <c r="I79"/>
    </row>
    <row r="80" spans="6:9" ht="15.5" x14ac:dyDescent="0.35">
      <c r="F80"/>
      <c r="G80"/>
      <c r="H80"/>
      <c r="I80"/>
    </row>
    <row r="81" spans="6:9" ht="15.5" x14ac:dyDescent="0.35">
      <c r="F81"/>
      <c r="G81"/>
      <c r="H81"/>
      <c r="I81"/>
    </row>
    <row r="82" spans="6:9" ht="15.5" x14ac:dyDescent="0.35">
      <c r="F82"/>
      <c r="G82"/>
      <c r="H82"/>
      <c r="I82"/>
    </row>
    <row r="83" spans="6:9" ht="15.5" x14ac:dyDescent="0.35">
      <c r="F83"/>
      <c r="G83"/>
      <c r="H83"/>
      <c r="I83"/>
    </row>
    <row r="84" spans="6:9" ht="15.5" x14ac:dyDescent="0.35">
      <c r="F84"/>
      <c r="G84"/>
      <c r="H84"/>
      <c r="I84"/>
    </row>
    <row r="85" spans="6:9" ht="15.5" x14ac:dyDescent="0.35">
      <c r="F85"/>
      <c r="G85"/>
      <c r="H85"/>
      <c r="I85"/>
    </row>
    <row r="86" spans="6:9" ht="15.5" x14ac:dyDescent="0.35">
      <c r="F86"/>
      <c r="G86"/>
      <c r="H86"/>
      <c r="I86"/>
    </row>
    <row r="87" spans="6:9" ht="15.5" x14ac:dyDescent="0.35">
      <c r="F87"/>
      <c r="G87"/>
      <c r="H87"/>
      <c r="I87"/>
    </row>
    <row r="88" spans="6:9" ht="15.5" x14ac:dyDescent="0.35">
      <c r="F88"/>
      <c r="G88"/>
      <c r="H88"/>
      <c r="I88"/>
    </row>
    <row r="89" spans="6:9" ht="15.5" x14ac:dyDescent="0.35">
      <c r="F89"/>
      <c r="G89"/>
      <c r="H89"/>
      <c r="I89"/>
    </row>
    <row r="90" spans="6:9" ht="15.5" x14ac:dyDescent="0.35">
      <c r="F90"/>
      <c r="G90"/>
      <c r="H90"/>
      <c r="I90"/>
    </row>
    <row r="91" spans="6:9" ht="15.5" x14ac:dyDescent="0.35">
      <c r="F91"/>
      <c r="G91"/>
      <c r="H91"/>
      <c r="I91"/>
    </row>
    <row r="92" spans="6:9" ht="15.5" x14ac:dyDescent="0.35">
      <c r="F92"/>
      <c r="G92"/>
      <c r="H92"/>
      <c r="I92"/>
    </row>
    <row r="93" spans="6:9" ht="15.5" x14ac:dyDescent="0.35">
      <c r="F93"/>
      <c r="G93"/>
      <c r="H93"/>
      <c r="I93"/>
    </row>
    <row r="94" spans="6:9" ht="15.5" x14ac:dyDescent="0.35">
      <c r="F94"/>
      <c r="G94"/>
      <c r="H94"/>
      <c r="I94"/>
    </row>
    <row r="95" spans="6:9" ht="15.5" x14ac:dyDescent="0.35">
      <c r="F95"/>
      <c r="G95"/>
      <c r="H95"/>
      <c r="I95"/>
    </row>
    <row r="96" spans="6:9" ht="15.5" x14ac:dyDescent="0.35">
      <c r="F96"/>
      <c r="G96"/>
      <c r="H96"/>
      <c r="I96"/>
    </row>
    <row r="97" spans="6:9" ht="15.5" x14ac:dyDescent="0.35">
      <c r="F97"/>
      <c r="G97"/>
      <c r="H97"/>
      <c r="I97"/>
    </row>
    <row r="98" spans="6:9" ht="15.5" x14ac:dyDescent="0.35">
      <c r="F98"/>
      <c r="G98"/>
      <c r="H98"/>
      <c r="I98"/>
    </row>
    <row r="99" spans="6:9" ht="15.5" x14ac:dyDescent="0.35">
      <c r="F99"/>
      <c r="G99"/>
      <c r="H99"/>
      <c r="I99"/>
    </row>
  </sheetData>
  <mergeCells count="11">
    <mergeCell ref="B50:M51"/>
    <mergeCell ref="Q50:U51"/>
    <mergeCell ref="Q3:U3"/>
    <mergeCell ref="R6:U6"/>
    <mergeCell ref="C6:H6"/>
    <mergeCell ref="I6:I7"/>
    <mergeCell ref="J6:J7"/>
    <mergeCell ref="K6:K7"/>
    <mergeCell ref="L6:L7"/>
    <mergeCell ref="M6:M7"/>
    <mergeCell ref="B3:M3"/>
  </mergeCells>
  <pageMargins left="0.7" right="0.7" top="0.75" bottom="0.75" header="0.3" footer="0.3"/>
  <pageSetup paperSize="9" scale="30" fitToHeight="0" orientation="portrait"/>
  <drawing r:id="rId1"/>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I11"/>
  <sheetViews>
    <sheetView topLeftCell="B1" workbookViewId="0">
      <selection activeCell="G10" sqref="G10"/>
    </sheetView>
  </sheetViews>
  <sheetFormatPr baseColWidth="10" defaultColWidth="8.81640625" defaultRowHeight="15.5" x14ac:dyDescent="0.35"/>
  <cols>
    <col min="1" max="1" width="0" hidden="1" customWidth="1"/>
    <col min="2" max="2" width="21.453125" bestFit="1" customWidth="1"/>
    <col min="3" max="9" width="19.1796875" customWidth="1"/>
  </cols>
  <sheetData>
    <row r="1" spans="2:9" ht="16" thickBot="1" x14ac:dyDescent="0.4"/>
    <row r="2" spans="2:9" ht="40" customHeight="1" x14ac:dyDescent="0.35">
      <c r="B2" s="2427" t="s">
        <v>796</v>
      </c>
      <c r="C2" s="2213"/>
      <c r="D2" s="2213"/>
      <c r="E2" s="2213"/>
      <c r="F2" s="2213"/>
      <c r="G2" s="2213"/>
      <c r="H2" s="2213"/>
      <c r="I2" s="2428"/>
    </row>
    <row r="3" spans="2:9" x14ac:dyDescent="0.35">
      <c r="B3" s="1144"/>
      <c r="C3" s="1145"/>
      <c r="D3" s="1145"/>
      <c r="E3" s="1145"/>
      <c r="F3" s="1145"/>
      <c r="G3" s="1145"/>
      <c r="H3" s="1145"/>
      <c r="I3" s="1146"/>
    </row>
    <row r="4" spans="2:9" ht="16" thickBot="1" x14ac:dyDescent="0.4">
      <c r="B4" s="1144"/>
      <c r="C4" s="323" t="s">
        <v>20</v>
      </c>
      <c r="D4" s="323" t="s">
        <v>21</v>
      </c>
      <c r="E4" s="323" t="s">
        <v>22</v>
      </c>
      <c r="F4" s="323" t="s">
        <v>23</v>
      </c>
      <c r="G4" s="323" t="s">
        <v>24</v>
      </c>
      <c r="H4" s="323" t="s">
        <v>25</v>
      </c>
      <c r="I4" s="1134" t="s">
        <v>26</v>
      </c>
    </row>
    <row r="5" spans="2:9" x14ac:dyDescent="0.35">
      <c r="B5" s="1144"/>
      <c r="C5" s="2517" t="s">
        <v>637</v>
      </c>
      <c r="D5" s="2518"/>
      <c r="E5" s="2518"/>
      <c r="F5" s="2518"/>
      <c r="G5" s="2518"/>
      <c r="H5" s="2518"/>
      <c r="I5" s="2519"/>
    </row>
    <row r="6" spans="2:9" ht="48" customHeight="1" x14ac:dyDescent="0.35">
      <c r="B6" s="1160"/>
      <c r="C6" s="1160" t="s">
        <v>634</v>
      </c>
      <c r="D6" s="1161" t="s">
        <v>640</v>
      </c>
      <c r="E6" s="1162" t="s">
        <v>632</v>
      </c>
      <c r="F6" s="1162" t="s">
        <v>633</v>
      </c>
      <c r="G6" s="1194" t="s">
        <v>665</v>
      </c>
      <c r="H6" s="1194" t="s">
        <v>666</v>
      </c>
      <c r="I6" s="1163" t="s">
        <v>667</v>
      </c>
    </row>
    <row r="7" spans="2:9" x14ac:dyDescent="0.35">
      <c r="B7" s="1147" t="s">
        <v>638</v>
      </c>
      <c r="C7" s="1157">
        <v>2015</v>
      </c>
      <c r="D7" s="1149">
        <v>2012</v>
      </c>
      <c r="E7" s="1149">
        <v>2014</v>
      </c>
      <c r="F7" s="1149">
        <v>2012</v>
      </c>
      <c r="G7" s="1149">
        <v>2013</v>
      </c>
      <c r="H7" s="1149">
        <v>2013</v>
      </c>
      <c r="I7" s="1150">
        <v>2013</v>
      </c>
    </row>
    <row r="8" spans="2:9" ht="7.5" customHeight="1" x14ac:dyDescent="0.35">
      <c r="B8" s="1144"/>
      <c r="C8" s="1144"/>
      <c r="D8" s="1145"/>
      <c r="E8" s="1145"/>
      <c r="F8" s="1145"/>
      <c r="G8" s="1145"/>
      <c r="H8" s="1145"/>
      <c r="I8" s="1146"/>
    </row>
    <row r="9" spans="2:9" x14ac:dyDescent="0.35">
      <c r="B9" s="1147" t="s">
        <v>635</v>
      </c>
      <c r="C9" s="1158">
        <f>+TableD1b!C91</f>
        <v>181.40240730377607</v>
      </c>
      <c r="D9" s="690">
        <v>279</v>
      </c>
      <c r="E9" s="1151" t="s">
        <v>639</v>
      </c>
      <c r="F9" s="1149">
        <v>200</v>
      </c>
      <c r="G9" s="690">
        <v>600</v>
      </c>
      <c r="H9" s="690">
        <v>123</v>
      </c>
      <c r="I9" s="1152">
        <f>+TableD1b!D91</f>
        <v>450.90414750000002</v>
      </c>
    </row>
    <row r="10" spans="2:9" ht="16" thickBot="1" x14ac:dyDescent="0.4">
      <c r="B10" s="1153" t="s">
        <v>636</v>
      </c>
      <c r="C10" s="1159">
        <f>+TableC4!C93/1000</f>
        <v>616.46162984891726</v>
      </c>
      <c r="D10" s="1154">
        <v>1076</v>
      </c>
      <c r="E10" s="1155"/>
      <c r="F10" s="1155">
        <v>700</v>
      </c>
      <c r="G10" s="1155"/>
      <c r="H10" s="1155"/>
      <c r="I10" s="1156"/>
    </row>
    <row r="11" spans="2:9" x14ac:dyDescent="0.35">
      <c r="B11" s="376"/>
      <c r="C11" s="376"/>
      <c r="D11" s="376"/>
      <c r="E11" s="376"/>
      <c r="F11" s="376"/>
      <c r="G11" s="376"/>
      <c r="H11" s="376"/>
      <c r="I11" s="376"/>
    </row>
  </sheetData>
  <mergeCells count="2">
    <mergeCell ref="B2:I2"/>
    <mergeCell ref="C5:I5"/>
  </mergeCells>
  <pageMargins left="0.7" right="0.7" top="0.75" bottom="0.75" header="0.3" footer="0.3"/>
  <pageSetup paperSize="9" scale="56" orientation="portrait"/>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H92"/>
  <sheetViews>
    <sheetView topLeftCell="B1" workbookViewId="0">
      <pane xSplit="1" ySplit="7" topLeftCell="C9" activePane="bottomRight" state="frozen"/>
      <selection activeCell="B1" sqref="B1"/>
      <selection pane="topRight" activeCell="C1" sqref="C1"/>
      <selection pane="bottomLeft" activeCell="B8" sqref="B8"/>
      <selection pane="bottomRight" activeCell="F21" sqref="F21"/>
    </sheetView>
  </sheetViews>
  <sheetFormatPr baseColWidth="10" defaultColWidth="8.81640625" defaultRowHeight="15.5" x14ac:dyDescent="0.35"/>
  <cols>
    <col min="1" max="1" width="0" hidden="1" customWidth="1"/>
    <col min="2" max="2" width="28.453125" bestFit="1" customWidth="1"/>
    <col min="3" max="8" width="13.81640625" customWidth="1"/>
  </cols>
  <sheetData>
    <row r="1" spans="2:8" ht="16" thickBot="1" x14ac:dyDescent="0.4"/>
    <row r="2" spans="2:8" ht="34" customHeight="1" thickTop="1" x14ac:dyDescent="0.35">
      <c r="B2" s="2048" t="s">
        <v>799</v>
      </c>
      <c r="C2" s="2049"/>
      <c r="D2" s="2049"/>
      <c r="E2" s="2049"/>
      <c r="F2" s="2049"/>
      <c r="G2" s="2049"/>
      <c r="H2" s="2050"/>
    </row>
    <row r="3" spans="2:8" ht="20" x14ac:dyDescent="0.35">
      <c r="B3" s="11"/>
      <c r="C3" s="1312"/>
      <c r="D3" s="1312"/>
      <c r="E3" s="1312"/>
      <c r="F3" s="1312"/>
      <c r="G3" s="1312"/>
      <c r="H3" s="12"/>
    </row>
    <row r="4" spans="2:8" ht="20" x14ac:dyDescent="0.35">
      <c r="B4" s="11"/>
      <c r="C4" s="323" t="s">
        <v>20</v>
      </c>
      <c r="D4" s="323" t="s">
        <v>21</v>
      </c>
      <c r="E4" s="323" t="s">
        <v>22</v>
      </c>
      <c r="F4" s="323" t="s">
        <v>23</v>
      </c>
      <c r="G4" s="323" t="s">
        <v>24</v>
      </c>
      <c r="H4" s="452" t="s">
        <v>25</v>
      </c>
    </row>
    <row r="5" spans="2:8" s="1532" customFormat="1" ht="37" customHeight="1" x14ac:dyDescent="0.35">
      <c r="B5" s="1547"/>
      <c r="C5" s="2520" t="s">
        <v>626</v>
      </c>
      <c r="D5" s="2521"/>
      <c r="E5" s="2521"/>
      <c r="F5" s="2522" t="s">
        <v>798</v>
      </c>
      <c r="G5" s="2521"/>
      <c r="H5" s="2523"/>
    </row>
    <row r="6" spans="2:8" ht="24.75" customHeight="1" x14ac:dyDescent="0.35">
      <c r="B6" s="13"/>
      <c r="C6" s="2182" t="s">
        <v>797</v>
      </c>
      <c r="D6" s="2431" t="s">
        <v>629</v>
      </c>
      <c r="E6" s="2431" t="s">
        <v>627</v>
      </c>
      <c r="F6" s="2524" t="s">
        <v>797</v>
      </c>
      <c r="G6" s="2431" t="s">
        <v>629</v>
      </c>
      <c r="H6" s="2318" t="s">
        <v>627</v>
      </c>
    </row>
    <row r="7" spans="2:8" ht="76" customHeight="1" x14ac:dyDescent="0.35">
      <c r="B7" s="1548"/>
      <c r="C7" s="2135"/>
      <c r="D7" s="2199"/>
      <c r="E7" s="2199"/>
      <c r="F7" s="2525"/>
      <c r="G7" s="2199"/>
      <c r="H7" s="2526"/>
    </row>
    <row r="8" spans="2:8" ht="36" customHeight="1" x14ac:dyDescent="0.35">
      <c r="B8" s="1318" t="s">
        <v>98</v>
      </c>
      <c r="C8" s="1128">
        <f>+SUM(C9:C43)</f>
        <v>135.29200400789469</v>
      </c>
      <c r="D8" s="1122">
        <f>+SUM(D9:D43)</f>
        <v>298.88243619999997</v>
      </c>
      <c r="E8" s="1122">
        <f>+SUM(E9:E43)</f>
        <v>205.59999999999997</v>
      </c>
      <c r="F8" s="1553">
        <f>+TableC4d!K10</f>
        <v>0.12000189394058862</v>
      </c>
      <c r="G8" s="1121"/>
      <c r="H8" s="595"/>
    </row>
    <row r="9" spans="2:8" x14ac:dyDescent="0.35">
      <c r="B9" s="95" t="s">
        <v>54</v>
      </c>
      <c r="C9" s="1135">
        <f>+TableC4d!E11</f>
        <v>3.8877283887920422</v>
      </c>
      <c r="D9" s="1136">
        <v>6.0546769999999999</v>
      </c>
      <c r="E9" s="1136">
        <v>7.4</v>
      </c>
      <c r="F9" s="1807">
        <f>+TableC4d!K11</f>
        <v>7.3234785047652198E-2</v>
      </c>
      <c r="G9" s="1138"/>
      <c r="H9" s="1364">
        <v>0.09</v>
      </c>
    </row>
    <row r="10" spans="2:8" x14ac:dyDescent="0.35">
      <c r="B10" s="95" t="s">
        <v>55</v>
      </c>
      <c r="C10" s="1135">
        <f>+TableC4d!E12</f>
        <v>0.89735970006267607</v>
      </c>
      <c r="D10" s="1136">
        <v>0.54273579999999999</v>
      </c>
      <c r="E10" s="1136"/>
      <c r="F10" s="1807">
        <f>+TableC4d!K12</f>
        <v>0.10563824176055445</v>
      </c>
      <c r="G10" s="1139">
        <v>5.5407900000000003E-2</v>
      </c>
      <c r="H10" s="1364"/>
    </row>
    <row r="11" spans="2:8" x14ac:dyDescent="0.35">
      <c r="B11" s="95" t="s">
        <v>2</v>
      </c>
      <c r="C11" s="1135"/>
      <c r="D11" s="1136">
        <v>3.4911379999999999</v>
      </c>
      <c r="E11" s="1136"/>
      <c r="F11" s="1807"/>
      <c r="G11" s="1139">
        <v>0.22103329999999999</v>
      </c>
      <c r="H11" s="1364"/>
    </row>
    <row r="12" spans="2:8" x14ac:dyDescent="0.35">
      <c r="B12" s="95" t="s">
        <v>56</v>
      </c>
      <c r="C12" s="1135">
        <f>+TableC4d!E14</f>
        <v>5.0127609994141498</v>
      </c>
      <c r="D12" s="1136">
        <v>3.3886159999999999</v>
      </c>
      <c r="E12" s="1136"/>
      <c r="F12" s="1807">
        <f>+TableC4d!K14</f>
        <v>0.10131006286761744</v>
      </c>
      <c r="G12" s="1139">
        <v>6.7325999999999997E-2</v>
      </c>
      <c r="H12" s="1364"/>
    </row>
    <row r="13" spans="2:8" x14ac:dyDescent="0.35">
      <c r="B13" s="95" t="s">
        <v>57</v>
      </c>
      <c r="C13" s="1135">
        <f>+TableC4d!E15</f>
        <v>1.2436594498947362</v>
      </c>
      <c r="D13" s="1136">
        <v>-0.17879149999999999</v>
      </c>
      <c r="E13" s="1136">
        <v>0.8</v>
      </c>
      <c r="F13" s="1807">
        <f>+TableC4d!K15</f>
        <v>0.11894894394587266</v>
      </c>
      <c r="G13" s="1139"/>
      <c r="H13" s="1364"/>
    </row>
    <row r="14" spans="2:8" x14ac:dyDescent="0.35">
      <c r="B14" s="95" t="s">
        <v>58</v>
      </c>
      <c r="C14" s="1135">
        <f>+TableC4d!E16</f>
        <v>0.33451941359786869</v>
      </c>
      <c r="D14" s="1136">
        <v>-0.18294589999999999</v>
      </c>
      <c r="E14" s="1136"/>
      <c r="F14" s="1807">
        <f>+TableC4d!K16</f>
        <v>4.9844079449585167E-2</v>
      </c>
      <c r="G14" s="1139"/>
      <c r="H14" s="1364">
        <v>0.08</v>
      </c>
    </row>
    <row r="15" spans="2:8" x14ac:dyDescent="0.35">
      <c r="B15" s="95" t="s">
        <v>59</v>
      </c>
      <c r="C15" s="1135">
        <f>+TableC4d!E17</f>
        <v>0.65158855790127423</v>
      </c>
      <c r="D15" s="1136">
        <v>0.42116629999999999</v>
      </c>
      <c r="E15" s="1136">
        <v>1.3</v>
      </c>
      <c r="F15" s="1807">
        <f>+TableC4d!K17</f>
        <v>8.4310816146709378E-2</v>
      </c>
      <c r="G15" s="1139">
        <v>3.95492E-2</v>
      </c>
      <c r="H15" s="1364">
        <v>0.13</v>
      </c>
    </row>
    <row r="16" spans="2:8" x14ac:dyDescent="0.35">
      <c r="B16" s="455" t="s">
        <v>60</v>
      </c>
      <c r="C16" s="1135">
        <f>+TableC4d!E18</f>
        <v>4.8738699368325256E-2</v>
      </c>
      <c r="D16" s="1136">
        <v>-7.6499999999999997E-3</v>
      </c>
      <c r="E16" s="1136"/>
      <c r="F16" s="1807">
        <f>+TableC4d!K18</f>
        <v>0.10357464690128163</v>
      </c>
      <c r="G16" s="1139"/>
      <c r="H16" s="1364"/>
    </row>
    <row r="17" spans="1:8" x14ac:dyDescent="0.35">
      <c r="B17" s="95" t="s">
        <v>61</v>
      </c>
      <c r="C17" s="1135">
        <f>+TableC4d!E19</f>
        <v>0.5429738731271827</v>
      </c>
      <c r="D17" s="1136">
        <v>0.2772077</v>
      </c>
      <c r="E17" s="1136">
        <v>1</v>
      </c>
      <c r="F17" s="1807">
        <f>+TableC4d!K19</f>
        <v>0.10767039354958928</v>
      </c>
      <c r="G17" s="1139"/>
      <c r="H17" s="1364">
        <v>0.18</v>
      </c>
    </row>
    <row r="18" spans="1:8" x14ac:dyDescent="0.35">
      <c r="B18" s="455" t="s">
        <v>48</v>
      </c>
      <c r="C18" s="1135">
        <f>+TableC4d!E20</f>
        <v>10.693640491484475</v>
      </c>
      <c r="D18" s="1136">
        <v>19.78098</v>
      </c>
      <c r="E18" s="1136">
        <v>15.3</v>
      </c>
      <c r="F18" s="1807">
        <f>+TableC4d!K20</f>
        <v>0.20997996704769475</v>
      </c>
      <c r="G18" s="1139">
        <v>0.28272059999999999</v>
      </c>
      <c r="H18" s="1364">
        <v>0.23</v>
      </c>
    </row>
    <row r="19" spans="1:8" x14ac:dyDescent="0.35">
      <c r="B19" s="95" t="s">
        <v>62</v>
      </c>
      <c r="C19" s="1135">
        <f>+TableC4d!E21</f>
        <v>16.317569428841562</v>
      </c>
      <c r="D19" s="1136">
        <v>15.02406</v>
      </c>
      <c r="E19" s="1136">
        <v>17.2</v>
      </c>
      <c r="F19" s="1807">
        <f>+TableC4d!K21</f>
        <v>0.27916595513803488</v>
      </c>
      <c r="G19" s="1139">
        <v>0.22871900000000001</v>
      </c>
      <c r="H19" s="1364">
        <v>0.28000000000000003</v>
      </c>
    </row>
    <row r="20" spans="1:8" x14ac:dyDescent="0.35">
      <c r="B20" s="95" t="s">
        <v>63</v>
      </c>
      <c r="C20" s="1135">
        <f>+TableC4d!E22</f>
        <v>0.30348861345669476</v>
      </c>
      <c r="D20" s="1136">
        <v>0.43454910000000002</v>
      </c>
      <c r="E20" s="1136">
        <v>0.7</v>
      </c>
      <c r="F20" s="1807">
        <f>+TableC4d!K22</f>
        <v>7.2011378873881565E-2</v>
      </c>
      <c r="G20" s="1139"/>
      <c r="H20" s="1364">
        <v>0.26</v>
      </c>
    </row>
    <row r="21" spans="1:8" x14ac:dyDescent="0.35">
      <c r="B21" s="95" t="s">
        <v>64</v>
      </c>
      <c r="C21" s="1135">
        <f>+TableC4d!E23</f>
        <v>0.45502892025811503</v>
      </c>
      <c r="D21" s="1136">
        <v>-0.120253</v>
      </c>
      <c r="E21" s="1136"/>
      <c r="F21" s="1807">
        <f>+TableC4d!K23</f>
        <v>0.20717165133116644</v>
      </c>
      <c r="G21" s="1139">
        <v>-6.66129E-4</v>
      </c>
      <c r="H21" s="1364"/>
    </row>
    <row r="22" spans="1:8" x14ac:dyDescent="0.35">
      <c r="B22" s="95" t="s">
        <v>65</v>
      </c>
      <c r="C22" s="1135">
        <f>+TableC4d!E24</f>
        <v>8.7549352432114438E-2</v>
      </c>
      <c r="D22" s="1136">
        <v>-9.2580000000000006E-3</v>
      </c>
      <c r="E22" s="1136"/>
      <c r="F22" s="1807">
        <f>+TableC4d!K24</f>
        <v>0.21980592416387462</v>
      </c>
      <c r="G22" s="1139"/>
      <c r="H22" s="1364"/>
    </row>
    <row r="23" spans="1:8" x14ac:dyDescent="0.35">
      <c r="B23" s="95" t="s">
        <v>19</v>
      </c>
      <c r="C23" s="1140"/>
      <c r="D23" s="1136">
        <v>-0.45094679999999998</v>
      </c>
      <c r="E23" s="1136"/>
      <c r="F23" s="1807"/>
      <c r="G23" s="1139">
        <v>-8.3434199999999996E-4</v>
      </c>
      <c r="H23" s="1364"/>
    </row>
    <row r="24" spans="1:8" x14ac:dyDescent="0.35">
      <c r="B24" s="95" t="s">
        <v>95</v>
      </c>
      <c r="C24" s="1140">
        <f>+TableC4d!E26</f>
        <v>0.17016457999789139</v>
      </c>
      <c r="D24" s="1136">
        <v>0.35420950000000001</v>
      </c>
      <c r="E24" s="1136"/>
      <c r="F24" s="1807">
        <f>+TableC4d!K26</f>
        <v>1.9073748557127242E-2</v>
      </c>
      <c r="G24" s="1139"/>
      <c r="H24" s="1364"/>
    </row>
    <row r="25" spans="1:8" x14ac:dyDescent="0.35">
      <c r="B25" s="95" t="s">
        <v>66</v>
      </c>
      <c r="C25" s="1140">
        <f>+TableC4d!E27</f>
        <v>7.128579649914653</v>
      </c>
      <c r="D25" s="1136">
        <v>5.3349219999999997</v>
      </c>
      <c r="E25" s="1136">
        <v>9</v>
      </c>
      <c r="F25" s="1807">
        <f>+TableC4d!K27</f>
        <v>0.19118227241411057</v>
      </c>
      <c r="G25" s="1139">
        <v>8.6582199999999998E-2</v>
      </c>
      <c r="H25" s="1364">
        <v>0.16</v>
      </c>
    </row>
    <row r="26" spans="1:8" x14ac:dyDescent="0.35">
      <c r="B26" s="95" t="s">
        <v>67</v>
      </c>
      <c r="C26" s="1140">
        <f>+TableC4d!E28</f>
        <v>2.8965109563043363</v>
      </c>
      <c r="D26" s="1136">
        <v>46.791370000000001</v>
      </c>
      <c r="E26" s="1136">
        <v>39.799999999999997</v>
      </c>
      <c r="F26" s="1807">
        <f>+TableC4d!K28</f>
        <v>1.7437633144078594E-2</v>
      </c>
      <c r="G26" s="1139">
        <v>0.23993980000000001</v>
      </c>
      <c r="H26" s="1364">
        <v>0.18</v>
      </c>
    </row>
    <row r="27" spans="1:8" x14ac:dyDescent="0.35">
      <c r="A27" t="s">
        <v>536</v>
      </c>
      <c r="B27" s="95" t="s">
        <v>68</v>
      </c>
      <c r="C27" s="1140">
        <f>+TableC4d!E29</f>
        <v>1.1699809090485687</v>
      </c>
      <c r="D27" s="1136">
        <v>1.117426</v>
      </c>
      <c r="E27" s="1136"/>
      <c r="F27" s="1807">
        <f>+TableC4d!K29</f>
        <v>2.5672298890945015E-2</v>
      </c>
      <c r="G27" s="1139">
        <v>2.7490799999999996E-2</v>
      </c>
      <c r="H27" s="1364"/>
    </row>
    <row r="28" spans="1:8" x14ac:dyDescent="0.35">
      <c r="B28" s="13" t="s">
        <v>69</v>
      </c>
      <c r="C28" s="1140">
        <f>+TableC4d!E30</f>
        <v>3.0146845091089225E-2</v>
      </c>
      <c r="D28" s="1136">
        <v>-0.30267640000000001</v>
      </c>
      <c r="E28" s="1136"/>
      <c r="F28" s="1807">
        <f>+TableC4d!K30</f>
        <v>6.9945021635384561E-2</v>
      </c>
      <c r="G28" s="1139">
        <v>-6.2269200000000004E-3</v>
      </c>
      <c r="H28" s="1364"/>
    </row>
    <row r="29" spans="1:8" x14ac:dyDescent="0.35">
      <c r="B29" s="13" t="s">
        <v>70</v>
      </c>
      <c r="C29" s="1140"/>
      <c r="D29" s="1136">
        <v>0.2251773</v>
      </c>
      <c r="E29" s="1136"/>
      <c r="F29" s="1807"/>
      <c r="G29" s="1139">
        <v>0.1024834</v>
      </c>
      <c r="H29" s="1364"/>
    </row>
    <row r="30" spans="1:8" x14ac:dyDescent="0.35">
      <c r="B30" s="13" t="s">
        <v>71</v>
      </c>
      <c r="C30" s="1140">
        <f>+TableC4d!E32</f>
        <v>3.9287668656222849</v>
      </c>
      <c r="D30" s="1136"/>
      <c r="E30" s="1136">
        <v>5.7</v>
      </c>
      <c r="F30" s="1807">
        <f>+TableC4d!K32</f>
        <v>0.10509727731973387</v>
      </c>
      <c r="G30" s="1138"/>
      <c r="H30" s="1364"/>
    </row>
    <row r="31" spans="1:8" x14ac:dyDescent="0.35">
      <c r="B31" s="13" t="s">
        <v>72</v>
      </c>
      <c r="C31" s="1140"/>
      <c r="D31" s="1136">
        <v>1.0396730000000001</v>
      </c>
      <c r="E31" s="1136"/>
      <c r="F31" s="1807"/>
      <c r="G31" s="1139"/>
      <c r="H31" s="1364"/>
    </row>
    <row r="32" spans="1:8" x14ac:dyDescent="0.35">
      <c r="B32" s="13" t="s">
        <v>73</v>
      </c>
      <c r="C32" s="1140">
        <f>+TableC4d!E34</f>
        <v>0.42656415068203546</v>
      </c>
      <c r="D32" s="1136">
        <v>0.51807639999999999</v>
      </c>
      <c r="E32" s="1136"/>
      <c r="F32" s="1807">
        <f>+TableC4d!K34</f>
        <v>5.3623417899033209E-2</v>
      </c>
      <c r="G32" s="1139">
        <v>6.3262799999999994E-2</v>
      </c>
      <c r="H32" s="1364"/>
    </row>
    <row r="33" spans="2:8" x14ac:dyDescent="0.35">
      <c r="B33" s="13" t="s">
        <v>74</v>
      </c>
      <c r="C33" s="1140">
        <f>+TableC4d!E35</f>
        <v>1.4082294707463936</v>
      </c>
      <c r="D33" s="1136"/>
      <c r="E33" s="1136">
        <v>2.2999999999999998</v>
      </c>
      <c r="F33" s="1807">
        <f>+TableC4d!K35</f>
        <v>8.2933723016851785E-2</v>
      </c>
      <c r="G33" s="1138"/>
      <c r="H33" s="1364">
        <v>0.04</v>
      </c>
    </row>
    <row r="34" spans="2:8" x14ac:dyDescent="0.35">
      <c r="B34" s="13" t="s">
        <v>75</v>
      </c>
      <c r="C34" s="1140">
        <f>+TableC4d!E36</f>
        <v>0.70221461489869563</v>
      </c>
      <c r="D34" s="1136">
        <v>-0.47335290000000002</v>
      </c>
      <c r="E34" s="1136">
        <v>1.3</v>
      </c>
      <c r="F34" s="1807">
        <f>+TableC4d!K36</f>
        <v>7.996006497283209E-2</v>
      </c>
      <c r="G34" s="1139"/>
      <c r="H34" s="1364">
        <v>0.13</v>
      </c>
    </row>
    <row r="35" spans="2:8" x14ac:dyDescent="0.35">
      <c r="B35" s="13" t="s">
        <v>76</v>
      </c>
      <c r="C35" s="1140">
        <f>+TableC4d!E37</f>
        <v>0.55401828129230823</v>
      </c>
      <c r="D35" s="1136">
        <v>1.110344</v>
      </c>
      <c r="E35" s="1136">
        <v>1.1000000000000001</v>
      </c>
      <c r="F35" s="1807">
        <f>+TableC4d!K37</f>
        <v>8.8987018527531159E-2</v>
      </c>
      <c r="G35" s="1139">
        <v>0.1556527</v>
      </c>
      <c r="H35" s="1364">
        <v>0.19</v>
      </c>
    </row>
    <row r="36" spans="2:8" x14ac:dyDescent="0.35">
      <c r="B36" s="13" t="s">
        <v>96</v>
      </c>
      <c r="C36" s="1140">
        <f>+TableC4d!E38</f>
        <v>0.14009898329065634</v>
      </c>
      <c r="D36" s="1136">
        <v>4.1199800000000002E-2</v>
      </c>
      <c r="E36" s="1136"/>
      <c r="F36" s="1807">
        <f>+TableC4d!K38</f>
        <v>4.8028448162720727E-2</v>
      </c>
      <c r="G36" s="1139">
        <v>1.6635199999999999E-2</v>
      </c>
      <c r="H36" s="1364"/>
    </row>
    <row r="37" spans="2:8" x14ac:dyDescent="0.35">
      <c r="B37" s="13" t="s">
        <v>78</v>
      </c>
      <c r="C37" s="1140">
        <f>+TableC4d!E39</f>
        <v>3.8300831716674075E-2</v>
      </c>
      <c r="D37" s="1136">
        <v>-6.5226199999999998E-2</v>
      </c>
      <c r="E37" s="1136"/>
      <c r="F37" s="1807">
        <f>+TableC4d!K39</f>
        <v>6.0803338265822897E-2</v>
      </c>
      <c r="G37" s="1139">
        <v>0</v>
      </c>
      <c r="H37" s="1364"/>
    </row>
    <row r="38" spans="2:8" x14ac:dyDescent="0.35">
      <c r="B38" s="13" t="s">
        <v>79</v>
      </c>
      <c r="C38" s="1140">
        <f>+TableC4d!E40</f>
        <v>4.0213800257688312</v>
      </c>
      <c r="D38" s="1136">
        <v>5.516292</v>
      </c>
      <c r="E38" s="1136">
        <v>6.6</v>
      </c>
      <c r="F38" s="1807">
        <f>+TableC4d!K40</f>
        <v>0.14169566205750209</v>
      </c>
      <c r="G38" s="1139">
        <v>0.20176680000000002</v>
      </c>
      <c r="H38" s="1364">
        <v>0.24</v>
      </c>
    </row>
    <row r="39" spans="2:8" x14ac:dyDescent="0.35">
      <c r="B39" s="15" t="s">
        <v>80</v>
      </c>
      <c r="C39" s="1140">
        <f>+TableC4d!E41</f>
        <v>1.8790398127610988</v>
      </c>
      <c r="D39" s="1136">
        <v>2.1090999999999999E-2</v>
      </c>
      <c r="E39" s="1136"/>
      <c r="F39" s="1807">
        <f>+TableC4d!K41</f>
        <v>0.12759064303400486</v>
      </c>
      <c r="G39" s="1139">
        <v>1.4819E-3</v>
      </c>
      <c r="H39" s="1364"/>
    </row>
    <row r="40" spans="2:8" x14ac:dyDescent="0.35">
      <c r="B40" s="13" t="s">
        <v>1</v>
      </c>
      <c r="C40" s="1140"/>
      <c r="D40" s="1136">
        <v>-0.17759559999999999</v>
      </c>
      <c r="E40" s="1136"/>
      <c r="F40" s="1807"/>
      <c r="G40" s="1139">
        <v>-9.636499999999999E-5</v>
      </c>
      <c r="H40" s="1364"/>
    </row>
    <row r="41" spans="2:8" x14ac:dyDescent="0.35">
      <c r="B41" s="13" t="s">
        <v>81</v>
      </c>
      <c r="C41" s="1140">
        <f>+TableC4d!E43</f>
        <v>0.99509856411795194</v>
      </c>
      <c r="D41" s="1136">
        <v>-0.52164840000000001</v>
      </c>
      <c r="E41" s="1136">
        <v>2.2999999999999998</v>
      </c>
      <c r="F41" s="1807">
        <f>+TableC4d!K43</f>
        <v>8.1066999260363509E-2</v>
      </c>
      <c r="G41" s="1139">
        <v>-3.4273900000000005E-4</v>
      </c>
      <c r="H41" s="1364">
        <v>0.14000000000000001</v>
      </c>
    </row>
    <row r="42" spans="2:8" x14ac:dyDescent="0.35">
      <c r="B42" s="13" t="s">
        <v>82</v>
      </c>
      <c r="C42" s="1140">
        <f>+TableC4d!E44</f>
        <v>12.300180136609274</v>
      </c>
      <c r="D42" s="1136">
        <v>1.0578700000000001</v>
      </c>
      <c r="E42" s="1136"/>
      <c r="F42" s="1807">
        <f>+TableC4d!K44</f>
        <v>0.17523172069902965</v>
      </c>
      <c r="G42" s="1139">
        <v>1.6709000000000002E-2</v>
      </c>
      <c r="H42" s="1364"/>
    </row>
    <row r="43" spans="2:8" x14ac:dyDescent="0.35">
      <c r="B43" s="13" t="s">
        <v>0</v>
      </c>
      <c r="C43" s="1140">
        <f>+TableC4d!E45</f>
        <v>57.026123441400721</v>
      </c>
      <c r="D43" s="1136">
        <v>188.83</v>
      </c>
      <c r="E43" s="1136">
        <v>93.8</v>
      </c>
      <c r="F43" s="1807">
        <f>+TableC4d!K45</f>
        <v>0.14080811485538131</v>
      </c>
      <c r="G43" s="1139">
        <v>0.49270219999999992</v>
      </c>
      <c r="H43" s="1364">
        <v>0.26</v>
      </c>
    </row>
    <row r="44" spans="2:8" ht="37.5" customHeight="1" x14ac:dyDescent="0.35">
      <c r="B44" s="38" t="s">
        <v>99</v>
      </c>
      <c r="C44" s="1129">
        <f>SUM(C45:C51)</f>
        <v>27.422697354796586</v>
      </c>
      <c r="D44" s="1533">
        <f>SUM(D45:D51)</f>
        <v>95.918962999999991</v>
      </c>
      <c r="E44" s="1533">
        <f>SUM(E45:E51)</f>
        <v>61.7</v>
      </c>
      <c r="F44" s="1553">
        <f>+TableC4d!K46</f>
        <v>4.630666039475545E-2</v>
      </c>
      <c r="G44" s="1123"/>
      <c r="H44" s="1549"/>
    </row>
    <row r="45" spans="2:8" x14ac:dyDescent="0.35">
      <c r="B45" s="95" t="s">
        <v>92</v>
      </c>
      <c r="C45" s="1140">
        <f>+TableC4d!E47</f>
        <v>4.8321019687632383</v>
      </c>
      <c r="D45" s="1136">
        <v>-21.821300000000001</v>
      </c>
      <c r="E45" s="1136">
        <v>13.5</v>
      </c>
      <c r="F45" s="1807">
        <f>+TableC4d!K47</f>
        <v>9.0271246129663765E-2</v>
      </c>
      <c r="G45" s="1138"/>
      <c r="H45" s="1364">
        <v>0.17</v>
      </c>
    </row>
    <row r="46" spans="2:8" x14ac:dyDescent="0.35">
      <c r="B46" s="31" t="s">
        <v>101</v>
      </c>
      <c r="C46" s="1140">
        <f>+TableC4d!E48</f>
        <v>15.131451982825235</v>
      </c>
      <c r="D46" s="1136">
        <v>66.806979999999996</v>
      </c>
      <c r="E46" s="1136">
        <v>32.700000000000003</v>
      </c>
      <c r="F46" s="1807">
        <f>+TableC4d!K48</f>
        <v>3.5861224922702772E-2</v>
      </c>
      <c r="G46" s="1138"/>
      <c r="H46" s="1364">
        <v>0.11</v>
      </c>
    </row>
    <row r="47" spans="2:8" x14ac:dyDescent="0.35">
      <c r="B47" s="31" t="s">
        <v>93</v>
      </c>
      <c r="C47" s="1140">
        <f>+TableC4d!E49</f>
        <v>0.35090435988265745</v>
      </c>
      <c r="D47" s="1136">
        <v>2.7593570000000001</v>
      </c>
      <c r="E47" s="1136"/>
      <c r="F47" s="1807">
        <f>+TableC4d!K49</f>
        <v>2.060605590013246E-2</v>
      </c>
      <c r="G47" s="1138"/>
      <c r="H47" s="1364"/>
    </row>
    <row r="48" spans="2:8" x14ac:dyDescent="0.35">
      <c r="B48" s="31" t="s">
        <v>94</v>
      </c>
      <c r="C48" s="1140">
        <f>+TableC4d!E50</f>
        <v>0.31725599660623816</v>
      </c>
      <c r="D48" s="1136">
        <v>1.1794260000000001</v>
      </c>
      <c r="E48" s="1136"/>
      <c r="F48" s="1807">
        <f>+TableC4d!K50</f>
        <v>0.20608794998489571</v>
      </c>
      <c r="G48" s="1138"/>
      <c r="H48" s="1364"/>
    </row>
    <row r="49" spans="2:8" x14ac:dyDescent="0.35">
      <c r="B49" s="31" t="s">
        <v>102</v>
      </c>
      <c r="C49" s="1140">
        <f>+TableC4d!E51</f>
        <v>3.2797817073095037</v>
      </c>
      <c r="D49" s="1136">
        <v>41.16892</v>
      </c>
      <c r="E49" s="1136">
        <v>9.6999999999999993</v>
      </c>
      <c r="F49" s="1807">
        <f>+TableC4d!K51</f>
        <v>8.7746373397239688E-2</v>
      </c>
      <c r="G49" s="1138"/>
      <c r="H49" s="1364">
        <v>0.14000000000000001</v>
      </c>
    </row>
    <row r="50" spans="2:8" x14ac:dyDescent="0.35">
      <c r="B50" s="31" t="s">
        <v>103</v>
      </c>
      <c r="C50" s="1140">
        <f>+TableC4d!E52</f>
        <v>2.3686208698667821</v>
      </c>
      <c r="D50" s="1136"/>
      <c r="E50" s="1136">
        <v>5.8</v>
      </c>
      <c r="F50" s="1807">
        <f>+TableC4d!K52</f>
        <v>5.640790843651218E-2</v>
      </c>
      <c r="G50" s="1138"/>
      <c r="H50" s="1364">
        <v>7.0000000000000007E-2</v>
      </c>
    </row>
    <row r="51" spans="2:8" x14ac:dyDescent="0.35">
      <c r="B51" s="13" t="s">
        <v>97</v>
      </c>
      <c r="C51" s="1140">
        <f>+TableC4d!E53</f>
        <v>1.1425804695429322</v>
      </c>
      <c r="D51" s="1136">
        <v>5.8255800000000004</v>
      </c>
      <c r="E51" s="1136"/>
      <c r="F51" s="1807">
        <f>+TableC4d!K53</f>
        <v>6.0818162944512984E-2</v>
      </c>
      <c r="G51" s="1138"/>
      <c r="H51" s="1364"/>
    </row>
    <row r="52" spans="2:8" ht="37.5" hidden="1" customHeight="1" x14ac:dyDescent="0.35">
      <c r="B52" s="38" t="s">
        <v>100</v>
      </c>
      <c r="C52" s="1128"/>
      <c r="D52" s="1124"/>
      <c r="E52" s="589"/>
      <c r="F52" s="1554"/>
      <c r="G52" s="559"/>
      <c r="H52" s="1507"/>
    </row>
    <row r="53" spans="2:8" hidden="1" x14ac:dyDescent="0.35">
      <c r="B53" s="264" t="str">
        <f>+TableC5!A54</f>
        <v>Andorra</v>
      </c>
      <c r="C53" s="1130"/>
      <c r="D53" s="1124"/>
      <c r="E53" s="9"/>
      <c r="F53" s="1554"/>
      <c r="G53" s="1125"/>
      <c r="H53" s="16"/>
    </row>
    <row r="54" spans="2:8" hidden="1" x14ac:dyDescent="0.35">
      <c r="B54" s="264" t="str">
        <f>+TableC5!A55</f>
        <v>Anguilla</v>
      </c>
      <c r="C54" s="1130"/>
      <c r="D54" s="1124"/>
      <c r="E54" s="9"/>
      <c r="F54" s="1554"/>
      <c r="G54" s="1125"/>
      <c r="H54" s="16"/>
    </row>
    <row r="55" spans="2:8" hidden="1" x14ac:dyDescent="0.35">
      <c r="B55" s="264" t="str">
        <f>+TableC5!A56</f>
        <v>Antigua and Barbuda</v>
      </c>
      <c r="C55" s="1131"/>
      <c r="D55" s="1124"/>
      <c r="E55" s="9"/>
      <c r="F55" s="1554"/>
      <c r="G55" s="1126"/>
      <c r="H55" s="16"/>
    </row>
    <row r="56" spans="2:8" hidden="1" x14ac:dyDescent="0.35">
      <c r="B56" s="264" t="str">
        <f>+TableC5!A57</f>
        <v>Aruba</v>
      </c>
      <c r="C56" s="1130"/>
      <c r="D56" s="1124"/>
      <c r="E56" s="9"/>
      <c r="F56" s="1554"/>
      <c r="G56" s="1125"/>
      <c r="H56" s="16"/>
    </row>
    <row r="57" spans="2:8" hidden="1" x14ac:dyDescent="0.35">
      <c r="B57" s="264" t="str">
        <f>+TableC5!A58</f>
        <v>Bahamas, The</v>
      </c>
      <c r="C57" s="1130"/>
      <c r="D57" s="1124"/>
      <c r="E57" s="9"/>
      <c r="F57" s="1554"/>
      <c r="G57" s="1125"/>
      <c r="H57" s="16"/>
    </row>
    <row r="58" spans="2:8" hidden="1" x14ac:dyDescent="0.35">
      <c r="B58" s="264" t="str">
        <f>+TableC5!A59</f>
        <v>Bahrain</v>
      </c>
      <c r="C58" s="1130"/>
      <c r="D58" s="1124"/>
      <c r="E58" s="9"/>
      <c r="F58" s="1554"/>
      <c r="G58" s="1125"/>
      <c r="H58" s="16"/>
    </row>
    <row r="59" spans="2:8" hidden="1" x14ac:dyDescent="0.35">
      <c r="B59" s="264" t="str">
        <f>+TableC5!A60</f>
        <v>Barbados</v>
      </c>
      <c r="C59" s="1131"/>
      <c r="D59" s="1124"/>
      <c r="E59" s="9"/>
      <c r="F59" s="1554"/>
      <c r="G59" s="1126"/>
      <c r="H59" s="16"/>
    </row>
    <row r="60" spans="2:8" hidden="1" x14ac:dyDescent="0.35">
      <c r="B60" s="264" t="str">
        <f>+TableC5!A61</f>
        <v>Belize</v>
      </c>
      <c r="C60" s="1130"/>
      <c r="D60" s="1124"/>
      <c r="E60" s="9"/>
      <c r="F60" s="1554"/>
      <c r="G60" s="1125"/>
      <c r="H60" s="16"/>
    </row>
    <row r="61" spans="2:8" hidden="1" x14ac:dyDescent="0.35">
      <c r="B61" s="264" t="str">
        <f>+TableC5!A62</f>
        <v>Bermuda</v>
      </c>
      <c r="C61" s="1130"/>
      <c r="D61" s="1124"/>
      <c r="E61" s="9"/>
      <c r="F61" s="1554"/>
      <c r="G61" s="1125"/>
      <c r="H61" s="16"/>
    </row>
    <row r="62" spans="2:8" hidden="1" x14ac:dyDescent="0.35">
      <c r="B62" s="264" t="str">
        <f>+TableC5!A63</f>
        <v>Bonaire</v>
      </c>
      <c r="C62" s="1130"/>
      <c r="D62" s="1124"/>
      <c r="E62" s="9"/>
      <c r="F62" s="1554"/>
      <c r="G62" s="1125"/>
      <c r="H62" s="16"/>
    </row>
    <row r="63" spans="2:8" hidden="1" x14ac:dyDescent="0.35">
      <c r="B63" s="264" t="str">
        <f>+TableC5!A64</f>
        <v>British Virgin Islands</v>
      </c>
      <c r="C63" s="1130"/>
      <c r="D63" s="1124"/>
      <c r="E63" s="9"/>
      <c r="F63" s="1554"/>
      <c r="G63" s="1125"/>
      <c r="H63" s="16"/>
    </row>
    <row r="64" spans="2:8" hidden="1" x14ac:dyDescent="0.35">
      <c r="B64" s="264" t="str">
        <f>+TableC5!A65</f>
        <v>Cayman Islands</v>
      </c>
      <c r="C64" s="1132"/>
      <c r="D64" s="1124"/>
      <c r="E64" s="9"/>
      <c r="F64" s="1554"/>
      <c r="G64" s="1127"/>
      <c r="H64" s="16"/>
    </row>
    <row r="65" spans="2:8" hidden="1" x14ac:dyDescent="0.35">
      <c r="B65" s="264" t="str">
        <f>+TableC5!A66</f>
        <v>Curacao</v>
      </c>
      <c r="C65" s="1130"/>
      <c r="D65" s="1124"/>
      <c r="E65" s="9"/>
      <c r="F65" s="1554"/>
      <c r="G65" s="1125"/>
      <c r="H65" s="16"/>
    </row>
    <row r="66" spans="2:8" hidden="1" x14ac:dyDescent="0.35">
      <c r="B66" s="264" t="str">
        <f>+TableC5!A67</f>
        <v>Cyprus</v>
      </c>
      <c r="C66" s="1131"/>
      <c r="D66" s="1124"/>
      <c r="E66" s="9"/>
      <c r="F66" s="1554"/>
      <c r="G66" s="1126"/>
      <c r="H66" s="16"/>
    </row>
    <row r="67" spans="2:8" hidden="1" x14ac:dyDescent="0.35">
      <c r="B67" s="264" t="str">
        <f>+TableC5!A68</f>
        <v>Jersey</v>
      </c>
      <c r="C67" s="1130"/>
      <c r="D67" s="1124"/>
      <c r="E67" s="9"/>
      <c r="F67" s="1554"/>
      <c r="G67" s="1125"/>
      <c r="H67" s="16"/>
    </row>
    <row r="68" spans="2:8" hidden="1" x14ac:dyDescent="0.35">
      <c r="B68" s="264" t="str">
        <f>+TableC5!A69</f>
        <v>Grenada</v>
      </c>
      <c r="C68" s="1131"/>
      <c r="D68" s="1124"/>
      <c r="E68" s="9"/>
      <c r="F68" s="1554"/>
      <c r="G68" s="1126"/>
      <c r="H68" s="16"/>
    </row>
    <row r="69" spans="2:8" hidden="1" x14ac:dyDescent="0.35">
      <c r="B69" s="264" t="str">
        <f>+TableC5!A70</f>
        <v>Guernsey</v>
      </c>
      <c r="C69" s="1130"/>
      <c r="D69" s="1124"/>
      <c r="E69" s="9"/>
      <c r="F69" s="1554"/>
      <c r="G69" s="1125"/>
      <c r="H69" s="16"/>
    </row>
    <row r="70" spans="2:8" hidden="1" x14ac:dyDescent="0.35">
      <c r="B70" s="264" t="str">
        <f>+TableC5!A71</f>
        <v>Gibraltar</v>
      </c>
      <c r="C70" s="1130"/>
      <c r="D70" s="1124"/>
      <c r="E70" s="9"/>
      <c r="F70" s="1554"/>
      <c r="G70" s="1125"/>
      <c r="H70" s="16"/>
    </row>
    <row r="71" spans="2:8" hidden="1" x14ac:dyDescent="0.35">
      <c r="B71" s="264" t="str">
        <f>+TableC5!A72</f>
        <v>Hong Kong</v>
      </c>
      <c r="C71" s="1130"/>
      <c r="D71" s="1124"/>
      <c r="E71" s="9"/>
      <c r="F71" s="1554"/>
      <c r="G71" s="1125"/>
      <c r="H71" s="16"/>
    </row>
    <row r="72" spans="2:8" hidden="1" x14ac:dyDescent="0.35">
      <c r="B72" s="264" t="str">
        <f>+TableC5!A73</f>
        <v>Isle of man</v>
      </c>
      <c r="C72" s="1130"/>
      <c r="D72" s="1124"/>
      <c r="E72" s="9"/>
      <c r="F72" s="1554"/>
      <c r="G72" s="1125"/>
      <c r="H72" s="16"/>
    </row>
    <row r="73" spans="2:8" hidden="1" x14ac:dyDescent="0.35">
      <c r="B73" s="264" t="str">
        <f>+TableC5!A74</f>
        <v>Lebanon</v>
      </c>
      <c r="C73" s="1130"/>
      <c r="D73" s="1124"/>
      <c r="E73" s="9"/>
      <c r="F73" s="1554"/>
      <c r="G73" s="1125"/>
      <c r="H73" s="16"/>
    </row>
    <row r="74" spans="2:8" hidden="1" x14ac:dyDescent="0.35">
      <c r="B74" s="264" t="str">
        <f>+TableC5!A75</f>
        <v>Liechtenstein</v>
      </c>
      <c r="C74" s="1130"/>
      <c r="D74" s="1124"/>
      <c r="E74" s="9"/>
      <c r="F74" s="1554"/>
      <c r="G74" s="1125"/>
      <c r="H74" s="16"/>
    </row>
    <row r="75" spans="2:8" hidden="1" x14ac:dyDescent="0.35">
      <c r="B75" s="264" t="str">
        <f>+TableC5!A76</f>
        <v>Macau</v>
      </c>
      <c r="C75" s="1130"/>
      <c r="D75" s="1124"/>
      <c r="E75" s="9"/>
      <c r="F75" s="1554"/>
      <c r="G75" s="1125"/>
      <c r="H75" s="16"/>
    </row>
    <row r="76" spans="2:8" hidden="1" x14ac:dyDescent="0.35">
      <c r="B76" s="264" t="str">
        <f>+TableC5!A77</f>
        <v>Malta</v>
      </c>
      <c r="C76" s="1131"/>
      <c r="D76" s="1124"/>
      <c r="E76" s="9"/>
      <c r="F76" s="1554"/>
      <c r="G76" s="1126"/>
      <c r="H76" s="16"/>
    </row>
    <row r="77" spans="2:8" hidden="1" x14ac:dyDescent="0.35">
      <c r="B77" s="264" t="str">
        <f>+TableC5!A78</f>
        <v>Marshall Islands</v>
      </c>
      <c r="C77" s="1131"/>
      <c r="D77" s="1124"/>
      <c r="E77" s="9"/>
      <c r="F77" s="1554"/>
      <c r="G77" s="1126"/>
      <c r="H77" s="16"/>
    </row>
    <row r="78" spans="2:8" hidden="1" x14ac:dyDescent="0.35">
      <c r="B78" s="264" t="str">
        <f>+TableC5!A79</f>
        <v>Monaco</v>
      </c>
      <c r="C78" s="1131"/>
      <c r="D78" s="1124"/>
      <c r="E78" s="9"/>
      <c r="F78" s="1554"/>
      <c r="G78" s="1126"/>
      <c r="H78" s="16"/>
    </row>
    <row r="79" spans="2:8" hidden="1" x14ac:dyDescent="0.35">
      <c r="B79" s="264" t="str">
        <f>+TableC5!A80</f>
        <v>Sint Maarten</v>
      </c>
      <c r="C79" s="1130"/>
      <c r="D79" s="1124"/>
      <c r="E79" s="9"/>
      <c r="F79" s="1554"/>
      <c r="G79" s="1125"/>
      <c r="H79" s="16"/>
    </row>
    <row r="80" spans="2:8" hidden="1" x14ac:dyDescent="0.35">
      <c r="B80" s="264" t="str">
        <f>+TableC5!A81</f>
        <v>Mauritius</v>
      </c>
      <c r="C80" s="1130"/>
      <c r="D80" s="1124"/>
      <c r="E80" s="9"/>
      <c r="F80" s="1554"/>
      <c r="G80" s="1125"/>
      <c r="H80" s="16"/>
    </row>
    <row r="81" spans="2:8" hidden="1" x14ac:dyDescent="0.35">
      <c r="B81" s="264" t="str">
        <f>+TableC5!A82</f>
        <v>Seychelles</v>
      </c>
      <c r="C81" s="1131"/>
      <c r="D81" s="1124"/>
      <c r="E81" s="9"/>
      <c r="F81" s="1554"/>
      <c r="G81" s="1126"/>
      <c r="H81" s="16"/>
    </row>
    <row r="82" spans="2:8" hidden="1" x14ac:dyDescent="0.35">
      <c r="B82" s="264" t="str">
        <f>+TableC5!A83</f>
        <v>Singapore</v>
      </c>
      <c r="C82" s="1130"/>
      <c r="D82" s="1124"/>
      <c r="E82" s="9"/>
      <c r="F82" s="1554"/>
      <c r="G82" s="1125"/>
      <c r="H82" s="16"/>
    </row>
    <row r="83" spans="2:8" hidden="1" x14ac:dyDescent="0.35">
      <c r="B83" s="264" t="str">
        <f>+TableC5!A84</f>
        <v>St. Kitts and Nevis</v>
      </c>
      <c r="C83" s="1131"/>
      <c r="D83" s="1124"/>
      <c r="E83" s="9"/>
      <c r="F83" s="1554"/>
      <c r="G83" s="1126"/>
      <c r="H83" s="16"/>
    </row>
    <row r="84" spans="2:8" hidden="1" x14ac:dyDescent="0.35">
      <c r="B84" s="264" t="str">
        <f>+TableC5!A85</f>
        <v>St. Lucia</v>
      </c>
      <c r="C84" s="1131"/>
      <c r="D84" s="1124"/>
      <c r="E84" s="9"/>
      <c r="F84" s="1554"/>
      <c r="G84" s="1126"/>
      <c r="H84" s="16"/>
    </row>
    <row r="85" spans="2:8" hidden="1" x14ac:dyDescent="0.35">
      <c r="B85" s="264" t="str">
        <f>+TableC5!A86</f>
        <v>St. Vincent and the Grenadines</v>
      </c>
      <c r="C85" s="1131"/>
      <c r="D85" s="1124"/>
      <c r="E85" s="9"/>
      <c r="F85" s="1554"/>
      <c r="G85" s="1126"/>
      <c r="H85" s="16"/>
    </row>
    <row r="86" spans="2:8" hidden="1" x14ac:dyDescent="0.35">
      <c r="B86" s="264" t="str">
        <f>+TableC5!A87</f>
        <v>Turks and Caicos</v>
      </c>
      <c r="C86" s="1131"/>
      <c r="D86" s="1124"/>
      <c r="E86" s="9"/>
      <c r="F86" s="1554"/>
      <c r="G86" s="1126"/>
      <c r="H86" s="16"/>
    </row>
    <row r="87" spans="2:8" hidden="1" x14ac:dyDescent="0.35">
      <c r="B87" s="264" t="str">
        <f>+TableC5!A88</f>
        <v>Panama</v>
      </c>
      <c r="C87" s="1131"/>
      <c r="D87" s="1124"/>
      <c r="E87" s="9"/>
      <c r="F87" s="1554"/>
      <c r="G87" s="1126"/>
      <c r="H87" s="16"/>
    </row>
    <row r="88" spans="2:8" hidden="1" x14ac:dyDescent="0.35">
      <c r="B88" s="264" t="str">
        <f>+TableC5!A89</f>
        <v>Puerto Rico</v>
      </c>
      <c r="C88" s="1130"/>
      <c r="D88" s="1124"/>
      <c r="E88" s="9"/>
      <c r="F88" s="1554"/>
      <c r="G88" s="1125"/>
      <c r="H88" s="16"/>
    </row>
    <row r="89" spans="2:8" ht="39" customHeight="1" x14ac:dyDescent="0.35">
      <c r="B89" s="1318" t="s">
        <v>498</v>
      </c>
      <c r="C89" s="1129">
        <f>+TableC4d!E91</f>
        <v>18.687705941084808</v>
      </c>
      <c r="D89" s="1533">
        <v>56.102748300000087</v>
      </c>
      <c r="E89" s="1533">
        <v>11.700000000000045</v>
      </c>
      <c r="F89" s="1553">
        <f>+TableC4d!K91</f>
        <v>7.0004884806695672E-2</v>
      </c>
      <c r="G89" s="589"/>
      <c r="H89" s="1507"/>
    </row>
    <row r="90" spans="2:8" hidden="1" x14ac:dyDescent="0.35">
      <c r="B90" s="1318"/>
      <c r="C90" s="588"/>
      <c r="D90" s="589"/>
      <c r="E90" s="589"/>
      <c r="F90" s="1553"/>
      <c r="G90" s="589"/>
      <c r="H90" s="1507"/>
    </row>
    <row r="91" spans="2:8" ht="40" customHeight="1" thickBot="1" x14ac:dyDescent="0.4">
      <c r="B91" s="584" t="s">
        <v>628</v>
      </c>
      <c r="C91" s="1550">
        <f>+C89+C8+C44</f>
        <v>181.40240730377607</v>
      </c>
      <c r="D91" s="1551">
        <v>450.90414750000002</v>
      </c>
      <c r="E91" s="1552">
        <f>+E89+E44+E8</f>
        <v>279</v>
      </c>
      <c r="F91" s="1808">
        <f>+TableC4d!K93</f>
        <v>9.1314753737725546E-2</v>
      </c>
      <c r="G91" s="620"/>
      <c r="H91" s="1509"/>
    </row>
    <row r="92" spans="2:8" ht="16" thickTop="1" x14ac:dyDescent="0.35"/>
  </sheetData>
  <mergeCells count="9">
    <mergeCell ref="C5:E5"/>
    <mergeCell ref="F5:H5"/>
    <mergeCell ref="F6:F7"/>
    <mergeCell ref="B2:H2"/>
    <mergeCell ref="H6:H7"/>
    <mergeCell ref="E6:E7"/>
    <mergeCell ref="C6:C7"/>
    <mergeCell ref="D6:D7"/>
    <mergeCell ref="G6:G7"/>
  </mergeCells>
  <pageMargins left="0.7" right="0.7" top="0.75" bottom="0.75" header="0.3" footer="0.3"/>
  <pageSetup paperSize="9" scale="77" orientation="portrait" r:id="rId1"/>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2:E15"/>
  <sheetViews>
    <sheetView workbookViewId="0">
      <selection activeCell="A3" sqref="A3:E14"/>
    </sheetView>
  </sheetViews>
  <sheetFormatPr baseColWidth="10" defaultColWidth="7.6328125" defaultRowHeight="14.5" x14ac:dyDescent="0.35"/>
  <cols>
    <col min="1" max="1" width="38.1796875" style="1188" bestFit="1" customWidth="1"/>
    <col min="2" max="2" width="20" style="1188" customWidth="1"/>
    <col min="3" max="4" width="14.1796875" style="1188" customWidth="1"/>
    <col min="5" max="5" width="17.453125" style="1188" bestFit="1" customWidth="1"/>
    <col min="6" max="6" width="12" style="1188" customWidth="1"/>
    <col min="7" max="7" width="51.36328125" style="1188" bestFit="1" customWidth="1"/>
    <col min="8" max="9" width="25.1796875" style="1188" bestFit="1" customWidth="1"/>
    <col min="10" max="10" width="18" style="1188" customWidth="1"/>
    <col min="11" max="16384" width="7.6328125" style="1188"/>
  </cols>
  <sheetData>
    <row r="2" spans="1:5" ht="15" thickBot="1" x14ac:dyDescent="0.4"/>
    <row r="3" spans="1:5" ht="26.25" customHeight="1" thickTop="1" x14ac:dyDescent="0.35">
      <c r="A3" s="2048" t="s">
        <v>661</v>
      </c>
      <c r="B3" s="2049"/>
      <c r="C3" s="2049"/>
      <c r="D3" s="2049"/>
      <c r="E3" s="2050"/>
    </row>
    <row r="4" spans="1:5" ht="15.5" x14ac:dyDescent="0.35">
      <c r="A4" s="1045"/>
      <c r="B4" s="1148"/>
      <c r="C4" s="1148"/>
      <c r="D4" s="1148"/>
      <c r="E4" s="1495"/>
    </row>
    <row r="5" spans="1:5" ht="16" thickBot="1" x14ac:dyDescent="0.4">
      <c r="A5" s="1045"/>
      <c r="B5" s="323" t="s">
        <v>20</v>
      </c>
      <c r="C5" s="323" t="s">
        <v>21</v>
      </c>
      <c r="D5" s="323" t="s">
        <v>22</v>
      </c>
      <c r="E5" s="452" t="s">
        <v>23</v>
      </c>
    </row>
    <row r="6" spans="1:5" ht="41.25" customHeight="1" x14ac:dyDescent="0.35">
      <c r="A6" s="1534"/>
      <c r="B6" s="1535" t="s">
        <v>654</v>
      </c>
      <c r="C6" s="1536" t="s">
        <v>653</v>
      </c>
      <c r="D6" s="1537" t="s">
        <v>652</v>
      </c>
      <c r="E6" s="1538" t="s">
        <v>651</v>
      </c>
    </row>
    <row r="7" spans="1:5" ht="20.25" customHeight="1" x14ac:dyDescent="0.35">
      <c r="A7" s="1539" t="s">
        <v>638</v>
      </c>
      <c r="B7" s="1157">
        <v>2006</v>
      </c>
      <c r="C7" s="1149">
        <v>2010</v>
      </c>
      <c r="D7" s="1149">
        <v>1999</v>
      </c>
      <c r="E7" s="1540">
        <v>2004</v>
      </c>
    </row>
    <row r="8" spans="1:5" ht="8.25" customHeight="1" x14ac:dyDescent="0.35">
      <c r="A8" s="1539"/>
      <c r="B8" s="1157"/>
      <c r="C8" s="1149"/>
      <c r="D8" s="1149"/>
      <c r="E8" s="1540"/>
    </row>
    <row r="9" spans="1:5" ht="15.5" x14ac:dyDescent="0.35">
      <c r="A9" s="1539" t="s">
        <v>662</v>
      </c>
      <c r="B9" s="1157" t="s">
        <v>650</v>
      </c>
      <c r="C9" s="1149" t="s">
        <v>649</v>
      </c>
      <c r="D9" s="1149" t="s">
        <v>648</v>
      </c>
      <c r="E9" s="1540" t="s">
        <v>575</v>
      </c>
    </row>
    <row r="10" spans="1:5" ht="15.5" x14ac:dyDescent="0.35">
      <c r="A10" s="1539" t="s">
        <v>663</v>
      </c>
      <c r="B10" s="1158">
        <v>31.546979865771814</v>
      </c>
      <c r="C10" s="690">
        <v>196.19979116778524</v>
      </c>
      <c r="D10" s="690">
        <v>340</v>
      </c>
      <c r="E10" s="1541">
        <v>4396.92</v>
      </c>
    </row>
    <row r="11" spans="1:5" ht="15.5" x14ac:dyDescent="0.35">
      <c r="A11" s="1539" t="s">
        <v>664</v>
      </c>
      <c r="B11" s="1192">
        <v>8344.4295302013415</v>
      </c>
      <c r="C11" s="1193">
        <v>50983.9</v>
      </c>
      <c r="D11" s="1193">
        <v>36872</v>
      </c>
      <c r="E11" s="1541">
        <v>218486.95200000002</v>
      </c>
    </row>
    <row r="12" spans="1:5" ht="15.5" x14ac:dyDescent="0.35">
      <c r="A12" s="1539" t="s">
        <v>647</v>
      </c>
      <c r="B12" s="1190">
        <v>3.7806035453463315E-3</v>
      </c>
      <c r="C12" s="1191">
        <v>3.8482695746654381E-3</v>
      </c>
      <c r="D12" s="1191">
        <v>9.2210891733564768E-3</v>
      </c>
      <c r="E12" s="1542">
        <v>2.0124405415294547E-2</v>
      </c>
    </row>
    <row r="13" spans="1:5" ht="15.5" x14ac:dyDescent="0.35">
      <c r="A13" s="1539" t="s">
        <v>646</v>
      </c>
      <c r="B13" s="1157" t="s">
        <v>644</v>
      </c>
      <c r="C13" s="396">
        <v>0.79310344827586221</v>
      </c>
      <c r="D13" s="396">
        <v>0.68382352941176472</v>
      </c>
      <c r="E13" s="1540" t="s">
        <v>644</v>
      </c>
    </row>
    <row r="14" spans="1:5" ht="16" thickBot="1" x14ac:dyDescent="0.4">
      <c r="A14" s="1543" t="s">
        <v>645</v>
      </c>
      <c r="B14" s="1544" t="s">
        <v>644</v>
      </c>
      <c r="C14" s="1545">
        <v>0.93628185907046479</v>
      </c>
      <c r="D14" s="1545">
        <v>1</v>
      </c>
      <c r="E14" s="1546" t="s">
        <v>644</v>
      </c>
    </row>
    <row r="15" spans="1:5" ht="15" thickTop="1" x14ac:dyDescent="0.35"/>
  </sheetData>
  <mergeCells count="1">
    <mergeCell ref="A3:E3"/>
  </mergeCells>
  <pageMargins left="0.7" right="0.7" top="0.75" bottom="0.75" header="0.3" footer="0.3"/>
  <pageSetup paperSize="9" scale="84" orientation="portrait"/>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L31"/>
  <sheetViews>
    <sheetView workbookViewId="0">
      <selection activeCell="A2" sqref="A2:E10"/>
    </sheetView>
  </sheetViews>
  <sheetFormatPr baseColWidth="10" defaultColWidth="7.6328125" defaultRowHeight="14.5" x14ac:dyDescent="0.35"/>
  <cols>
    <col min="1" max="1" width="34.6328125" style="1594" bestFit="1" customWidth="1"/>
    <col min="2" max="2" width="20" style="1594" customWidth="1"/>
    <col min="3" max="5" width="14.1796875" style="1594" customWidth="1"/>
    <col min="6" max="7" width="7.6328125" style="1594"/>
    <col min="8" max="8" width="12" style="1594" customWidth="1"/>
    <col min="9" max="9" width="51.36328125" style="1594" bestFit="1" customWidth="1"/>
    <col min="10" max="11" width="25.1796875" style="1594" bestFit="1" customWidth="1"/>
    <col min="12" max="12" width="18" style="1594" customWidth="1"/>
    <col min="13" max="16384" width="7.6328125" style="1594"/>
  </cols>
  <sheetData>
    <row r="1" spans="1:12" ht="30.75" customHeight="1" x14ac:dyDescent="0.35"/>
    <row r="2" spans="1:12" ht="16.5" customHeight="1" thickBot="1" x14ac:dyDescent="0.4">
      <c r="A2" s="2527" t="s">
        <v>813</v>
      </c>
      <c r="B2" s="2527"/>
      <c r="C2" s="2527"/>
      <c r="D2" s="2527"/>
      <c r="E2" s="2527"/>
      <c r="H2" s="2528" t="s">
        <v>812</v>
      </c>
      <c r="I2" s="2528"/>
      <c r="J2" s="2528"/>
      <c r="K2" s="2528"/>
      <c r="L2" s="2528"/>
    </row>
    <row r="3" spans="1:12" s="1618" customFormat="1" ht="18" customHeight="1" thickTop="1" x14ac:dyDescent="0.35">
      <c r="A3" s="1621"/>
      <c r="B3" s="1621" t="s">
        <v>654</v>
      </c>
      <c r="C3" s="1621" t="s">
        <v>653</v>
      </c>
      <c r="D3" s="1621" t="s">
        <v>652</v>
      </c>
      <c r="E3" s="1621" t="s">
        <v>651</v>
      </c>
      <c r="H3" s="1619"/>
      <c r="I3" s="1619" t="s">
        <v>811</v>
      </c>
      <c r="J3" s="1620" t="s">
        <v>810</v>
      </c>
      <c r="K3" s="1620" t="s">
        <v>809</v>
      </c>
      <c r="L3" s="1619" t="s">
        <v>808</v>
      </c>
    </row>
    <row r="4" spans="1:12" x14ac:dyDescent="0.35">
      <c r="A4" s="1595" t="s">
        <v>807</v>
      </c>
      <c r="B4" s="1617">
        <v>2006</v>
      </c>
      <c r="C4" s="1595">
        <v>2010</v>
      </c>
      <c r="D4" s="1595">
        <v>1999</v>
      </c>
      <c r="E4" s="1595">
        <v>2004</v>
      </c>
      <c r="H4" s="1594" t="s">
        <v>55</v>
      </c>
      <c r="I4" s="1609">
        <v>3880.5</v>
      </c>
      <c r="J4" s="1608">
        <v>4.71</v>
      </c>
      <c r="K4" s="1608">
        <f t="shared" ref="K4:K25" si="0">+J4*$H$31</f>
        <v>5.0271489971346703</v>
      </c>
      <c r="L4" s="1607">
        <f t="shared" ref="L4:L25" si="1">+K4/I4</f>
        <v>1.2954900134350394E-3</v>
      </c>
    </row>
    <row r="5" spans="1:12" x14ac:dyDescent="0.35">
      <c r="A5" s="1594" t="s">
        <v>806</v>
      </c>
      <c r="B5" s="1610" t="s">
        <v>650</v>
      </c>
      <c r="C5" s="1610" t="s">
        <v>649</v>
      </c>
      <c r="D5" s="1610" t="s">
        <v>648</v>
      </c>
      <c r="E5" s="1610" t="s">
        <v>575</v>
      </c>
      <c r="H5" s="1594" t="s">
        <v>2</v>
      </c>
      <c r="I5" s="1609">
        <v>7697.1</v>
      </c>
      <c r="J5" s="1608">
        <v>8.7799999999999994</v>
      </c>
      <c r="K5" s="1608">
        <f t="shared" si="0"/>
        <v>9.3712034383954137</v>
      </c>
      <c r="L5" s="1607">
        <f t="shared" si="1"/>
        <v>1.2174979457711883E-3</v>
      </c>
    </row>
    <row r="6" spans="1:12" x14ac:dyDescent="0.35">
      <c r="A6" s="1594" t="s">
        <v>805</v>
      </c>
      <c r="B6" s="1616">
        <v>31.546979865771814</v>
      </c>
      <c r="C6" s="1616">
        <v>196.19979116778524</v>
      </c>
      <c r="D6" s="1616">
        <v>340</v>
      </c>
      <c r="E6" s="1616">
        <f>5500*0.79944</f>
        <v>4396.92</v>
      </c>
      <c r="H6" s="1594" t="s">
        <v>450</v>
      </c>
      <c r="I6" s="1609">
        <v>388.7</v>
      </c>
      <c r="J6" s="1608">
        <v>0.45</v>
      </c>
      <c r="K6" s="1608">
        <f t="shared" si="0"/>
        <v>0.48030085959885388</v>
      </c>
      <c r="L6" s="1607">
        <f t="shared" si="1"/>
        <v>1.2356595307405555E-3</v>
      </c>
    </row>
    <row r="7" spans="1:12" x14ac:dyDescent="0.35">
      <c r="A7" s="1594" t="s">
        <v>804</v>
      </c>
      <c r="B7" s="1616">
        <v>8344.4295302013415</v>
      </c>
      <c r="C7" s="1616">
        <v>50983.9</v>
      </c>
      <c r="D7" s="1616">
        <v>36872</v>
      </c>
      <c r="E7" s="1616">
        <f>273300*0.79944</f>
        <v>218486.95200000002</v>
      </c>
      <c r="H7" s="1594" t="s">
        <v>58</v>
      </c>
      <c r="I7" s="1609">
        <v>2154.3000000000002</v>
      </c>
      <c r="J7" s="1608">
        <v>37.14</v>
      </c>
      <c r="K7" s="1608">
        <f t="shared" si="0"/>
        <v>39.64083094555874</v>
      </c>
      <c r="L7" s="1607">
        <f t="shared" si="1"/>
        <v>1.8400794200231507E-2</v>
      </c>
    </row>
    <row r="8" spans="1:12" x14ac:dyDescent="0.35">
      <c r="A8" s="1594" t="s">
        <v>647</v>
      </c>
      <c r="B8" s="1607">
        <f>+B6/B7</f>
        <v>3.7806035453463315E-3</v>
      </c>
      <c r="C8" s="1607">
        <f>+C6/C7</f>
        <v>3.8482695746654381E-3</v>
      </c>
      <c r="D8" s="1607">
        <f>+D6/D7</f>
        <v>9.2210891733564768E-3</v>
      </c>
      <c r="E8" s="1607">
        <f>+E6/E7</f>
        <v>2.0124405415294547E-2</v>
      </c>
      <c r="H8" s="1594" t="s">
        <v>59</v>
      </c>
      <c r="I8" s="1609">
        <v>3888.9</v>
      </c>
      <c r="J8" s="1608">
        <v>16.87</v>
      </c>
      <c r="K8" s="1608">
        <f t="shared" si="0"/>
        <v>18.005945558739256</v>
      </c>
      <c r="L8" s="1607">
        <f t="shared" si="1"/>
        <v>4.6300870577127866E-3</v>
      </c>
    </row>
    <row r="9" spans="1:12" x14ac:dyDescent="0.35">
      <c r="A9" s="1594" t="s">
        <v>646</v>
      </c>
      <c r="B9" s="1615" t="s">
        <v>644</v>
      </c>
      <c r="C9" s="1614">
        <f>+(118.6+8.5+6.3)/168.2</f>
        <v>0.79310344827586221</v>
      </c>
      <c r="D9" s="1614">
        <f>232.5/D6</f>
        <v>0.68382352941176472</v>
      </c>
      <c r="E9" s="1614" t="s">
        <v>644</v>
      </c>
      <c r="H9" s="1594" t="s">
        <v>60</v>
      </c>
      <c r="I9" s="1609">
        <v>104.5</v>
      </c>
      <c r="J9" s="1608">
        <v>0.19</v>
      </c>
      <c r="K9" s="1608">
        <f t="shared" si="0"/>
        <v>0.20279369627507163</v>
      </c>
      <c r="L9" s="1607">
        <f t="shared" si="1"/>
        <v>1.9406095337327429E-3</v>
      </c>
    </row>
    <row r="10" spans="1:12" ht="15" thickBot="1" x14ac:dyDescent="0.4">
      <c r="A10" s="1613" t="s">
        <v>645</v>
      </c>
      <c r="B10" s="1612" t="s">
        <v>644</v>
      </c>
      <c r="C10" s="1611">
        <f>1-(8.5)/(118.6+8.5+6.3)</f>
        <v>0.93628185907046479</v>
      </c>
      <c r="D10" s="1611">
        <v>1</v>
      </c>
      <c r="E10" s="1611" t="s">
        <v>644</v>
      </c>
      <c r="H10" s="1594" t="s">
        <v>61</v>
      </c>
      <c r="I10" s="1609">
        <v>5296.3</v>
      </c>
      <c r="J10" s="1608">
        <v>72.510000000000005</v>
      </c>
      <c r="K10" s="1608">
        <f t="shared" si="0"/>
        <v>77.392478510028653</v>
      </c>
      <c r="L10" s="1607">
        <f t="shared" si="1"/>
        <v>1.4612555653952504E-2</v>
      </c>
    </row>
    <row r="11" spans="1:12" ht="15" thickTop="1" x14ac:dyDescent="0.35">
      <c r="E11" s="1610"/>
      <c r="H11" s="1594" t="s">
        <v>48</v>
      </c>
      <c r="I11" s="1609">
        <v>36872</v>
      </c>
      <c r="J11" s="1608">
        <v>4.9800000000000004</v>
      </c>
      <c r="K11" s="1608">
        <f t="shared" si="0"/>
        <v>5.3153295128939835</v>
      </c>
      <c r="L11" s="1607">
        <f t="shared" si="1"/>
        <v>1.4415625712990842E-4</v>
      </c>
    </row>
    <row r="12" spans="1:12" x14ac:dyDescent="0.35">
      <c r="H12" s="1598" t="s">
        <v>62</v>
      </c>
      <c r="I12" s="1609">
        <v>53829</v>
      </c>
      <c r="J12" s="1608">
        <v>-1260.1400000000001</v>
      </c>
      <c r="K12" s="1608">
        <f t="shared" si="0"/>
        <v>-1344.9918338108882</v>
      </c>
      <c r="L12" s="1607">
        <f t="shared" si="1"/>
        <v>-2.4986379717455057E-2</v>
      </c>
    </row>
    <row r="13" spans="1:12" x14ac:dyDescent="0.35">
      <c r="H13" s="1594" t="s">
        <v>64</v>
      </c>
      <c r="I13" s="1609">
        <v>1038.3</v>
      </c>
      <c r="J13" s="1608">
        <v>0.89</v>
      </c>
      <c r="K13" s="1608">
        <f t="shared" si="0"/>
        <v>0.94992836676217762</v>
      </c>
      <c r="L13" s="1607">
        <f t="shared" si="1"/>
        <v>9.1488815059441171E-4</v>
      </c>
    </row>
    <row r="14" spans="1:12" x14ac:dyDescent="0.35">
      <c r="H14" s="1594" t="s">
        <v>66</v>
      </c>
      <c r="I14" s="1609">
        <v>31769</v>
      </c>
      <c r="J14" s="1608">
        <v>-55.53</v>
      </c>
      <c r="K14" s="1608">
        <f t="shared" si="0"/>
        <v>-59.269126074498566</v>
      </c>
      <c r="L14" s="1607">
        <f t="shared" si="1"/>
        <v>-1.8656276897131973E-3</v>
      </c>
    </row>
    <row r="15" spans="1:12" x14ac:dyDescent="0.35">
      <c r="H15" s="1594" t="s">
        <v>70</v>
      </c>
      <c r="I15" s="1609">
        <v>1328.4</v>
      </c>
      <c r="J15" s="1608">
        <v>0.62</v>
      </c>
      <c r="K15" s="1608">
        <f t="shared" si="0"/>
        <v>0.66174785100286526</v>
      </c>
      <c r="L15" s="1607">
        <f t="shared" si="1"/>
        <v>4.9815405826773959E-4</v>
      </c>
    </row>
    <row r="16" spans="1:12" x14ac:dyDescent="0.35">
      <c r="H16" s="1594" t="s">
        <v>72</v>
      </c>
      <c r="I16" s="1609">
        <v>17215</v>
      </c>
      <c r="J16" s="1608">
        <v>7.94</v>
      </c>
      <c r="K16" s="1608">
        <f t="shared" si="0"/>
        <v>8.4746418338108889</v>
      </c>
      <c r="L16" s="1607">
        <f t="shared" si="1"/>
        <v>4.9228241846127727E-4</v>
      </c>
    </row>
    <row r="17" spans="8:12" x14ac:dyDescent="0.35">
      <c r="H17" s="1594" t="s">
        <v>74</v>
      </c>
      <c r="I17" s="1609">
        <v>6776</v>
      </c>
      <c r="J17" s="1608">
        <v>11.46</v>
      </c>
      <c r="K17" s="1608">
        <f t="shared" si="0"/>
        <v>12.231661891117479</v>
      </c>
      <c r="L17" s="1607">
        <f t="shared" si="1"/>
        <v>1.8051449071897106E-3</v>
      </c>
    </row>
    <row r="18" spans="8:12" x14ac:dyDescent="0.35">
      <c r="H18" s="1594" t="s">
        <v>75</v>
      </c>
      <c r="I18" s="1609">
        <v>3766.9</v>
      </c>
      <c r="J18" s="1608">
        <v>4.82</v>
      </c>
      <c r="K18" s="1608">
        <f t="shared" si="0"/>
        <v>5.1445558739255013</v>
      </c>
      <c r="L18" s="1607">
        <f t="shared" si="1"/>
        <v>1.3657266914241157E-3</v>
      </c>
    </row>
    <row r="19" spans="8:12" x14ac:dyDescent="0.35">
      <c r="H19" s="1594" t="s">
        <v>76</v>
      </c>
      <c r="I19" s="1609">
        <v>4141.3999999999996</v>
      </c>
      <c r="J19" s="1608">
        <v>-1.1399999999999999</v>
      </c>
      <c r="K19" s="1608">
        <f t="shared" si="0"/>
        <v>-1.2167621776504296</v>
      </c>
      <c r="L19" s="1607">
        <f t="shared" si="1"/>
        <v>-2.9380455344821309E-4</v>
      </c>
    </row>
    <row r="20" spans="8:12" x14ac:dyDescent="0.35">
      <c r="H20" s="1594" t="s">
        <v>359</v>
      </c>
      <c r="I20" s="1609">
        <v>1282</v>
      </c>
      <c r="J20" s="1608">
        <v>0.56000000000000005</v>
      </c>
      <c r="K20" s="1608">
        <f t="shared" si="0"/>
        <v>0.59770773638968488</v>
      </c>
      <c r="L20" s="1607">
        <f t="shared" si="1"/>
        <v>4.6623068361129869E-4</v>
      </c>
    </row>
    <row r="21" spans="8:12" x14ac:dyDescent="0.35">
      <c r="H21" s="1594" t="s">
        <v>96</v>
      </c>
      <c r="I21" s="1609">
        <v>595</v>
      </c>
      <c r="J21" s="1608">
        <v>-0.05</v>
      </c>
      <c r="K21" s="1608">
        <f t="shared" si="0"/>
        <v>-5.3366762177650434E-2</v>
      </c>
      <c r="L21" s="1607">
        <f t="shared" si="1"/>
        <v>-8.9692037273362071E-5</v>
      </c>
    </row>
    <row r="22" spans="8:12" x14ac:dyDescent="0.35">
      <c r="H22" s="1594" t="s">
        <v>79</v>
      </c>
      <c r="I22" s="1609">
        <v>16499</v>
      </c>
      <c r="J22" s="1608">
        <v>33.130000000000003</v>
      </c>
      <c r="K22" s="1608">
        <f t="shared" si="0"/>
        <v>35.36081661891118</v>
      </c>
      <c r="L22" s="1607">
        <f t="shared" si="1"/>
        <v>2.1432096865816827E-3</v>
      </c>
    </row>
    <row r="23" spans="8:12" x14ac:dyDescent="0.35">
      <c r="H23" s="1594" t="s">
        <v>80</v>
      </c>
      <c r="I23" s="1609">
        <v>7396.8</v>
      </c>
      <c r="J23" s="1608">
        <v>77.599999999999994</v>
      </c>
      <c r="K23" s="1608">
        <f t="shared" si="0"/>
        <v>82.825214899713458</v>
      </c>
      <c r="L23" s="1607">
        <f t="shared" si="1"/>
        <v>1.1197438743742356E-2</v>
      </c>
    </row>
    <row r="24" spans="8:12" x14ac:dyDescent="0.35">
      <c r="H24" s="1606" t="s">
        <v>82</v>
      </c>
      <c r="I24" s="1605">
        <v>49896.800000000003</v>
      </c>
      <c r="J24" s="1604">
        <v>127.14</v>
      </c>
      <c r="K24" s="1604">
        <f t="shared" si="0"/>
        <v>135.70100286532951</v>
      </c>
      <c r="L24" s="1603">
        <f t="shared" si="1"/>
        <v>2.7196333806041571E-3</v>
      </c>
    </row>
    <row r="25" spans="8:12" ht="15" thickBot="1" x14ac:dyDescent="0.4">
      <c r="H25" s="1602" t="s">
        <v>136</v>
      </c>
      <c r="I25" s="1601">
        <f>SUM(I4:I24)</f>
        <v>255815.89999999997</v>
      </c>
      <c r="J25" s="1600">
        <f>-907.07</f>
        <v>-907.07</v>
      </c>
      <c r="K25" s="1600">
        <f t="shared" si="0"/>
        <v>-968.14777936962753</v>
      </c>
      <c r="L25" s="1599">
        <f t="shared" si="1"/>
        <v>-3.7845488860138391E-3</v>
      </c>
    </row>
    <row r="26" spans="8:12" ht="15" thickTop="1" x14ac:dyDescent="0.35"/>
    <row r="27" spans="8:12" x14ac:dyDescent="0.35">
      <c r="H27" s="1598" t="s">
        <v>803</v>
      </c>
    </row>
    <row r="29" spans="8:12" x14ac:dyDescent="0.35">
      <c r="H29" s="1597" t="s">
        <v>802</v>
      </c>
      <c r="I29" s="1595"/>
    </row>
    <row r="31" spans="8:12" x14ac:dyDescent="0.35">
      <c r="H31" s="1596">
        <f>745/698</f>
        <v>1.0673352435530086</v>
      </c>
      <c r="I31" s="1595"/>
    </row>
  </sheetData>
  <mergeCells count="2">
    <mergeCell ref="A2:E2"/>
    <mergeCell ref="H2:L2"/>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2:S100"/>
  <sheetViews>
    <sheetView topLeftCell="A3" zoomScale="84" zoomScaleNormal="150" zoomScalePageLayoutView="150" workbookViewId="0">
      <pane xSplit="2" ySplit="6" topLeftCell="C22" activePane="bottomRight" state="frozen"/>
      <selection activeCell="D18" sqref="D18"/>
      <selection pane="topRight" activeCell="D18" sqref="D18"/>
      <selection pane="bottomLeft" activeCell="D18" sqref="D18"/>
      <selection pane="bottomRight" activeCell="L30" sqref="L30"/>
    </sheetView>
  </sheetViews>
  <sheetFormatPr baseColWidth="10" defaultColWidth="10.81640625" defaultRowHeight="15.5" x14ac:dyDescent="0.35"/>
  <cols>
    <col min="1" max="1" width="7.6328125" style="378" hidden="1" customWidth="1"/>
    <col min="2" max="2" width="19" style="1836" customWidth="1"/>
    <col min="3" max="3" width="10.453125" style="1836" bestFit="1" customWidth="1"/>
    <col min="4" max="4" width="10.453125" style="1836" customWidth="1"/>
    <col min="5" max="7" width="11.36328125" style="1836" customWidth="1"/>
    <col min="8" max="8" width="14.6328125" style="1836" bestFit="1" customWidth="1"/>
    <col min="9" max="9" width="14.6328125" style="1836" customWidth="1"/>
    <col min="10" max="11" width="11.36328125" style="1836" customWidth="1"/>
    <col min="12" max="12" width="14.36328125" style="1836" bestFit="1" customWidth="1"/>
    <col min="13" max="14" width="11.36328125" style="1836" customWidth="1"/>
    <col min="15" max="15" width="10.81640625" style="1836"/>
    <col min="16" max="16" width="12" style="1836" bestFit="1" customWidth="1"/>
    <col min="17" max="17" width="10.81640625" style="1836"/>
    <col min="18" max="18" width="7.6328125" style="378" customWidth="1"/>
    <col min="19" max="19" width="20.453125" style="1836" bestFit="1" customWidth="1"/>
    <col min="20" max="20" width="19.81640625" style="1836" bestFit="1" customWidth="1"/>
    <col min="21" max="21" width="10.81640625" style="1836"/>
    <col min="22" max="22" width="15.36328125" style="1836" bestFit="1" customWidth="1"/>
    <col min="23" max="23" width="11.81640625" style="1836" bestFit="1" customWidth="1"/>
    <col min="24" max="25" width="10.81640625" style="1836"/>
    <col min="26" max="26" width="21.1796875" style="1836" bestFit="1" customWidth="1"/>
    <col min="27" max="16384" width="10.81640625" style="1836"/>
  </cols>
  <sheetData>
    <row r="2" spans="1:18" ht="16" thickBot="1" x14ac:dyDescent="0.4"/>
    <row r="3" spans="1:18" ht="32.25" customHeight="1" x14ac:dyDescent="0.35">
      <c r="B3" s="2534" t="s">
        <v>928</v>
      </c>
      <c r="C3" s="2535"/>
      <c r="D3" s="2535"/>
      <c r="E3" s="2535"/>
      <c r="F3" s="2535"/>
      <c r="G3" s="2535"/>
      <c r="H3" s="2535"/>
      <c r="I3" s="2535"/>
      <c r="J3" s="2535"/>
      <c r="K3" s="2535"/>
      <c r="L3" s="2535"/>
      <c r="M3" s="2535"/>
      <c r="N3" s="2535"/>
      <c r="O3" s="2535"/>
      <c r="P3" s="2535"/>
      <c r="Q3" s="2536"/>
    </row>
    <row r="4" spans="1:18" ht="12" customHeight="1" x14ac:dyDescent="0.35">
      <c r="B4" s="1896"/>
      <c r="C4" s="1895"/>
      <c r="D4" s="1895"/>
      <c r="E4" s="1895"/>
      <c r="F4" s="1895"/>
      <c r="G4" s="1895"/>
      <c r="H4" s="1895"/>
      <c r="I4" s="1895"/>
      <c r="J4" s="1895"/>
      <c r="K4" s="1895"/>
      <c r="L4" s="1895"/>
      <c r="M4" s="1895"/>
      <c r="N4" s="1895"/>
      <c r="Q4" s="1894"/>
    </row>
    <row r="5" spans="1:18" ht="16" thickBot="1" x14ac:dyDescent="0.4">
      <c r="B5" s="1866"/>
      <c r="C5" s="1893" t="s">
        <v>20</v>
      </c>
      <c r="D5" s="1893" t="s">
        <v>21</v>
      </c>
      <c r="E5" s="1893" t="s">
        <v>22</v>
      </c>
      <c r="F5" s="1893" t="s">
        <v>23</v>
      </c>
      <c r="G5" s="1893" t="s">
        <v>24</v>
      </c>
      <c r="H5" s="1893" t="s">
        <v>25</v>
      </c>
      <c r="I5" s="1893" t="s">
        <v>26</v>
      </c>
      <c r="J5" s="1893" t="s">
        <v>33</v>
      </c>
      <c r="K5" s="1893" t="s">
        <v>34</v>
      </c>
      <c r="L5" s="1893" t="s">
        <v>37</v>
      </c>
      <c r="M5" s="1893" t="s">
        <v>105</v>
      </c>
      <c r="N5" s="1893" t="s">
        <v>138</v>
      </c>
      <c r="O5" s="1893" t="s">
        <v>139</v>
      </c>
      <c r="P5" s="1893" t="s">
        <v>140</v>
      </c>
      <c r="Q5" s="1892" t="s">
        <v>141</v>
      </c>
    </row>
    <row r="6" spans="1:18" ht="35.25" customHeight="1" x14ac:dyDescent="0.35">
      <c r="B6" s="1891"/>
      <c r="C6" s="2539" t="s">
        <v>927</v>
      </c>
      <c r="D6" s="2539"/>
      <c r="E6" s="2539"/>
      <c r="F6" s="2539"/>
      <c r="G6" s="2539"/>
      <c r="H6" s="2539" t="s">
        <v>926</v>
      </c>
      <c r="I6" s="2539"/>
      <c r="J6" s="2539"/>
      <c r="K6" s="2539"/>
      <c r="L6" s="2539"/>
      <c r="M6" s="2539" t="s">
        <v>44</v>
      </c>
      <c r="N6" s="2539"/>
      <c r="O6" s="2539"/>
      <c r="P6" s="2539"/>
      <c r="Q6" s="2540"/>
    </row>
    <row r="7" spans="1:18" ht="85" customHeight="1" x14ac:dyDescent="0.35">
      <c r="A7" s="381"/>
      <c r="B7" s="1866"/>
      <c r="C7" s="2537" t="s">
        <v>925</v>
      </c>
      <c r="D7" s="2529" t="s">
        <v>924</v>
      </c>
      <c r="E7" s="1888" t="s">
        <v>923</v>
      </c>
      <c r="F7" s="1888" t="s">
        <v>922</v>
      </c>
      <c r="G7" s="1890" t="s">
        <v>921</v>
      </c>
      <c r="H7" s="2538" t="s">
        <v>925</v>
      </c>
      <c r="I7" s="2529" t="s">
        <v>924</v>
      </c>
      <c r="J7" s="1888" t="s">
        <v>923</v>
      </c>
      <c r="K7" s="1888" t="s">
        <v>922</v>
      </c>
      <c r="L7" s="1889" t="s">
        <v>921</v>
      </c>
      <c r="M7" s="2529" t="s">
        <v>925</v>
      </c>
      <c r="N7" s="2529" t="s">
        <v>924</v>
      </c>
      <c r="O7" s="1888" t="s">
        <v>923</v>
      </c>
      <c r="P7" s="1888" t="s">
        <v>922</v>
      </c>
      <c r="Q7" s="1887" t="s">
        <v>921</v>
      </c>
      <c r="R7" s="381"/>
    </row>
    <row r="8" spans="1:18" ht="33" customHeight="1" x14ac:dyDescent="0.35">
      <c r="A8" s="381"/>
      <c r="B8" s="1866"/>
      <c r="C8" s="2537"/>
      <c r="D8" s="2530"/>
      <c r="E8" s="1885" t="s">
        <v>637</v>
      </c>
      <c r="F8" s="1885" t="s">
        <v>920</v>
      </c>
      <c r="G8" s="1886" t="s">
        <v>637</v>
      </c>
      <c r="H8" s="2538"/>
      <c r="I8" s="2530"/>
      <c r="J8" s="1885" t="s">
        <v>637</v>
      </c>
      <c r="K8" s="1885" t="s">
        <v>920</v>
      </c>
      <c r="L8" s="1886" t="s">
        <v>637</v>
      </c>
      <c r="M8" s="2530"/>
      <c r="N8" s="2530"/>
      <c r="O8" s="1885" t="s">
        <v>637</v>
      </c>
      <c r="P8" s="1885" t="s">
        <v>920</v>
      </c>
      <c r="Q8" s="1884" t="s">
        <v>637</v>
      </c>
      <c r="R8" s="381"/>
    </row>
    <row r="9" spans="1:18" ht="40" customHeight="1" x14ac:dyDescent="0.35">
      <c r="B9" s="1883" t="s">
        <v>98</v>
      </c>
      <c r="C9" s="1876">
        <f t="shared" ref="C9:C52" si="0">+IF(G9&gt;0,G9/E9,"")</f>
        <v>3.0900158166991041</v>
      </c>
      <c r="D9" s="1874">
        <f t="shared" ref="D9:D49" si="1">+G9/F9</f>
        <v>0.13295330543030764</v>
      </c>
      <c r="E9" s="1881">
        <f>+SUM(E10:E44)</f>
        <v>15382.439705866644</v>
      </c>
      <c r="F9" s="1881">
        <f>+SUM(F10:F44)</f>
        <v>357508.8399397778</v>
      </c>
      <c r="G9" s="1882">
        <f>+SUM(G10:G44)</f>
        <v>47531.981990548244</v>
      </c>
      <c r="H9" s="1874">
        <f>+IF(L9&gt;0,L9/J9,"")</f>
        <v>3.296693683253737</v>
      </c>
      <c r="I9" s="1874">
        <f t="shared" ref="I9:I22" si="2">+L9/K9</f>
        <v>0.20563597055527447</v>
      </c>
      <c r="J9" s="1881">
        <f>+SUM(J10:J44)</f>
        <v>2276.3407946990947</v>
      </c>
      <c r="K9" s="1881">
        <f>+SUM(K10:K44)</f>
        <v>36493.607118216372</v>
      </c>
      <c r="L9" s="1882">
        <f>+SUM(L10:L44)</f>
        <v>7504.398318817297</v>
      </c>
      <c r="M9" s="1874">
        <f>+IF(Q9&gt;0,Q9/O9,"")</f>
        <v>3.0528371746490119</v>
      </c>
      <c r="N9" s="1874">
        <f t="shared" ref="N9:N22" si="3">+Q9/P9</f>
        <v>0.12468410759526835</v>
      </c>
      <c r="O9" s="1881">
        <f>+SUM(O10:O44)</f>
        <v>13106.098911167552</v>
      </c>
      <c r="P9" s="1881">
        <f>+SUM(P10:P44)</f>
        <v>320897.23977105814</v>
      </c>
      <c r="Q9" s="1880">
        <f>+SUM(Q10:Q44)</f>
        <v>40010.785970639241</v>
      </c>
    </row>
    <row r="10" spans="1:18" ht="14.25" customHeight="1" x14ac:dyDescent="0.35">
      <c r="A10" s="378" t="s">
        <v>919</v>
      </c>
      <c r="B10" s="1872" t="s">
        <v>54</v>
      </c>
      <c r="C10" s="1822">
        <f t="shared" si="0"/>
        <v>3.481317291595619</v>
      </c>
      <c r="D10" s="1823">
        <f t="shared" si="1"/>
        <v>0.23694866782897228</v>
      </c>
      <c r="E10" s="1862">
        <v>496.98457655004552</v>
      </c>
      <c r="F10" s="1862">
        <f>+IFERROR(IFERROR(VLOOKUP(B10,'[1]Eurostat Fats'!$P$93:$X$125,9,0)/1000,VLOOKUP(B10,'[1]OECD FATS'!A:K,10,0)/1000),VLOOKUP(A10,'[1]World Bank Data Labor Force'!D:P,13,0))</f>
        <v>7301.8388997604197</v>
      </c>
      <c r="G10" s="1865">
        <f>+IF(VLOOKUP(B10,[1]TangibleAsset2015!A:H,8,0)/1000&gt;0,VLOOKUP(B10,[1]TangibleAsset2015!A:H,8,0)/1000,IFERROR(VLOOKUP(A10,[1]UNimputedcapitalstock2015!A:G,7,0),VLOOKUP('Table E1'!B10,'[1]Penn World Tables'!I:AN,3,0)))</f>
        <v>1730.1610000000001</v>
      </c>
      <c r="H10" s="1823">
        <f t="shared" ref="H10:H52" si="4">+IFERROR(L10/J10,"")</f>
        <v>2.9571700000000001</v>
      </c>
      <c r="I10" s="1823">
        <f t="shared" si="2"/>
        <v>0.43762637385941966</v>
      </c>
      <c r="J10" s="1864">
        <v>103.34199428911158</v>
      </c>
      <c r="K10" s="1864">
        <f>+IFERROR(IFERROR(IFERROR(VLOOKUP(B10,'[1]Eurostat Fats'!$P$134:$X$166,9,0)/1000,VLOOKUP(B10,'[1]OECD FATS'!M:V,10,0)/1000),VLOOKUP(B10,'[1]CBC- IRS'!A:O,15,0)*L10),"")</f>
        <v>698.31222135186272</v>
      </c>
      <c r="L10" s="1863">
        <f>IFERROR(VLOOKUP(B10,'[1]Eurostat Fats'!P:AB,12,0)*G10,IFERROR(VLOOKUP(B10,'[5]Main data'!$A:$C,3,0)*J10,""))</f>
        <v>305.59984525193209</v>
      </c>
      <c r="M10" s="1823">
        <f t="shared" ref="M10:M49" si="5">+IFERROR(Q10/O10,"")</f>
        <v>3.6189203580718536</v>
      </c>
      <c r="N10" s="1823">
        <f t="shared" si="3"/>
        <v>0.21572732634001954</v>
      </c>
      <c r="O10" s="1862">
        <f t="shared" ref="O10:O44" si="6">+IF(AND(E10&gt;0,J10&gt;0),E10-J10,"")</f>
        <v>393.64258226093392</v>
      </c>
      <c r="P10" s="1862">
        <f t="shared" ref="P10:P44" si="7">+IFERROR(IF(AND(F10&gt;0,K10&gt;0),F10-K10,""),"")</f>
        <v>6603.526678408557</v>
      </c>
      <c r="Q10" s="1861">
        <f t="shared" ref="Q10:Q44" si="8">+IFERROR(IF(AND(G10&gt;0,L10&gt;0),G10-L10,""),"")</f>
        <v>1424.561154748068</v>
      </c>
    </row>
    <row r="11" spans="1:18" ht="14.25" customHeight="1" x14ac:dyDescent="0.35">
      <c r="A11" s="378" t="s">
        <v>918</v>
      </c>
      <c r="B11" s="1872" t="s">
        <v>55</v>
      </c>
      <c r="C11" s="1822">
        <f t="shared" si="0"/>
        <v>5.5589601654952894</v>
      </c>
      <c r="D11" s="1823">
        <f t="shared" si="1"/>
        <v>0.25199362023294941</v>
      </c>
      <c r="E11" s="1878">
        <v>124.3274896607254</v>
      </c>
      <c r="F11" s="1862">
        <f>+IFERROR(IFERROR(VLOOKUP(B11,'[1]Eurostat Fats'!$P$93:$X$125,9,0)/1000,VLOOKUP(B11,'[1]OECD FATS'!A:K,10,0)/1000),VLOOKUP(A11,'[1]World Bank Data Labor Force'!D:P,13,0))</f>
        <v>2742.6550000000002</v>
      </c>
      <c r="G11" s="1865">
        <f>+IF(VLOOKUP(B11,[1]TangibleAsset2015!A:H,8,0)/1000&gt;0,VLOOKUP(B11,[1]TangibleAsset2015!A:H,8,0)/1000,IFERROR(VLOOKUP(A11,[1]UNimputedcapitalstock2015!A:G,7,0),VLOOKUP('Table E1'!B11,'[1]Penn World Tables'!I:AN,3,0)))</f>
        <v>691.13156249999997</v>
      </c>
      <c r="H11" s="1823">
        <f t="shared" si="4"/>
        <v>4.8111471682326874</v>
      </c>
      <c r="I11" s="1823">
        <f t="shared" si="2"/>
        <v>0.30122861727115979</v>
      </c>
      <c r="J11" s="1864">
        <v>34.166269406006975</v>
      </c>
      <c r="K11" s="1864">
        <f>+IFERROR(IFERROR(IFERROR(VLOOKUP(B11,'[1]Eurostat Fats'!$P$134:$X$166,9,0)/1000,VLOOKUP(B11,'[1]OECD FATS'!M:V,10,0)/1000),VLOOKUP(B11,'[1]CBC- IRS'!A:O,15,0)*L11),"")</f>
        <v>545.69500000000005</v>
      </c>
      <c r="L11" s="1863">
        <f>IFERROR(VLOOKUP(B11,'[1]Eurostat Fats'!P:AB,13,0)*G11,IFERROR(VLOOKUP(B11,'[5]Main data'!$A:$C,3,0)*J11,""))</f>
        <v>164.37895030178555</v>
      </c>
      <c r="M11" s="1823">
        <f t="shared" si="5"/>
        <v>5.8423412051219179</v>
      </c>
      <c r="N11" s="1823">
        <f t="shared" si="3"/>
        <v>0.23976431623616923</v>
      </c>
      <c r="O11" s="1862">
        <f t="shared" si="6"/>
        <v>90.16122025471843</v>
      </c>
      <c r="P11" s="1862">
        <f t="shared" si="7"/>
        <v>2196.96</v>
      </c>
      <c r="Q11" s="1861">
        <f t="shared" si="8"/>
        <v>526.75261219821436</v>
      </c>
    </row>
    <row r="12" spans="1:18" x14ac:dyDescent="0.35">
      <c r="A12" s="378" t="s">
        <v>917</v>
      </c>
      <c r="B12" s="1872" t="s">
        <v>2</v>
      </c>
      <c r="C12" s="1822">
        <f t="shared" si="0"/>
        <v>3.0069536965468577</v>
      </c>
      <c r="D12" s="1823">
        <f t="shared" si="1"/>
        <v>0.18083148404617411</v>
      </c>
      <c r="E12" s="1878">
        <v>166.52659153848629</v>
      </c>
      <c r="F12" s="1862">
        <f>+IFERROR(IFERROR(VLOOKUP(B12,'[1]Eurostat Fats'!$P$93:$X$125,9,0)/1000,VLOOKUP(B12,'[1]OECD FATS'!A:K,10,0)/1000),VLOOKUP(A12,'[1]World Bank Data Labor Force'!D:P,13,0))</f>
        <v>2769.085</v>
      </c>
      <c r="G12" s="1865">
        <f>+IF(VLOOKUP(B12,[1]TangibleAsset2015!A:H,8,0)/1000&gt;0,VLOOKUP(B12,[1]TangibleAsset2015!A:H,8,0)/1000,IFERROR(VLOOKUP(A12,[1]UNimputedcapitalstock2015!A:G,7,0),VLOOKUP('Table E1'!B12,'[1]Penn World Tables'!I:AN,3,0)))</f>
        <v>500.73775000000001</v>
      </c>
      <c r="H12" s="1823">
        <f t="shared" si="4"/>
        <v>2.1784300742147589</v>
      </c>
      <c r="I12" s="1823">
        <f t="shared" si="2"/>
        <v>0.23510719634065672</v>
      </c>
      <c r="J12" s="1864">
        <v>47.376726963536328</v>
      </c>
      <c r="K12" s="1864">
        <f>+IFERROR(IFERROR(IFERROR(VLOOKUP(B12,'[1]Eurostat Fats'!$P$134:$X$166,9,0)/1000,VLOOKUP(B12,'[1]OECD FATS'!M:V,10,0)/1000),VLOOKUP(B12,'[1]CBC- IRS'!A:O,15,0)*L12),"")</f>
        <v>438.97800000000001</v>
      </c>
      <c r="L12" s="1863">
        <f>IFERROR(VLOOKUP(B12,'[1]Eurostat Fats'!P:AB,13,0)*G12,IFERROR(VLOOKUP(B12,'[5]Main data'!$A:$C,3,0)*J12,""))</f>
        <v>103.2068868352288</v>
      </c>
      <c r="M12" s="1823">
        <f t="shared" si="5"/>
        <v>3.3363937473441996</v>
      </c>
      <c r="N12" s="1823">
        <f t="shared" si="3"/>
        <v>0.17060626965404216</v>
      </c>
      <c r="O12" s="1862">
        <f t="shared" si="6"/>
        <v>119.14986457494996</v>
      </c>
      <c r="P12" s="1862">
        <f t="shared" si="7"/>
        <v>2330.107</v>
      </c>
      <c r="Q12" s="1861">
        <f t="shared" si="8"/>
        <v>397.53086316477118</v>
      </c>
    </row>
    <row r="13" spans="1:18" x14ac:dyDescent="0.35">
      <c r="A13" s="378" t="s">
        <v>916</v>
      </c>
      <c r="B13" s="1872" t="s">
        <v>56</v>
      </c>
      <c r="C13" s="1822">
        <f t="shared" si="0"/>
        <v>2.2053567966313423</v>
      </c>
      <c r="D13" s="1823">
        <f t="shared" si="1"/>
        <v>0.11840889506314953</v>
      </c>
      <c r="E13" s="1862">
        <v>613.39428253347273</v>
      </c>
      <c r="F13" s="1862">
        <f>+IFERROR(IFERROR(VLOOKUP(B13,'[1]Eurostat Fats'!$P$93:$X$125,9,0)/1000,VLOOKUP(B13,'[1]OECD FATS'!A:K,10,0)/1000),VLOOKUP(A13,'[1]World Bank Data Labor Force'!D:P,13,0))</f>
        <v>11424.42254256788</v>
      </c>
      <c r="G13" s="1865">
        <f>+IF(VLOOKUP(B13,[1]TangibleAsset2015!A:H,8,0)/1000&gt;0,VLOOKUP(B13,[1]TangibleAsset2015!A:H,8,0)/1000,IFERROR(VLOOKUP(A13,[1]UNimputedcapitalstock2015!A:G,7,0),VLOOKUP('Table E1'!B13,'[1]Penn World Tables'!I:AN,3,0)))</f>
        <v>1352.75325</v>
      </c>
      <c r="H13" s="1823">
        <f t="shared" si="4"/>
        <v>3.2777000000000003</v>
      </c>
      <c r="I13" s="1823">
        <f t="shared" si="2"/>
        <v>0.22644356487007861</v>
      </c>
      <c r="J13" s="1864">
        <v>91.55391880071636</v>
      </c>
      <c r="K13" s="1864">
        <f>+IFERROR(IFERROR(IFERROR(VLOOKUP(B13,'[1]Eurostat Fats'!$P$134:$X$166,9,0)/1000,VLOOKUP(B13,'[1]OECD FATS'!M:V,10,0)/1000),VLOOKUP(B13,'[1]CBC- IRS'!A:O,15,0)*L13),"")</f>
        <v>1325.2144295877065</v>
      </c>
      <c r="L13" s="1863">
        <f>IFERROR(VLOOKUP(B13,'[1]Eurostat Fats'!P:AB,13,0)*G13,IFERROR(VLOOKUP(B13,'[5]Main data'!$A:$C,3,0)*J13,""))</f>
        <v>300.08627965310802</v>
      </c>
      <c r="M13" s="1823">
        <f t="shared" si="5"/>
        <v>2.0172202909278618</v>
      </c>
      <c r="N13" s="1823">
        <f t="shared" si="3"/>
        <v>0.10423262483262766</v>
      </c>
      <c r="O13" s="1862">
        <f t="shared" si="6"/>
        <v>521.84036373275637</v>
      </c>
      <c r="P13" s="1862">
        <f t="shared" si="7"/>
        <v>10099.208112980174</v>
      </c>
      <c r="Q13" s="1861">
        <f t="shared" si="8"/>
        <v>1052.666970346892</v>
      </c>
    </row>
    <row r="14" spans="1:18" x14ac:dyDescent="0.35">
      <c r="A14" s="378" t="s">
        <v>915</v>
      </c>
      <c r="B14" s="1872" t="s">
        <v>57</v>
      </c>
      <c r="C14" s="1822">
        <f t="shared" si="0"/>
        <v>3.4537554555269896</v>
      </c>
      <c r="D14" s="1823">
        <f t="shared" si="1"/>
        <v>4.4822137481688472E-2</v>
      </c>
      <c r="E14" s="1862">
        <v>67.029473521292758</v>
      </c>
      <c r="F14" s="1862">
        <f>+IFERROR(IFERROR(VLOOKUP(B14,'[1]Eurostat Fats'!$P$93:$X$125,9,0)/1000,VLOOKUP(B14,'[1]OECD FATS'!A:K,10,0)/1000),VLOOKUP(A14,'[1]World Bank Data Labor Force'!D:P,13,0))</f>
        <v>5164.9346252138157</v>
      </c>
      <c r="G14" s="1865">
        <f>+IF(VLOOKUP(B14,[1]TangibleAsset2015!A:H,8,0)/1000&gt;0,VLOOKUP(B14,[1]TangibleAsset2015!A:H,8,0)/1000,IFERROR(VLOOKUP(A14,[1]UNimputedcapitalstock2015!A:G,7,0),VLOOKUP('Table E1'!B14,'[1]Penn World Tables'!I:AN,3,0)))</f>
        <v>231.50340985526677</v>
      </c>
      <c r="H14" s="1823">
        <f t="shared" si="4"/>
        <v>6.7684900000000008</v>
      </c>
      <c r="I14" s="1823">
        <f t="shared" si="2"/>
        <v>0.15444711315829332</v>
      </c>
      <c r="J14" s="1864">
        <v>9.9875864667598862</v>
      </c>
      <c r="K14" s="1864">
        <f>+IFERROR(IFERROR(IFERROR(VLOOKUP(B14,'[1]Eurostat Fats'!$P$134:$X$166,9,0)/1000,VLOOKUP(B14,'[1]OECD FATS'!M:V,10,0)/1000),VLOOKUP(B14,'[1]CBC- IRS'!A:O,15,0)*L14),"")</f>
        <v>437.69597075676825</v>
      </c>
      <c r="L14" s="1863">
        <f>IFERROR(VLOOKUP(B14,'[1]Eurostat Fats'!P:AB,13,0)*G14,IFERROR(VLOOKUP(B14,'[5]Main data'!$A:$C,3,0)*J14,""))</f>
        <v>67.600879124399626</v>
      </c>
      <c r="M14" s="1823">
        <f t="shared" si="5"/>
        <v>2.8733714677807547</v>
      </c>
      <c r="N14" s="1823">
        <f t="shared" si="3"/>
        <v>3.4671939098385202E-2</v>
      </c>
      <c r="O14" s="1862">
        <f t="shared" si="6"/>
        <v>57.041887054532872</v>
      </c>
      <c r="P14" s="1862">
        <f t="shared" si="7"/>
        <v>4727.2386544570472</v>
      </c>
      <c r="Q14" s="1861">
        <f t="shared" si="8"/>
        <v>163.90253073086714</v>
      </c>
    </row>
    <row r="15" spans="1:18" x14ac:dyDescent="0.35">
      <c r="A15" s="378" t="s">
        <v>914</v>
      </c>
      <c r="B15" s="1872" t="s">
        <v>58</v>
      </c>
      <c r="C15" s="1822">
        <f t="shared" si="0"/>
        <v>5.8567195984267206</v>
      </c>
      <c r="D15" s="1823">
        <f t="shared" si="1"/>
        <v>8.8064214554096215E-2</v>
      </c>
      <c r="E15" s="1878">
        <v>54.009329742364955</v>
      </c>
      <c r="F15" s="1862">
        <f>+IFERROR(IFERROR(VLOOKUP(B15,'[1]Eurostat Fats'!$P$93:$X$125,9,0)/1000,VLOOKUP(B15,'[1]OECD FATS'!A:K,10,0)/1000),VLOOKUP(A15,'[1]World Bank Data Labor Force'!D:P,13,0))</f>
        <v>3591.8960000000002</v>
      </c>
      <c r="G15" s="1865">
        <f>+IF(VLOOKUP(B15,[1]TangibleAsset2015!A:H,8,0)/1000&gt;0,VLOOKUP(B15,[1]TangibleAsset2015!A:H,8,0)/1000,IFERROR(VLOOKUP(A15,[1]UNimputedcapitalstock2015!A:G,7,0),VLOOKUP('Table E1'!B15,'[1]Penn World Tables'!I:AN,3,0)))</f>
        <v>316.3175</v>
      </c>
      <c r="H15" s="1823">
        <f t="shared" si="4"/>
        <v>5.0574983418529955</v>
      </c>
      <c r="I15" s="1823">
        <f t="shared" si="2"/>
        <v>0.12008709361182347</v>
      </c>
      <c r="J15" s="1864">
        <v>22.880712544827599</v>
      </c>
      <c r="K15" s="1864">
        <f>+IFERROR(IFERROR(IFERROR(VLOOKUP(B15,'[1]Eurostat Fats'!$P$134:$X$166,9,0)/1000,VLOOKUP(B15,'[1]OECD FATS'!M:V,10,0)/1000),VLOOKUP(B15,'[1]CBC- IRS'!A:O,15,0)*L15),"")</f>
        <v>963.62699999999995</v>
      </c>
      <c r="L15" s="1863">
        <f>IFERROR(VLOOKUP(B15,'[1]Eurostat Fats'!P:AB,13,0)*G15,IFERROR(VLOOKUP(B15,'[5]Main data'!$A:$C,3,0)*J15,""))</f>
        <v>115.71916575588061</v>
      </c>
      <c r="M15" s="1823">
        <f t="shared" si="5"/>
        <v>6.4441774901581264</v>
      </c>
      <c r="N15" s="1823">
        <f t="shared" si="3"/>
        <v>7.6323365014813682E-2</v>
      </c>
      <c r="O15" s="1862">
        <f t="shared" si="6"/>
        <v>31.128617197537356</v>
      </c>
      <c r="P15" s="1862">
        <f t="shared" si="7"/>
        <v>2628.2690000000002</v>
      </c>
      <c r="Q15" s="1861">
        <f t="shared" si="8"/>
        <v>200.59833424411937</v>
      </c>
    </row>
    <row r="16" spans="1:18" x14ac:dyDescent="0.35">
      <c r="A16" s="378" t="s">
        <v>913</v>
      </c>
      <c r="B16" s="1872" t="s">
        <v>59</v>
      </c>
      <c r="C16" s="1822">
        <f t="shared" si="0"/>
        <v>4.2101555979239409</v>
      </c>
      <c r="D16" s="1823">
        <f t="shared" si="1"/>
        <v>0.24911472763689882</v>
      </c>
      <c r="E16" s="1878">
        <v>98.579989289388223</v>
      </c>
      <c r="F16" s="1862">
        <f>+IFERROR(IFERROR(VLOOKUP(B16,'[1]Eurostat Fats'!$P$93:$X$125,9,0)/1000,VLOOKUP(B16,'[1]OECD FATS'!A:K,10,0)/1000),VLOOKUP(A16,'[1]World Bank Data Labor Force'!D:P,13,0))</f>
        <v>1666.048</v>
      </c>
      <c r="G16" s="1865">
        <f>+IF(VLOOKUP(B16,[1]TangibleAsset2015!A:H,8,0)/1000&gt;0,VLOOKUP(B16,[1]TangibleAsset2015!A:H,8,0)/1000,IFERROR(VLOOKUP(A16,[1]UNimputedcapitalstock2015!A:G,7,0),VLOOKUP('Table E1'!B16,'[1]Penn World Tables'!I:AN,3,0)))</f>
        <v>415.03709375</v>
      </c>
      <c r="H16" s="1823">
        <f t="shared" si="4"/>
        <v>2.9473841846386866</v>
      </c>
      <c r="I16" s="1823">
        <f t="shared" si="2"/>
        <v>0.18914404956710307</v>
      </c>
      <c r="J16" s="1864">
        <v>22.761452923037087</v>
      </c>
      <c r="K16" s="1864">
        <f>+IFERROR(IFERROR(IFERROR(VLOOKUP(B16,'[1]Eurostat Fats'!$P$134:$X$166,9,0)/1000,VLOOKUP(B16,'[1]OECD FATS'!M:V,10,0)/1000),VLOOKUP(B16,'[1]CBC- IRS'!A:O,15,0)*L16),"")</f>
        <v>354.68599999999998</v>
      </c>
      <c r="L16" s="1863">
        <f>IFERROR(VLOOKUP(B16,'[1]Eurostat Fats'!P:AB,13,0)*G16,IFERROR(VLOOKUP(B16,'[5]Main data'!$A:$C,3,0)*J16,""))</f>
        <v>67.086746364757516</v>
      </c>
      <c r="M16" s="1823">
        <f t="shared" si="5"/>
        <v>4.5892517062577536</v>
      </c>
      <c r="N16" s="1823">
        <f t="shared" si="3"/>
        <v>0.26533508473269962</v>
      </c>
      <c r="O16" s="1862">
        <f t="shared" si="6"/>
        <v>75.81853636635114</v>
      </c>
      <c r="P16" s="1862">
        <f t="shared" si="7"/>
        <v>1311.3620000000001</v>
      </c>
      <c r="Q16" s="1861">
        <f t="shared" si="8"/>
        <v>347.95034738524248</v>
      </c>
    </row>
    <row r="17" spans="1:19" x14ac:dyDescent="0.35">
      <c r="A17" s="378" t="s">
        <v>912</v>
      </c>
      <c r="B17" s="1872" t="s">
        <v>60</v>
      </c>
      <c r="C17" s="1822">
        <f t="shared" si="0"/>
        <v>4.2523415263833346</v>
      </c>
      <c r="D17" s="1823">
        <f t="shared" si="1"/>
        <v>0.13831160795229278</v>
      </c>
      <c r="E17" s="1878">
        <v>7.9577756114007627</v>
      </c>
      <c r="F17" s="1862">
        <f>+IFERROR(IFERROR(VLOOKUP(B17,'[1]Eurostat Fats'!$P$93:$X$125,9,0)/1000,VLOOKUP(B17,'[1]OECD FATS'!A:K,10,0)/1000),VLOOKUP(A17,'[1]World Bank Data Labor Force'!D:P,13,0))</f>
        <v>244.65899999999999</v>
      </c>
      <c r="G17" s="1865">
        <f>+IF(VLOOKUP(B17,[1]TangibleAsset2015!A:H,8,0)/1000&gt;0,VLOOKUP(B17,[1]TangibleAsset2015!A:H,8,0)/1000,IFERROR(VLOOKUP(A17,[1]UNimputedcapitalstock2015!A:G,7,0),VLOOKUP('Table E1'!B17,'[1]Penn World Tables'!I:AN,3,0)))</f>
        <v>33.839179689999995</v>
      </c>
      <c r="H17" s="1823">
        <f t="shared" si="4"/>
        <v>2.9073120151665002</v>
      </c>
      <c r="I17" s="1823">
        <f t="shared" si="2"/>
        <v>0.10047777000456205</v>
      </c>
      <c r="J17" s="1864">
        <v>3.2197474636718431</v>
      </c>
      <c r="K17" s="1864">
        <f>+IFERROR(IFERROR(IFERROR(VLOOKUP(B17,'[1]Eurostat Fats'!$P$134:$X$166,9,0)/1000,VLOOKUP(B17,'[1]OECD FATS'!M:V,10,0)/1000),VLOOKUP(B17,'[1]CBC- IRS'!A:O,15,0)*L17),"")</f>
        <v>93.162999999999997</v>
      </c>
      <c r="L17" s="1863">
        <f>IFERROR(VLOOKUP(B17,'[1]Eurostat Fats'!P:AB,13,0)*G17,IFERROR(VLOOKUP(B17,'[5]Main data'!$A:$C,3,0)*J17,""))</f>
        <v>9.3608104869350139</v>
      </c>
      <c r="M17" s="1823">
        <f t="shared" si="5"/>
        <v>5.166362132060824</v>
      </c>
      <c r="N17" s="1823">
        <f t="shared" si="3"/>
        <v>0.16157766015647265</v>
      </c>
      <c r="O17" s="1862">
        <f t="shared" si="6"/>
        <v>4.7380281477289197</v>
      </c>
      <c r="P17" s="1862">
        <f t="shared" si="7"/>
        <v>151.49599999999998</v>
      </c>
      <c r="Q17" s="1861">
        <f t="shared" si="8"/>
        <v>24.478369203064979</v>
      </c>
    </row>
    <row r="18" spans="1:19" x14ac:dyDescent="0.35">
      <c r="A18" s="378" t="s">
        <v>911</v>
      </c>
      <c r="B18" s="1872" t="s">
        <v>61</v>
      </c>
      <c r="C18" s="1822">
        <f t="shared" si="0"/>
        <v>3.4863289788377578</v>
      </c>
      <c r="D18" s="1823">
        <f t="shared" si="1"/>
        <v>0.18095028521661602</v>
      </c>
      <c r="E18" s="1878">
        <v>75.447591606139355</v>
      </c>
      <c r="F18" s="1862">
        <f>+IFERROR(IFERROR(VLOOKUP(B18,'[1]Eurostat Fats'!$P$93:$X$125,9,0)/1000,VLOOKUP(B18,'[1]OECD FATS'!A:K,10,0)/1000),VLOOKUP(A18,'[1]World Bank Data Labor Force'!D:P,13,0))</f>
        <v>1453.6320000000001</v>
      </c>
      <c r="G18" s="1865">
        <f>+IF(VLOOKUP(B18,[1]TangibleAsset2015!A:H,8,0)/1000&gt;0,VLOOKUP(B18,[1]TangibleAsset2015!A:H,8,0)/1000,IFERROR(VLOOKUP(A18,[1]UNimputedcapitalstock2015!A:G,7,0),VLOOKUP('Table E1'!B18,'[1]Penn World Tables'!I:AN,3,0)))</f>
        <v>263.03512499999999</v>
      </c>
      <c r="H18" s="1823">
        <f t="shared" si="4"/>
        <v>2.7544524513892781</v>
      </c>
      <c r="I18" s="1823">
        <f t="shared" si="2"/>
        <v>0.18420637943609547</v>
      </c>
      <c r="J18" s="1864">
        <v>16.339177250094341</v>
      </c>
      <c r="K18" s="1864">
        <f>+IFERROR(IFERROR(IFERROR(VLOOKUP(B18,'[1]Eurostat Fats'!$P$134:$X$166,9,0)/1000,VLOOKUP(B18,'[1]OECD FATS'!M:V,10,0)/1000),VLOOKUP(B18,'[1]CBC- IRS'!A:O,15,0)*L18),"")</f>
        <v>244.321</v>
      </c>
      <c r="L18" s="1863">
        <f>IFERROR(VLOOKUP(B18,'[1]Eurostat Fats'!P:AB,13,0)*G18,IFERROR(VLOOKUP(B18,'[5]Main data'!$A:$C,3,0)*J18,""))</f>
        <v>45.00548683020628</v>
      </c>
      <c r="M18" s="1823">
        <f t="shared" si="5"/>
        <v>3.6886396047857408</v>
      </c>
      <c r="N18" s="1823">
        <f t="shared" si="3"/>
        <v>0.1802924460042071</v>
      </c>
      <c r="O18" s="1862">
        <f t="shared" si="6"/>
        <v>59.108414356045017</v>
      </c>
      <c r="P18" s="1862">
        <f t="shared" si="7"/>
        <v>1209.3110000000001</v>
      </c>
      <c r="Q18" s="1861">
        <f t="shared" si="8"/>
        <v>218.02963816979371</v>
      </c>
    </row>
    <row r="19" spans="1:19" x14ac:dyDescent="0.35">
      <c r="A19" s="378" t="s">
        <v>910</v>
      </c>
      <c r="B19" s="1872" t="s">
        <v>48</v>
      </c>
      <c r="C19" s="1822">
        <f t="shared" si="0"/>
        <v>2.6507328962746661</v>
      </c>
      <c r="D19" s="1823">
        <f t="shared" si="1"/>
        <v>0.14506478214910593</v>
      </c>
      <c r="E19" s="1878">
        <v>871.38042208861668</v>
      </c>
      <c r="F19" s="1862">
        <f>+IFERROR(IFERROR(VLOOKUP(B19,'[1]Eurostat Fats'!$P$93:$X$125,9,0)/1000,VLOOKUP(B19,'[1]OECD FATS'!A:K,10,0)/1000),VLOOKUP(A19,'[1]World Bank Data Labor Force'!D:P,13,0))</f>
        <v>15922.519</v>
      </c>
      <c r="G19" s="1865">
        <f>+IF(VLOOKUP(B19,[1]TangibleAsset2015!A:H,8,0)/1000&gt;0,VLOOKUP(B19,[1]TangibleAsset2015!A:H,8,0)/1000,IFERROR(VLOOKUP(A19,[1]UNimputedcapitalstock2015!A:G,7,0),VLOOKUP('Table E1'!B19,'[1]Penn World Tables'!I:AN,3,0)))</f>
        <v>2309.79675</v>
      </c>
      <c r="H19" s="1823">
        <f t="shared" si="4"/>
        <v>1.8651390114912509</v>
      </c>
      <c r="I19" s="1823">
        <f t="shared" si="2"/>
        <v>0.1604858759321765</v>
      </c>
      <c r="J19" s="1864">
        <v>153.37468637532214</v>
      </c>
      <c r="K19" s="1864">
        <f>+IFERROR(IFERROR(IFERROR(VLOOKUP(B19,'[1]Eurostat Fats'!$P$134:$X$166,9,0)/1000,VLOOKUP(B19,'[1]OECD FATS'!M:V,10,0)/1000),VLOOKUP(B19,'[1]CBC- IRS'!A:O,15,0)*L19),"")</f>
        <v>1782.4939999999999</v>
      </c>
      <c r="L19" s="1863">
        <f>IFERROR(VLOOKUP(B19,'[1]Eurostat Fats'!P:AB,13,0)*G19,IFERROR(VLOOKUP(B19,'[5]Main data'!$A:$C,3,0)*J19,""))</f>
        <v>286.06511093384898</v>
      </c>
      <c r="M19" s="1823">
        <f t="shared" si="5"/>
        <v>2.8185452266000328</v>
      </c>
      <c r="N19" s="1823">
        <f t="shared" si="3"/>
        <v>0.14312079639648098</v>
      </c>
      <c r="O19" s="1862">
        <f t="shared" si="6"/>
        <v>718.0057357132946</v>
      </c>
      <c r="P19" s="1862">
        <f t="shared" si="7"/>
        <v>14140.025</v>
      </c>
      <c r="Q19" s="1861">
        <f t="shared" si="8"/>
        <v>2023.731639066151</v>
      </c>
    </row>
    <row r="20" spans="1:19" x14ac:dyDescent="0.35">
      <c r="A20" s="378" t="s">
        <v>909</v>
      </c>
      <c r="B20" s="1872" t="s">
        <v>62</v>
      </c>
      <c r="C20" s="1822">
        <f t="shared" si="0"/>
        <v>2.9519903642634002</v>
      </c>
      <c r="D20" s="1823">
        <f t="shared" si="1"/>
        <v>0.12776033754199193</v>
      </c>
      <c r="E20" s="1878">
        <v>1223.0067020902579</v>
      </c>
      <c r="F20" s="1862">
        <f>+IFERROR(IFERROR(VLOOKUP(B20,'[1]Eurostat Fats'!$P$93:$X$125,9,0)/1000,VLOOKUP(B20,'[1]OECD FATS'!A:K,10,0)/1000),VLOOKUP(A20,'[1]World Bank Data Labor Force'!D:P,13,0))</f>
        <v>28258.41</v>
      </c>
      <c r="G20" s="1865">
        <f>+IF(VLOOKUP(B20,[1]TangibleAsset2015!A:H,8,0)/1000&gt;0,VLOOKUP(B20,[1]TangibleAsset2015!A:H,8,0)/1000,IFERROR(VLOOKUP(A20,[1]UNimputedcapitalstock2015!A:G,7,0),VLOOKUP('Table E1'!B20,'[1]Penn World Tables'!I:AN,3,0)))</f>
        <v>3610.3040000000001</v>
      </c>
      <c r="H20" s="1823">
        <f t="shared" si="4"/>
        <v>3.3795864752042459</v>
      </c>
      <c r="I20" s="1823">
        <f t="shared" si="2"/>
        <v>0.2581822877163451</v>
      </c>
      <c r="J20" s="1864">
        <v>234.01373793675208</v>
      </c>
      <c r="K20" s="1864">
        <f>+IFERROR(IFERROR(IFERROR(VLOOKUP(B20,'[1]Eurostat Fats'!$P$134:$X$166,9,0)/1000,VLOOKUP(B20,'[1]OECD FATS'!M:V,10,0)/1000),VLOOKUP(B20,'[1]CBC- IRS'!A:O,15,0)*L20),"")</f>
        <v>3063.2220000000002</v>
      </c>
      <c r="L20" s="1863">
        <f>IFERROR(VLOOKUP(B20,'[1]Eurostat Fats'!P:AB,13,0)*G20,IFERROR(VLOOKUP(B20,'[5]Main data'!$A:$C,3,0)*J20,""))</f>
        <v>790.86966374303813</v>
      </c>
      <c r="M20" s="1823">
        <f t="shared" si="5"/>
        <v>2.8508133408918219</v>
      </c>
      <c r="N20" s="1823">
        <f t="shared" si="3"/>
        <v>0.11190368320557728</v>
      </c>
      <c r="O20" s="1862">
        <f t="shared" si="6"/>
        <v>988.99296415350591</v>
      </c>
      <c r="P20" s="1862">
        <f t="shared" si="7"/>
        <v>25195.187999999998</v>
      </c>
      <c r="Q20" s="1861">
        <f t="shared" si="8"/>
        <v>2819.4343362569621</v>
      </c>
      <c r="S20" s="1879"/>
    </row>
    <row r="21" spans="1:19" x14ac:dyDescent="0.35">
      <c r="A21" s="378" t="s">
        <v>908</v>
      </c>
      <c r="B21" s="1872" t="s">
        <v>63</v>
      </c>
      <c r="C21" s="1822">
        <f t="shared" si="0"/>
        <v>4.800780294954893</v>
      </c>
      <c r="D21" s="1823">
        <f t="shared" si="1"/>
        <v>6.147764241837958E-2</v>
      </c>
      <c r="E21" s="1878">
        <v>27.693378982519995</v>
      </c>
      <c r="F21" s="1862">
        <f>+IFERROR(IFERROR(VLOOKUP(B21,'[1]Eurostat Fats'!$P$93:$X$125,9,0)/1000,VLOOKUP(B21,'[1]OECD FATS'!A:K,10,0)/1000),VLOOKUP(A21,'[1]World Bank Data Labor Force'!D:P,13,0))</f>
        <v>2162.5720000000001</v>
      </c>
      <c r="G21" s="1865">
        <f>+IF(VLOOKUP(B21,[1]TangibleAsset2015!A:H,8,0)/1000&gt;0,VLOOKUP(B21,[1]TangibleAsset2015!A:H,8,0)/1000,IFERROR(VLOOKUP(A21,[1]UNimputedcapitalstock2015!A:G,7,0),VLOOKUP('Table E1'!B21,'[1]Penn World Tables'!I:AN,3,0)))</f>
        <v>132.94982811999998</v>
      </c>
      <c r="H21" s="1823">
        <f t="shared" si="4"/>
        <v>4.0765586258133419</v>
      </c>
      <c r="I21" s="1823">
        <f t="shared" si="2"/>
        <v>0.13824577991346368</v>
      </c>
      <c r="J21" s="1864">
        <v>4.1948249888750162</v>
      </c>
      <c r="K21" s="1864">
        <f>+IFERROR(IFERROR(IFERROR(VLOOKUP(B21,'[1]Eurostat Fats'!$P$134:$X$166,9,0)/1000,VLOOKUP(B21,'[1]OECD FATS'!M:V,10,0)/1000),VLOOKUP(B21,'[1]CBC- IRS'!A:O,15,0)*L21),"")</f>
        <v>123.696</v>
      </c>
      <c r="L21" s="1863">
        <f>IFERROR(VLOOKUP(B21,'[1]Eurostat Fats'!P:AB,13,0)*G21,IFERROR(VLOOKUP(B21,'[5]Main data'!$A:$C,3,0)*J21,""))</f>
        <v>17.100449992175804</v>
      </c>
      <c r="M21" s="1823">
        <f t="shared" si="5"/>
        <v>4.9300641290163991</v>
      </c>
      <c r="N21" s="1823">
        <f t="shared" si="3"/>
        <v>5.6820217672788415E-2</v>
      </c>
      <c r="O21" s="1862">
        <f t="shared" si="6"/>
        <v>23.498553993644979</v>
      </c>
      <c r="P21" s="1862">
        <f t="shared" si="7"/>
        <v>2038.8760000000002</v>
      </c>
      <c r="Q21" s="1861">
        <f t="shared" si="8"/>
        <v>115.84937812782417</v>
      </c>
      <c r="S21" s="1879"/>
    </row>
    <row r="22" spans="1:19" x14ac:dyDescent="0.35">
      <c r="A22" s="378" t="s">
        <v>907</v>
      </c>
      <c r="B22" s="1872" t="s">
        <v>64</v>
      </c>
      <c r="C22" s="1822">
        <f t="shared" si="0"/>
        <v>5.4496531444664109</v>
      </c>
      <c r="D22" s="1823">
        <f t="shared" si="1"/>
        <v>7.1800964935391079E-2</v>
      </c>
      <c r="E22" s="1878">
        <v>34.2062595652135</v>
      </c>
      <c r="F22" s="1862">
        <f>+IFERROR(IFERROR(VLOOKUP(B22,'[1]Eurostat Fats'!$P$93:$X$125,9,0)/1000,VLOOKUP(B22,'[1]OECD FATS'!A:K,10,0)/1000),VLOOKUP(A22,'[1]World Bank Data Labor Force'!D:P,13,0))</f>
        <v>2596.2359999999999</v>
      </c>
      <c r="G22" s="1865">
        <f>+IF(VLOOKUP(B22,[1]TangibleAsset2015!A:H,8,0)/1000&gt;0,VLOOKUP(B22,[1]TangibleAsset2015!A:H,8,0)/1000,IFERROR(VLOOKUP(A22,[1]UNimputedcapitalstock2015!A:G,7,0),VLOOKUP('Table E1'!B22,'[1]Penn World Tables'!I:AN,3,0)))</f>
        <v>186.41225</v>
      </c>
      <c r="H22" s="1823">
        <f t="shared" si="4"/>
        <v>5.5143268311945191</v>
      </c>
      <c r="I22" s="1823">
        <f t="shared" si="2"/>
        <v>0.12931448405704929</v>
      </c>
      <c r="J22" s="1864">
        <v>15.828195934347765</v>
      </c>
      <c r="K22" s="1864">
        <f>+IFERROR(IFERROR(IFERROR(VLOOKUP(B22,'[1]Eurostat Fats'!$P$134:$X$166,9,0)/1000,VLOOKUP(B22,'[1]OECD FATS'!M:V,10,0)/1000),VLOOKUP(B22,'[1]CBC- IRS'!A:O,15,0)*L22),"")</f>
        <v>674.95799999999997</v>
      </c>
      <c r="L22" s="1863">
        <f>IFERROR(VLOOKUP(B22,'[1]Eurostat Fats'!P:AB,13,0)*G22,IFERROR(VLOOKUP(B22,'[5]Main data'!$A:$C,3,0)*J22,""))</f>
        <v>87.281845530177876</v>
      </c>
      <c r="M22" s="1823">
        <f t="shared" si="5"/>
        <v>5.3939526198687116</v>
      </c>
      <c r="N22" s="1823">
        <f t="shared" si="3"/>
        <v>5.15960753570395E-2</v>
      </c>
      <c r="O22" s="1862">
        <f t="shared" si="6"/>
        <v>18.378063630865736</v>
      </c>
      <c r="P22" s="1862">
        <f t="shared" si="7"/>
        <v>1921.2779999999998</v>
      </c>
      <c r="Q22" s="1861">
        <f t="shared" si="8"/>
        <v>99.130404469822125</v>
      </c>
      <c r="S22" s="1879"/>
    </row>
    <row r="23" spans="1:19" x14ac:dyDescent="0.35">
      <c r="A23" s="378" t="s">
        <v>906</v>
      </c>
      <c r="B23" s="1872" t="s">
        <v>65</v>
      </c>
      <c r="C23" s="1822">
        <f t="shared" si="0"/>
        <v>3.2759700275955947</v>
      </c>
      <c r="D23" s="1823">
        <f t="shared" si="1"/>
        <v>0.142361783342771</v>
      </c>
      <c r="E23" s="1862">
        <v>5.1275502981429524</v>
      </c>
      <c r="F23" s="1862">
        <f>+IFERROR(IFERROR(VLOOKUP(B23,'[1]Eurostat Fats'!$P$93:$X$125,9,0)/1000,VLOOKUP(B23,'[1]OECD FATS'!A:K,10,0)/1000),VLOOKUP(A23,'[1]World Bank Data Labor Force'!D:P,13,0))</f>
        <v>117.99305050331219</v>
      </c>
      <c r="G23" s="1865">
        <f>+VLOOKUP('Table E1'!B23,'[1]Penn World Tables'!I:AN,3,0)</f>
        <v>16.797701091705168</v>
      </c>
      <c r="H23" s="1823" t="str">
        <f t="shared" si="4"/>
        <v/>
      </c>
      <c r="I23" s="1823"/>
      <c r="J23" s="1864">
        <v>1.4154993051686313</v>
      </c>
      <c r="K23" s="1864" t="str">
        <f>+IFERROR(IFERROR(IFERROR(VLOOKUP(B23,'[1]Eurostat Fats'!$P$134:$X$166,9,0)/1000,VLOOKUP(B23,'[1]OECD FATS'!M:V,10,0)/1000),VLOOKUP(B23,'[1]CBC- IRS'!A:O,15,0)*L23),"")</f>
        <v/>
      </c>
      <c r="L23" s="1863" t="str">
        <f>IFERROR(VLOOKUP(B23,'[1]Eurostat Fats'!P:AB,13,0)*G23,IFERROR(VLOOKUP(B23,'[5]Main data'!$A:$C,3,0)*J23,""))</f>
        <v/>
      </c>
      <c r="M23" s="1823" t="str">
        <f t="shared" si="5"/>
        <v/>
      </c>
      <c r="N23" s="1823"/>
      <c r="O23" s="1862">
        <f t="shared" si="6"/>
        <v>3.7120509929743211</v>
      </c>
      <c r="P23" s="1862" t="str">
        <f t="shared" si="7"/>
        <v/>
      </c>
      <c r="Q23" s="1861" t="str">
        <f t="shared" si="8"/>
        <v/>
      </c>
      <c r="S23" s="1879"/>
    </row>
    <row r="24" spans="1:19" x14ac:dyDescent="0.35">
      <c r="A24" s="378" t="s">
        <v>905</v>
      </c>
      <c r="B24" s="1872" t="s">
        <v>19</v>
      </c>
      <c r="C24" s="1822">
        <f t="shared" si="0"/>
        <v>3.2206512748704248</v>
      </c>
      <c r="D24" s="1823">
        <f t="shared" si="1"/>
        <v>0.1510853378572892</v>
      </c>
      <c r="E24" s="1878">
        <v>61.361034049457722</v>
      </c>
      <c r="F24" s="1862">
        <f>+IFERROR(IFERROR(VLOOKUP(B24,'[1]Eurostat Fats'!$P$93:$X$125,9,0)/1000,VLOOKUP(B24,'[1]OECD FATS'!A:K,10,0)/1000),VLOOKUP(A24,'[1]World Bank Data Labor Force'!D:P,13,0))</f>
        <v>1308.019</v>
      </c>
      <c r="G24" s="1865">
        <f>+([1]Ireland!Y6)/([1]Ireland!A8*1000000)</f>
        <v>197.62249253875356</v>
      </c>
      <c r="H24" s="1823">
        <f t="shared" si="4"/>
        <v>5.4716008479763198</v>
      </c>
      <c r="I24" s="1823">
        <f>+L24/K24</f>
        <v>0.33424889387920881</v>
      </c>
      <c r="J24" s="1864">
        <v>14.534778765501809</v>
      </c>
      <c r="K24" s="1864">
        <f>+IFERROR(IFERROR(IFERROR(VLOOKUP(B24,'[1]Eurostat Fats'!$P$134:$X$166,9,0)/1000,VLOOKUP(B24,'[1]OECD FATS'!M:V,10,0)/1000),VLOOKUP(B24,'[1]CBC- IRS'!A:O,15,0)*L24),"")</f>
        <v>237.93199999999999</v>
      </c>
      <c r="L24" s="1863">
        <f>IFERROR(VLOOKUP(B24,'[1]Eurostat Fats'!P:AB,13,0)*G24,IFERROR(VLOOKUP(B24,'[5]Main data'!$A:$C,3,0)*J24,""))</f>
        <v>79.528507818467901</v>
      </c>
      <c r="M24" s="1823">
        <f t="shared" si="5"/>
        <v>2.521960895744491</v>
      </c>
      <c r="N24" s="1823">
        <f>+Q24/P24</f>
        <v>0.11035923688474457</v>
      </c>
      <c r="O24" s="1862">
        <f t="shared" si="6"/>
        <v>46.826255283955916</v>
      </c>
      <c r="P24" s="1862">
        <f t="shared" si="7"/>
        <v>1070.087</v>
      </c>
      <c r="Q24" s="1861">
        <f t="shared" si="8"/>
        <v>118.09398472028566</v>
      </c>
      <c r="S24" s="1879"/>
    </row>
    <row r="25" spans="1:19" x14ac:dyDescent="0.35">
      <c r="A25" s="378" t="s">
        <v>904</v>
      </c>
      <c r="B25" s="1872" t="s">
        <v>95</v>
      </c>
      <c r="C25" s="1822">
        <f t="shared" si="0"/>
        <v>1.7168739622418689</v>
      </c>
      <c r="D25" s="1823">
        <f t="shared" si="1"/>
        <v>7.6088109021998335E-2</v>
      </c>
      <c r="E25" s="1862">
        <v>91.954332974943853</v>
      </c>
      <c r="F25" s="1862">
        <f>+IFERROR(IFERROR(VLOOKUP(B25,'[1]Eurostat Fats'!$P$93:$X$125,9,0)/1000,VLOOKUP(B25,'[1]OECD FATS'!A:K,10,0)/1000),VLOOKUP(A25,'[1]World Bank Data Labor Force'!D:P,13,0))</f>
        <v>2074.884</v>
      </c>
      <c r="G25" s="1865">
        <f>+IFERROR(VLOOKUP(B25,[1]TangibleAsset2015!A:H,8,0)/1000,IFERROR(VLOOKUP(A25,[1]UNimputedcapitalstock2015!A:G,7,0),VLOOKUP('Table E1'!B25,'[1]Penn World Tables'!I:AN,3,0)))</f>
        <v>157.874</v>
      </c>
      <c r="H25" s="1823">
        <f t="shared" si="4"/>
        <v>1.1980599999999999</v>
      </c>
      <c r="I25" s="1823">
        <f>+L25/K25</f>
        <v>8.1275159193857013E-2</v>
      </c>
      <c r="J25" s="1864">
        <v>11.482695813055287</v>
      </c>
      <c r="K25" s="1864">
        <f>+IFERROR(IFERROR(IFERROR(VLOOKUP(B25,'[1]Eurostat Fats'!$P$134:$X$166,9,0)/1000,VLOOKUP(B25,'[1]OECD FATS'!M:V,10,0)/1000),VLOOKUP(B25,'[1]CBC- IRS'!A:O,15,0)*L25),"")</f>
        <v>169.26400000000001</v>
      </c>
      <c r="L25" s="1863">
        <f>IFERROR(VLOOKUP(B25,'[1]Eurostat Fats'!P:AB,13,0)*G25,IFERROR(VLOOKUP(B25,'[5]Main data'!$A:$C,3,0)*J25,""))</f>
        <v>13.756958545789015</v>
      </c>
      <c r="M25" s="1823">
        <f t="shared" si="5"/>
        <v>1.7909048024496379</v>
      </c>
      <c r="N25" s="1823">
        <f>+Q25/P25</f>
        <v>7.5627376630288817E-2</v>
      </c>
      <c r="O25" s="1862">
        <f t="shared" si="6"/>
        <v>80.471637161888566</v>
      </c>
      <c r="P25" s="1862">
        <f t="shared" si="7"/>
        <v>1905.62</v>
      </c>
      <c r="Q25" s="1861">
        <f t="shared" si="8"/>
        <v>144.11704145421098</v>
      </c>
      <c r="S25" s="1879"/>
    </row>
    <row r="26" spans="1:19" x14ac:dyDescent="0.35">
      <c r="A26" s="378" t="s">
        <v>903</v>
      </c>
      <c r="B26" s="1872" t="s">
        <v>66</v>
      </c>
      <c r="C26" s="1822">
        <f t="shared" si="0"/>
        <v>4.0971874872271385</v>
      </c>
      <c r="D26" s="1823">
        <f t="shared" si="1"/>
        <v>0.1416191303959051</v>
      </c>
      <c r="E26" s="1878">
        <v>491.69619556839115</v>
      </c>
      <c r="F26" s="1862">
        <f>+IFERROR(IFERROR(VLOOKUP(B26,'[1]Eurostat Fats'!$P$93:$X$125,9,0)/1000,VLOOKUP(B26,'[1]OECD FATS'!A:K,10,0)/1000),VLOOKUP(A26,'[1]World Bank Data Labor Force'!D:P,13,0))</f>
        <v>14225.278</v>
      </c>
      <c r="G26" s="1865">
        <f>+IFERROR(VLOOKUP(B26,[1]TangibleAsset2015!A:H,8,0)/1000,IFERROR(VLOOKUP(A26,[1]UNimputedcapitalstock2015!A:G,7,0),VLOOKUP('Table E1'!B26,'[1]Penn World Tables'!I:AN,3,0)))</f>
        <v>2014.5715</v>
      </c>
      <c r="H26" s="1823">
        <f t="shared" si="4"/>
        <v>3.3803340314423336</v>
      </c>
      <c r="I26" s="1823">
        <f>+L26/K26</f>
        <v>0.23520857895128969</v>
      </c>
      <c r="J26" s="1864">
        <v>81.299813448428011</v>
      </c>
      <c r="K26" s="1864">
        <f>+IFERROR(IFERROR(IFERROR(VLOOKUP(B26,'[1]Eurostat Fats'!$P$134:$X$166,9,0)/1000,VLOOKUP(B26,'[1]OECD FATS'!M:V,10,0)/1000),VLOOKUP(B26,'[1]CBC- IRS'!A:O,15,0)*L26),"")</f>
        <v>1168.412</v>
      </c>
      <c r="L26" s="1863">
        <f>IFERROR(VLOOKUP(B26,'[1]Eurostat Fats'!P:AB,13,0)*G26,IFERROR(VLOOKUP(B26,'[5]Main data'!$A:$C,3,0)*J26,""))</f>
        <v>274.8205261496343</v>
      </c>
      <c r="M26" s="1823">
        <f t="shared" si="5"/>
        <v>4.2391966636338871</v>
      </c>
      <c r="N26" s="1823">
        <f>+Q26/P26</f>
        <v>0.13324414709091489</v>
      </c>
      <c r="O26" s="1862">
        <f t="shared" si="6"/>
        <v>410.39638211996316</v>
      </c>
      <c r="P26" s="1862">
        <f t="shared" si="7"/>
        <v>13056.866</v>
      </c>
      <c r="Q26" s="1861">
        <f t="shared" si="8"/>
        <v>1739.7509738503657</v>
      </c>
      <c r="S26" s="1879"/>
    </row>
    <row r="27" spans="1:19" x14ac:dyDescent="0.35">
      <c r="A27" s="378" t="s">
        <v>902</v>
      </c>
      <c r="B27" s="1872" t="s">
        <v>67</v>
      </c>
      <c r="C27" s="1822">
        <f t="shared" si="0"/>
        <v>3.7052171564949217</v>
      </c>
      <c r="D27" s="1823">
        <f t="shared" si="1"/>
        <v>0.14545222977998268</v>
      </c>
      <c r="E27" s="1862">
        <v>1514.0182782989034</v>
      </c>
      <c r="F27" s="1862">
        <f>+IFERROR(IFERROR(VLOOKUP(B27,'[1]Eurostat Fats'!$P$93:$X$125,9,0)/1000,VLOOKUP(B27,'[1]OECD FATS'!A:K,10,0)/1000),VLOOKUP(A27,'[1]World Bank Data Labor Force'!D:P,13,0))</f>
        <v>38567.758696347075</v>
      </c>
      <c r="G27" s="1865">
        <f>+IFERROR(VLOOKUP(B27,[1]TangibleAsset2015!A:H,8,0)/1000,IFERROR(VLOOKUP(A27,[1]UNimputedcapitalstock2015!A:G,7,0),VLOOKUP('Table E1'!B27,'[1]Penn World Tables'!I:AN,3,0)))</f>
        <v>5609.7664999999997</v>
      </c>
      <c r="H27" s="1823">
        <f t="shared" si="4"/>
        <v>1.0523800000000001</v>
      </c>
      <c r="I27" s="1823">
        <f>+L27/K27</f>
        <v>0.10940132347603941</v>
      </c>
      <c r="J27" s="1864">
        <v>135.22206240620594</v>
      </c>
      <c r="K27" s="1864">
        <f>+IFERROR(IFERROR(IFERROR(VLOOKUP(B27,'[1]Eurostat Fats'!$P$134:$X$166,9,0)/1000,VLOOKUP(B27,'[1]OECD FATS'!M:V,10,0)/1000),VLOOKUP(B27,'[1]CBC- IRS'!A:O,15,0)*L27),"")</f>
        <v>1300.7611746690618</v>
      </c>
      <c r="L27" s="1863">
        <f>IFERROR(VLOOKUP(B27,'[1]Eurostat Fats'!P:AB,13,0)*G27,IFERROR(VLOOKUP(B27,'[5]Main data'!$A:$C,3,0)*J27,""))</f>
        <v>142.30499403504302</v>
      </c>
      <c r="M27" s="1823">
        <f t="shared" si="5"/>
        <v>3.9653876642133552</v>
      </c>
      <c r="N27" s="1823">
        <f>+Q27/P27</f>
        <v>0.14671054470606501</v>
      </c>
      <c r="O27" s="1862">
        <f t="shared" si="6"/>
        <v>1378.7962158926975</v>
      </c>
      <c r="P27" s="1862">
        <f t="shared" si="7"/>
        <v>37266.997521678015</v>
      </c>
      <c r="Q27" s="1861">
        <f t="shared" si="8"/>
        <v>5467.4615059649568</v>
      </c>
      <c r="S27" s="1879"/>
    </row>
    <row r="28" spans="1:19" x14ac:dyDescent="0.35">
      <c r="A28" s="378" t="s">
        <v>901</v>
      </c>
      <c r="B28" s="1872" t="s">
        <v>68</v>
      </c>
      <c r="C28" s="1822">
        <f t="shared" si="0"/>
        <v>4.7798663945429567</v>
      </c>
      <c r="D28" s="1823">
        <f t="shared" si="1"/>
        <v>0.12414683693476472</v>
      </c>
      <c r="E28" s="1862">
        <v>414.68018379403401</v>
      </c>
      <c r="F28" s="1862">
        <f>+IFERROR(IFERROR(VLOOKUP(B28,'[1]Eurostat Fats'!$P$93:$X$125,9,0)/1000,VLOOKUP(B28,'[1]OECD FATS'!A:K,10,0)/1000),VLOOKUP(A28,'[1]World Bank Data Labor Force'!D:P,13,0))</f>
        <v>15965.899123483427</v>
      </c>
      <c r="G28" s="1865">
        <f>+IFERROR(VLOOKUP(B28,[1]TangibleAsset2015!A:H,8,0)/1000,IFERROR(VLOOKUP(A28,[1]UNimputedcapitalstock2015!A:G,7,0),VLOOKUP('Table E1'!B28,'[1]Penn World Tables'!I:AN,3,0)))</f>
        <v>1982.115875</v>
      </c>
      <c r="H28" s="1823">
        <f t="shared" si="4"/>
        <v>2.0147200000000001</v>
      </c>
      <c r="I28" s="1823">
        <f>+L28/K28</f>
        <v>0.15303662955804084</v>
      </c>
      <c r="J28" s="1864">
        <v>64.003009513839302</v>
      </c>
      <c r="K28" s="1864">
        <f>+IFERROR(IFERROR(IFERROR(VLOOKUP(B28,'[1]Eurostat Fats'!$P$134:$X$166,9,0)/1000,VLOOKUP(B28,'[1]OECD FATS'!M:V,10,0)/1000),VLOOKUP(B28,'[1]CBC- IRS'!A:O,15,0)*L28),"")</f>
        <v>842.59659729906241</v>
      </c>
      <c r="L28" s="1863">
        <f>IFERROR(VLOOKUP("Korea, Republic of",'[1]Eurostat Fats'!P:AB,13,0)*G28,IFERROR(VLOOKUP(B28,'[5]Main data'!$A:$C,3,0)*J28,""))</f>
        <v>128.94814332772233</v>
      </c>
      <c r="M28" s="1823">
        <f t="shared" si="5"/>
        <v>5.2845405050275023</v>
      </c>
      <c r="N28" s="1823"/>
      <c r="O28" s="1862">
        <f t="shared" si="6"/>
        <v>350.67717428019472</v>
      </c>
      <c r="P28" s="1862">
        <f t="shared" si="7"/>
        <v>15123.302526184365</v>
      </c>
      <c r="Q28" s="1861">
        <f t="shared" si="8"/>
        <v>1853.1677316722776</v>
      </c>
      <c r="S28" s="1879"/>
    </row>
    <row r="29" spans="1:19" x14ac:dyDescent="0.35">
      <c r="A29" s="378" t="s">
        <v>900</v>
      </c>
      <c r="B29" s="1872" t="s">
        <v>69</v>
      </c>
      <c r="C29" s="1822">
        <f t="shared" si="0"/>
        <v>6.0780889422493036</v>
      </c>
      <c r="D29" s="1823">
        <f t="shared" si="1"/>
        <v>8.8296635740784585E-2</v>
      </c>
      <c r="E29" s="1878">
        <v>9.2021529203390635</v>
      </c>
      <c r="F29" s="1862">
        <f>+IFERROR(IFERROR(VLOOKUP(B29,'[1]Eurostat Fats'!$P$93:$X$125,9,0)/1000,VLOOKUP(B29,'[1]OECD FATS'!A:K,10,0)/1000),VLOOKUP(A29,'[1]World Bank Data Labor Force'!D:P,13,0))</f>
        <v>633.45000000000005</v>
      </c>
      <c r="G29" s="1865">
        <f>+IFERROR(VLOOKUP(B29,[1]TangibleAsset2015!A:H,8,0)/1000,IFERROR(VLOOKUP(A29,[1]UNimputedcapitalstock2015!A:G,7,0),VLOOKUP('Table E1'!B29,'[1]Penn World Tables'!I:AN,3,0)))</f>
        <v>55.931503909999996</v>
      </c>
      <c r="H29" s="1823">
        <f t="shared" si="4"/>
        <v>5.5547658732680256</v>
      </c>
      <c r="I29" s="1823">
        <f t="shared" ref="I29:I52" si="9">+L29/K29</f>
        <v>0.12839451804317503</v>
      </c>
      <c r="J29" s="1864">
        <v>2.9223870232507698</v>
      </c>
      <c r="K29" s="1864">
        <f>+IFERROR(IFERROR(IFERROR(VLOOKUP(B29,'[1]Eurostat Fats'!$P$134:$X$166,9,0)/1000,VLOOKUP(B29,'[1]OECD FATS'!M:V,10,0)/1000),VLOOKUP(B29,'[1]CBC- IRS'!A:O,15,0)*L29),"")</f>
        <v>126.432</v>
      </c>
      <c r="L29" s="1863">
        <f>IFERROR(VLOOKUP(B29,'[1]Eurostat Fats'!P:AB,13,0)*G29,IFERROR(VLOOKUP(B29,'[5]Main data'!$A:$C,3,0)*J29,""))</f>
        <v>16.233175705234707</v>
      </c>
      <c r="M29" s="1823">
        <f t="shared" si="5"/>
        <v>6.321625496130677</v>
      </c>
      <c r="N29" s="1823">
        <f t="shared" ref="N29:N52" si="10">+Q29/P29</f>
        <v>7.8297670309072434E-2</v>
      </c>
      <c r="O29" s="1862">
        <f t="shared" si="6"/>
        <v>6.2797658970882937</v>
      </c>
      <c r="P29" s="1862">
        <f t="shared" si="7"/>
        <v>507.01800000000003</v>
      </c>
      <c r="Q29" s="1861">
        <f t="shared" si="8"/>
        <v>39.698328204765289</v>
      </c>
      <c r="S29" s="1879"/>
    </row>
    <row r="30" spans="1:19" x14ac:dyDescent="0.35">
      <c r="A30" s="378" t="s">
        <v>899</v>
      </c>
      <c r="B30" s="1872" t="s">
        <v>70</v>
      </c>
      <c r="C30" s="1822">
        <f t="shared" si="0"/>
        <v>2.2956882192748305</v>
      </c>
      <c r="D30" s="1823">
        <f t="shared" si="1"/>
        <v>0.1933696418088944</v>
      </c>
      <c r="E30" s="1878">
        <v>21.552271978652684</v>
      </c>
      <c r="F30" s="1862">
        <f>+IFERROR(IFERROR(VLOOKUP(B30,'[1]Eurostat Fats'!$P$93:$X$125,9,0)/1000,VLOOKUP(B30,'[1]OECD FATS'!A:K,10,0)/1000),VLOOKUP(A30,'[1]World Bank Data Labor Force'!D:P,13,0))</f>
        <v>255.869</v>
      </c>
      <c r="G30" s="1865">
        <f>+IFERROR(VLOOKUP(B30,[1]TangibleAsset2015!A:H,8,0)/1000,IFERROR(VLOOKUP(A30,[1]UNimputedcapitalstock2015!A:G,7,0),VLOOKUP('Table E1'!B30,'[1]Penn World Tables'!I:AN,3,0)))</f>
        <v>49.477296880000004</v>
      </c>
      <c r="H30" s="1823">
        <f t="shared" si="4"/>
        <v>1.448858085801517</v>
      </c>
      <c r="I30" s="1823">
        <f t="shared" si="9"/>
        <v>0.16146643743375119</v>
      </c>
      <c r="J30" s="1864">
        <v>11.134697263599653</v>
      </c>
      <c r="K30" s="1864">
        <f>+IFERROR(IFERROR(IFERROR(VLOOKUP(B30,'[1]Eurostat Fats'!$P$134:$X$166,9,0)/1000,VLOOKUP(B30,'[1]OECD FATS'!M:V,10,0)/1000),VLOOKUP(B30,'[1]CBC- IRS'!A:O,15,0)*L30),"")</f>
        <v>99.912999999999997</v>
      </c>
      <c r="L30" s="1863">
        <f>IFERROR(VLOOKUP(B30,'[1]Eurostat Fats'!P:AB,13,0)*G30,IFERROR(VLOOKUP(B30,'[5]Main data'!$A:$C,3,0)*J30,""))</f>
        <v>16.132596163318382</v>
      </c>
      <c r="M30" s="1823">
        <f t="shared" si="5"/>
        <v>3.2008122455315533</v>
      </c>
      <c r="N30" s="1823">
        <f t="shared" si="10"/>
        <v>0.21380838644670047</v>
      </c>
      <c r="O30" s="1862">
        <f t="shared" si="6"/>
        <v>10.41757471505303</v>
      </c>
      <c r="P30" s="1862">
        <f t="shared" si="7"/>
        <v>155.95600000000002</v>
      </c>
      <c r="Q30" s="1861">
        <f t="shared" si="8"/>
        <v>33.344700716681622</v>
      </c>
      <c r="S30" s="1879"/>
    </row>
    <row r="31" spans="1:19" x14ac:dyDescent="0.35">
      <c r="A31" s="378" t="s">
        <v>898</v>
      </c>
      <c r="B31" s="1866" t="s">
        <v>71</v>
      </c>
      <c r="C31" s="1822">
        <f t="shared" si="0"/>
        <v>9.5797899597877514</v>
      </c>
      <c r="D31" s="1823">
        <f t="shared" si="1"/>
        <v>4.2736244821519324E-2</v>
      </c>
      <c r="E31" s="1862">
        <v>140.22820286912128</v>
      </c>
      <c r="F31" s="1862">
        <f>+IFERROR(IFERROR(VLOOKUP(B31,'[1]Eurostat Fats'!$P$93:$X$125,9,0)/1000,VLOOKUP(B31,'[1]OECD FATS'!A:K,10,0)/1000),VLOOKUP(A31,'[1]World Bank Data Labor Force'!D:P,13,0))</f>
        <v>31433.663288269461</v>
      </c>
      <c r="G31" s="1865">
        <f>+IF(VLOOKUP(B31,[1]TangibleAsset2015!A:H,8,0)/1000&gt;0,VLOOKUP(B31,[1]TangibleAsset2015!A:H,8,0)/1000,VLOOKUP('Table E1'!B31,'[1]Penn World Tables'!I:AN,3,0))</f>
        <v>1343.3567299246879</v>
      </c>
      <c r="H31" s="1823">
        <f t="shared" si="4"/>
        <v>2.7238899999999999</v>
      </c>
      <c r="I31" s="1823">
        <f t="shared" si="9"/>
        <v>5.4253262422202644E-2</v>
      </c>
      <c r="J31" s="1864">
        <v>32.357373994477598</v>
      </c>
      <c r="K31" s="1864">
        <f>+IFERROR(IFERROR(IFERROR(VLOOKUP(B31,'[1]Eurostat Fats'!$P$134:$X$166,9,0)/1000,VLOOKUP(B31,'[1]OECD FATS'!M:V,10,0)/1000),VLOOKUP(B31,'[1]CBC- IRS'!A:O,15,0)*L31),"")</f>
        <v>1624.5645610013667</v>
      </c>
      <c r="L31" s="1863">
        <f>IFERROR(VLOOKUP(B31,'[1]Eurostat Fats'!P:AB,13,0)*G31,IFERROR(VLOOKUP(B31,'[5]Main data'!$A:$C,3,0)*J31,""))</f>
        <v>88.137927449817582</v>
      </c>
      <c r="M31" s="1823">
        <f t="shared" si="5"/>
        <v>11.636313687118838</v>
      </c>
      <c r="N31" s="1823">
        <f t="shared" si="10"/>
        <v>4.2108579462909072E-2</v>
      </c>
      <c r="O31" s="1862">
        <f t="shared" si="6"/>
        <v>107.87082887464368</v>
      </c>
      <c r="P31" s="1862">
        <f t="shared" si="7"/>
        <v>29809.098727268094</v>
      </c>
      <c r="Q31" s="1861">
        <f t="shared" si="8"/>
        <v>1255.2188024748702</v>
      </c>
      <c r="S31" s="1879"/>
    </row>
    <row r="32" spans="1:19" x14ac:dyDescent="0.35">
      <c r="A32" s="378" t="s">
        <v>897</v>
      </c>
      <c r="B32" s="1866" t="s">
        <v>72</v>
      </c>
      <c r="C32" s="1822">
        <f t="shared" si="0"/>
        <v>2.9202643827552666</v>
      </c>
      <c r="D32" s="1823">
        <f t="shared" si="1"/>
        <v>0.15081767375249652</v>
      </c>
      <c r="E32" s="1878">
        <v>282.03899700441076</v>
      </c>
      <c r="F32" s="1862">
        <f>+IFERROR(IFERROR(VLOOKUP(B32,'[1]Eurostat Fats'!$P$93:$X$125,9,0)/1000,VLOOKUP(B32,'[1]OECD FATS'!A:K,10,0)/1000),VLOOKUP(A32,'[1]World Bank Data Labor Force'!D:P,13,0))</f>
        <v>5461.0870000000004</v>
      </c>
      <c r="G32" s="1865">
        <f>+IFERROR(VLOOKUP(B32,[1]TangibleAsset2015!A:H,8,0)/1000,IFERROR(VLOOKUP(A32,[1]UNimputedcapitalstock2015!A:G,7,0),VLOOKUP('Table E1'!B32,'[1]Penn World Tables'!I:AN,3,0)))</f>
        <v>823.62843750000002</v>
      </c>
      <c r="H32" s="1823">
        <f t="shared" si="4"/>
        <v>2.9254487115313106</v>
      </c>
      <c r="I32" s="1823">
        <f t="shared" si="9"/>
        <v>0.24817144798456189</v>
      </c>
      <c r="J32" s="1864">
        <v>77.710709775013825</v>
      </c>
      <c r="K32" s="1864">
        <f>+IFERROR(IFERROR(IFERROR(VLOOKUP(B32,'[1]Eurostat Fats'!$P$134:$X$166,9,0)/1000,VLOOKUP(B32,'[1]OECD FATS'!M:V,10,0)/1000),VLOOKUP(B32,'[1]CBC- IRS'!A:O,15,0)*L32),"")</f>
        <v>916.05499999999995</v>
      </c>
      <c r="L32" s="1863">
        <f>IFERROR(VLOOKUP(B32,'[1]Eurostat Fats'!P:AB,13,0)*G32,IFERROR(VLOOKUP(B32,'[5]Main data'!$A:$C,3,0)*J32,""))</f>
        <v>227.33869578349783</v>
      </c>
      <c r="M32" s="1823">
        <f t="shared" si="5"/>
        <v>2.9182926642313349</v>
      </c>
      <c r="N32" s="1823">
        <f t="shared" si="10"/>
        <v>0.13119593915213407</v>
      </c>
      <c r="O32" s="1862">
        <f t="shared" si="6"/>
        <v>204.32828722939695</v>
      </c>
      <c r="P32" s="1862">
        <f t="shared" si="7"/>
        <v>4545.0320000000002</v>
      </c>
      <c r="Q32" s="1861">
        <f t="shared" si="8"/>
        <v>596.28974171650225</v>
      </c>
      <c r="S32" s="1879"/>
    </row>
    <row r="33" spans="1:19" x14ac:dyDescent="0.35">
      <c r="A33" s="378" t="s">
        <v>896</v>
      </c>
      <c r="B33" s="1866" t="s">
        <v>73</v>
      </c>
      <c r="C33" s="1822">
        <f t="shared" si="0"/>
        <v>2.7719727366678355</v>
      </c>
      <c r="D33" s="1823">
        <f t="shared" si="1"/>
        <v>0.12442219910297715</v>
      </c>
      <c r="E33" s="1862">
        <v>57.141860911103748</v>
      </c>
      <c r="F33" s="1862">
        <f>+IFERROR(IFERROR(VLOOKUP(B33,'[1]Eurostat Fats'!$P$93:$X$125,9,0)/1000,VLOOKUP(B33,'[1]OECD FATS'!A:K,10,0)/1000),VLOOKUP(A33,'[1]World Bank Data Labor Force'!D:P,13,0))</f>
        <v>1273.05</v>
      </c>
      <c r="G33" s="1865">
        <f>+IF(VLOOKUP(B33,[1]TangibleAsset2015!A:H,8,0)/1000&gt;0,VLOOKUP(B33,[1]TangibleAsset2015!A:H,8,0)/1000,VLOOKUP('Table E1'!B33,'[1]Penn World Tables'!I:AN,3,0))</f>
        <v>158.39568056804507</v>
      </c>
      <c r="H33" s="1823">
        <f t="shared" si="4"/>
        <v>1.8212900000000001</v>
      </c>
      <c r="I33" s="1823">
        <f t="shared" si="9"/>
        <v>5.7446548961500678E-2</v>
      </c>
      <c r="J33" s="1864">
        <v>9.1720055414100905</v>
      </c>
      <c r="K33" s="1864">
        <f>+IFERROR(IFERROR(IFERROR(VLOOKUP(B33,'[1]Eurostat Fats'!$P$134:$X$166,9,0)/1000,VLOOKUP(B33,'[1]OECD FATS'!M:V,10,0)/1000),VLOOKUP(B33,'[1]CBC- IRS'!A:O,15,0)*L33),"")</f>
        <v>290.79000000000002</v>
      </c>
      <c r="L33" s="1863">
        <f>IFERROR(VLOOKUP(B33,'[1]Eurostat Fats'!P:AB,13,0)*G33,IFERROR(VLOOKUP(B33,'[5]Main data'!$A:$C,3,0)*J33,""))</f>
        <v>16.704881972514784</v>
      </c>
      <c r="M33" s="1823">
        <f t="shared" si="5"/>
        <v>2.9537466290767167</v>
      </c>
      <c r="N33" s="1823">
        <f t="shared" si="10"/>
        <v>0.14424978986778478</v>
      </c>
      <c r="O33" s="1862">
        <f t="shared" si="6"/>
        <v>47.969855369693661</v>
      </c>
      <c r="P33" s="1862">
        <f t="shared" si="7"/>
        <v>982.26</v>
      </c>
      <c r="Q33" s="1861">
        <f t="shared" si="8"/>
        <v>141.69079859553028</v>
      </c>
      <c r="S33" s="1879"/>
    </row>
    <row r="34" spans="1:19" x14ac:dyDescent="0.35">
      <c r="A34" s="378" t="s">
        <v>895</v>
      </c>
      <c r="B34" s="1866" t="s">
        <v>74</v>
      </c>
      <c r="C34" s="1822">
        <f t="shared" si="0"/>
        <v>3.8328112451296037</v>
      </c>
      <c r="D34" s="1823">
        <f t="shared" si="1"/>
        <v>0.28659257722826242</v>
      </c>
      <c r="E34" s="1878">
        <v>120.45063054869772</v>
      </c>
      <c r="F34" s="1862">
        <f>+IFERROR(IFERROR(VLOOKUP(B34,'[1]Eurostat Fats'!$P$93:$X$125,9,0)/1000,VLOOKUP(B34,'[1]OECD FATS'!A:K,10,0)/1000),VLOOKUP(A34,'[1]World Bank Data Labor Force'!D:P,13,0))</f>
        <v>1610.874</v>
      </c>
      <c r="G34" s="1865">
        <f>+IFERROR(VLOOKUP(B34,[1]TangibleAsset2015!A:H,8,0)/1000,IFERROR(VLOOKUP(A34,[1]UNimputedcapitalstock2015!A:G,7,0),VLOOKUP('Table E1'!B34,'[1]Penn World Tables'!I:AN,3,0)))</f>
        <v>461.66453124999998</v>
      </c>
      <c r="H34" s="1823">
        <f t="shared" si="4"/>
        <v>3.4946060559333687</v>
      </c>
      <c r="I34" s="1823">
        <f t="shared" si="9"/>
        <v>0.34417605887332126</v>
      </c>
      <c r="J34" s="1864">
        <v>33.195608121398337</v>
      </c>
      <c r="K34" s="1864">
        <f>+IFERROR(IFERROR(IFERROR(VLOOKUP(B34,'[1]Eurostat Fats'!$P$134:$X$166,9,0)/1000,VLOOKUP(B34,'[1]OECD FATS'!M:V,10,0)/1000),VLOOKUP(B34,'[1]CBC- IRS'!A:O,15,0)*L34),"")</f>
        <v>337.053</v>
      </c>
      <c r="L34" s="1863">
        <f>IFERROR(VLOOKUP(B34,'[1]Eurostat Fats'!P:AB,13,0)*G34,IFERROR(VLOOKUP(B34,'[5]Main data'!$A:$C,3,0)*J34,""))</f>
        <v>116.00557317142955</v>
      </c>
      <c r="M34" s="1823">
        <f t="shared" si="5"/>
        <v>3.9614792187644263</v>
      </c>
      <c r="N34" s="1823">
        <f t="shared" si="10"/>
        <v>0.27135598963949448</v>
      </c>
      <c r="O34" s="1862">
        <f t="shared" si="6"/>
        <v>87.25502242729938</v>
      </c>
      <c r="P34" s="1862">
        <f t="shared" si="7"/>
        <v>1273.8209999999999</v>
      </c>
      <c r="Q34" s="1861">
        <f t="shared" si="8"/>
        <v>345.65895807857044</v>
      </c>
      <c r="S34" s="1879"/>
    </row>
    <row r="35" spans="1:19" x14ac:dyDescent="0.35">
      <c r="A35" s="378" t="s">
        <v>894</v>
      </c>
      <c r="B35" s="1866" t="s">
        <v>75</v>
      </c>
      <c r="C35" s="1822">
        <f t="shared" si="0"/>
        <v>2.9962995153441319</v>
      </c>
      <c r="D35" s="1823">
        <f t="shared" si="1"/>
        <v>6.1047230498978568E-2</v>
      </c>
      <c r="E35" s="1878">
        <v>110.83432816023345</v>
      </c>
      <c r="F35" s="1862">
        <f>+IFERROR(IFERROR(VLOOKUP(B35,'[1]Eurostat Fats'!$P$93:$X$125,9,0)/1000,VLOOKUP(B35,'[1]OECD FATS'!A:K,10,0)/1000),VLOOKUP(A35,'[1]World Bank Data Labor Force'!D:P,13,0))</f>
        <v>5439.933</v>
      </c>
      <c r="G35" s="1865">
        <f>+IFERROR(VLOOKUP(B35,[1]TangibleAsset2015!A:H,8,0)/1000,IFERROR(VLOOKUP(A35,[1]UNimputedcapitalstock2015!A:G,7,0),VLOOKUP('Table E1'!B35,'[1]Penn World Tables'!I:AN,3,0)))</f>
        <v>332.09284374999999</v>
      </c>
      <c r="H35" s="1823">
        <f t="shared" si="4"/>
        <v>2.695840785956483</v>
      </c>
      <c r="I35" s="1823">
        <f t="shared" si="9"/>
        <v>6.7428599473708828E-2</v>
      </c>
      <c r="J35" s="1864">
        <v>39.193037102238662</v>
      </c>
      <c r="K35" s="1864">
        <f>+IFERROR(IFERROR(IFERROR(VLOOKUP(B35,'[1]Eurostat Fats'!$P$134:$X$166,9,0)/1000,VLOOKUP(B35,'[1]OECD FATS'!M:V,10,0)/1000),VLOOKUP(B35,'[1]CBC- IRS'!A:O,15,0)*L35),"")</f>
        <v>1566.9639999999999</v>
      </c>
      <c r="L35" s="1863">
        <f>IFERROR(VLOOKUP(B35,'[1]Eurostat Fats'!P:AB,13,0)*G35,IFERROR(VLOOKUP(B35,'[5]Main data'!$A:$C,3,0)*J35,""))</f>
        <v>105.65818794572068</v>
      </c>
      <c r="M35" s="1823">
        <f t="shared" si="5"/>
        <v>3.1606724622114468</v>
      </c>
      <c r="N35" s="1823">
        <f t="shared" si="10"/>
        <v>5.8465393294983591E-2</v>
      </c>
      <c r="O35" s="1862">
        <f t="shared" si="6"/>
        <v>71.641291057994792</v>
      </c>
      <c r="P35" s="1862">
        <f t="shared" si="7"/>
        <v>3872.9690000000001</v>
      </c>
      <c r="Q35" s="1861">
        <f t="shared" si="8"/>
        <v>226.43465580427932</v>
      </c>
      <c r="S35" s="1879"/>
    </row>
    <row r="36" spans="1:19" x14ac:dyDescent="0.35">
      <c r="A36" s="378" t="s">
        <v>893</v>
      </c>
      <c r="B36" s="1866" t="s">
        <v>76</v>
      </c>
      <c r="C36" s="1822">
        <f t="shared" si="0"/>
        <v>4.0327758755141243</v>
      </c>
      <c r="D36" s="1823">
        <f t="shared" si="1"/>
        <v>7.7770166463602797E-2</v>
      </c>
      <c r="E36" s="1878">
        <v>57.993657247362911</v>
      </c>
      <c r="F36" s="1862">
        <f>+IFERROR(IFERROR(VLOOKUP(B36,'[1]Eurostat Fats'!$P$93:$X$125,9,0)/1000,VLOOKUP(B36,'[1]OECD FATS'!A:K,10,0)/1000),VLOOKUP(A36,'[1]World Bank Data Labor Force'!D:P,13,0))</f>
        <v>3007.2640000000001</v>
      </c>
      <c r="G36" s="1865">
        <f>+IFERROR(VLOOKUP(B36,[1]TangibleAsset2015!A:H,8,0)/1000,IFERROR(VLOOKUP(A36,[1]UNimputedcapitalstock2015!A:G,7,0),VLOOKUP('Table E1'!B36,'[1]Penn World Tables'!I:AN,3,0)))</f>
        <v>233.87542188</v>
      </c>
      <c r="H36" s="1823">
        <f t="shared" si="4"/>
        <v>3.8364912067746038</v>
      </c>
      <c r="I36" s="1823">
        <f t="shared" si="9"/>
        <v>0.12788421869713573</v>
      </c>
      <c r="J36" s="1864">
        <v>13.115654195957454</v>
      </c>
      <c r="K36" s="1864">
        <f>+IFERROR(IFERROR(IFERROR(VLOOKUP(B36,'[1]Eurostat Fats'!$P$134:$X$166,9,0)/1000,VLOOKUP(B36,'[1]OECD FATS'!M:V,10,0)/1000),VLOOKUP(B36,'[1]CBC- IRS'!A:O,15,0)*L36),"")</f>
        <v>393.46600000000001</v>
      </c>
      <c r="L36" s="1863">
        <f>IFERROR(VLOOKUP(B36,'[1]Eurostat Fats'!P:AB,13,0)*G36,IFERROR(VLOOKUP(B36,'[5]Main data'!$A:$C,3,0)*J36,""))</f>
        <v>50.318091993887208</v>
      </c>
      <c r="M36" s="1823">
        <f t="shared" si="5"/>
        <v>4.0901403227736592</v>
      </c>
      <c r="N36" s="1823">
        <f t="shared" si="10"/>
        <v>7.0226287527235379E-2</v>
      </c>
      <c r="O36" s="1862">
        <f t="shared" si="6"/>
        <v>44.878003051405457</v>
      </c>
      <c r="P36" s="1862">
        <f t="shared" si="7"/>
        <v>2613.7980000000002</v>
      </c>
      <c r="Q36" s="1861">
        <f t="shared" si="8"/>
        <v>183.5573298861128</v>
      </c>
      <c r="S36" s="1879"/>
    </row>
    <row r="37" spans="1:19" x14ac:dyDescent="0.35">
      <c r="A37" s="378" t="s">
        <v>892</v>
      </c>
      <c r="B37" s="1866" t="s">
        <v>96</v>
      </c>
      <c r="C37" s="1822">
        <f t="shared" si="0"/>
        <v>2.042816863001891</v>
      </c>
      <c r="D37" s="1823">
        <f t="shared" si="1"/>
        <v>2.8874183365466183E-2</v>
      </c>
      <c r="E37" s="1878">
        <v>21.242901141118761</v>
      </c>
      <c r="F37" s="1862">
        <f>+IFERROR(IFERROR(VLOOKUP(B37,'[1]Eurostat Fats'!$P$93:$X$125,9,0)/1000,VLOOKUP(B37,'[1]OECD FATS'!A:K,10,0)/1000),VLOOKUP(A37,'[1]World Bank Data Labor Force'!D:P,13,0))</f>
        <v>1502.912</v>
      </c>
      <c r="G37" s="1865">
        <f>+IFERROR(VLOOKUP(B37,[1]TangibleAsset2015!A:H,8,0)/1000,IFERROR(VLOOKUP(A37,[1]UNimputedcapitalstock2015!A:G,7,0),VLOOKUP('Table E1'!B37,'[1]Penn World Tables'!I:AN,3,0)))</f>
        <v>43.395356670159515</v>
      </c>
      <c r="H37" s="1823">
        <f t="shared" si="4"/>
        <v>1.844812201348802</v>
      </c>
      <c r="I37" s="1823">
        <f t="shared" si="9"/>
        <v>4.5380937888974411E-2</v>
      </c>
      <c r="J37" s="1864">
        <v>9.6007058772968481</v>
      </c>
      <c r="K37" s="1864">
        <f>+IFERROR(IFERROR(IFERROR(VLOOKUP(B37,'[1]Eurostat Fats'!$P$134:$X$166,9,0)/1000,VLOOKUP(B37,'[1]OECD FATS'!M:V,10,0)/1000),VLOOKUP(B37,'[1]CBC- IRS'!A:O,15,0)*L37),"")</f>
        <v>390.28500000000003</v>
      </c>
      <c r="L37" s="1863">
        <f>IFERROR(VLOOKUP(B37,'[1]Eurostat Fats'!P:AB,13,0)*G37,IFERROR(VLOOKUP(B37,'[5]Main data'!$A:$C,3,0)*J37,""))</f>
        <v>17.71149934399838</v>
      </c>
      <c r="M37" s="1823">
        <f t="shared" si="5"/>
        <v>2.2061008894064544</v>
      </c>
      <c r="N37" s="1823">
        <f t="shared" si="10"/>
        <v>2.3083978122192914E-2</v>
      </c>
      <c r="O37" s="1862">
        <f t="shared" si="6"/>
        <v>11.642195263821913</v>
      </c>
      <c r="P37" s="1862">
        <f t="shared" si="7"/>
        <v>1112.627</v>
      </c>
      <c r="Q37" s="1861">
        <f t="shared" si="8"/>
        <v>25.683857326161135</v>
      </c>
      <c r="S37" s="1879"/>
    </row>
    <row r="38" spans="1:19" x14ac:dyDescent="0.35">
      <c r="A38" s="378" t="s">
        <v>891</v>
      </c>
      <c r="B38" s="1866" t="s">
        <v>78</v>
      </c>
      <c r="C38" s="1822">
        <f t="shared" si="0"/>
        <v>4.3221762235348162</v>
      </c>
      <c r="D38" s="1823">
        <f t="shared" si="1"/>
        <v>0.10921944096458891</v>
      </c>
      <c r="E38" s="1878">
        <v>14.942894708531718</v>
      </c>
      <c r="F38" s="1862">
        <f>+IFERROR(IFERROR(VLOOKUP(B38,'[1]Eurostat Fats'!$P$93:$X$125,9,0)/1000,VLOOKUP(B38,'[1]OECD FATS'!A:K,10,0)/1000),VLOOKUP(A38,'[1]World Bank Data Labor Force'!D:P,13,0))</f>
        <v>591.34</v>
      </c>
      <c r="G38" s="1865">
        <f>+IFERROR(VLOOKUP(B38,[1]TangibleAsset2015!A:H,8,0)/1000,IFERROR(VLOOKUP(A38,[1]UNimputedcapitalstock2015!A:G,7,0),VLOOKUP('Table E1'!B38,'[1]Penn World Tables'!I:AN,3,0)))</f>
        <v>64.585824220000006</v>
      </c>
      <c r="H38" s="1823">
        <f t="shared" si="4"/>
        <v>3.3996080988515156</v>
      </c>
      <c r="I38" s="1823">
        <f t="shared" si="9"/>
        <v>0.1119093004510788</v>
      </c>
      <c r="J38" s="1864">
        <v>3.988545148405708</v>
      </c>
      <c r="K38" s="1864">
        <f>+IFERROR(IFERROR(IFERROR(VLOOKUP(B38,'[1]Eurostat Fats'!$P$134:$X$166,9,0)/1000,VLOOKUP(B38,'[1]OECD FATS'!M:V,10,0)/1000),VLOOKUP(B38,'[1]CBC- IRS'!A:O,15,0)*L38),"")</f>
        <v>121.16500000000001</v>
      </c>
      <c r="L38" s="1863">
        <f>IFERROR(VLOOKUP(B38,'[1]Eurostat Fats'!P:AB,13,0)*G38,IFERROR(VLOOKUP(B38,'[5]Main data'!$A:$C,3,0)*J38,""))</f>
        <v>13.559490389154965</v>
      </c>
      <c r="M38" s="1823">
        <f t="shared" si="5"/>
        <v>4.6580888760918882</v>
      </c>
      <c r="N38" s="1823">
        <f t="shared" si="10"/>
        <v>0.10852625901174039</v>
      </c>
      <c r="O38" s="1862">
        <f t="shared" si="6"/>
        <v>10.95434956012601</v>
      </c>
      <c r="P38" s="1862">
        <f t="shared" si="7"/>
        <v>470.17500000000001</v>
      </c>
      <c r="Q38" s="1861">
        <f t="shared" si="8"/>
        <v>51.02633383084504</v>
      </c>
      <c r="S38" s="1879"/>
    </row>
    <row r="39" spans="1:19" x14ac:dyDescent="0.35">
      <c r="A39" s="378" t="s">
        <v>890</v>
      </c>
      <c r="B39" s="1866" t="s">
        <v>79</v>
      </c>
      <c r="C39" s="1822">
        <f t="shared" si="0"/>
        <v>2.9600268366574625</v>
      </c>
      <c r="D39" s="1823">
        <f t="shared" si="1"/>
        <v>0.10475523411099644</v>
      </c>
      <c r="E39" s="1878">
        <v>393.17191976124013</v>
      </c>
      <c r="F39" s="1862">
        <f>+IFERROR(IFERROR(VLOOKUP(B39,'[1]Eurostat Fats'!$P$93:$X$125,9,0)/1000,VLOOKUP(B39,'[1]OECD FATS'!A:K,10,0)/1000),VLOOKUP(A39,'[1]World Bank Data Labor Force'!D:P,13,0))</f>
        <v>11109.701999999999</v>
      </c>
      <c r="G39" s="1865">
        <f>+IFERROR(VLOOKUP(A39,[1]UNimputedcapitalstock2015!A:G,7,0),VLOOKUP('Table E1'!B39,'[1]Penn World Tables'!I:AN,3,0))</f>
        <v>1163.7994339134052</v>
      </c>
      <c r="H39" s="1823">
        <f t="shared" si="4"/>
        <v>2.8500573972468635</v>
      </c>
      <c r="I39" s="1823">
        <f t="shared" si="9"/>
        <v>0.17196455041775643</v>
      </c>
      <c r="J39" s="1864">
        <v>84.581926770837981</v>
      </c>
      <c r="K39" s="1864">
        <f>+IFERROR(IFERROR(IFERROR(VLOOKUP(B39,'[1]Eurostat Fats'!$P$134:$X$166,9,0)/1000,VLOOKUP(B39,'[1]OECD FATS'!M:V,10,0)/1000),VLOOKUP(B39,'[1]CBC- IRS'!A:O,15,0)*L39),"")</f>
        <v>1401.82</v>
      </c>
      <c r="L39" s="1863">
        <f>IFERROR(VLOOKUP(B39,'[1]Eurostat Fats'!P:AB,13,0)*G39,IFERROR(VLOOKUP(B39,'[5]Main data'!$A:$C,3,0)*J39,""))</f>
        <v>241.06334606661932</v>
      </c>
      <c r="M39" s="1823">
        <f t="shared" si="5"/>
        <v>2.9901685369152107</v>
      </c>
      <c r="N39" s="1823">
        <f t="shared" si="10"/>
        <v>9.5050196103206239E-2</v>
      </c>
      <c r="O39" s="1862">
        <f t="shared" si="6"/>
        <v>308.58999299040215</v>
      </c>
      <c r="P39" s="1862">
        <f t="shared" si="7"/>
        <v>9707.8819999999996</v>
      </c>
      <c r="Q39" s="1861">
        <f t="shared" si="8"/>
        <v>922.73608784678595</v>
      </c>
      <c r="S39" s="1879"/>
    </row>
    <row r="40" spans="1:19" x14ac:dyDescent="0.35">
      <c r="A40" s="378" t="s">
        <v>889</v>
      </c>
      <c r="B40" s="1866" t="s">
        <v>80</v>
      </c>
      <c r="C40" s="1822">
        <f t="shared" si="0"/>
        <v>4.3866430452995058</v>
      </c>
      <c r="D40" s="1823">
        <f t="shared" si="1"/>
        <v>0.23198890791914323</v>
      </c>
      <c r="E40" s="1878">
        <v>164.05430760342725</v>
      </c>
      <c r="F40" s="1862">
        <f>+IFERROR(IFERROR(VLOOKUP(B40,'[1]Eurostat Fats'!$P$93:$X$125,9,0)/1000,VLOOKUP(B40,'[1]OECD FATS'!A:K,10,0)/1000),VLOOKUP(A40,'[1]World Bank Data Labor Force'!D:P,13,0))</f>
        <v>3102.078</v>
      </c>
      <c r="G40" s="1865">
        <f>+IFERROR(VLOOKUP(B40,[1]TangibleAsset2015!A:H,8,0)/1000,IFERROR(VLOOKUP(A40,[1]UNimputedcapitalstock2015!A:G,7,0),VLOOKUP('Table E1'!B40,'[1]Penn World Tables'!I:AN,3,0)))</f>
        <v>719.64768749999996</v>
      </c>
      <c r="H40" s="1823">
        <f t="shared" si="4"/>
        <v>3.3811703204576546</v>
      </c>
      <c r="I40" s="1823">
        <f t="shared" si="9"/>
        <v>0.22751533146991837</v>
      </c>
      <c r="J40" s="1864">
        <v>45.364312208613207</v>
      </c>
      <c r="K40" s="1864">
        <f>+IFERROR(IFERROR(IFERROR(VLOOKUP(B40,'[1]Eurostat Fats'!$P$134:$X$166,9,0)/1000,VLOOKUP(B40,'[1]OECD FATS'!M:V,10,0)/1000),VLOOKUP(B40,'[1]CBC- IRS'!A:O,15,0)*L40),"")</f>
        <v>674.17200000000003</v>
      </c>
      <c r="L40" s="1863">
        <f>IFERROR(VLOOKUP(B40,'[1]Eurostat Fats'!P:AB,13,0)*G40,IFERROR(VLOOKUP(B40,'[5]Main data'!$A:$C,3,0)*J40,""))</f>
        <v>153.38446604773782</v>
      </c>
      <c r="M40" s="1823">
        <f t="shared" si="5"/>
        <v>4.7709431580027175</v>
      </c>
      <c r="N40" s="1823">
        <f t="shared" si="10"/>
        <v>0.23323111415856385</v>
      </c>
      <c r="O40" s="1862">
        <f t="shared" si="6"/>
        <v>118.68999539481405</v>
      </c>
      <c r="P40" s="1862">
        <f t="shared" si="7"/>
        <v>2427.9059999999999</v>
      </c>
      <c r="Q40" s="1861">
        <f t="shared" si="8"/>
        <v>566.26322145226209</v>
      </c>
      <c r="S40" s="1879"/>
    </row>
    <row r="41" spans="1:19" x14ac:dyDescent="0.35">
      <c r="A41" s="378" t="s">
        <v>888</v>
      </c>
      <c r="B41" s="1866" t="s">
        <v>1</v>
      </c>
      <c r="C41" s="1822">
        <f t="shared" si="0"/>
        <v>1.7770127969844032</v>
      </c>
      <c r="D41" s="1823">
        <f t="shared" si="1"/>
        <v>0.1231524981241746</v>
      </c>
      <c r="E41" s="1862">
        <v>321.15382930461016</v>
      </c>
      <c r="F41" s="1862">
        <f>+IFERROR(IFERROR(VLOOKUP(B41,'[1]Eurostat Fats'!$P$93:$X$125,9,0)/1000,VLOOKUP(B41,'[1]OECD FATS'!A:K,10,0)/1000),VLOOKUP(A41,'[1]World Bank Data Labor Force'!D:P,13,0))</f>
        <v>4634.0469999999996</v>
      </c>
      <c r="G41" s="1865">
        <f>[1]Switzerland!D61*[1]Switzerland!E61</f>
        <v>570.69446447483688</v>
      </c>
      <c r="H41" s="1823">
        <f t="shared" si="4"/>
        <v>0.85955000000000004</v>
      </c>
      <c r="I41" s="1823">
        <f t="shared" si="9"/>
        <v>3.849423923889609E-2</v>
      </c>
      <c r="J41" s="1864">
        <v>18.886427858840669</v>
      </c>
      <c r="K41" s="1864">
        <f>+IFERROR(IFERROR(IFERROR(VLOOKUP(B41,'[1]Eurostat Fats'!$P$134:$X$166,9,0)/1000,VLOOKUP(B41,'[1]OECD FATS'!M:V,10,0)/1000),VLOOKUP(B41,'[1]CBC- IRS'!A:O,15,0)*L41),"")</f>
        <v>421.721</v>
      </c>
      <c r="L41" s="1863">
        <f>IFERROR(VLOOKUP(B41,'[1]Eurostat Fats'!P:AB,13,0)*G41,IFERROR(VLOOKUP(B41,'[5]Main data'!$A:$C,3,0)*J41,""))</f>
        <v>16.233829066066498</v>
      </c>
      <c r="M41" s="1823">
        <f t="shared" si="5"/>
        <v>1.8343381812155071</v>
      </c>
      <c r="N41" s="1823">
        <f t="shared" si="10"/>
        <v>0.13162813975194951</v>
      </c>
      <c r="O41" s="1862">
        <f t="shared" si="6"/>
        <v>302.26740144576951</v>
      </c>
      <c r="P41" s="1862">
        <f t="shared" si="7"/>
        <v>4212.3259999999991</v>
      </c>
      <c r="Q41" s="1861">
        <f t="shared" si="8"/>
        <v>554.46063540877037</v>
      </c>
      <c r="S41" s="1879"/>
    </row>
    <row r="42" spans="1:19" x14ac:dyDescent="0.35">
      <c r="A42" s="378" t="s">
        <v>887</v>
      </c>
      <c r="B42" s="1866" t="s">
        <v>81</v>
      </c>
      <c r="C42" s="1822">
        <f t="shared" si="0"/>
        <v>4.6600757408108189</v>
      </c>
      <c r="D42" s="1823">
        <f t="shared" si="1"/>
        <v>4.8533754489864959E-2</v>
      </c>
      <c r="E42" s="1862">
        <v>180.37437743772173</v>
      </c>
      <c r="F42" s="1862">
        <f>+IFERROR(IFERROR(VLOOKUP(B42,'[1]Eurostat Fats'!$P$93:$X$125,9,0)/1000,VLOOKUP(B42,'[1]OECD FATS'!A:K,10,0)/1000),VLOOKUP(A42,'[1]World Bank Data Labor Force'!D:P,13,0))</f>
        <v>17319.04464009498</v>
      </c>
      <c r="G42" s="1865">
        <f>+IFERROR(VLOOKUP(A42,[1]UNimputedcapitalstock2015!A:G,7,0),VLOOKUP('Table E1'!B42,'[1]Penn World Tables'!I:AN,3,0))</f>
        <v>840.55826056138142</v>
      </c>
      <c r="H42" s="1823">
        <f t="shared" si="4"/>
        <v>1.05114</v>
      </c>
      <c r="I42" s="1823">
        <f t="shared" si="9"/>
        <v>7.1316210841993452E-2</v>
      </c>
      <c r="J42" s="1864">
        <v>8.3567244424339737</v>
      </c>
      <c r="K42" s="1864">
        <f>+IFERROR(IFERROR(IFERROR(VLOOKUP(B42,'[1]Eurostat Fats'!$P$134:$X$166,9,0)/1000,VLOOKUP(B42,'[1]OECD FATS'!M:V,10,0)/1000),VLOOKUP(B42,'[1]CBC- IRS'!A:O,15,0)*L42),"")</f>
        <v>123.1709765102617</v>
      </c>
      <c r="L42" s="1863">
        <f>IFERROR(VLOOKUP(B42,'[1]Eurostat Fats'!P:AB,13,0)*G42,IFERROR(VLOOKUP(B42,'[5]Main data'!$A:$C,3,0)*J42,""))</f>
        <v>8.7840873304200464</v>
      </c>
      <c r="M42" s="1823">
        <f t="shared" si="5"/>
        <v>4.8354000810239341</v>
      </c>
      <c r="N42" s="1823">
        <f t="shared" si="10"/>
        <v>4.837056781781255E-2</v>
      </c>
      <c r="O42" s="1862">
        <f t="shared" si="6"/>
        <v>172.01765299528776</v>
      </c>
      <c r="P42" s="1862">
        <f t="shared" si="7"/>
        <v>17195.87366358472</v>
      </c>
      <c r="Q42" s="1861">
        <f t="shared" si="8"/>
        <v>831.77417323096142</v>
      </c>
      <c r="S42" s="1879"/>
    </row>
    <row r="43" spans="1:19" x14ac:dyDescent="0.35">
      <c r="A43" s="378" t="s">
        <v>886</v>
      </c>
      <c r="B43" s="1866" t="s">
        <v>82</v>
      </c>
      <c r="C43" s="1822">
        <f t="shared" si="0"/>
        <v>2.7521182749327822</v>
      </c>
      <c r="D43" s="1823">
        <f t="shared" si="1"/>
        <v>0.14514875312203893</v>
      </c>
      <c r="E43" s="1878">
        <v>1012.5690365062753</v>
      </c>
      <c r="F43" s="1862">
        <f>+IFERROR(IFERROR(VLOOKUP(B43,'[1]Eurostat Fats'!$P$93:$X$125,9,0)/1000,VLOOKUP(B43,'[1]OECD FATS'!A:K,10,0)/1000),VLOOKUP(A43,'[1]World Bank Data Labor Force'!D:P,13,0))</f>
        <v>19198.991999999998</v>
      </c>
      <c r="G43" s="1865">
        <f>+IFERROR(VLOOKUP(B43,[1]TangibleAsset2015!A:H,8,0)/1000,IFERROR(VLOOKUP(A43,[1]UNimputedcapitalstock2015!A:G,7,0),VLOOKUP('Table E1'!B43,'[1]Penn World Tables'!I:AN,3,0)))</f>
        <v>2786.70975</v>
      </c>
      <c r="H43" s="1823">
        <f t="shared" si="4"/>
        <v>3.112146330796818</v>
      </c>
      <c r="I43" s="1823">
        <f t="shared" si="9"/>
        <v>0.23782860019575947</v>
      </c>
      <c r="J43" s="1864">
        <v>280.65878878006157</v>
      </c>
      <c r="K43" s="1864">
        <f>+IFERROR(IFERROR(IFERROR(VLOOKUP(B43,'[1]Eurostat Fats'!$P$134:$X$166,9,0)/1000,VLOOKUP(B43,'[1]OECD FATS'!M:V,10,0)/1000),VLOOKUP(B43,'[1]CBC- IRS'!A:O,15,0)*L43),"")</f>
        <v>3672.6080000000002</v>
      </c>
      <c r="L43" s="1863">
        <f>IFERROR(VLOOKUP(B43,'[1]Eurostat Fats'!P:AB,13,0)*G43,IFERROR(VLOOKUP(B43,'[5]Main data'!$A:$C,3,0)*J43,""))</f>
        <v>873.45121970774778</v>
      </c>
      <c r="M43" s="1823">
        <f t="shared" si="5"/>
        <v>2.6140616779667583</v>
      </c>
      <c r="N43" s="1823">
        <f t="shared" si="10"/>
        <v>0.12322627923489798</v>
      </c>
      <c r="O43" s="1862">
        <f t="shared" si="6"/>
        <v>731.91024772621381</v>
      </c>
      <c r="P43" s="1862">
        <f t="shared" si="7"/>
        <v>15526.383999999998</v>
      </c>
      <c r="Q43" s="1861">
        <f t="shared" si="8"/>
        <v>1913.2585302922521</v>
      </c>
      <c r="S43" s="1879"/>
    </row>
    <row r="44" spans="1:19" x14ac:dyDescent="0.35">
      <c r="A44" s="378" t="s">
        <v>132</v>
      </c>
      <c r="B44" s="1866" t="s">
        <v>0</v>
      </c>
      <c r="C44" s="1822">
        <f t="shared" si="0"/>
        <v>2.6724911051525608</v>
      </c>
      <c r="D44" s="1823">
        <f t="shared" si="1"/>
        <v>0.17275643440163449</v>
      </c>
      <c r="E44" s="1878">
        <v>6036.1069000000007</v>
      </c>
      <c r="F44" s="1862">
        <f>+IFERROR(IFERROR(VLOOKUP(B44,'[1]Eurostat Fats'!$P$93:$X$125,9,0)/1000,VLOOKUP(B44,'[1]OECD FATS'!A:K,10,0)/1000),VLOOKUP(A44,'[1]World Bank Data Labor Force'!D:P,13,0))</f>
        <v>93376.794073537414</v>
      </c>
      <c r="G44" s="1865">
        <f>+IF(VLOOKUP(B44,[1]TangibleAsset2015!A:H,8,0)/1000&gt;0,VLOOKUP(B44,[1]TangibleAsset2015!A:H,8,0)/1000,VLOOKUP('Table E1'!B44,'[1]Penn World Tables'!I:AN,3,0))</f>
        <v>16131.441999999999</v>
      </c>
      <c r="H44" s="1823">
        <f t="shared" si="4"/>
        <v>4.720713033639087</v>
      </c>
      <c r="I44" s="1823">
        <f t="shared" si="9"/>
        <v>0.25788985140996118</v>
      </c>
      <c r="J44" s="1864">
        <v>539.10500000000002</v>
      </c>
      <c r="K44" s="1864">
        <f>+IFERROR(IFERROR(IFERROR(VLOOKUP(B44,'[1]Eurostat Fats'!$P$134:$X$166,9,0)/1000,VLOOKUP(B44,'[1]OECD FATS'!M:V,10,0)/1000),VLOOKUP(B44,'[1]CBC- IRS'!A:O,15,0)*L44),"")</f>
        <v>9868.3991870402824</v>
      </c>
      <c r="L44" s="1863">
        <v>2544.96</v>
      </c>
      <c r="M44" s="1823">
        <f t="shared" si="5"/>
        <v>2.4716167553080157</v>
      </c>
      <c r="N44" s="1823">
        <f t="shared" si="10"/>
        <v>0.16269600222188993</v>
      </c>
      <c r="O44" s="1862">
        <f t="shared" si="6"/>
        <v>5497.0019000000011</v>
      </c>
      <c r="P44" s="1862">
        <f t="shared" si="7"/>
        <v>83508.394886497132</v>
      </c>
      <c r="Q44" s="1861">
        <f t="shared" si="8"/>
        <v>13586.482</v>
      </c>
      <c r="R44" s="1852"/>
      <c r="S44" s="1877"/>
    </row>
    <row r="45" spans="1:19" ht="40" customHeight="1" x14ac:dyDescent="0.35">
      <c r="A45" s="1852"/>
      <c r="B45" s="1845" t="s">
        <v>99</v>
      </c>
      <c r="C45" s="1876">
        <f t="shared" si="0"/>
        <v>1.6801622963746727</v>
      </c>
      <c r="D45" s="1874">
        <f t="shared" si="1"/>
        <v>1.3538521803939461E-2</v>
      </c>
      <c r="E45" s="1844">
        <v>4635.4243070321654</v>
      </c>
      <c r="F45" s="1844">
        <f>+F46+F47+F48+F49+F51</f>
        <v>575267.02406372735</v>
      </c>
      <c r="G45" s="1875">
        <f>SUM(G46:G52)</f>
        <v>7788.2651483741392</v>
      </c>
      <c r="H45" s="1874">
        <f t="shared" si="4"/>
        <v>1.9118246661948899</v>
      </c>
      <c r="I45" s="1874">
        <f t="shared" si="9"/>
        <v>7.2171752825818419E-2</v>
      </c>
      <c r="J45" s="1844">
        <f>+SUM(J46:J52)</f>
        <v>419.75893109651639</v>
      </c>
      <c r="K45" s="1844">
        <f>+SUM(K46:K52)</f>
        <v>11119.384619391372</v>
      </c>
      <c r="L45" s="1875">
        <f>+SUM(L46:L52)</f>
        <v>802.50547832592122</v>
      </c>
      <c r="M45" s="1874">
        <f t="shared" si="5"/>
        <v>2.0306095706622829</v>
      </c>
      <c r="N45" s="1874">
        <f t="shared" si="10"/>
        <v>9.9419204706696282E-3</v>
      </c>
      <c r="O45" s="1844">
        <f>+SUM(O46:O52)</f>
        <v>4215.6653759356486</v>
      </c>
      <c r="P45" s="1844">
        <f>+SUM(P46:P52)</f>
        <v>861037.91358411103</v>
      </c>
      <c r="Q45" s="1873">
        <f>+SUM(Q46:Q52)</f>
        <v>8560.3704590845391</v>
      </c>
    </row>
    <row r="46" spans="1:19" x14ac:dyDescent="0.35">
      <c r="A46" s="378" t="s">
        <v>885</v>
      </c>
      <c r="B46" s="1872" t="s">
        <v>92</v>
      </c>
      <c r="C46" s="1822">
        <f t="shared" si="0"/>
        <v>2.9575235233458526</v>
      </c>
      <c r="D46" s="1823">
        <f t="shared" si="1"/>
        <v>3.422710872748267E-2</v>
      </c>
      <c r="E46" s="1862">
        <v>683.84777930021517</v>
      </c>
      <c r="F46" s="1862">
        <f>+IFERROR(IFERROR(VLOOKUP(B46,'[1]Eurostat Fats'!$P$93:$X$125,9,0)/1000,VLOOKUP(B46,'[1]OECD FATS'!A:K,10,0)/1000),VLOOKUP(A46,'[1]World Bank Data Labor Force'!D:P,13,0))</f>
        <v>59090.468604035057</v>
      </c>
      <c r="G46" s="1865">
        <f>+IFERROR(VLOOKUP(A46,[1]UNimputedcapitalstock2015!A:G,7,0),VLOOKUP('Table E1'!B46,'[1]Penn World Tables'!I:AN,3,0))</f>
        <v>2022.4958936682092</v>
      </c>
      <c r="H46" s="1823">
        <f t="shared" si="4"/>
        <v>1.9422399999999997</v>
      </c>
      <c r="I46" s="1823">
        <f t="shared" si="9"/>
        <v>0.10715394693222455</v>
      </c>
      <c r="J46" s="1864">
        <v>104.04870666105121</v>
      </c>
      <c r="K46" s="1864">
        <f>+IFERROR(IFERROR(IFERROR(VLOOKUP(B46,'[1]Eurostat Fats'!$P$134:$X$166,9,0)/1000,VLOOKUP(B46,'[1]OECD FATS'!M:V,10,0)/1000),VLOOKUP(B46,'[1]CBC- IRS'!A:O,15,0)*L46),"")</f>
        <v>1885.9553549920245</v>
      </c>
      <c r="L46" s="1863">
        <f>IFERROR(VLOOKUP(B46,'[1]Eurostat Fats'!P:AB,13,0)*G46,IFERROR(VLOOKUP(B46,'[5]Main data'!$A:$C,3,0)*J46,""))</f>
        <v>202.08756002536009</v>
      </c>
      <c r="M46" s="1823">
        <f t="shared" si="5"/>
        <v>3.13972274111548</v>
      </c>
      <c r="N46" s="1823">
        <f t="shared" si="10"/>
        <v>3.1822809604507951E-2</v>
      </c>
      <c r="O46" s="1862">
        <f t="shared" ref="O46:O52" si="11">+IF(AND(E46&gt;0,J46&gt;0),E46-J46,"")</f>
        <v>579.79907263916391</v>
      </c>
      <c r="P46" s="1862">
        <f t="shared" ref="P46:Q49" si="12">+IFERROR(IF(AND(F46&gt;0,K46&gt;0),F46-K46,""),"")</f>
        <v>57204.513249043033</v>
      </c>
      <c r="Q46" s="1861">
        <f t="shared" si="12"/>
        <v>1820.4083336428491</v>
      </c>
    </row>
    <row r="47" spans="1:19" x14ac:dyDescent="0.35">
      <c r="A47" s="378" t="s">
        <v>884</v>
      </c>
      <c r="B47" s="1866" t="s">
        <v>101</v>
      </c>
      <c r="C47" s="1822">
        <f t="shared" si="0"/>
        <v>1.0124827596699679</v>
      </c>
      <c r="D47" s="1823">
        <f t="shared" si="1"/>
        <v>6.6557315636438736E-3</v>
      </c>
      <c r="E47" s="1862">
        <v>3000.3468631285727</v>
      </c>
      <c r="F47" s="1862">
        <f>+IFERROR(IFERROR(VLOOKUP(B47,'[1]Eurostat Fats'!$P$93:$X$125,9,0)/1000,VLOOKUP(B47,'[1]OECD FATS'!A:K,10,0)/1000),VLOOKUP(A47,'[1]World Bank Data Labor Force'!D:P,13,0))</f>
        <v>456418.56840218144</v>
      </c>
      <c r="G47" s="1865">
        <f>+[1]China!O9</f>
        <v>3037.7994719475491</v>
      </c>
      <c r="H47" s="1823">
        <f t="shared" si="4"/>
        <v>1.96011</v>
      </c>
      <c r="I47" s="1823">
        <f t="shared" si="9"/>
        <v>6.4526259113114659E-2</v>
      </c>
      <c r="J47" s="1864">
        <v>188.62094795395103</v>
      </c>
      <c r="K47" s="1864">
        <f>+IFERROR(IFERROR(IFERROR(VLOOKUP(B47,'[1]Eurostat Fats'!$P$134:$X$166,9,0)/1000,VLOOKUP(B47,'[1]OECD FATS'!M:V,10,0)/1000),VLOOKUP(B47,'[1]CBC- IRS'!A:O,15,0)*L47),"")</f>
        <v>5729.726337395492</v>
      </c>
      <c r="L47" s="1863">
        <f>IFERROR(VLOOKUP(B47,'[1]Eurostat Fats'!P:AB,13,0)*G47,IFERROR(VLOOKUP(B47,'[5]Main data'!$A:$C,3,0)*J47,""))</f>
        <v>369.71780629401894</v>
      </c>
      <c r="M47" s="1823">
        <f t="shared" si="5"/>
        <v>0.94891242821860522</v>
      </c>
      <c r="N47" s="1823">
        <f t="shared" si="10"/>
        <v>5.9200082554295786E-3</v>
      </c>
      <c r="O47" s="1862">
        <f t="shared" si="11"/>
        <v>2811.7259151746216</v>
      </c>
      <c r="P47" s="1862">
        <f t="shared" si="12"/>
        <v>450688.84206478595</v>
      </c>
      <c r="Q47" s="1861">
        <f t="shared" si="12"/>
        <v>2668.0816656535303</v>
      </c>
      <c r="S47" s="1871"/>
    </row>
    <row r="48" spans="1:19" x14ac:dyDescent="0.35">
      <c r="A48" s="378" t="s">
        <v>883</v>
      </c>
      <c r="B48" s="1866" t="s">
        <v>93</v>
      </c>
      <c r="C48" s="1822">
        <f t="shared" si="0"/>
        <v>5.8654591343026388</v>
      </c>
      <c r="D48" s="1823">
        <f t="shared" si="1"/>
        <v>2.1524734512741107E-2</v>
      </c>
      <c r="E48" s="1862">
        <v>54.170478374899503</v>
      </c>
      <c r="F48" s="1862">
        <f>+IFERROR(IFERROR(VLOOKUP(B48,'[1]Eurostat Fats'!$P$93:$X$125,9,0)/1000,VLOOKUP(B48,'[1]OECD FATS'!A:K,10,0)/1000),VLOOKUP(A48,'[1]World Bank Data Labor Force'!D:P,13,0))</f>
        <v>14761.377289253976</v>
      </c>
      <c r="G48" s="1865">
        <f>+IFERROR(VLOOKUP(A48,[1]UNimputedcapitalstock2015!A:G,7,0),VLOOKUP('Table E1'!B48,'[1]Penn World Tables'!I:AN,3,0))</f>
        <v>317.73472719359785</v>
      </c>
      <c r="H48" s="1823">
        <f t="shared" si="4"/>
        <v>2.4127800000000001</v>
      </c>
      <c r="I48" s="1823">
        <f t="shared" si="9"/>
        <v>0.10036365100009582</v>
      </c>
      <c r="J48" s="1864">
        <v>11.396413822804858</v>
      </c>
      <c r="K48" s="1864">
        <f>+IFERROR(IFERROR(IFERROR(VLOOKUP(B48,'[1]Eurostat Fats'!$P$134:$X$166,9,0)/1000,VLOOKUP(B48,'[1]OECD FATS'!M:V,10,0)/1000),VLOOKUP(B48,'[1]CBC- IRS'!A:O,15,0)*L48),"")</f>
        <v>273.97408393762851</v>
      </c>
      <c r="L48" s="1863">
        <f>IFERROR(VLOOKUP(B48,'[1]Eurostat Fats'!P:AB,13,0)*G48,IFERROR(VLOOKUP(B48,'[5]Main data'!$A:$C,3,0)*J48,""))</f>
        <v>27.497039343387108</v>
      </c>
      <c r="M48" s="1823">
        <f t="shared" si="5"/>
        <v>6.7853661065276958</v>
      </c>
      <c r="N48" s="1823">
        <f t="shared" si="10"/>
        <v>2.003379651528606E-2</v>
      </c>
      <c r="O48" s="1862">
        <f t="shared" si="11"/>
        <v>42.774064552094643</v>
      </c>
      <c r="P48" s="1862">
        <f t="shared" si="12"/>
        <v>14487.403205316348</v>
      </c>
      <c r="Q48" s="1861">
        <f t="shared" si="12"/>
        <v>290.23768785021076</v>
      </c>
    </row>
    <row r="49" spans="1:19" x14ac:dyDescent="0.35">
      <c r="A49" s="378" t="s">
        <v>882</v>
      </c>
      <c r="B49" s="1866" t="s">
        <v>94</v>
      </c>
      <c r="C49" s="1822">
        <f t="shared" si="0"/>
        <v>4.1451078495310663</v>
      </c>
      <c r="D49" s="1823">
        <f t="shared" si="1"/>
        <v>4.7831781660845021E-2</v>
      </c>
      <c r="E49" s="1862">
        <v>15.631819704056245</v>
      </c>
      <c r="F49" s="1862">
        <f>+IFERROR(IFERROR(VLOOKUP(B49,'[1]Eurostat Fats'!$P$93:$X$125,9,0)/1000,VLOOKUP(B49,'[1]OECD FATS'!A:K,10,0)/1000),VLOOKUP(A49,'[1]World Bank Data Labor Force'!D:P,13,0))</f>
        <v>1354.6553422821678</v>
      </c>
      <c r="G49" s="1865">
        <f>+IFERROR(VLOOKUP(A49,[1]UNimputedcapitalstock2015!A:G,7,0),VLOOKUP('Table E1'!B49,'[1]Penn World Tables'!I:AN,3,0))</f>
        <v>64.795578557737926</v>
      </c>
      <c r="H49" s="1823">
        <f t="shared" si="4"/>
        <v>1.80599</v>
      </c>
      <c r="I49" s="1823">
        <f t="shared" si="9"/>
        <v>3.9950500372258176E-2</v>
      </c>
      <c r="J49" s="1864">
        <v>1.8941195373363828</v>
      </c>
      <c r="K49" s="1864">
        <f>+IFERROR(IFERROR(IFERROR(VLOOKUP(B49,'[1]Eurostat Fats'!$P$134:$X$166,9,0)/1000,VLOOKUP(B49,'[1]OECD FATS'!M:V,10,0)/1000),VLOOKUP(B49,'[1]CBC- IRS'!A:O,15,0)*L49),"")</f>
        <v>85.624983701318726</v>
      </c>
      <c r="L49" s="1863">
        <f>IFERROR(VLOOKUP(B49,'[1]Eurostat Fats'!P:AB,13,0)*G49,IFERROR(VLOOKUP(B49,'[5]Main data'!$A:$C,3,0)*J49,""))</f>
        <v>3.4207609432341339</v>
      </c>
      <c r="M49" s="1823">
        <f t="shared" si="5"/>
        <v>4.4676195338130027</v>
      </c>
      <c r="N49" s="1823">
        <f t="shared" si="10"/>
        <v>4.8363553479633836E-2</v>
      </c>
      <c r="O49" s="1862">
        <f t="shared" si="11"/>
        <v>13.737700166719861</v>
      </c>
      <c r="P49" s="1862">
        <f t="shared" si="12"/>
        <v>1269.030358580849</v>
      </c>
      <c r="Q49" s="1861">
        <f t="shared" si="12"/>
        <v>61.37481761450379</v>
      </c>
    </row>
    <row r="50" spans="1:19" x14ac:dyDescent="0.35">
      <c r="A50" s="378" t="s">
        <v>881</v>
      </c>
      <c r="B50" s="1866" t="s">
        <v>102</v>
      </c>
      <c r="C50" s="1822" t="str">
        <f t="shared" si="0"/>
        <v/>
      </c>
      <c r="D50" s="1823"/>
      <c r="E50" s="1862">
        <v>318.62573018831665</v>
      </c>
      <c r="F50" s="1862">
        <f>+IFERROR(IFERROR(VLOOKUP(B50,'[1]Eurostat Fats'!$P$93:$X$125,9,0)/1000,VLOOKUP(B50,'[1]OECD FATS'!A:K,10,0)/1000),VLOOKUP(A50,'[1]World Bank Data Labor Force'!D:P,13,0))</f>
        <v>284452.38605557522</v>
      </c>
      <c r="G50" s="1870"/>
      <c r="H50" s="1823">
        <f t="shared" si="4"/>
        <v>0.89122000000000001</v>
      </c>
      <c r="I50" s="1823">
        <f t="shared" si="9"/>
        <v>1.9789899575823135E-2</v>
      </c>
      <c r="J50" s="1864">
        <v>21.047688887867402</v>
      </c>
      <c r="K50" s="1864">
        <f>+IFERROR(IFERROR(IFERROR(VLOOKUP(B50,'[1]Eurostat Fats'!$P$134:$X$166,9,0)/1000,VLOOKUP(B50,'[1]OECD FATS'!M:V,10,0)/1000),VLOOKUP(B50,'[1]CBC- IRS'!A:O,15,0)*L50),"")</f>
        <v>947.86338954248913</v>
      </c>
      <c r="L50" s="1863">
        <f>IFERROR(VLOOKUP(B50,'[1]Eurostat Fats'!P:AB,13,0)*G50,IFERROR(VLOOKUP(B50,'[5]Main data'!$A:$C,3,0)*J50,""))</f>
        <v>18.758121290645185</v>
      </c>
      <c r="M50" s="1823">
        <v>4.16</v>
      </c>
      <c r="N50" s="1823">
        <f t="shared" si="10"/>
        <v>4.3665075963113982E-3</v>
      </c>
      <c r="O50" s="1862">
        <f t="shared" si="11"/>
        <v>297.57804130044923</v>
      </c>
      <c r="P50" s="1862">
        <f>+IFERROR(IF(AND(F50&gt;0,K50&gt;0),F50-K50,""),"")</f>
        <v>283504.52266603272</v>
      </c>
      <c r="Q50" s="1861">
        <f>+M50*O50</f>
        <v>1237.9246518098689</v>
      </c>
    </row>
    <row r="51" spans="1:19" x14ac:dyDescent="0.35">
      <c r="A51" s="378" t="s">
        <v>880</v>
      </c>
      <c r="B51" s="1866" t="s">
        <v>103</v>
      </c>
      <c r="C51" s="1822">
        <f t="shared" si="0"/>
        <v>5.0367582488930687</v>
      </c>
      <c r="D51" s="1823">
        <f>+G51/F51</f>
        <v>5.3742769036280592E-2</v>
      </c>
      <c r="E51" s="1862">
        <v>465.66449313355542</v>
      </c>
      <c r="F51" s="1862">
        <f>+IFERROR(IFERROR(VLOOKUP(B51,'[1]Eurostat Fats'!$P$93:$X$125,9,0)/1000,VLOOKUP(B51,'[1]OECD FATS'!A:K,10,0)/1000),VLOOKUP(A51,'[1]World Bank Data Labor Force'!D:P,13,0))</f>
        <v>43641.954425974756</v>
      </c>
      <c r="G51" s="1865">
        <f>+IFERROR(VLOOKUP(A51,[1]UNimputedcapitalstock2015!A:G,7,0),VLOOKUP('Table E1'!B51,'[1]Penn World Tables'!I:AN,3,0))</f>
        <v>2345.4394770070448</v>
      </c>
      <c r="H51" s="1823">
        <f t="shared" si="4"/>
        <v>2.3278099999999999</v>
      </c>
      <c r="I51" s="1823">
        <f t="shared" si="9"/>
        <v>8.7326556684011569E-2</v>
      </c>
      <c r="J51" s="1864">
        <v>64.762767723495699</v>
      </c>
      <c r="K51" s="1864">
        <f>+IFERROR(IFERROR(IFERROR(VLOOKUP(B51,'[1]Eurostat Fats'!$P$134:$X$166,9,0)/1000,VLOOKUP(B51,'[1]OECD FATS'!M:V,10,0)/1000),VLOOKUP(B51,'[1]CBC- IRS'!A:O,15,0)*L51),"")</f>
        <v>1726.3410359798602</v>
      </c>
      <c r="L51" s="1863">
        <f>IFERROR(VLOOKUP(B51,'[1]Eurostat Fats'!P:AB,13,0)*G51,IFERROR(VLOOKUP(B51,'[5]Main data'!$A:$C,3,0)*J51,""))</f>
        <v>150.75541833443052</v>
      </c>
      <c r="M51" s="1823">
        <f>+IFERROR(Q51/O51,"")</f>
        <v>5.4743692021474741</v>
      </c>
      <c r="N51" s="1823">
        <f t="shared" si="10"/>
        <v>5.2359583486292896E-2</v>
      </c>
      <c r="O51" s="1862">
        <f t="shared" si="11"/>
        <v>400.90172541005973</v>
      </c>
      <c r="P51" s="1862">
        <f>+IFERROR(IF(AND(F51&gt;0,K51&gt;0),F51-K51,""),"")</f>
        <v>41915.613389994898</v>
      </c>
      <c r="Q51" s="1861">
        <f>+IFERROR(IF(AND(G51&gt;0,L51&gt;0),G51-L51,""),"")</f>
        <v>2194.6840586726144</v>
      </c>
    </row>
    <row r="52" spans="1:19" x14ac:dyDescent="0.35">
      <c r="A52" s="378" t="s">
        <v>879</v>
      </c>
      <c r="B52" s="1866" t="s">
        <v>97</v>
      </c>
      <c r="C52" s="1822" t="str">
        <f t="shared" si="0"/>
        <v/>
      </c>
      <c r="D52" s="1823"/>
      <c r="E52" s="1862">
        <v>97.137143202548756</v>
      </c>
      <c r="F52" s="1862">
        <f>+IFERROR(IFERROR(VLOOKUP(B52,'[1]Eurostat Fats'!$P$93:$X$125,9,0)/1000,VLOOKUP(B52,'[1]OECD FATS'!A:K,10,0)/1000),VLOOKUP(A52,'[1]World Bank Data Labor Force'!D:P,13,0))</f>
        <v>12437.888084199702</v>
      </c>
      <c r="G52" s="1865"/>
      <c r="H52" s="1823">
        <f t="shared" si="4"/>
        <v>1.08148</v>
      </c>
      <c r="I52" s="1823">
        <f t="shared" si="9"/>
        <v>6.4415425758922895E-2</v>
      </c>
      <c r="J52" s="1864">
        <v>27.988286510009779</v>
      </c>
      <c r="K52" s="1864">
        <f>+IFERROR(IFERROR(IFERROR(VLOOKUP(B52,'[1]Eurostat Fats'!$P$134:$X$166,9,0)/1000,VLOOKUP(B52,'[1]OECD FATS'!M:V,10,0)/1000),VLOOKUP(B52,'[1]CBC- IRS'!A:O,15,0)*L52),"")</f>
        <v>469.89943384256077</v>
      </c>
      <c r="L52" s="1863">
        <f>IFERROR(VLOOKUP(B52,'[1]Eurostat Fats'!P:AB,13,0)*G52,IFERROR(VLOOKUP(B52,'[5]Main data'!$A:$C,3,0)*J52,""))</f>
        <v>30.268772094845374</v>
      </c>
      <c r="M52" s="1823">
        <v>4.16</v>
      </c>
      <c r="N52" s="1823">
        <f t="shared" si="10"/>
        <v>2.403572164420276E-2</v>
      </c>
      <c r="O52" s="1862">
        <f t="shared" si="11"/>
        <v>69.14885669253897</v>
      </c>
      <c r="P52" s="1862">
        <f>+IFERROR(IF(AND(F52&gt;0,K52&gt;0),F52-K52,""),"")</f>
        <v>11967.988650357142</v>
      </c>
      <c r="Q52" s="1861">
        <f>+M52*O52</f>
        <v>287.65924384096212</v>
      </c>
      <c r="R52" s="1869"/>
    </row>
    <row r="53" spans="1:19" ht="40" customHeight="1" x14ac:dyDescent="0.35">
      <c r="A53" s="1869"/>
      <c r="B53" s="1845" t="s">
        <v>100</v>
      </c>
      <c r="C53" s="1823"/>
      <c r="D53" s="1823"/>
      <c r="E53" s="1844"/>
      <c r="F53" s="1844"/>
      <c r="G53" s="1865"/>
      <c r="H53" s="1823"/>
      <c r="I53" s="1823"/>
      <c r="J53" s="1844"/>
      <c r="K53" s="1864"/>
      <c r="L53" s="1863"/>
      <c r="M53" s="1823"/>
      <c r="N53" s="1823"/>
      <c r="O53" s="1862"/>
      <c r="P53" s="1862"/>
      <c r="Q53" s="1861"/>
    </row>
    <row r="54" spans="1:19" x14ac:dyDescent="0.35">
      <c r="A54" s="378" t="s">
        <v>878</v>
      </c>
      <c r="B54" s="1866" t="s">
        <v>272</v>
      </c>
      <c r="C54" s="1823" t="str">
        <f t="shared" ref="C54:C89" si="13">+IFERROR(IF(G54&gt;0,G54/E54,""),"")</f>
        <v/>
      </c>
      <c r="D54" s="1823" t="str">
        <f t="shared" ref="D54:D89" si="14">+IFERROR(G54/F54,"")</f>
        <v/>
      </c>
      <c r="E54" s="1862">
        <v>0.50910500000000003</v>
      </c>
      <c r="F54" s="1862" t="str">
        <f>+IFERROR(IFERROR(IFERROR(VLOOKUP(B54,'[1]Eurostat Fats'!$P$93:$X$125,9,0)/1000,VLOOKUP(B54,'[1]OECD FATS'!A:K,10,0)/1000),VLOOKUP(A54,'[1]World Bank Data Labor Force'!D:P,13,0)),"")</f>
        <v/>
      </c>
      <c r="G54" s="1865" t="str">
        <f>+IFERROR(IFERROR(VLOOKUP(A54,[1]UNimputedcapitalstock2015!A:G,7,0),VLOOKUP('Table E1'!B54,'[1]Penn World Tables'!I:AN,3,0)),"")</f>
        <v/>
      </c>
      <c r="H54" s="1823" t="str">
        <f t="shared" ref="H54:H89" si="15">+IFERROR(L54/J54,"")</f>
        <v/>
      </c>
      <c r="I54" s="1823" t="str">
        <f t="shared" ref="I54:I89" si="16">+IFERROR(L54/K54,"")</f>
        <v/>
      </c>
      <c r="J54" s="1867">
        <v>0.20364200000000002</v>
      </c>
      <c r="K54" s="1864" t="str">
        <f>+IFERROR(IFERROR(IFERROR(VLOOKUP(B54,'[1]Eurostat Fats'!$P$134:$X$166,9,0)/1000,VLOOKUP(B54,'[1]OECD FATS'!M:V,10,0)/1000),VLOOKUP(B54,'[1]CBC- IRS'!A:O,15,0)*L54),"")</f>
        <v/>
      </c>
      <c r="L54" s="1863" t="str">
        <f>IFERROR(VLOOKUP(B54,'[1]Eurostat Fats'!P:AB,13,0)*G54,IFERROR(VLOOKUP(B54,'[5]Main data'!$A:$C,3,0)*J54,""))</f>
        <v/>
      </c>
      <c r="M54" s="1823" t="str">
        <f t="shared" ref="M54:M88" si="17">+IFERROR(Q54/O54,"")</f>
        <v/>
      </c>
      <c r="N54" s="1823" t="str">
        <f t="shared" ref="N54:N89" si="18">+IFERROR(Q54/P54,"")</f>
        <v/>
      </c>
      <c r="O54" s="1862">
        <f t="shared" ref="O54:O89" si="19">+IF(AND(E54&gt;0,J54&gt;0),E54-J54,"")</f>
        <v>0.30546300000000004</v>
      </c>
      <c r="P54" s="1862" t="str">
        <f t="shared" ref="P54:P88" si="20">+IFERROR(IF(AND(F54&gt;0,K54&gt;0),F54-K54,""),"")</f>
        <v/>
      </c>
      <c r="Q54" s="1861" t="str">
        <f t="shared" ref="Q54:Q88" si="21">+IFERROR(IF(AND(G54&gt;0,L54&gt;0),G54-L54,""),"")</f>
        <v/>
      </c>
      <c r="S54" s="1860"/>
    </row>
    <row r="55" spans="1:19" x14ac:dyDescent="0.35">
      <c r="A55" s="378" t="s">
        <v>877</v>
      </c>
      <c r="B55" s="1866" t="s">
        <v>273</v>
      </c>
      <c r="C55" s="1823">
        <f t="shared" si="13"/>
        <v>12.648108876539794</v>
      </c>
      <c r="D55" s="1823" t="str">
        <f t="shared" si="14"/>
        <v/>
      </c>
      <c r="E55" s="1862">
        <v>4.8179904000000003E-2</v>
      </c>
      <c r="F55" s="1862" t="str">
        <f>+IFERROR(IFERROR(IFERROR(VLOOKUP(B55,'[1]Eurostat Fats'!$P$93:$X$125,9,0)/1000,VLOOKUP(B55,'[1]OECD FATS'!A:K,10,0)/1000),VLOOKUP(A55,'[1]World Bank Data Labor Force'!D:P,13,0)),"")</f>
        <v/>
      </c>
      <c r="G55" s="1865">
        <f>+IFERROR(IFERROR(VLOOKUP(A55,[1]UNimputedcapitalstock2015!A:G,7,0),VLOOKUP('Table E1'!B55,'[1]Penn World Tables'!I:AN,3,0)),"")</f>
        <v>0.60938467145323516</v>
      </c>
      <c r="H55" s="1823" t="str">
        <f t="shared" si="15"/>
        <v/>
      </c>
      <c r="I55" s="1823" t="str">
        <f t="shared" si="16"/>
        <v/>
      </c>
      <c r="J55" s="1867">
        <v>1.9271961600000002E-2</v>
      </c>
      <c r="K55" s="1864" t="str">
        <f>+IFERROR(IFERROR(IFERROR(VLOOKUP(B55,'[1]Eurostat Fats'!$P$134:$X$166,9,0)/1000,VLOOKUP(B55,'[1]OECD FATS'!M:V,10,0)/1000),VLOOKUP(B55,'[1]CBC- IRS'!A:O,15,0)*L55),"")</f>
        <v/>
      </c>
      <c r="L55" s="1863" t="str">
        <f>IFERROR(VLOOKUP(B55,'[1]Eurostat Fats'!P:AB,13,0)*G55,IFERROR(VLOOKUP(B55,'[5]Main data'!$A:$C,3,0)*J55,""))</f>
        <v/>
      </c>
      <c r="M55" s="1823" t="str">
        <f t="shared" si="17"/>
        <v/>
      </c>
      <c r="N55" s="1823" t="str">
        <f t="shared" si="18"/>
        <v/>
      </c>
      <c r="O55" s="1862">
        <f t="shared" si="19"/>
        <v>2.8907942400000001E-2</v>
      </c>
      <c r="P55" s="1862" t="str">
        <f t="shared" si="20"/>
        <v/>
      </c>
      <c r="Q55" s="1861" t="str">
        <f t="shared" si="21"/>
        <v/>
      </c>
      <c r="S55" s="1860"/>
    </row>
    <row r="56" spans="1:19" x14ac:dyDescent="0.35">
      <c r="A56" s="378" t="s">
        <v>876</v>
      </c>
      <c r="B56" s="1866" t="s">
        <v>274</v>
      </c>
      <c r="C56" s="1823">
        <f t="shared" si="13"/>
        <v>50.584994261622356</v>
      </c>
      <c r="D56" s="1823" t="str">
        <f t="shared" si="14"/>
        <v/>
      </c>
      <c r="E56" s="1862">
        <v>9.4220399999999996E-2</v>
      </c>
      <c r="F56" s="1862" t="str">
        <f>+IFERROR(IFERROR(IFERROR(VLOOKUP(B56,'[1]Eurostat Fats'!$P$93:$X$125,9,0)/1000,VLOOKUP(B56,'[1]OECD FATS'!A:K,10,0)/1000),VLOOKUP(A56,'[1]World Bank Data Labor Force'!D:P,13,0)),"")</f>
        <v/>
      </c>
      <c r="G56" s="1865">
        <f>+IFERROR(IFERROR(VLOOKUP(A56,[1]UNimputedcapitalstock2015!A:G,7,0),VLOOKUP('Table E1'!B56,'[1]Penn World Tables'!I:AN,3,0)),"")</f>
        <v>4.766138393327763</v>
      </c>
      <c r="H56" s="1823" t="str">
        <f t="shared" si="15"/>
        <v/>
      </c>
      <c r="I56" s="1823" t="str">
        <f t="shared" si="16"/>
        <v/>
      </c>
      <c r="J56" s="1864">
        <v>3.7688159999999998E-2</v>
      </c>
      <c r="K56" s="1864" t="str">
        <f>+IFERROR(IFERROR(IFERROR(VLOOKUP(B56,'[1]Eurostat Fats'!$P$134:$X$166,9,0)/1000,VLOOKUP(B56,'[1]OECD FATS'!M:V,10,0)/1000),VLOOKUP(B56,'[1]CBC- IRS'!A:O,15,0)*L56),"")</f>
        <v/>
      </c>
      <c r="L56" s="1863" t="str">
        <f>IFERROR(VLOOKUP(B56,'[1]Eurostat Fats'!P:AB,13,0)*G56,IFERROR(VLOOKUP(B56,'[5]Main data'!$A:$C,3,0)*J56,""))</f>
        <v/>
      </c>
      <c r="M56" s="1823" t="str">
        <f t="shared" si="17"/>
        <v/>
      </c>
      <c r="N56" s="1823" t="str">
        <f t="shared" si="18"/>
        <v/>
      </c>
      <c r="O56" s="1862">
        <f t="shared" si="19"/>
        <v>5.6532239999999997E-2</v>
      </c>
      <c r="P56" s="1862" t="str">
        <f t="shared" si="20"/>
        <v/>
      </c>
      <c r="Q56" s="1861" t="str">
        <f t="shared" si="21"/>
        <v/>
      </c>
      <c r="S56" s="1860"/>
    </row>
    <row r="57" spans="1:19" x14ac:dyDescent="0.35">
      <c r="A57" s="378" t="s">
        <v>875</v>
      </c>
      <c r="B57" s="1866" t="str">
        <f>+TableA1!A56</f>
        <v>Antigua and Barbuda</v>
      </c>
      <c r="C57" s="1823">
        <f t="shared" si="13"/>
        <v>4.796343106708739</v>
      </c>
      <c r="D57" s="1823" t="str">
        <f t="shared" si="14"/>
        <v/>
      </c>
      <c r="E57" s="1862">
        <v>0.45270100000000002</v>
      </c>
      <c r="F57" s="1862" t="str">
        <f>+IFERROR(IFERROR(IFERROR(VLOOKUP(B57,'[1]Eurostat Fats'!$P$93:$X$125,9,0)/1000,VLOOKUP(B57,'[1]OECD FATS'!A:K,10,0)/1000),VLOOKUP(A57,'[1]World Bank Data Labor Force'!D:P,13,0)),"")</f>
        <v/>
      </c>
      <c r="G57" s="1865">
        <f>+IFERROR(IFERROR(VLOOKUP(A57,[1]UNimputedcapitalstock2015!A:G,7,0),VLOOKUP('Table E1'!B57,'[1]Penn World Tables'!I:AN,3,0)),"")</f>
        <v>2.171309320750153</v>
      </c>
      <c r="H57" s="1823" t="str">
        <f t="shared" si="15"/>
        <v/>
      </c>
      <c r="I57" s="1823" t="str">
        <f t="shared" si="16"/>
        <v/>
      </c>
      <c r="J57" s="1864">
        <v>0.18108040000000003</v>
      </c>
      <c r="K57" s="1864" t="str">
        <f>+IFERROR(IFERROR(IFERROR(VLOOKUP(B57,'[1]Eurostat Fats'!$P$134:$X$166,9,0)/1000,VLOOKUP(B57,'[1]OECD FATS'!M:V,10,0)/1000),VLOOKUP(B57,'[1]CBC- IRS'!A:O,15,0)*L57),"")</f>
        <v/>
      </c>
      <c r="L57" s="1863" t="str">
        <f>IFERROR(VLOOKUP(B57,'[1]Eurostat Fats'!P:AB,13,0)*G57,IFERROR(VLOOKUP(B57,'[5]Main data'!$A:$C,3,0)*J57,""))</f>
        <v/>
      </c>
      <c r="M57" s="1823" t="str">
        <f t="shared" si="17"/>
        <v/>
      </c>
      <c r="N57" s="1823" t="str">
        <f t="shared" si="18"/>
        <v/>
      </c>
      <c r="O57" s="1862">
        <f t="shared" si="19"/>
        <v>0.27162059999999999</v>
      </c>
      <c r="P57" s="1862" t="str">
        <f t="shared" si="20"/>
        <v/>
      </c>
      <c r="Q57" s="1861" t="str">
        <f t="shared" si="21"/>
        <v/>
      </c>
      <c r="S57" s="1860"/>
    </row>
    <row r="58" spans="1:19" x14ac:dyDescent="0.35">
      <c r="A58" s="378" t="s">
        <v>874</v>
      </c>
      <c r="B58" s="1866" t="s">
        <v>275</v>
      </c>
      <c r="C58" s="1823">
        <f t="shared" si="13"/>
        <v>26.453686752262247</v>
      </c>
      <c r="D58" s="1823">
        <f t="shared" si="14"/>
        <v>0.10548458423996171</v>
      </c>
      <c r="E58" s="1862">
        <v>0.49227100000000001</v>
      </c>
      <c r="F58" s="1862">
        <f>+IFERROR(IFERROR(IFERROR(VLOOKUP(B58,'[1]Eurostat Fats'!$P$93:$X$125,9,0)/1000,VLOOKUP(B58,'[1]OECD FATS'!A:K,10,0)/1000),VLOOKUP(A58,'[1]World Bank Data Labor Force'!D:P,13,0)),"")</f>
        <v>123.45294741456162</v>
      </c>
      <c r="G58" s="1865">
        <f>+IFERROR(IFERROR(VLOOKUP(A58,[1]UNimputedcapitalstock2015!A:G,7,0),VLOOKUP('Table E1'!B58,'[1]Penn World Tables'!I:AN,3,0)),"")</f>
        <v>13.022382831222888</v>
      </c>
      <c r="H58" s="1823" t="str">
        <f t="shared" si="15"/>
        <v/>
      </c>
      <c r="I58" s="1823" t="str">
        <f t="shared" si="16"/>
        <v/>
      </c>
      <c r="J58" s="1864">
        <v>0.19690840000000001</v>
      </c>
      <c r="K58" s="1864" t="str">
        <f>+IFERROR(IFERROR(IFERROR(VLOOKUP(B58,'[1]Eurostat Fats'!$P$134:$X$166,9,0)/1000,VLOOKUP(B58,'[1]OECD FATS'!M:V,10,0)/1000),VLOOKUP(B58,'[1]CBC- IRS'!A:O,15,0)*L58),"")</f>
        <v/>
      </c>
      <c r="L58" s="1863" t="str">
        <f>IFERROR(VLOOKUP(B58,'[1]Eurostat Fats'!P:AB,13,0)*G58,IFERROR(VLOOKUP(B58,'[5]Main data'!$A:$C,3,0)*J58,""))</f>
        <v/>
      </c>
      <c r="M58" s="1823" t="str">
        <f t="shared" si="17"/>
        <v/>
      </c>
      <c r="N58" s="1823" t="str">
        <f t="shared" si="18"/>
        <v/>
      </c>
      <c r="O58" s="1862">
        <f t="shared" si="19"/>
        <v>0.29536260000000003</v>
      </c>
      <c r="P58" s="1862" t="str">
        <f t="shared" si="20"/>
        <v/>
      </c>
      <c r="Q58" s="1861" t="str">
        <f t="shared" si="21"/>
        <v/>
      </c>
      <c r="S58" s="1860"/>
    </row>
    <row r="59" spans="1:19" x14ac:dyDescent="0.35">
      <c r="A59" s="378" t="e">
        <v>#REF!</v>
      </c>
      <c r="B59" s="1866" t="s">
        <v>276</v>
      </c>
      <c r="C59" s="1823" t="str">
        <f t="shared" si="13"/>
        <v/>
      </c>
      <c r="D59" s="1823" t="str">
        <f t="shared" si="14"/>
        <v/>
      </c>
      <c r="E59" s="1862">
        <v>10.122538414747584</v>
      </c>
      <c r="F59" s="1862" t="str">
        <f>+IFERROR(IFERROR(IFERROR(VLOOKUP(B59,'[1]Eurostat Fats'!$P$93:$X$125,9,0)/1000,VLOOKUP(B59,'[1]OECD FATS'!A:K,10,0)/1000),VLOOKUP(A59,'[1]World Bank Data Labor Force'!D:P,13,0)),"")</f>
        <v/>
      </c>
      <c r="G59" s="1865" t="str">
        <f>+IFERROR(IFERROR(VLOOKUP(A59,[1]UNimputedcapitalstock2015!A:G,7,0),VLOOKUP('Table E1'!B59,'[1]Penn World Tables'!I:AN,3,0)),"")</f>
        <v/>
      </c>
      <c r="H59" s="1823" t="str">
        <f t="shared" si="15"/>
        <v/>
      </c>
      <c r="I59" s="1823" t="str">
        <f t="shared" si="16"/>
        <v/>
      </c>
      <c r="J59" s="1864">
        <v>4.0490153658990335</v>
      </c>
      <c r="K59" s="1864" t="str">
        <f>+IFERROR(IFERROR(IFERROR(VLOOKUP(B59,'[1]Eurostat Fats'!$P$134:$X$166,9,0)/1000,VLOOKUP(B59,'[1]OECD FATS'!M:V,10,0)/1000),VLOOKUP(B59,'[1]CBC- IRS'!A:O,15,0)*L59),"")</f>
        <v/>
      </c>
      <c r="L59" s="1863" t="str">
        <f>IFERROR(VLOOKUP(B59,'[1]Eurostat Fats'!P:AB,13,0)*G59,IFERROR(VLOOKUP(B59,'[5]Main data'!$A:$C,3,0)*J59,""))</f>
        <v/>
      </c>
      <c r="M59" s="1823" t="str">
        <f t="shared" si="17"/>
        <v/>
      </c>
      <c r="N59" s="1823" t="str">
        <f t="shared" si="18"/>
        <v/>
      </c>
      <c r="O59" s="1862">
        <f t="shared" si="19"/>
        <v>6.0735230488485508</v>
      </c>
      <c r="P59" s="1862" t="str">
        <f t="shared" si="20"/>
        <v/>
      </c>
      <c r="Q59" s="1861" t="str">
        <f t="shared" si="21"/>
        <v/>
      </c>
      <c r="S59" s="1860"/>
    </row>
    <row r="60" spans="1:19" x14ac:dyDescent="0.35">
      <c r="A60" s="378" t="s">
        <v>873</v>
      </c>
      <c r="B60" s="1866" t="str">
        <f>+TableA1!A60</f>
        <v>Barbados</v>
      </c>
      <c r="C60" s="1823">
        <f t="shared" si="13"/>
        <v>10.842095805347817</v>
      </c>
      <c r="D60" s="1823">
        <f t="shared" si="14"/>
        <v>4.2028099593696959E-2</v>
      </c>
      <c r="E60" s="1862">
        <v>0.34493299999999999</v>
      </c>
      <c r="F60" s="1862">
        <f>+IFERROR(IFERROR(IFERROR(VLOOKUP(B60,'[1]Eurostat Fats'!$P$93:$X$125,9,0)/1000,VLOOKUP(B60,'[1]OECD FATS'!A:K,10,0)/1000),VLOOKUP(A60,'[1]World Bank Data Labor Force'!D:P,13,0)),"")</f>
        <v>88.98324379594132</v>
      </c>
      <c r="G60" s="1865">
        <f>+IFERROR(IFERROR(VLOOKUP(A60,[1]UNimputedcapitalstock2015!A:G,7,0),VLOOKUP('Table E1'!B60,'[1]Penn World Tables'!I:AN,3,0)),"")</f>
        <v>3.7397966324260388</v>
      </c>
      <c r="H60" s="1823">
        <f t="shared" si="15"/>
        <v>25.265309999999999</v>
      </c>
      <c r="I60" s="1823">
        <f t="shared" si="16"/>
        <v>13.562922493796524</v>
      </c>
      <c r="J60" s="1864">
        <v>0.13797319999999999</v>
      </c>
      <c r="K60" s="1864">
        <f>+IFERROR(IFERROR(IFERROR(VLOOKUP(B60,'[1]Eurostat Fats'!$P$134:$X$166,9,0)/1000,VLOOKUP(B60,'[1]OECD FATS'!M:V,10,0)/1000),VLOOKUP(B60,'[1]CBC- IRS'!A:O,15,0)*L60),"")</f>
        <v>0.25701950824288894</v>
      </c>
      <c r="L60" s="1863">
        <f>IFERROR(VLOOKUP(B60,'[1]Eurostat Fats'!P:AB,13,0)*G60,IFERROR(VLOOKUP(B60,'[5]Main data'!$A:$C,3,0)*J60,""))</f>
        <v>3.4859356696919996</v>
      </c>
      <c r="M60" s="1823">
        <f t="shared" si="17"/>
        <v>1.2266196755796979</v>
      </c>
      <c r="N60" s="1823"/>
      <c r="O60" s="1862">
        <f t="shared" si="19"/>
        <v>0.2069598</v>
      </c>
      <c r="P60" s="1862">
        <f t="shared" si="20"/>
        <v>88.726224287698429</v>
      </c>
      <c r="Q60" s="1861">
        <f t="shared" si="21"/>
        <v>0.25386096273403913</v>
      </c>
      <c r="S60" s="1860"/>
    </row>
    <row r="61" spans="1:19" x14ac:dyDescent="0.35">
      <c r="A61" s="378" t="s">
        <v>872</v>
      </c>
      <c r="B61" s="1866" t="s">
        <v>277</v>
      </c>
      <c r="C61" s="1823">
        <f t="shared" si="13"/>
        <v>9.1198659571085141</v>
      </c>
      <c r="D61" s="1823">
        <f t="shared" si="14"/>
        <v>1.2906584576894699E-2</v>
      </c>
      <c r="E61" s="1862">
        <v>0.13389599999999999</v>
      </c>
      <c r="F61" s="1862">
        <f>+IFERROR(IFERROR(IFERROR(VLOOKUP(B61,'[1]Eurostat Fats'!$P$93:$X$125,9,0)/1000,VLOOKUP(B61,'[1]OECD FATS'!A:K,10,0)/1000),VLOOKUP(A61,'[1]World Bank Data Labor Force'!D:P,13,0)),"")</f>
        <v>94.61167398066199</v>
      </c>
      <c r="G61" s="1865">
        <f>+IFERROR(IFERROR(VLOOKUP(A61,[1]UNimputedcapitalstock2015!A:G,7,0),VLOOKUP('Table E1'!B61,'[1]Penn World Tables'!I:AN,3,0)),"")</f>
        <v>1.2211135721930015</v>
      </c>
      <c r="H61" s="1823" t="str">
        <f t="shared" si="15"/>
        <v/>
      </c>
      <c r="I61" s="1823" t="str">
        <f t="shared" si="16"/>
        <v/>
      </c>
      <c r="J61" s="1864">
        <v>5.3558399999999999E-2</v>
      </c>
      <c r="K61" s="1864" t="str">
        <f>+IFERROR(IFERROR(IFERROR(VLOOKUP(B61,'[1]Eurostat Fats'!$P$134:$X$166,9,0)/1000,VLOOKUP(B61,'[1]OECD FATS'!M:V,10,0)/1000),VLOOKUP(B61,'[1]CBC- IRS'!A:O,15,0)*L61),"")</f>
        <v/>
      </c>
      <c r="L61" s="1863" t="str">
        <f>IFERROR(VLOOKUP(B61,'[1]Eurostat Fats'!P:AB,13,0)*G61,IFERROR(VLOOKUP(B61,'[5]Main data'!$A:$C,3,0)*J61,""))</f>
        <v/>
      </c>
      <c r="M61" s="1823" t="str">
        <f t="shared" si="17"/>
        <v/>
      </c>
      <c r="N61" s="1823"/>
      <c r="O61" s="1862">
        <f t="shared" si="19"/>
        <v>8.0337599999999981E-2</v>
      </c>
      <c r="P61" s="1862" t="str">
        <f t="shared" si="20"/>
        <v/>
      </c>
      <c r="Q61" s="1861" t="str">
        <f t="shared" si="21"/>
        <v/>
      </c>
      <c r="S61" s="1860"/>
    </row>
    <row r="62" spans="1:19" x14ac:dyDescent="0.35">
      <c r="A62" s="378" t="s">
        <v>871</v>
      </c>
      <c r="B62" s="1866" t="s">
        <v>213</v>
      </c>
      <c r="C62" s="1823">
        <f t="shared" si="13"/>
        <v>1.2200064964025406</v>
      </c>
      <c r="D62" s="1823" t="str">
        <f t="shared" si="14"/>
        <v/>
      </c>
      <c r="E62" s="1862">
        <v>3.0988699999999998</v>
      </c>
      <c r="F62" s="1862" t="str">
        <f>+IFERROR(IFERROR(IFERROR(VLOOKUP(B62,'[1]Eurostat Fats'!$P$93:$X$125,9,0)/1000,VLOOKUP(B62,'[1]OECD FATS'!A:K,10,0)/1000),VLOOKUP(A62,'[1]World Bank Data Labor Force'!D:P,13,0)),"")</f>
        <v/>
      </c>
      <c r="G62" s="1865">
        <f>+IFERROR(IFERROR(VLOOKUP(A62,[1]UNimputedcapitalstock2015!A:G,7,0),VLOOKUP('Table E1'!B62,'[1]Penn World Tables'!I:AN,3,0)),"")</f>
        <v>3.7806415315069404</v>
      </c>
      <c r="H62" s="1823">
        <f t="shared" si="15"/>
        <v>6.3358299999999996</v>
      </c>
      <c r="I62" s="1823">
        <f t="shared" si="16"/>
        <v>21.531764361161525</v>
      </c>
      <c r="J62" s="1864">
        <v>1.2395480000000001</v>
      </c>
      <c r="K62" s="1864">
        <f>+IFERROR(IFERROR(IFERROR(VLOOKUP(B62,'[1]Eurostat Fats'!$P$134:$X$166,9,0)/1000,VLOOKUP(B62,'[1]OECD FATS'!M:V,10,0)/1000),VLOOKUP(B62,'[1]CBC- IRS'!A:O,15,0)*L62),"")</f>
        <v>0.36474323576594919</v>
      </c>
      <c r="L62" s="1863">
        <f>IFERROR(VLOOKUP(B62,'[1]Eurostat Fats'!P:AB,13,0)*G62,IFERROR(VLOOKUP(B62,'[5]Main data'!$A:$C,3,0)*J62,""))</f>
        <v>7.8535654048400003</v>
      </c>
      <c r="M62" s="1823"/>
      <c r="N62" s="1823"/>
      <c r="O62" s="1862">
        <f t="shared" si="19"/>
        <v>1.8593219999999997</v>
      </c>
      <c r="P62" s="1862" t="str">
        <f t="shared" si="20"/>
        <v/>
      </c>
      <c r="Q62" s="1861">
        <f>+M62*O62</f>
        <v>0</v>
      </c>
      <c r="S62" s="1860"/>
    </row>
    <row r="63" spans="1:19" x14ac:dyDescent="0.35">
      <c r="A63" s="378" t="s">
        <v>870</v>
      </c>
      <c r="B63" s="1866" t="s">
        <v>278</v>
      </c>
      <c r="C63" s="1823" t="str">
        <f t="shared" si="13"/>
        <v/>
      </c>
      <c r="D63" s="1823" t="str">
        <f t="shared" si="14"/>
        <v/>
      </c>
      <c r="E63" s="1862">
        <v>7.2464799999999996E-2</v>
      </c>
      <c r="F63" s="1862" t="str">
        <f>+IFERROR(IFERROR(IFERROR(VLOOKUP(B63,'[1]Eurostat Fats'!$P$93:$X$125,9,0)/1000,VLOOKUP(B63,'[1]OECD FATS'!A:K,10,0)/1000),VLOOKUP(A63,'[1]World Bank Data Labor Force'!D:P,13,0)),"")</f>
        <v/>
      </c>
      <c r="G63" s="1865" t="str">
        <f>+IFERROR(IFERROR(VLOOKUP(A63,[1]UNimputedcapitalstock2015!A:G,7,0),VLOOKUP('Table E1'!B63,'[1]Penn World Tables'!I:AN,3,0)),"")</f>
        <v/>
      </c>
      <c r="H63" s="1823" t="str">
        <f t="shared" si="15"/>
        <v/>
      </c>
      <c r="I63" s="1823" t="str">
        <f t="shared" si="16"/>
        <v/>
      </c>
      <c r="J63" s="1864">
        <v>2.8985919999999998E-2</v>
      </c>
      <c r="K63" s="1864" t="str">
        <f>+IFERROR(IFERROR(IFERROR(VLOOKUP(B63,'[1]Eurostat Fats'!$P$134:$X$166,9,0)/1000,VLOOKUP(B63,'[1]OECD FATS'!M:V,10,0)/1000),VLOOKUP(B63,'[1]CBC- IRS'!A:O,15,0)*L63),"")</f>
        <v/>
      </c>
      <c r="L63" s="1863" t="str">
        <f>IFERROR(VLOOKUP(B63,'[1]Eurostat Fats'!P:AB,13,0)*G63,IFERROR(VLOOKUP(B63,'[5]Main data'!$A:$C,3,0)*J63,""))</f>
        <v/>
      </c>
      <c r="M63" s="1823" t="str">
        <f t="shared" si="17"/>
        <v/>
      </c>
      <c r="N63" s="1823" t="str">
        <f t="shared" si="18"/>
        <v/>
      </c>
      <c r="O63" s="1862">
        <f t="shared" si="19"/>
        <v>4.3478879999999998E-2</v>
      </c>
      <c r="P63" s="1862" t="str">
        <f t="shared" si="20"/>
        <v/>
      </c>
      <c r="Q63" s="1861" t="str">
        <f t="shared" si="21"/>
        <v/>
      </c>
      <c r="S63" s="1860"/>
    </row>
    <row r="64" spans="1:19" x14ac:dyDescent="0.35">
      <c r="A64" s="378" t="e">
        <v>#REF!</v>
      </c>
      <c r="B64" s="1866" t="s">
        <v>279</v>
      </c>
      <c r="C64" s="1823" t="str">
        <f t="shared" si="13"/>
        <v/>
      </c>
      <c r="D64" s="1823" t="str">
        <f t="shared" si="14"/>
        <v/>
      </c>
      <c r="E64" s="1862">
        <v>0.16297200000000001</v>
      </c>
      <c r="F64" s="1862" t="str">
        <f>+IFERROR(IFERROR(IFERROR(VLOOKUP(B64,'[1]Eurostat Fats'!$P$93:$X$125,9,0)/1000,VLOOKUP(B64,'[1]OECD FATS'!A:K,10,0)/1000),VLOOKUP(A64,'[1]World Bank Data Labor Force'!D:P,13,0)),"")</f>
        <v/>
      </c>
      <c r="G64" s="1865" t="str">
        <f>+IFERROR(IFERROR(VLOOKUP(A64,[1]UNimputedcapitalstock2015!A:G,7,0),VLOOKUP('Table E1'!B64,'[1]Penn World Tables'!I:AN,3,0)),"")</f>
        <v/>
      </c>
      <c r="H64" s="1823" t="str">
        <f t="shared" si="15"/>
        <v/>
      </c>
      <c r="I64" s="1823" t="str">
        <f t="shared" si="16"/>
        <v/>
      </c>
      <c r="J64" s="1864">
        <v>6.5188800000000005E-2</v>
      </c>
      <c r="K64" s="1864" t="str">
        <f>+IFERROR(IFERROR(IFERROR(VLOOKUP(B64,'[1]Eurostat Fats'!$P$134:$X$166,9,0)/1000,VLOOKUP(B64,'[1]OECD FATS'!M:V,10,0)/1000),VLOOKUP(B64,'[1]CBC- IRS'!A:O,15,0)*L64),"")</f>
        <v/>
      </c>
      <c r="L64" s="1863" t="str">
        <f>IFERROR(VLOOKUP(B64,'[1]Eurostat Fats'!P:AB,13,0)*G64,IFERROR(VLOOKUP(B64,'[5]Main data'!$A:$C,3,0)*J64,""))</f>
        <v/>
      </c>
      <c r="M64" s="1823" t="str">
        <f t="shared" si="17"/>
        <v/>
      </c>
      <c r="N64" s="1823" t="str">
        <f t="shared" si="18"/>
        <v/>
      </c>
      <c r="O64" s="1862">
        <f t="shared" si="19"/>
        <v>9.7783200000000001E-2</v>
      </c>
      <c r="P64" s="1862" t="str">
        <f t="shared" si="20"/>
        <v/>
      </c>
      <c r="Q64" s="1861" t="str">
        <f t="shared" si="21"/>
        <v/>
      </c>
      <c r="S64" s="1860"/>
    </row>
    <row r="65" spans="1:19" x14ac:dyDescent="0.35">
      <c r="A65" s="378" t="s">
        <v>869</v>
      </c>
      <c r="B65" s="1868" t="s">
        <v>291</v>
      </c>
      <c r="C65" s="1823">
        <f t="shared" si="13"/>
        <v>2.8773186948383258</v>
      </c>
      <c r="D65" s="1823" t="str">
        <f t="shared" si="14"/>
        <v/>
      </c>
      <c r="E65" s="1862">
        <v>1.41639</v>
      </c>
      <c r="F65" s="1862" t="str">
        <f>+IFERROR(IFERROR(IFERROR(VLOOKUP(B65,'[1]Eurostat Fats'!$P$93:$X$125,9,0)/1000,VLOOKUP(B65,'[1]OECD FATS'!A:K,10,0)/1000),VLOOKUP(A65,'[1]World Bank Data Labor Force'!D:P,13,0)),"")</f>
        <v/>
      </c>
      <c r="G65" s="1865">
        <f>+IFERROR(IFERROR(VLOOKUP(A65,[1]UNimputedcapitalstock2015!A:G,7,0),VLOOKUP('Table E1'!B65,'[1]Penn World Tables'!I:AN,3,0)),"")</f>
        <v>4.0754054261820567</v>
      </c>
      <c r="H65" s="1823" t="str">
        <f t="shared" si="15"/>
        <v/>
      </c>
      <c r="I65" s="1823" t="str">
        <f t="shared" si="16"/>
        <v/>
      </c>
      <c r="J65" s="1864">
        <v>0.56655600000000006</v>
      </c>
      <c r="K65" s="1864" t="str">
        <f>+IFERROR(IFERROR(IFERROR(VLOOKUP(B65,'[1]Eurostat Fats'!$P$134:$X$166,9,0)/1000,VLOOKUP(B65,'[1]OECD FATS'!M:V,10,0)/1000),VLOOKUP(B65,'[1]CBC- IRS'!A:O,15,0)*L65),"")</f>
        <v/>
      </c>
      <c r="L65" s="1863" t="str">
        <f>IFERROR(VLOOKUP(B65,'[1]Eurostat Fats'!P:AB,13,0)*G65,IFERROR(VLOOKUP(B65,'[5]Main data'!$A:$C,3,0)*J65,""))</f>
        <v/>
      </c>
      <c r="M65" s="1823" t="str">
        <f t="shared" si="17"/>
        <v/>
      </c>
      <c r="N65" s="1823" t="str">
        <f t="shared" si="18"/>
        <v/>
      </c>
      <c r="O65" s="1862">
        <f t="shared" si="19"/>
        <v>0.84983399999999998</v>
      </c>
      <c r="P65" s="1862" t="str">
        <f t="shared" si="20"/>
        <v/>
      </c>
      <c r="Q65" s="1861" t="str">
        <f t="shared" si="21"/>
        <v/>
      </c>
      <c r="S65" s="1860"/>
    </row>
    <row r="66" spans="1:19" x14ac:dyDescent="0.35">
      <c r="A66" s="378" t="s">
        <v>868</v>
      </c>
      <c r="B66" s="1866" t="s">
        <v>280</v>
      </c>
      <c r="C66" s="1823" t="str">
        <f t="shared" si="13"/>
        <v/>
      </c>
      <c r="D66" s="1823" t="str">
        <f t="shared" si="14"/>
        <v/>
      </c>
      <c r="E66" s="1862">
        <v>1.3583099999999999</v>
      </c>
      <c r="F66" s="1862" t="str">
        <f>+IFERROR(IFERROR(IFERROR(VLOOKUP(B66,'[1]Eurostat Fats'!$P$93:$X$125,9,0)/1000,VLOOKUP(B66,'[1]OECD FATS'!A:K,10,0)/1000),VLOOKUP(A66,'[1]World Bank Data Labor Force'!D:P,13,0)),"")</f>
        <v/>
      </c>
      <c r="G66" s="1865">
        <f>+IFERROR(IFERROR(VLOOKUP(A66,[1]UNimputedcapitalstock2015!A:G,7,0),VLOOKUP('Table E1'!B66,'[1]Penn World Tables'!I:AN,3,0)),"")</f>
        <v>0</v>
      </c>
      <c r="H66" s="1823" t="str">
        <f t="shared" si="15"/>
        <v/>
      </c>
      <c r="I66" s="1823" t="str">
        <f t="shared" si="16"/>
        <v/>
      </c>
      <c r="J66" s="1864">
        <v>0.54332400000000003</v>
      </c>
      <c r="K66" s="1864" t="str">
        <f>+IFERROR(IFERROR(IFERROR(VLOOKUP(B66,'[1]Eurostat Fats'!$P$134:$X$166,9,0)/1000,VLOOKUP(B66,'[1]OECD FATS'!M:V,10,0)/1000),VLOOKUP(B66,'[1]CBC- IRS'!A:O,15,0)*L66),"")</f>
        <v/>
      </c>
      <c r="L66" s="1863" t="str">
        <f>IFERROR(VLOOKUP(B66,'[1]Eurostat Fats'!P:AB,13,0)*G66,IFERROR(VLOOKUP(B66,'[5]Main data'!$A:$C,3,0)*J66,""))</f>
        <v/>
      </c>
      <c r="M66" s="1823" t="str">
        <f t="shared" si="17"/>
        <v/>
      </c>
      <c r="N66" s="1823" t="str">
        <f t="shared" si="18"/>
        <v/>
      </c>
      <c r="O66" s="1862">
        <f t="shared" si="19"/>
        <v>0.81498599999999988</v>
      </c>
      <c r="P66" s="1862" t="str">
        <f t="shared" si="20"/>
        <v/>
      </c>
      <c r="Q66" s="1861" t="str">
        <f t="shared" si="21"/>
        <v/>
      </c>
      <c r="S66" s="1860"/>
    </row>
    <row r="67" spans="1:19" x14ac:dyDescent="0.35">
      <c r="A67" s="378" t="s">
        <v>867</v>
      </c>
      <c r="B67" s="1866" t="str">
        <f>+TableA1!A67</f>
        <v>Cyprus</v>
      </c>
      <c r="C67" s="1823">
        <f t="shared" si="13"/>
        <v>5.7580469835039052</v>
      </c>
      <c r="D67" s="1823">
        <f t="shared" si="14"/>
        <v>0.14801994603568444</v>
      </c>
      <c r="E67" s="1862">
        <v>5.5453299999999999</v>
      </c>
      <c r="F67" s="1862">
        <f>+IFERROR(IFERROR(IFERROR(VLOOKUP(B67,'[1]Eurostat Fats'!$P$93:$X$125,9,0)/1000,VLOOKUP(B67,'[1]OECD FATS'!A:K,10,0)/1000),VLOOKUP(A67,'[1]World Bank Data Labor Force'!D:P,13,0)),"")</f>
        <v>215.71600000000001</v>
      </c>
      <c r="G67" s="1865">
        <f>+IFERROR(IFERROR(VLOOKUP(A67,[1]UNimputedcapitalstock2015!A:G,7,0),VLOOKUP('Table E1'!B67,'[1]Penn World Tables'!I:AN,3,0)),"")</f>
        <v>31.930270679033708</v>
      </c>
      <c r="H67" s="1823">
        <f t="shared" si="15"/>
        <v>1.5469715044664523</v>
      </c>
      <c r="I67" s="1823">
        <f t="shared" si="16"/>
        <v>0.22964710193716911</v>
      </c>
      <c r="J67" s="1864">
        <v>2.2181320000000002</v>
      </c>
      <c r="K67" s="1864">
        <f>+IFERROR(IFERROR(IFERROR(VLOOKUP(B67,'[1]Eurostat Fats'!$P$134:$X$166,9,0)/1000,VLOOKUP(B67,'[1]OECD FATS'!M:V,10,0)/1000),VLOOKUP(B67,'[1]CBC- IRS'!A:O,15,0)*L67),"")</f>
        <v>14.942</v>
      </c>
      <c r="L67" s="1863">
        <f>IFERROR(VLOOKUP(B67,'[1]Eurostat Fats'!P:AB,13,0)*G67,IFERROR(VLOOKUP(B67,'[5]Main data'!$A:$C,3,0)*J67,""))</f>
        <v>3.4313869971451809</v>
      </c>
      <c r="M67" s="1823">
        <f t="shared" si="17"/>
        <v>8.5654306361955399</v>
      </c>
      <c r="N67" s="1823">
        <f t="shared" si="18"/>
        <v>0.14194509090763011</v>
      </c>
      <c r="O67" s="1862">
        <f t="shared" si="19"/>
        <v>3.3271979999999997</v>
      </c>
      <c r="P67" s="1862">
        <f t="shared" si="20"/>
        <v>200.774</v>
      </c>
      <c r="Q67" s="1861">
        <f t="shared" si="21"/>
        <v>28.498883681888525</v>
      </c>
      <c r="S67" s="1860"/>
    </row>
    <row r="68" spans="1:19" x14ac:dyDescent="0.35">
      <c r="A68" s="378" t="s">
        <v>866</v>
      </c>
      <c r="B68" s="1866" t="s">
        <v>281</v>
      </c>
      <c r="C68" s="1823" t="str">
        <f t="shared" si="13"/>
        <v/>
      </c>
      <c r="D68" s="1823" t="str">
        <f t="shared" si="14"/>
        <v/>
      </c>
      <c r="E68" s="1862">
        <v>1.2626299999999999</v>
      </c>
      <c r="F68" s="1862" t="str">
        <f>+IFERROR(IFERROR(IFERROR(VLOOKUP(B68,'[1]Eurostat Fats'!$P$93:$X$125,9,0)/1000,VLOOKUP(B68,'[1]OECD FATS'!A:K,10,0)/1000),VLOOKUP(A68,'[1]World Bank Data Labor Force'!D:P,13,0)),"")</f>
        <v/>
      </c>
      <c r="G68" s="1865" t="str">
        <f>+IFERROR(IFERROR(VLOOKUP(A68,[1]UNimputedcapitalstock2015!A:G,7,0),VLOOKUP('Table E1'!B68,'[1]Penn World Tables'!I:AN,3,0)),"")</f>
        <v/>
      </c>
      <c r="H68" s="1823" t="str">
        <f t="shared" si="15"/>
        <v/>
      </c>
      <c r="I68" s="1823" t="str">
        <f t="shared" si="16"/>
        <v/>
      </c>
      <c r="J68" s="1864">
        <v>0.50505199999999995</v>
      </c>
      <c r="K68" s="1864" t="str">
        <f>+IFERROR(IFERROR(IFERROR(VLOOKUP(B68,'[1]Eurostat Fats'!$P$134:$X$166,9,0)/1000,VLOOKUP(B68,'[1]OECD FATS'!M:V,10,0)/1000),VLOOKUP(B68,'[1]CBC- IRS'!A:O,15,0)*L68),"")</f>
        <v/>
      </c>
      <c r="L68" s="1863" t="str">
        <f>IFERROR(VLOOKUP(B68,'[1]Eurostat Fats'!P:AB,13,0)*G68,IFERROR(VLOOKUP(B68,'[5]Main data'!$A:$C,3,0)*J68,""))</f>
        <v/>
      </c>
      <c r="M68" s="1823" t="str">
        <f t="shared" si="17"/>
        <v/>
      </c>
      <c r="N68" s="1823" t="str">
        <f t="shared" si="18"/>
        <v/>
      </c>
      <c r="O68" s="1862">
        <f t="shared" si="19"/>
        <v>0.75757799999999997</v>
      </c>
      <c r="P68" s="1862" t="str">
        <f t="shared" si="20"/>
        <v/>
      </c>
      <c r="Q68" s="1861" t="str">
        <f t="shared" si="21"/>
        <v/>
      </c>
      <c r="S68" s="1860"/>
    </row>
    <row r="69" spans="1:19" x14ac:dyDescent="0.35">
      <c r="A69" s="378" t="s">
        <v>865</v>
      </c>
      <c r="B69" s="1866" t="str">
        <f>+TableA1!A69</f>
        <v>Grenada</v>
      </c>
      <c r="C69" s="1823">
        <f t="shared" si="13"/>
        <v>18.178054423338033</v>
      </c>
      <c r="D69" s="1823" t="str">
        <f t="shared" si="14"/>
        <v/>
      </c>
      <c r="E69" s="1862">
        <v>7.3907048000000003E-2</v>
      </c>
      <c r="F69" s="1862" t="str">
        <f>+IFERROR(IFERROR(IFERROR(VLOOKUP(B69,'[1]Eurostat Fats'!$P$93:$X$125,9,0)/1000,VLOOKUP(B69,'[1]OECD FATS'!A:K,10,0)/1000),VLOOKUP(A69,'[1]World Bank Data Labor Force'!D:P,13,0)),"")</f>
        <v/>
      </c>
      <c r="G69" s="1865">
        <f>+IFERROR(IFERROR(VLOOKUP(A69,[1]UNimputedcapitalstock2015!A:G,7,0),VLOOKUP('Table E1'!B69,'[1]Penn World Tables'!I:AN,3,0)),"")</f>
        <v>1.3434863408122564</v>
      </c>
      <c r="H69" s="1823" t="str">
        <f t="shared" si="15"/>
        <v/>
      </c>
      <c r="I69" s="1823" t="str">
        <f t="shared" si="16"/>
        <v/>
      </c>
      <c r="J69" s="1864">
        <v>2.9562819200000003E-2</v>
      </c>
      <c r="K69" s="1864" t="str">
        <f>+IFERROR(IFERROR(IFERROR(VLOOKUP(B69,'[1]Eurostat Fats'!$P$134:$X$166,9,0)/1000,VLOOKUP(B69,'[1]OECD FATS'!M:V,10,0)/1000),VLOOKUP(B69,'[1]CBC- IRS'!A:O,15,0)*L69),"")</f>
        <v/>
      </c>
      <c r="L69" s="1863" t="str">
        <f>IFERROR(VLOOKUP(B69,'[1]Eurostat Fats'!P:AB,13,0)*G69,IFERROR(VLOOKUP(B69,'[5]Main data'!$A:$C,3,0)*J69,""))</f>
        <v/>
      </c>
      <c r="M69" s="1823" t="str">
        <f t="shared" si="17"/>
        <v/>
      </c>
      <c r="N69" s="1823" t="str">
        <f t="shared" si="18"/>
        <v/>
      </c>
      <c r="O69" s="1862">
        <f t="shared" si="19"/>
        <v>4.4344228799999996E-2</v>
      </c>
      <c r="P69" s="1862" t="str">
        <f t="shared" si="20"/>
        <v/>
      </c>
      <c r="Q69" s="1861" t="str">
        <f t="shared" si="21"/>
        <v/>
      </c>
      <c r="S69" s="1860"/>
    </row>
    <row r="70" spans="1:19" x14ac:dyDescent="0.35">
      <c r="A70" s="378" t="s">
        <v>864</v>
      </c>
      <c r="B70" s="1866" t="s">
        <v>282</v>
      </c>
      <c r="C70" s="1823" t="str">
        <f t="shared" si="13"/>
        <v/>
      </c>
      <c r="D70" s="1823" t="str">
        <f t="shared" si="14"/>
        <v/>
      </c>
      <c r="E70" s="1862">
        <v>0.84902900000000003</v>
      </c>
      <c r="F70" s="1862" t="str">
        <f>+IFERROR(IFERROR(IFERROR(VLOOKUP(B70,'[1]Eurostat Fats'!$P$93:$X$125,9,0)/1000,VLOOKUP(B70,'[1]OECD FATS'!A:K,10,0)/1000),VLOOKUP(A70,'[1]World Bank Data Labor Force'!D:P,13,0)),"")</f>
        <v/>
      </c>
      <c r="G70" s="1865" t="str">
        <f>+IFERROR(IFERROR(VLOOKUP(A70,[1]UNimputedcapitalstock2015!A:G,7,0),VLOOKUP('Table E1'!B70,'[1]Penn World Tables'!I:AN,3,0)),"")</f>
        <v/>
      </c>
      <c r="H70" s="1823" t="str">
        <f t="shared" si="15"/>
        <v/>
      </c>
      <c r="I70" s="1823" t="str">
        <f t="shared" si="16"/>
        <v/>
      </c>
      <c r="J70" s="1864">
        <v>0.33961160000000001</v>
      </c>
      <c r="K70" s="1864" t="str">
        <f>+IFERROR(IFERROR(IFERROR(VLOOKUP(B70,'[1]Eurostat Fats'!$P$134:$X$166,9,0)/1000,VLOOKUP(B70,'[1]OECD FATS'!M:V,10,0)/1000),VLOOKUP(B70,'[1]CBC- IRS'!A:O,15,0)*L70),"")</f>
        <v/>
      </c>
      <c r="L70" s="1863" t="str">
        <f>IFERROR(VLOOKUP(B70,'[1]Eurostat Fats'!P:AB,13,0)*G70,IFERROR(VLOOKUP(B70,'[5]Main data'!$A:$C,3,0)*J70,""))</f>
        <v/>
      </c>
      <c r="M70" s="1823" t="str">
        <f t="shared" si="17"/>
        <v/>
      </c>
      <c r="N70" s="1823" t="str">
        <f t="shared" si="18"/>
        <v/>
      </c>
      <c r="O70" s="1862">
        <f t="shared" si="19"/>
        <v>0.50941740000000002</v>
      </c>
      <c r="P70" s="1862" t="str">
        <f t="shared" si="20"/>
        <v/>
      </c>
      <c r="Q70" s="1861" t="str">
        <f t="shared" si="21"/>
        <v/>
      </c>
      <c r="S70" s="1860"/>
    </row>
    <row r="71" spans="1:19" x14ac:dyDescent="0.35">
      <c r="A71" s="378" t="s">
        <v>863</v>
      </c>
      <c r="B71" s="1866" t="s">
        <v>283</v>
      </c>
      <c r="C71" s="1823" t="str">
        <f t="shared" si="13"/>
        <v/>
      </c>
      <c r="D71" s="1823" t="str">
        <f t="shared" si="14"/>
        <v/>
      </c>
      <c r="E71" s="1862">
        <v>0.45451200000000003</v>
      </c>
      <c r="F71" s="1862" t="str">
        <f>+IFERROR(IFERROR(IFERROR(VLOOKUP(B71,'[1]Eurostat Fats'!$P$93:$X$125,9,0)/1000,VLOOKUP(B71,'[1]OECD FATS'!A:K,10,0)/1000),VLOOKUP(A71,'[1]World Bank Data Labor Force'!D:P,13,0)),"")</f>
        <v/>
      </c>
      <c r="G71" s="1865" t="str">
        <f>+IFERROR(IFERROR(VLOOKUP(A71,[1]UNimputedcapitalstock2015!A:G,7,0),VLOOKUP('Table E1'!B71,'[1]Penn World Tables'!I:AN,3,0)),"")</f>
        <v/>
      </c>
      <c r="H71" s="1823" t="str">
        <f t="shared" si="15"/>
        <v/>
      </c>
      <c r="I71" s="1823" t="str">
        <f t="shared" si="16"/>
        <v/>
      </c>
      <c r="J71" s="1864">
        <v>0.18180480000000002</v>
      </c>
      <c r="K71" s="1864" t="str">
        <f>+IFERROR(IFERROR(IFERROR(VLOOKUP(B71,'[1]Eurostat Fats'!$P$134:$X$166,9,0)/1000,VLOOKUP(B71,'[1]OECD FATS'!M:V,10,0)/1000),VLOOKUP(B71,'[1]CBC- IRS'!A:O,15,0)*L71),"")</f>
        <v/>
      </c>
      <c r="L71" s="1863" t="str">
        <f>IFERROR(VLOOKUP(B71,'[1]Eurostat Fats'!P:AB,13,0)*G71,IFERROR(VLOOKUP(B71,'[5]Main data'!$A:$C,3,0)*J71,""))</f>
        <v/>
      </c>
      <c r="M71" s="1823" t="str">
        <f t="shared" si="17"/>
        <v/>
      </c>
      <c r="N71" s="1823" t="str">
        <f t="shared" si="18"/>
        <v/>
      </c>
      <c r="O71" s="1862">
        <f t="shared" si="19"/>
        <v>0.27270720000000004</v>
      </c>
      <c r="P71" s="1862" t="str">
        <f t="shared" si="20"/>
        <v/>
      </c>
      <c r="Q71" s="1861" t="str">
        <f t="shared" si="21"/>
        <v/>
      </c>
      <c r="S71" s="1860"/>
    </row>
    <row r="72" spans="1:19" x14ac:dyDescent="0.35">
      <c r="A72" s="378" t="s">
        <v>862</v>
      </c>
      <c r="B72" s="1866" t="s">
        <v>220</v>
      </c>
      <c r="C72" s="1823">
        <f t="shared" si="13"/>
        <v>2.8127670309221471</v>
      </c>
      <c r="D72" s="1823">
        <f t="shared" si="14"/>
        <v>0.14403407545691116</v>
      </c>
      <c r="E72" s="1862">
        <v>117.069</v>
      </c>
      <c r="F72" s="1862">
        <f>+IFERROR(IFERROR(IFERROR(VLOOKUP(B72,'[1]Eurostat Fats'!$P$93:$X$125,9,0)/1000,VLOOKUP(B72,'[1]OECD FATS'!A:K,10,0)/1000),VLOOKUP(A72,'[1]World Bank Data Labor Force'!D:P,13,0)),"")</f>
        <v>2286.1800063522724</v>
      </c>
      <c r="G72" s="1865">
        <f>+IFERROR(IFERROR(VLOOKUP(A72,[1]UNimputedcapitalstock2015!A:G,7,0),VLOOKUP('Table E1'!B72,'[1]Penn World Tables'!I:AN,3,0)),"")</f>
        <v>329.28782354302484</v>
      </c>
      <c r="H72" s="1823">
        <f t="shared" si="15"/>
        <v>0.49170999999999998</v>
      </c>
      <c r="I72" s="1823">
        <f t="shared" si="16"/>
        <v>0.11734003212757226</v>
      </c>
      <c r="J72" s="1864">
        <v>23.587237340311784</v>
      </c>
      <c r="K72" s="1864">
        <f>+IFERROR(IFERROR(IFERROR(VLOOKUP(B72,'[1]Eurostat Fats'!$P$134:$X$166,9,0)/1000,VLOOKUP(B72,'[1]OECD FATS'!M:V,10,0)/1000),VLOOKUP(B72,'[1]CBC- IRS'!A:O,15,0)*L72),"")</f>
        <v>98.841633688963512</v>
      </c>
      <c r="L72" s="1863">
        <f>IFERROR(VLOOKUP(B72,'[1]Eurostat Fats'!P:AB,13,0)*G72,IFERROR(VLOOKUP(B72,'[5]Main data'!$A:$C,3,0)*J72,""))</f>
        <v>11.598080472604707</v>
      </c>
      <c r="M72" s="1823">
        <f t="shared" si="17"/>
        <v>3.398414129469729</v>
      </c>
      <c r="N72" s="1823">
        <f t="shared" si="18"/>
        <v>0.14524032817272817</v>
      </c>
      <c r="O72" s="1862">
        <f t="shared" si="19"/>
        <v>93.481762659688215</v>
      </c>
      <c r="P72" s="1862">
        <f t="shared" si="20"/>
        <v>2187.3383726633087</v>
      </c>
      <c r="Q72" s="1861">
        <f t="shared" si="21"/>
        <v>317.68974307042015</v>
      </c>
      <c r="S72" s="1860"/>
    </row>
    <row r="73" spans="1:19" x14ac:dyDescent="0.35">
      <c r="A73" s="378" t="s">
        <v>861</v>
      </c>
      <c r="B73" s="1866" t="s">
        <v>284</v>
      </c>
      <c r="C73" s="1823" t="str">
        <f t="shared" si="13"/>
        <v/>
      </c>
      <c r="D73" s="1823" t="str">
        <f t="shared" si="14"/>
        <v/>
      </c>
      <c r="E73" s="1862">
        <v>1.22997</v>
      </c>
      <c r="F73" s="1862" t="str">
        <f>+IFERROR(IFERROR(IFERROR(VLOOKUP(B73,'[1]Eurostat Fats'!$P$93:$X$125,9,0)/1000,VLOOKUP(B73,'[1]OECD FATS'!A:K,10,0)/1000),VLOOKUP(A73,'[1]World Bank Data Labor Force'!D:P,13,0)),"")</f>
        <v/>
      </c>
      <c r="G73" s="1865" t="str">
        <f>+IFERROR(IFERROR(VLOOKUP(A73,[1]UNimputedcapitalstock2015!A:G,7,0),VLOOKUP('Table E1'!B73,'[1]Penn World Tables'!I:AN,3,0)),"")</f>
        <v/>
      </c>
      <c r="H73" s="1823" t="str">
        <f t="shared" si="15"/>
        <v/>
      </c>
      <c r="I73" s="1823" t="str">
        <f t="shared" si="16"/>
        <v/>
      </c>
      <c r="J73" s="1864">
        <v>0.49198800000000004</v>
      </c>
      <c r="K73" s="1864" t="str">
        <f>+IFERROR(IFERROR(IFERROR(VLOOKUP(B73,'[1]Eurostat Fats'!$P$134:$X$166,9,0)/1000,VLOOKUP(B73,'[1]OECD FATS'!M:V,10,0)/1000),VLOOKUP(B73,'[1]CBC- IRS'!A:O,15,0)*L73),"")</f>
        <v/>
      </c>
      <c r="L73" s="1863" t="str">
        <f>IFERROR(VLOOKUP(B73,'[1]Eurostat Fats'!P:AB,13,0)*G73,IFERROR(VLOOKUP(B73,'[5]Main data'!$A:$C,3,0)*J73,""))</f>
        <v/>
      </c>
      <c r="M73" s="1823" t="str">
        <f t="shared" si="17"/>
        <v/>
      </c>
      <c r="N73" s="1823" t="str">
        <f t="shared" si="18"/>
        <v/>
      </c>
      <c r="O73" s="1862">
        <f t="shared" si="19"/>
        <v>0.73798199999999992</v>
      </c>
      <c r="P73" s="1862" t="str">
        <f t="shared" si="20"/>
        <v/>
      </c>
      <c r="Q73" s="1861" t="str">
        <f t="shared" si="21"/>
        <v/>
      </c>
      <c r="S73" s="1860"/>
    </row>
    <row r="74" spans="1:19" x14ac:dyDescent="0.35">
      <c r="A74" s="378" t="s">
        <v>860</v>
      </c>
      <c r="B74" s="1866" t="s">
        <v>285</v>
      </c>
      <c r="C74" s="1823" t="str">
        <f t="shared" si="13"/>
        <v/>
      </c>
      <c r="D74" s="1823" t="str">
        <f t="shared" si="14"/>
        <v/>
      </c>
      <c r="E74" s="1862">
        <v>15.218728393333157</v>
      </c>
      <c r="F74" s="1862">
        <f>+IFERROR(IFERROR(IFERROR(VLOOKUP(B74,'[1]Eurostat Fats'!$P$93:$X$125,9,0)/1000,VLOOKUP(B74,'[1]OECD FATS'!A:K,10,0)/1000),VLOOKUP(A74,'[1]World Bank Data Labor Force'!D:P,13,0)),"")</f>
        <v>1292.2352669821701</v>
      </c>
      <c r="G74" s="1865" t="str">
        <f>+IFERROR(IFERROR(VLOOKUP(A74,[1]UNimputedcapitalstock2015!A:G,7,0),VLOOKUP('Table E1'!B74,'[1]Penn World Tables'!I:AN,3,0)),"")</f>
        <v/>
      </c>
      <c r="H74" s="1823" t="str">
        <f t="shared" si="15"/>
        <v/>
      </c>
      <c r="I74" s="1823" t="str">
        <f t="shared" si="16"/>
        <v/>
      </c>
      <c r="J74" s="1864">
        <v>6.0874913573332634</v>
      </c>
      <c r="K74" s="1864" t="str">
        <f>+IFERROR(IFERROR(IFERROR(VLOOKUP(B74,'[1]Eurostat Fats'!$P$134:$X$166,9,0)/1000,VLOOKUP(B74,'[1]OECD FATS'!M:V,10,0)/1000),VLOOKUP(B74,'[1]CBC- IRS'!A:O,15,0)*L74),"")</f>
        <v/>
      </c>
      <c r="L74" s="1863" t="str">
        <f>IFERROR(VLOOKUP(B74,'[1]Eurostat Fats'!P:AB,13,0)*G74,IFERROR(VLOOKUP(B74,'[5]Main data'!$A:$C,3,0)*J74,""))</f>
        <v/>
      </c>
      <c r="M74" s="1823" t="str">
        <f t="shared" si="17"/>
        <v/>
      </c>
      <c r="N74" s="1823" t="str">
        <f t="shared" si="18"/>
        <v/>
      </c>
      <c r="O74" s="1862">
        <f t="shared" si="19"/>
        <v>9.1312370359998933</v>
      </c>
      <c r="P74" s="1862" t="str">
        <f t="shared" si="20"/>
        <v/>
      </c>
      <c r="Q74" s="1861" t="str">
        <f t="shared" si="21"/>
        <v/>
      </c>
      <c r="S74" s="1860"/>
    </row>
    <row r="75" spans="1:19" x14ac:dyDescent="0.35">
      <c r="A75" s="378" t="s">
        <v>859</v>
      </c>
      <c r="B75" s="1866" t="s">
        <v>286</v>
      </c>
      <c r="C75" s="1823" t="str">
        <f t="shared" si="13"/>
        <v/>
      </c>
      <c r="D75" s="1823" t="str">
        <f t="shared" si="14"/>
        <v/>
      </c>
      <c r="E75" s="1862">
        <v>2.9184000000000001</v>
      </c>
      <c r="F75" s="1862" t="str">
        <f>+IFERROR(IFERROR(IFERROR(VLOOKUP(B75,'[1]Eurostat Fats'!$P$93:$X$125,9,0)/1000,VLOOKUP(B75,'[1]OECD FATS'!A:K,10,0)/1000),VLOOKUP(A75,'[1]World Bank Data Labor Force'!D:P,13,0)),"")</f>
        <v/>
      </c>
      <c r="G75" s="1865" t="str">
        <f>+IFERROR(IFERROR(VLOOKUP(A75,[1]UNimputedcapitalstock2015!A:G,7,0),VLOOKUP('Table E1'!B75,'[1]Penn World Tables'!I:AN,3,0)),"")</f>
        <v/>
      </c>
      <c r="H75" s="1823" t="str">
        <f t="shared" si="15"/>
        <v/>
      </c>
      <c r="I75" s="1823" t="str">
        <f t="shared" si="16"/>
        <v/>
      </c>
      <c r="J75" s="1864">
        <v>1.1673600000000002</v>
      </c>
      <c r="K75" s="1864" t="str">
        <f>+IFERROR(IFERROR(IFERROR(VLOOKUP(B75,'[1]Eurostat Fats'!$P$134:$X$166,9,0)/1000,VLOOKUP(B75,'[1]OECD FATS'!M:V,10,0)/1000),VLOOKUP(B75,'[1]CBC- IRS'!A:O,15,0)*L75),"")</f>
        <v/>
      </c>
      <c r="L75" s="1863" t="str">
        <f>IFERROR(VLOOKUP(B75,'[1]Eurostat Fats'!P:AB,13,0)*G75,IFERROR(VLOOKUP(B75,'[5]Main data'!$A:$C,3,0)*J75,""))</f>
        <v/>
      </c>
      <c r="M75" s="1823" t="str">
        <f t="shared" si="17"/>
        <v/>
      </c>
      <c r="N75" s="1823" t="str">
        <f t="shared" si="18"/>
        <v/>
      </c>
      <c r="O75" s="1862">
        <f t="shared" si="19"/>
        <v>1.7510399999999999</v>
      </c>
      <c r="P75" s="1862" t="str">
        <f t="shared" si="20"/>
        <v/>
      </c>
      <c r="Q75" s="1861" t="str">
        <f t="shared" si="21"/>
        <v/>
      </c>
      <c r="S75" s="1860"/>
    </row>
    <row r="76" spans="1:19" x14ac:dyDescent="0.35">
      <c r="A76" s="378" t="e">
        <v>#REF!</v>
      </c>
      <c r="B76" s="1866" t="s">
        <v>287</v>
      </c>
      <c r="C76" s="1823" t="str">
        <f t="shared" si="13"/>
        <v/>
      </c>
      <c r="D76" s="1823" t="str">
        <f t="shared" si="14"/>
        <v/>
      </c>
      <c r="E76" s="1862">
        <v>10.102600000000001</v>
      </c>
      <c r="F76" s="1862" t="str">
        <f>+IFERROR(IFERROR(IFERROR(VLOOKUP(B76,'[1]Eurostat Fats'!$P$93:$X$125,9,0)/1000,VLOOKUP(B76,'[1]OECD FATS'!A:K,10,0)/1000),VLOOKUP(A76,'[1]World Bank Data Labor Force'!D:P,13,0)),"")</f>
        <v/>
      </c>
      <c r="G76" s="1865" t="str">
        <f>+IFERROR(IFERROR(VLOOKUP(A76,[1]UNimputedcapitalstock2015!A:G,7,0),VLOOKUP('Table E1'!B76,'[1]Penn World Tables'!I:AN,3,0)),"")</f>
        <v/>
      </c>
      <c r="H76" s="1823" t="str">
        <f t="shared" si="15"/>
        <v/>
      </c>
      <c r="I76" s="1823" t="str">
        <f t="shared" si="16"/>
        <v/>
      </c>
      <c r="J76" s="1864">
        <v>3.7507153715351045</v>
      </c>
      <c r="K76" s="1864" t="str">
        <f>+IFERROR(IFERROR(IFERROR(VLOOKUP(B76,'[1]Eurostat Fats'!$P$134:$X$166,9,0)/1000,VLOOKUP(B76,'[1]OECD FATS'!M:V,10,0)/1000),VLOOKUP(B76,'[1]CBC- IRS'!A:O,15,0)*L76),"")</f>
        <v/>
      </c>
      <c r="L76" s="1863" t="str">
        <f>IFERROR(VLOOKUP(B76,'[1]Eurostat Fats'!P:AB,13,0)*G76,IFERROR(VLOOKUP(B76,'[5]Main data'!$A:$C,3,0)*J76,""))</f>
        <v/>
      </c>
      <c r="M76" s="1823" t="str">
        <f t="shared" si="17"/>
        <v/>
      </c>
      <c r="N76" s="1823" t="str">
        <f t="shared" si="18"/>
        <v/>
      </c>
      <c r="O76" s="1862">
        <f t="shared" si="19"/>
        <v>6.3518846284648962</v>
      </c>
      <c r="P76" s="1862" t="str">
        <f t="shared" si="20"/>
        <v/>
      </c>
      <c r="Q76" s="1861" t="str">
        <f t="shared" si="21"/>
        <v/>
      </c>
      <c r="S76" s="1860"/>
    </row>
    <row r="77" spans="1:19" x14ac:dyDescent="0.35">
      <c r="A77" s="378" t="s">
        <v>858</v>
      </c>
      <c r="B77" s="1866" t="s">
        <v>301</v>
      </c>
      <c r="C77" s="1823">
        <f t="shared" si="13"/>
        <v>5.3662034595534234</v>
      </c>
      <c r="D77" s="1823">
        <f t="shared" si="14"/>
        <v>0.10988418309679379</v>
      </c>
      <c r="E77" s="1862">
        <v>2.7482700000000002</v>
      </c>
      <c r="F77" s="1862">
        <f>+IFERROR(IFERROR(IFERROR(VLOOKUP(B77,'[1]Eurostat Fats'!$P$93:$X$125,9,0)/1000,VLOOKUP(B77,'[1]OECD FATS'!A:K,10,0)/1000),VLOOKUP(A77,'[1]World Bank Data Labor Force'!D:P,13,0)),"")</f>
        <v>134.21199999999999</v>
      </c>
      <c r="G77" s="1865">
        <f>+IFERROR(IFERROR(VLOOKUP(A77,[1]UNimputedcapitalstock2015!A:G,7,0),VLOOKUP('Table E1'!B77,'[1]Penn World Tables'!I:AN,3,0)),"")</f>
        <v>14.747775981786887</v>
      </c>
      <c r="H77" s="1823">
        <f t="shared" si="15"/>
        <v>4.2653950159185055</v>
      </c>
      <c r="I77" s="1823">
        <f t="shared" si="16"/>
        <v>0.22763157746295162</v>
      </c>
      <c r="J77" s="1864">
        <v>1.0993080000000002</v>
      </c>
      <c r="K77" s="1864">
        <f>+IFERROR(IFERROR(IFERROR(VLOOKUP(B77,'[1]Eurostat Fats'!$P$134:$X$166,9,0)/1000,VLOOKUP(B77,'[1]OECD FATS'!M:V,10,0)/1000),VLOOKUP(B77,'[1]CBC- IRS'!A:O,15,0)*L77),"")</f>
        <v>20.599</v>
      </c>
      <c r="L77" s="1863">
        <f>IFERROR(VLOOKUP(B77,'[1]Eurostat Fats'!P:AB,13,0)*G77,IFERROR(VLOOKUP(B77,'[5]Main data'!$A:$C,3,0)*J77,""))</f>
        <v>4.6889828641593407</v>
      </c>
      <c r="M77" s="1823">
        <f t="shared" si="17"/>
        <v>6.1000757553100353</v>
      </c>
      <c r="N77" s="1823">
        <f t="shared" si="18"/>
        <v>8.853558235085375E-2</v>
      </c>
      <c r="O77" s="1862">
        <f t="shared" si="19"/>
        <v>1.648962</v>
      </c>
      <c r="P77" s="1862">
        <f t="shared" si="20"/>
        <v>113.61299999999999</v>
      </c>
      <c r="Q77" s="1861">
        <f t="shared" si="21"/>
        <v>10.058793117627546</v>
      </c>
      <c r="S77" s="1860"/>
    </row>
    <row r="78" spans="1:19" x14ac:dyDescent="0.35">
      <c r="A78" s="378" t="e">
        <v>#REF!</v>
      </c>
      <c r="B78" s="1866" t="s">
        <v>302</v>
      </c>
      <c r="C78" s="1823" t="str">
        <f t="shared" si="13"/>
        <v/>
      </c>
      <c r="D78" s="1823" t="str">
        <f t="shared" si="14"/>
        <v/>
      </c>
      <c r="E78" s="1862">
        <v>8.3486143999999998E-2</v>
      </c>
      <c r="F78" s="1862" t="str">
        <f>+IFERROR(IFERROR(IFERROR(VLOOKUP(B78,'[1]Eurostat Fats'!$P$93:$X$125,9,0)/1000,VLOOKUP(B78,'[1]OECD FATS'!A:K,10,0)/1000),VLOOKUP(A78,'[1]World Bank Data Labor Force'!D:P,13,0)),"")</f>
        <v/>
      </c>
      <c r="G78" s="1865" t="str">
        <f>+IFERROR(IFERROR(VLOOKUP(A78,[1]UNimputedcapitalstock2015!A:G,7,0),VLOOKUP('Table E1'!B78,'[1]Penn World Tables'!I:AN,3,0)),"")</f>
        <v/>
      </c>
      <c r="H78" s="1823" t="str">
        <f t="shared" si="15"/>
        <v/>
      </c>
      <c r="I78" s="1823" t="str">
        <f t="shared" si="16"/>
        <v/>
      </c>
      <c r="J78" s="1864">
        <v>3.3394457600000003E-2</v>
      </c>
      <c r="K78" s="1864" t="str">
        <f>+IFERROR(IFERROR(IFERROR(VLOOKUP(B78,'[1]Eurostat Fats'!$P$134:$X$166,9,0)/1000,VLOOKUP(B78,'[1]OECD FATS'!M:V,10,0)/1000),VLOOKUP(B78,'[1]CBC- IRS'!A:O,15,0)*L78),"")</f>
        <v/>
      </c>
      <c r="L78" s="1863" t="str">
        <f>IFERROR(VLOOKUP(B78,'[1]Eurostat Fats'!P:AB,13,0)*G78,IFERROR(VLOOKUP(B78,'[5]Main data'!$A:$C,3,0)*J78,""))</f>
        <v/>
      </c>
      <c r="M78" s="1823" t="str">
        <f t="shared" si="17"/>
        <v/>
      </c>
      <c r="N78" s="1823" t="str">
        <f t="shared" si="18"/>
        <v/>
      </c>
      <c r="O78" s="1862">
        <f t="shared" si="19"/>
        <v>5.0091686399999995E-2</v>
      </c>
      <c r="P78" s="1862" t="str">
        <f t="shared" si="20"/>
        <v/>
      </c>
      <c r="Q78" s="1861" t="str">
        <f t="shared" si="21"/>
        <v/>
      </c>
      <c r="S78" s="1860"/>
    </row>
    <row r="79" spans="1:19" x14ac:dyDescent="0.35">
      <c r="A79" s="378" t="s">
        <v>857</v>
      </c>
      <c r="B79" s="1866" t="str">
        <f>+TableA1!A79</f>
        <v>Monaco</v>
      </c>
      <c r="C79" s="1823" t="str">
        <f t="shared" si="13"/>
        <v/>
      </c>
      <c r="D79" s="1823" t="str">
        <f t="shared" si="14"/>
        <v/>
      </c>
      <c r="E79" s="1862">
        <v>1.0394000000000001</v>
      </c>
      <c r="F79" s="1862" t="str">
        <f>+IFERROR(IFERROR(IFERROR(VLOOKUP(B79,'[1]Eurostat Fats'!$P$93:$X$125,9,0)/1000,VLOOKUP(B79,'[1]OECD FATS'!A:K,10,0)/1000),VLOOKUP(A79,'[1]World Bank Data Labor Force'!D:P,13,0)),"")</f>
        <v/>
      </c>
      <c r="G79" s="1865" t="str">
        <f>+IFERROR(IFERROR(VLOOKUP(A79,[1]UNimputedcapitalstock2015!A:G,7,0),VLOOKUP('Table E1'!B79,'[1]Penn World Tables'!I:AN,3,0)),"")</f>
        <v/>
      </c>
      <c r="H79" s="1823" t="str">
        <f t="shared" si="15"/>
        <v/>
      </c>
      <c r="I79" s="1823" t="str">
        <f t="shared" si="16"/>
        <v/>
      </c>
      <c r="J79" s="1864">
        <v>0.41576000000000007</v>
      </c>
      <c r="K79" s="1864" t="str">
        <f>+IFERROR(IFERROR(IFERROR(VLOOKUP(B79,'[1]Eurostat Fats'!$P$134:$X$166,9,0)/1000,VLOOKUP(B79,'[1]OECD FATS'!M:V,10,0)/1000),VLOOKUP(B79,'[1]CBC- IRS'!A:O,15,0)*L79),"")</f>
        <v/>
      </c>
      <c r="L79" s="1863" t="str">
        <f>IFERROR(VLOOKUP(B79,'[1]Eurostat Fats'!P:AB,13,0)*G79,IFERROR(VLOOKUP(B79,'[5]Main data'!$A:$C,3,0)*J79,""))</f>
        <v/>
      </c>
      <c r="M79" s="1823" t="str">
        <f t="shared" si="17"/>
        <v/>
      </c>
      <c r="N79" s="1823" t="str">
        <f t="shared" si="18"/>
        <v/>
      </c>
      <c r="O79" s="1862">
        <f t="shared" si="19"/>
        <v>0.62363999999999997</v>
      </c>
      <c r="P79" s="1862" t="str">
        <f t="shared" si="20"/>
        <v/>
      </c>
      <c r="Q79" s="1861" t="str">
        <f t="shared" si="21"/>
        <v/>
      </c>
      <c r="S79" s="1860"/>
    </row>
    <row r="80" spans="1:19" x14ac:dyDescent="0.35">
      <c r="A80" s="378" t="s">
        <v>856</v>
      </c>
      <c r="B80" s="1866" t="s">
        <v>288</v>
      </c>
      <c r="C80" s="1823" t="str">
        <f t="shared" si="13"/>
        <v/>
      </c>
      <c r="D80" s="1823" t="str">
        <f t="shared" si="14"/>
        <v/>
      </c>
      <c r="E80" s="1862">
        <v>0.14390500000000001</v>
      </c>
      <c r="F80" s="1862" t="str">
        <f>+IFERROR(IFERROR(IFERROR(VLOOKUP(B80,'[1]Eurostat Fats'!$P$93:$X$125,9,0)/1000,VLOOKUP(B80,'[1]OECD FATS'!A:K,10,0)/1000),VLOOKUP(A80,'[1]World Bank Data Labor Force'!D:P,13,0)),"")</f>
        <v/>
      </c>
      <c r="G80" s="1865">
        <f>+IFERROR(IFERROR(VLOOKUP(A80,[1]UNimputedcapitalstock2015!A:G,7,0),VLOOKUP('Table E1'!B80,'[1]Penn World Tables'!I:AN,3,0)),"")</f>
        <v>0</v>
      </c>
      <c r="H80" s="1823" t="str">
        <f t="shared" si="15"/>
        <v/>
      </c>
      <c r="I80" s="1823" t="str">
        <f t="shared" si="16"/>
        <v/>
      </c>
      <c r="J80" s="1864">
        <v>5.7562000000000002E-2</v>
      </c>
      <c r="K80" s="1864" t="str">
        <f>+IFERROR(IFERROR(IFERROR(VLOOKUP(B80,'[1]Eurostat Fats'!$P$134:$X$166,9,0)/1000,VLOOKUP(B80,'[1]OECD FATS'!M:V,10,0)/1000),VLOOKUP(B80,'[1]CBC- IRS'!A:O,15,0)*L80),"")</f>
        <v/>
      </c>
      <c r="L80" s="1863" t="str">
        <f>IFERROR(VLOOKUP(B80,'[1]Eurostat Fats'!P:AB,13,0)*G80,IFERROR(VLOOKUP(B80,'[5]Main data'!$A:$C,3,0)*J80,""))</f>
        <v/>
      </c>
      <c r="M80" s="1823" t="str">
        <f t="shared" si="17"/>
        <v/>
      </c>
      <c r="N80" s="1823" t="str">
        <f t="shared" si="18"/>
        <v/>
      </c>
      <c r="O80" s="1862">
        <f t="shared" si="19"/>
        <v>8.6343000000000003E-2</v>
      </c>
      <c r="P80" s="1862" t="str">
        <f t="shared" si="20"/>
        <v/>
      </c>
      <c r="Q80" s="1861" t="str">
        <f t="shared" si="21"/>
        <v/>
      </c>
      <c r="S80" s="1860"/>
    </row>
    <row r="81" spans="1:19" x14ac:dyDescent="0.35">
      <c r="A81" s="378" t="s">
        <v>855</v>
      </c>
      <c r="B81" s="1866" t="s">
        <v>289</v>
      </c>
      <c r="C81" s="1823">
        <f t="shared" si="13"/>
        <v>39.175420846309876</v>
      </c>
      <c r="D81" s="1823">
        <f t="shared" si="14"/>
        <v>4.0537821446121156E-2</v>
      </c>
      <c r="E81" s="1862">
        <v>0.36308000000000001</v>
      </c>
      <c r="F81" s="1862">
        <f>+IFERROR(IFERROR(IFERROR(VLOOKUP(B81,'[1]Eurostat Fats'!$P$93:$X$125,9,0)/1000,VLOOKUP(B81,'[1]OECD FATS'!A:K,10,0)/1000),VLOOKUP(A81,'[1]World Bank Data Labor Force'!D:P,13,0)),"")</f>
        <v>350.87755812884683</v>
      </c>
      <c r="G81" s="1865">
        <f>+IFERROR(IFERROR(VLOOKUP(A81,[1]UNimputedcapitalstock2015!A:G,7,0),VLOOKUP('Table E1'!B81,'[1]Penn World Tables'!I:AN,3,0)),"")</f>
        <v>14.22381180087819</v>
      </c>
      <c r="H81" s="1823" t="str">
        <f t="shared" si="15"/>
        <v/>
      </c>
      <c r="I81" s="1823" t="str">
        <f t="shared" si="16"/>
        <v/>
      </c>
      <c r="J81" s="1864">
        <v>0.18809294843367241</v>
      </c>
      <c r="K81" s="1864" t="str">
        <f>+IFERROR(IFERROR(IFERROR(VLOOKUP(B81,'[1]Eurostat Fats'!$P$134:$X$166,9,0)/1000,VLOOKUP(B81,'[1]OECD FATS'!M:V,10,0)/1000),VLOOKUP(B81,'[1]CBC- IRS'!A:O,15,0)*L81),"")</f>
        <v/>
      </c>
      <c r="L81" s="1863" t="str">
        <f>IFERROR(VLOOKUP(B81,'[1]Eurostat Fats'!P:AB,13,0)*G81,IFERROR(VLOOKUP(B81,'[5]Main data'!$A:$C,3,0)*J81,""))</f>
        <v/>
      </c>
      <c r="M81" s="1823" t="str">
        <f t="shared" si="17"/>
        <v/>
      </c>
      <c r="N81" s="1823" t="str">
        <f t="shared" si="18"/>
        <v/>
      </c>
      <c r="O81" s="1862">
        <f t="shared" si="19"/>
        <v>0.1749870515663276</v>
      </c>
      <c r="P81" s="1862" t="str">
        <f t="shared" si="20"/>
        <v/>
      </c>
      <c r="Q81" s="1861" t="str">
        <f t="shared" si="21"/>
        <v/>
      </c>
      <c r="S81" s="1860"/>
    </row>
    <row r="82" spans="1:19" x14ac:dyDescent="0.35">
      <c r="A82" s="378" t="s">
        <v>854</v>
      </c>
      <c r="B82" s="1866" t="str">
        <f>+TableA1!A82</f>
        <v>Seychelles</v>
      </c>
      <c r="C82" s="1823" t="str">
        <f t="shared" si="13"/>
        <v/>
      </c>
      <c r="D82" s="1823" t="str">
        <f t="shared" si="14"/>
        <v/>
      </c>
      <c r="E82" s="1862">
        <v>6.9840823999999996E-2</v>
      </c>
      <c r="F82" s="1862" t="str">
        <f>+IFERROR(IFERROR(IFERROR(VLOOKUP(B82,'[1]Eurostat Fats'!$P$93:$X$125,9,0)/1000,VLOOKUP(B82,'[1]OECD FATS'!A:K,10,0)/1000),VLOOKUP(A82,'[1]World Bank Data Labor Force'!D:P,13,0)),"")</f>
        <v/>
      </c>
      <c r="G82" s="1865" t="str">
        <f>+IFERROR(IFERROR(VLOOKUP(A82,[1]UNimputedcapitalstock2015!A:G,7,0),VLOOKUP('Table E1'!B82,'[1]Penn World Tables'!I:AN,3,0)),"")</f>
        <v/>
      </c>
      <c r="H82" s="1823" t="str">
        <f t="shared" si="15"/>
        <v/>
      </c>
      <c r="I82" s="1823" t="str">
        <f t="shared" si="16"/>
        <v/>
      </c>
      <c r="J82" s="1864">
        <v>4.0218179796021394E-2</v>
      </c>
      <c r="K82" s="1864" t="str">
        <f>+IFERROR(IFERROR(IFERROR(VLOOKUP(B82,'[1]Eurostat Fats'!$P$134:$X$166,9,0)/1000,VLOOKUP(B82,'[1]OECD FATS'!M:V,10,0)/1000),VLOOKUP(B82,'[1]CBC- IRS'!A:O,15,0)*L82),"")</f>
        <v/>
      </c>
      <c r="L82" s="1863" t="str">
        <f>IFERROR(VLOOKUP(B82,'[1]Eurostat Fats'!P:AB,13,0)*G82,IFERROR(VLOOKUP(B82,'[5]Main data'!$A:$C,3,0)*J82,""))</f>
        <v/>
      </c>
      <c r="M82" s="1823" t="str">
        <f t="shared" si="17"/>
        <v/>
      </c>
      <c r="N82" s="1823" t="str">
        <f t="shared" si="18"/>
        <v/>
      </c>
      <c r="O82" s="1862">
        <f t="shared" si="19"/>
        <v>2.9622644203978601E-2</v>
      </c>
      <c r="P82" s="1862" t="str">
        <f t="shared" si="20"/>
        <v/>
      </c>
      <c r="Q82" s="1861" t="str">
        <f t="shared" si="21"/>
        <v/>
      </c>
      <c r="S82" s="1860"/>
    </row>
    <row r="83" spans="1:19" x14ac:dyDescent="0.35">
      <c r="A83" s="378" t="s">
        <v>853</v>
      </c>
      <c r="B83" s="1866" t="s">
        <v>225</v>
      </c>
      <c r="C83" s="1823">
        <f t="shared" si="13"/>
        <v>2.6155068597736881</v>
      </c>
      <c r="D83" s="1823">
        <f t="shared" si="14"/>
        <v>0.13975175828398759</v>
      </c>
      <c r="E83" s="1862">
        <v>103.461294</v>
      </c>
      <c r="F83" s="1862">
        <f>+IFERROR(IFERROR(IFERROR(VLOOKUP(B83,'[1]Eurostat Fats'!$P$93:$X$125,9,0)/1000,VLOOKUP(B83,'[1]OECD FATS'!A:K,10,0)/1000),VLOOKUP(A83,'[1]World Bank Data Labor Force'!D:P,13,0)),"")</f>
        <v>1936.3171347595662</v>
      </c>
      <c r="G83" s="1865">
        <f>+[1]Singapore!H9/[1]Singapore!A23</f>
        <v>270.60372417806229</v>
      </c>
      <c r="H83" s="1823">
        <f t="shared" si="15"/>
        <v>2.2711700000000001</v>
      </c>
      <c r="I83" s="1823">
        <f t="shared" si="16"/>
        <v>0.33081796705761152</v>
      </c>
      <c r="J83" s="1864">
        <v>41.384517600000002</v>
      </c>
      <c r="K83" s="1864">
        <f>+IFERROR(IFERROR(IFERROR(VLOOKUP(B83,'[1]Eurostat Fats'!$P$134:$X$166,9,0)/1000,VLOOKUP(B83,'[1]OECD FATS'!M:V,10,0)/1000),VLOOKUP(B83,'[1]CBC- IRS'!A:O,15,0)*L83),"")</f>
        <v>284.11780555202904</v>
      </c>
      <c r="L83" s="1863">
        <f>IFERROR(VLOOKUP(B83,'[1]Eurostat Fats'!P:AB,13,0)*G83,IFERROR(VLOOKUP(B83,'[5]Main data'!$A:$C,3,0)*J83,""))</f>
        <v>93.991274837592016</v>
      </c>
      <c r="M83" s="1823">
        <f t="shared" si="17"/>
        <v>2.8450647662894797</v>
      </c>
      <c r="N83" s="1823">
        <f t="shared" si="18"/>
        <v>0.10689536438994977</v>
      </c>
      <c r="O83" s="1862">
        <f t="shared" si="19"/>
        <v>62.076776399999993</v>
      </c>
      <c r="P83" s="1862">
        <f t="shared" si="20"/>
        <v>1652.1993292075372</v>
      </c>
      <c r="Q83" s="1861">
        <f t="shared" si="21"/>
        <v>176.61244934047028</v>
      </c>
      <c r="S83" s="1860"/>
    </row>
    <row r="84" spans="1:19" x14ac:dyDescent="0.35">
      <c r="A84" s="378" t="s">
        <v>852</v>
      </c>
      <c r="B84" s="1866" t="str">
        <f>+TableA1!A84</f>
        <v>St. Kitts and Nevis</v>
      </c>
      <c r="C84" s="1823" t="str">
        <f t="shared" si="13"/>
        <v/>
      </c>
      <c r="D84" s="1823" t="str">
        <f t="shared" si="14"/>
        <v/>
      </c>
      <c r="E84" s="1862">
        <v>7.3737880000000006E-2</v>
      </c>
      <c r="F84" s="1862" t="str">
        <f>+IFERROR(IFERROR(IFERROR(VLOOKUP(B84,'[1]Eurostat Fats'!$P$93:$X$125,9,0)/1000,VLOOKUP(B84,'[1]OECD FATS'!A:K,10,0)/1000),VLOOKUP(A84,'[1]World Bank Data Labor Force'!D:P,13,0)),"")</f>
        <v/>
      </c>
      <c r="G84" s="1865" t="str">
        <f>+IFERROR(IFERROR(VLOOKUP(A84,[1]UNimputedcapitalstock2015!A:G,7,0),VLOOKUP('Table E1'!B84,'[1]Penn World Tables'!I:AN,3,0)),"")</f>
        <v/>
      </c>
      <c r="H84" s="1823" t="str">
        <f t="shared" si="15"/>
        <v/>
      </c>
      <c r="I84" s="1823" t="str">
        <f t="shared" si="16"/>
        <v/>
      </c>
      <c r="J84" s="1864">
        <v>2.9495152000000004E-2</v>
      </c>
      <c r="K84" s="1864" t="str">
        <f>+IFERROR(IFERROR(IFERROR(VLOOKUP(B84,'[1]Eurostat Fats'!$P$134:$X$166,9,0)/1000,VLOOKUP(B84,'[1]OECD FATS'!M:V,10,0)/1000),VLOOKUP(B84,'[1]CBC- IRS'!A:O,15,0)*L84),"")</f>
        <v/>
      </c>
      <c r="L84" s="1863" t="str">
        <f>IFERROR(VLOOKUP(B84,'[1]Eurostat Fats'!P:AB,13,0)*G84,IFERROR(VLOOKUP(B84,'[5]Main data'!$A:$C,3,0)*J84,""))</f>
        <v/>
      </c>
      <c r="M84" s="1823" t="str">
        <f t="shared" si="17"/>
        <v/>
      </c>
      <c r="N84" s="1823" t="str">
        <f t="shared" si="18"/>
        <v/>
      </c>
      <c r="O84" s="1862">
        <f t="shared" si="19"/>
        <v>4.4242728000000002E-2</v>
      </c>
      <c r="P84" s="1862" t="str">
        <f t="shared" si="20"/>
        <v/>
      </c>
      <c r="Q84" s="1861" t="str">
        <f t="shared" si="21"/>
        <v/>
      </c>
      <c r="S84" s="1860"/>
    </row>
    <row r="85" spans="1:19" x14ac:dyDescent="0.35">
      <c r="A85" s="378" t="s">
        <v>851</v>
      </c>
      <c r="B85" s="1866" t="str">
        <f>+TableA1!A85</f>
        <v>St. Lucia</v>
      </c>
      <c r="C85" s="1823" t="str">
        <f t="shared" si="13"/>
        <v/>
      </c>
      <c r="D85" s="1823" t="str">
        <f t="shared" si="14"/>
        <v/>
      </c>
      <c r="E85" s="1862">
        <v>0.115233</v>
      </c>
      <c r="F85" s="1862">
        <f>+IFERROR(IFERROR(IFERROR(VLOOKUP(B85,'[1]Eurostat Fats'!$P$93:$X$125,9,0)/1000,VLOOKUP(B85,'[1]OECD FATS'!A:K,10,0)/1000),VLOOKUP(A85,'[1]World Bank Data Labor Force'!D:P,13,0)),"")</f>
        <v>56.083805366697902</v>
      </c>
      <c r="G85" s="1865" t="str">
        <f>+IFERROR(IFERROR(VLOOKUP(A85,[1]UNimputedcapitalstock2015!A:G,7,0),VLOOKUP('Table E1'!B85,'[1]Penn World Tables'!I:AN,3,0)),"")</f>
        <v/>
      </c>
      <c r="H85" s="1823" t="str">
        <f t="shared" si="15"/>
        <v/>
      </c>
      <c r="I85" s="1823" t="str">
        <f t="shared" si="16"/>
        <v/>
      </c>
      <c r="J85" s="1864">
        <v>4.6093200000000001E-2</v>
      </c>
      <c r="K85" s="1864" t="str">
        <f>+IFERROR(IFERROR(IFERROR(VLOOKUP(B85,'[1]Eurostat Fats'!$P$134:$X$166,9,0)/1000,VLOOKUP(B85,'[1]OECD FATS'!M:V,10,0)/1000),VLOOKUP(B85,'[1]CBC- IRS'!A:O,15,0)*L85),"")</f>
        <v/>
      </c>
      <c r="L85" s="1863" t="str">
        <f>IFERROR(VLOOKUP(B85,'[1]Eurostat Fats'!P:AB,13,0)*G85,IFERROR(VLOOKUP(B85,'[5]Main data'!$A:$C,3,0)*J85,""))</f>
        <v/>
      </c>
      <c r="M85" s="1823" t="str">
        <f t="shared" si="17"/>
        <v/>
      </c>
      <c r="N85" s="1823" t="str">
        <f t="shared" si="18"/>
        <v/>
      </c>
      <c r="O85" s="1862">
        <f t="shared" si="19"/>
        <v>6.9139800000000001E-2</v>
      </c>
      <c r="P85" s="1862" t="str">
        <f t="shared" si="20"/>
        <v/>
      </c>
      <c r="Q85" s="1861" t="str">
        <f t="shared" si="21"/>
        <v/>
      </c>
      <c r="S85" s="1860"/>
    </row>
    <row r="86" spans="1:19" x14ac:dyDescent="0.35">
      <c r="A86" s="378" t="s">
        <v>850</v>
      </c>
      <c r="B86" s="1866" t="str">
        <f>+TableA1!A86</f>
        <v>St. Vincent and the Grenadines</v>
      </c>
      <c r="C86" s="1823" t="str">
        <f t="shared" si="13"/>
        <v/>
      </c>
      <c r="D86" s="1823" t="str">
        <f t="shared" si="14"/>
        <v/>
      </c>
      <c r="E86" s="1862">
        <v>7.3914943999999996E-2</v>
      </c>
      <c r="F86" s="1862">
        <f>+IFERROR(IFERROR(IFERROR(VLOOKUP(B86,'[1]Eurostat Fats'!$P$93:$X$125,9,0)/1000,VLOOKUP(B86,'[1]OECD FATS'!A:K,10,0)/1000),VLOOKUP(A86,'[1]World Bank Data Labor Force'!D:P,13,0)),"")</f>
        <v>33.117369386318295</v>
      </c>
      <c r="G86" s="1865" t="str">
        <f>+IFERROR(IFERROR(VLOOKUP(A86,[1]UNimputedcapitalstock2015!A:G,7,0),VLOOKUP('Table E1'!B86,'[1]Penn World Tables'!I:AN,3,0)),"")</f>
        <v/>
      </c>
      <c r="H86" s="1823" t="str">
        <f t="shared" si="15"/>
        <v/>
      </c>
      <c r="I86" s="1823" t="str">
        <f t="shared" si="16"/>
        <v/>
      </c>
      <c r="J86" s="1864">
        <v>2.9565977600000001E-2</v>
      </c>
      <c r="K86" s="1864" t="str">
        <f>+IFERROR(IFERROR(IFERROR(VLOOKUP(B86,'[1]Eurostat Fats'!$P$134:$X$166,9,0)/1000,VLOOKUP(B86,'[1]OECD FATS'!M:V,10,0)/1000),VLOOKUP(B86,'[1]CBC- IRS'!A:O,15,0)*L86),"")</f>
        <v/>
      </c>
      <c r="L86" s="1863" t="str">
        <f>IFERROR(VLOOKUP(B86,'[1]Eurostat Fats'!P:AB,13,0)*G86,IFERROR(VLOOKUP(B86,'[5]Main data'!$A:$C,3,0)*J86,""))</f>
        <v/>
      </c>
      <c r="M86" s="1823" t="str">
        <f t="shared" si="17"/>
        <v/>
      </c>
      <c r="N86" s="1823" t="str">
        <f t="shared" si="18"/>
        <v/>
      </c>
      <c r="O86" s="1862">
        <f t="shared" si="19"/>
        <v>4.4348966399999995E-2</v>
      </c>
      <c r="P86" s="1862" t="str">
        <f t="shared" si="20"/>
        <v/>
      </c>
      <c r="Q86" s="1861" t="str">
        <f t="shared" si="21"/>
        <v/>
      </c>
      <c r="S86" s="1860"/>
    </row>
    <row r="87" spans="1:19" x14ac:dyDescent="0.35">
      <c r="A87" s="378" t="s">
        <v>849</v>
      </c>
      <c r="B87" s="1866" t="str">
        <f>+TableA1!A87</f>
        <v>Turks and Caicos</v>
      </c>
      <c r="C87" s="1823" t="str">
        <f t="shared" si="13"/>
        <v/>
      </c>
      <c r="D87" s="1823" t="str">
        <f t="shared" si="14"/>
        <v/>
      </c>
      <c r="E87" s="1862">
        <v>0.114443</v>
      </c>
      <c r="F87" s="1862" t="str">
        <f>+IFERROR(IFERROR(IFERROR(VLOOKUP(B87,'[1]Eurostat Fats'!$P$93:$X$125,9,0)/1000,VLOOKUP(B87,'[1]OECD FATS'!A:K,10,0)/1000),VLOOKUP(A87,'[1]World Bank Data Labor Force'!D:P,13,0)),"")</f>
        <v/>
      </c>
      <c r="G87" s="1865" t="str">
        <f>+IFERROR(IFERROR(VLOOKUP(A87,[1]UNimputedcapitalstock2015!A:G,7,0),VLOOKUP('Table E1'!B87,'[1]Penn World Tables'!I:AN,3,0)),"")</f>
        <v/>
      </c>
      <c r="H87" s="1823" t="str">
        <f t="shared" si="15"/>
        <v/>
      </c>
      <c r="I87" s="1823" t="str">
        <f t="shared" si="16"/>
        <v/>
      </c>
      <c r="J87" s="1867">
        <v>4.5777200000000004E-2</v>
      </c>
      <c r="K87" s="1864" t="str">
        <f>+IFERROR(IFERROR(IFERROR(VLOOKUP(B87,'[1]Eurostat Fats'!$P$134:$X$166,9,0)/1000,VLOOKUP(B87,'[1]OECD FATS'!M:V,10,0)/1000),VLOOKUP(B87,'[1]CBC- IRS'!A:O,15,0)*L87),"")</f>
        <v/>
      </c>
      <c r="L87" s="1863" t="str">
        <f>IFERROR(VLOOKUP(B87,'[1]Eurostat Fats'!P:AB,13,0)*G87,IFERROR(VLOOKUP(B87,'[5]Main data'!$A:$C,3,0)*J87,""))</f>
        <v/>
      </c>
      <c r="M87" s="1823" t="str">
        <f t="shared" si="17"/>
        <v/>
      </c>
      <c r="N87" s="1823" t="str">
        <f t="shared" si="18"/>
        <v/>
      </c>
      <c r="O87" s="1862">
        <f t="shared" si="19"/>
        <v>6.8665799999999999E-2</v>
      </c>
      <c r="P87" s="1862" t="str">
        <f t="shared" si="20"/>
        <v/>
      </c>
      <c r="Q87" s="1861" t="str">
        <f t="shared" si="21"/>
        <v/>
      </c>
      <c r="S87" s="1860"/>
    </row>
    <row r="88" spans="1:19" x14ac:dyDescent="0.35">
      <c r="A88" s="378" t="s">
        <v>848</v>
      </c>
      <c r="B88" s="1866" t="str">
        <f>+TableA1!A88</f>
        <v>Panama</v>
      </c>
      <c r="C88" s="1823">
        <f t="shared" si="13"/>
        <v>4.9029684997175886</v>
      </c>
      <c r="D88" s="1823">
        <f t="shared" si="14"/>
        <v>4.6619983642402885E-2</v>
      </c>
      <c r="E88" s="1862">
        <v>10.2681</v>
      </c>
      <c r="F88" s="1862">
        <f>+IFERROR(IFERROR(IFERROR(VLOOKUP(B88,'[1]Eurostat Fats'!$P$93:$X$125,9,0)/1000,VLOOKUP(B88,'[1]OECD FATS'!A:K,10,0)/1000),VLOOKUP(A88,'[1]World Bank Data Labor Force'!D:P,13,0)),"")</f>
        <v>1079.8839235576218</v>
      </c>
      <c r="G88" s="1865">
        <f>+IFERROR(IFERROR(VLOOKUP(A88,[1]UNimputedcapitalstock2015!A:G,7,0),VLOOKUP('Table E1'!B88,'[1]Penn World Tables'!I:AN,3,0)),"")</f>
        <v>50.344170851950174</v>
      </c>
      <c r="H88" s="1823">
        <f t="shared" si="15"/>
        <v>4.5942299999999996</v>
      </c>
      <c r="I88" s="1823">
        <f t="shared" si="16"/>
        <v>0.29853202215285468</v>
      </c>
      <c r="J88" s="1864">
        <v>1.9793235988718809</v>
      </c>
      <c r="K88" s="1864">
        <f>+IFERROR(IFERROR(IFERROR(VLOOKUP(B88,'[1]Eurostat Fats'!$P$134:$X$166,9,0)/1000,VLOOKUP(B88,'[1]OECD FATS'!M:V,10,0)/1000),VLOOKUP(B88,'[1]CBC- IRS'!A:O,15,0)*L88),"")</f>
        <v>30.460611200325818</v>
      </c>
      <c r="L88" s="1863">
        <f>IFERROR(VLOOKUP(B88,'[1]Eurostat Fats'!P:AB,13,0)*G88,IFERROR(VLOOKUP(B88,'[5]Main data'!$A:$C,3,0)*J88,""))</f>
        <v>9.0934678576451606</v>
      </c>
      <c r="M88" s="1823">
        <f t="shared" si="17"/>
        <v>4.9766939048676369</v>
      </c>
      <c r="N88" s="1823">
        <f t="shared" si="18"/>
        <v>3.9307972777586277E-2</v>
      </c>
      <c r="O88" s="1862">
        <f t="shared" si="19"/>
        <v>8.2887764011281195</v>
      </c>
      <c r="P88" s="1862">
        <f t="shared" si="20"/>
        <v>1049.423312357296</v>
      </c>
      <c r="Q88" s="1861">
        <f t="shared" si="21"/>
        <v>41.250702994305016</v>
      </c>
      <c r="S88" s="1860"/>
    </row>
    <row r="89" spans="1:19" x14ac:dyDescent="0.35">
      <c r="A89" s="378" t="s">
        <v>847</v>
      </c>
      <c r="B89" s="1866" t="s">
        <v>290</v>
      </c>
      <c r="C89" s="1823">
        <f t="shared" si="13"/>
        <v>4.3912528815495406</v>
      </c>
      <c r="D89" s="1823">
        <f t="shared" si="14"/>
        <v>0.14792782283040815</v>
      </c>
      <c r="E89" s="1862">
        <v>23.088800000000003</v>
      </c>
      <c r="F89" s="1862">
        <f>+IFERROR(IFERROR(IFERROR(VLOOKUP(B89,'[1]Eurostat Fats'!$P$93:$X$125,9,0)/1000,VLOOKUP(B89,'[1]OECD FATS'!A:K,10,0)/1000),VLOOKUP(A89,'[1]World Bank Data Labor Force'!D:P,13,0)),"")</f>
        <v>685.39344114973017</v>
      </c>
      <c r="G89" s="1865">
        <f>+L89+Q89</f>
        <v>101.38875953152105</v>
      </c>
      <c r="H89" s="1823">
        <f t="shared" si="15"/>
        <v>6.2435226334310059</v>
      </c>
      <c r="I89" s="1823">
        <f t="shared" si="16"/>
        <v>0.24695258440129056</v>
      </c>
      <c r="J89" s="1864">
        <v>2.5626558818459046</v>
      </c>
      <c r="K89" s="1864">
        <f>+IFERROR(IFERROR(IFERROR(VLOOKUP(B89,'[1]Eurostat Fats'!$P$134:$X$166,9,0)/1000,VLOOKUP(B89,'[1]OECD FATS'!M:V,10,0)/1000),VLOOKUP(B89,'[1]CBC- IRS'!A:O,15,0)*L89),"")</f>
        <v>64.789765366457871</v>
      </c>
      <c r="L89" s="1863">
        <v>16</v>
      </c>
      <c r="M89" s="1823">
        <v>4.16</v>
      </c>
      <c r="N89" s="1823">
        <f t="shared" si="18"/>
        <v>0.13758983851288142</v>
      </c>
      <c r="O89" s="1862">
        <f t="shared" si="19"/>
        <v>20.526144118154097</v>
      </c>
      <c r="P89" s="1862">
        <f>+IFERROR(IF(AND(F89&gt;0,K89&gt;0),F89-K89,""),"")</f>
        <v>620.60367578327225</v>
      </c>
      <c r="Q89" s="1861">
        <f>+O89*M89</f>
        <v>85.388759531521046</v>
      </c>
      <c r="R89" s="1852"/>
      <c r="S89" s="1860"/>
    </row>
    <row r="90" spans="1:19" ht="40" customHeight="1" x14ac:dyDescent="0.35">
      <c r="A90" s="1852" t="e">
        <v>#REF!</v>
      </c>
      <c r="B90" s="1859" t="s">
        <v>498</v>
      </c>
      <c r="C90" s="1855"/>
      <c r="D90" s="1855"/>
      <c r="E90" s="1857"/>
      <c r="F90" s="1857"/>
      <c r="G90" s="1858"/>
      <c r="H90" s="1855"/>
      <c r="I90" s="1855"/>
      <c r="J90" s="1857"/>
      <c r="K90" s="1857"/>
      <c r="L90" s="1856"/>
      <c r="M90" s="1855"/>
      <c r="N90" s="1855"/>
      <c r="O90" s="1854"/>
      <c r="P90" s="1854"/>
      <c r="Q90" s="1853"/>
      <c r="R90" s="1852"/>
    </row>
    <row r="91" spans="1:19" ht="40" customHeight="1" thickBot="1" x14ac:dyDescent="0.4">
      <c r="A91" s="1852" t="e">
        <v>#REF!</v>
      </c>
      <c r="B91" s="1851" t="s">
        <v>499</v>
      </c>
      <c r="C91" s="1818"/>
      <c r="D91" s="1818"/>
      <c r="E91" s="1849"/>
      <c r="F91" s="1849"/>
      <c r="G91" s="1850"/>
      <c r="H91" s="1818"/>
      <c r="I91" s="1818"/>
      <c r="J91" s="1849"/>
      <c r="K91" s="1849"/>
      <c r="L91" s="1848"/>
      <c r="M91" s="1818"/>
      <c r="N91" s="1818"/>
      <c r="O91" s="1847"/>
      <c r="P91" s="1847"/>
      <c r="Q91" s="1846"/>
    </row>
    <row r="92" spans="1:19" ht="18" customHeight="1" x14ac:dyDescent="0.35">
      <c r="A92" s="378" t="e">
        <v>#REF!</v>
      </c>
      <c r="B92" s="1845"/>
      <c r="C92" s="1844"/>
      <c r="D92" s="1844"/>
      <c r="E92" s="1844"/>
      <c r="F92" s="1844"/>
      <c r="G92" s="1844"/>
      <c r="H92" s="1844"/>
      <c r="I92" s="1844"/>
      <c r="J92" s="1844"/>
      <c r="K92" s="1844"/>
      <c r="L92" s="1844"/>
      <c r="M92" s="1843"/>
      <c r="N92" s="1843"/>
      <c r="O92" s="1842"/>
      <c r="P92" s="1842"/>
      <c r="Q92" s="1841"/>
    </row>
    <row r="93" spans="1:19" s="1837" customFormat="1" ht="16" thickBot="1" x14ac:dyDescent="0.4">
      <c r="A93" s="378" t="e">
        <v>#REF!</v>
      </c>
      <c r="B93" s="1840"/>
      <c r="C93" s="1836"/>
      <c r="D93" s="1836"/>
      <c r="E93" s="1836"/>
      <c r="F93" s="1836"/>
      <c r="G93" s="1836"/>
      <c r="H93" s="1836"/>
      <c r="I93" s="1836"/>
      <c r="J93" s="1836"/>
      <c r="K93" s="1836"/>
      <c r="L93" s="1836"/>
      <c r="M93" s="1836"/>
      <c r="N93" s="1836"/>
      <c r="O93" s="1836"/>
      <c r="P93" s="1836"/>
      <c r="Q93" s="1839"/>
      <c r="R93" s="378"/>
    </row>
    <row r="94" spans="1:19" s="1837" customFormat="1" ht="66" customHeight="1" thickBot="1" x14ac:dyDescent="0.4">
      <c r="A94" s="378"/>
      <c r="B94" s="2531" t="s">
        <v>932</v>
      </c>
      <c r="C94" s="2532"/>
      <c r="D94" s="2532"/>
      <c r="E94" s="2532"/>
      <c r="F94" s="2532"/>
      <c r="G94" s="2532"/>
      <c r="H94" s="2532"/>
      <c r="I94" s="2532"/>
      <c r="J94" s="2532"/>
      <c r="K94" s="2532"/>
      <c r="L94" s="2532"/>
      <c r="M94" s="2532"/>
      <c r="N94" s="2532"/>
      <c r="O94" s="2532"/>
      <c r="P94" s="2532"/>
      <c r="Q94" s="2533"/>
      <c r="R94" s="378"/>
    </row>
    <row r="95" spans="1:19" s="1837" customFormat="1" x14ac:dyDescent="0.35">
      <c r="A95" s="378"/>
      <c r="B95" s="1836"/>
      <c r="C95" s="1836"/>
      <c r="D95" s="1836"/>
      <c r="E95" s="1836"/>
      <c r="F95" s="1836"/>
      <c r="G95" s="1836"/>
      <c r="H95" s="1836"/>
      <c r="I95" s="1836"/>
      <c r="J95" s="1836"/>
      <c r="K95" s="1836"/>
      <c r="L95" s="1836"/>
      <c r="M95" s="1836"/>
      <c r="N95" s="1836"/>
      <c r="O95" s="1836"/>
      <c r="P95" s="1836"/>
      <c r="R95" s="378"/>
    </row>
    <row r="96" spans="1:19" s="1837" customFormat="1" x14ac:dyDescent="0.35">
      <c r="A96" s="378"/>
      <c r="B96" s="1836"/>
      <c r="C96" s="1836"/>
      <c r="D96" s="1836"/>
      <c r="E96" s="1836"/>
      <c r="F96" s="1836"/>
      <c r="G96" s="1836"/>
      <c r="H96" s="1836"/>
      <c r="I96" s="1836"/>
      <c r="J96" s="1836"/>
      <c r="K96" s="1836"/>
      <c r="L96" s="1836"/>
      <c r="M96" s="1836"/>
      <c r="N96" s="1836"/>
      <c r="O96" s="1836"/>
      <c r="P96" s="1836"/>
      <c r="R96" s="378"/>
    </row>
    <row r="97" spans="1:18" s="1837" customFormat="1" x14ac:dyDescent="0.35">
      <c r="A97" s="378"/>
      <c r="B97" s="1836"/>
      <c r="C97" s="1836"/>
      <c r="D97" s="1836"/>
      <c r="E97" s="1836"/>
      <c r="F97" s="1836"/>
      <c r="G97" s="1836"/>
      <c r="H97" s="1836"/>
      <c r="I97" s="1836"/>
      <c r="J97" s="1836"/>
      <c r="K97" s="1836"/>
      <c r="L97" s="1836"/>
      <c r="M97" s="1836"/>
      <c r="N97" s="1836"/>
      <c r="O97" s="1836"/>
      <c r="P97" s="1836"/>
      <c r="R97" s="378"/>
    </row>
    <row r="98" spans="1:18" s="1837" customFormat="1" x14ac:dyDescent="0.35">
      <c r="A98" s="378"/>
      <c r="B98" s="1836"/>
      <c r="C98" s="1836"/>
      <c r="D98" s="1836"/>
      <c r="E98" s="1836"/>
      <c r="F98" s="1836"/>
      <c r="G98" s="1836"/>
      <c r="H98" s="1836"/>
      <c r="I98" s="1836"/>
      <c r="J98" s="1836"/>
      <c r="K98" s="1836"/>
      <c r="L98" s="1836"/>
      <c r="M98" s="1836"/>
      <c r="N98" s="1836"/>
      <c r="O98" s="1836"/>
      <c r="P98" s="1836"/>
      <c r="R98" s="378"/>
    </row>
    <row r="99" spans="1:18" x14ac:dyDescent="0.35">
      <c r="B99" s="1838"/>
    </row>
    <row r="100" spans="1:18" s="1837" customFormat="1" x14ac:dyDescent="0.35">
      <c r="A100" s="378"/>
      <c r="B100" s="1836"/>
      <c r="C100" s="1836"/>
      <c r="D100" s="1836"/>
      <c r="E100" s="1836"/>
      <c r="F100" s="1836"/>
      <c r="G100" s="1836"/>
      <c r="H100" s="1836"/>
      <c r="I100" s="1836"/>
      <c r="J100" s="1836"/>
      <c r="K100" s="1836"/>
      <c r="L100" s="1836"/>
      <c r="M100" s="1836"/>
      <c r="N100" s="1836"/>
      <c r="O100" s="1836"/>
      <c r="P100" s="1836"/>
      <c r="R100" s="378"/>
    </row>
  </sheetData>
  <mergeCells count="11">
    <mergeCell ref="N7:N8"/>
    <mergeCell ref="B94:Q94"/>
    <mergeCell ref="B3:Q3"/>
    <mergeCell ref="C7:C8"/>
    <mergeCell ref="H7:H8"/>
    <mergeCell ref="M7:M8"/>
    <mergeCell ref="C6:G6"/>
    <mergeCell ref="H6:L6"/>
    <mergeCell ref="M6:Q6"/>
    <mergeCell ref="D7:D8"/>
    <mergeCell ref="I7:I8"/>
  </mergeCells>
  <pageMargins left="0.75" right="0.75" top="1" bottom="1" header="0.5" footer="0.5"/>
  <pageSetup scale="63" fitToHeight="2" orientation="portrait" horizontalDpi="4294967292" verticalDpi="429496729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N96"/>
  <sheetViews>
    <sheetView zoomScale="94" workbookViewId="0">
      <selection activeCell="B7" sqref="B7"/>
    </sheetView>
  </sheetViews>
  <sheetFormatPr baseColWidth="10" defaultColWidth="10.81640625" defaultRowHeight="15.5" x14ac:dyDescent="0.35"/>
  <cols>
    <col min="1" max="1" width="18.81640625" style="1813" bestFit="1" customWidth="1"/>
    <col min="2" max="7" width="16.36328125" style="1813" customWidth="1"/>
    <col min="8" max="8" width="21.1796875" style="1813" bestFit="1" customWidth="1"/>
    <col min="9" max="16384" width="10.81640625" style="1813"/>
  </cols>
  <sheetData>
    <row r="1" spans="1:14" ht="16" thickBot="1" x14ac:dyDescent="0.4"/>
    <row r="2" spans="1:14" x14ac:dyDescent="0.35">
      <c r="A2" s="2543" t="s">
        <v>941</v>
      </c>
      <c r="B2" s="2544"/>
      <c r="C2" s="2544"/>
      <c r="D2" s="2544"/>
      <c r="E2" s="2544"/>
      <c r="F2" s="2544"/>
      <c r="G2" s="2544"/>
      <c r="H2" s="2545"/>
    </row>
    <row r="3" spans="1:14" x14ac:dyDescent="0.35">
      <c r="A3" s="2546"/>
      <c r="B3" s="2547"/>
      <c r="C3" s="2547"/>
      <c r="D3" s="2547"/>
      <c r="E3" s="2547"/>
      <c r="F3" s="2547"/>
      <c r="G3" s="2547"/>
      <c r="H3" s="2548"/>
    </row>
    <row r="4" spans="1:14" ht="20" x14ac:dyDescent="0.4">
      <c r="A4" s="1835"/>
      <c r="B4" s="1898" t="s">
        <v>20</v>
      </c>
      <c r="C4" s="1898" t="s">
        <v>21</v>
      </c>
      <c r="D4" s="1898" t="s">
        <v>22</v>
      </c>
      <c r="E4" s="1898" t="s">
        <v>23</v>
      </c>
      <c r="F4" s="1898" t="s">
        <v>24</v>
      </c>
      <c r="G4" s="1898" t="s">
        <v>25</v>
      </c>
      <c r="H4" s="1834" t="s">
        <v>26</v>
      </c>
      <c r="K4" s="1897"/>
      <c r="L4" s="1897"/>
      <c r="M4" s="1897"/>
    </row>
    <row r="5" spans="1:14" x14ac:dyDescent="0.35">
      <c r="A5" s="1833"/>
      <c r="B5" s="2542" t="s">
        <v>846</v>
      </c>
      <c r="C5" s="2542"/>
      <c r="D5" s="2542"/>
      <c r="E5" s="2541" t="s">
        <v>845</v>
      </c>
      <c r="F5" s="2541"/>
      <c r="G5" s="2541"/>
      <c r="H5" s="1832" t="s">
        <v>844</v>
      </c>
      <c r="K5" s="1897"/>
      <c r="L5" s="1897"/>
      <c r="M5" s="1897"/>
    </row>
    <row r="6" spans="1:14" x14ac:dyDescent="0.35">
      <c r="A6" s="1831"/>
      <c r="B6" s="1830" t="s">
        <v>841</v>
      </c>
      <c r="C6" s="1828" t="s">
        <v>843</v>
      </c>
      <c r="D6" s="1827" t="s">
        <v>842</v>
      </c>
      <c r="E6" s="1829" t="s">
        <v>841</v>
      </c>
      <c r="F6" s="1828" t="s">
        <v>843</v>
      </c>
      <c r="G6" s="1827" t="s">
        <v>842</v>
      </c>
      <c r="H6" s="1826" t="s">
        <v>841</v>
      </c>
      <c r="K6" s="1897"/>
      <c r="L6" s="1897"/>
      <c r="M6" s="1897"/>
    </row>
    <row r="7" spans="1:14" x14ac:dyDescent="0.35">
      <c r="A7" s="1824" t="s">
        <v>840</v>
      </c>
      <c r="B7" s="1899">
        <f>+D7/C7</f>
        <v>3.0527454726222341</v>
      </c>
      <c r="C7" s="1900">
        <f>+'Table E1'!J9+'Table E1'!J45+'Table E1'!J60+'Table E1'!J62+'Table E1'!J67+'Table E1'!J72+'Table E1'!J83+'Table E1'!J77+'Table E1'!J88+'Table E1'!J89</f>
        <v>2770.3084214166402</v>
      </c>
      <c r="D7" s="1825">
        <f>+'Table E1'!L9+'Table E1'!L45+'Table E1'!L60+'Table E1'!L62+'Table E1'!L67+'Table E1'!L72+'Table E1'!L83+'Table E1'!L77+'Table E1'!L88+'Table E1'!L89</f>
        <v>8457.046491246896</v>
      </c>
      <c r="E7" s="1822">
        <f>+G7/F7</f>
        <v>2.8110776622283749</v>
      </c>
      <c r="F7" s="1900">
        <f>+'Table E1'!O9+'Table E1'!O45+'Table E1'!O60+'Table E1'!O62+'Table E1'!O67+'Table E1'!O72+'Table E1'!O83+'Table E1'!O77+'Table E1'!O88+'Table E1'!O89</f>
        <v>17513.180188482173</v>
      </c>
      <c r="G7" s="1825">
        <f>+'Table E1'!Q9+'Table E1'!Q45+'Table E1'!Q60+'Table E1'!Q62+'Table E1'!Q67+'Table E1'!Q72+'Table E1'!Q83+'Table E1'!Q77+'Table E1'!Q88+'Table E1'!Q89</f>
        <v>49230.909622422754</v>
      </c>
      <c r="H7" s="1820">
        <f>+B7/E7</f>
        <v>1.0859698092447172</v>
      </c>
      <c r="K7" s="1897"/>
      <c r="L7" s="1897"/>
      <c r="M7" s="1897"/>
    </row>
    <row r="8" spans="1:14" x14ac:dyDescent="0.35">
      <c r="A8" s="1824" t="s">
        <v>268</v>
      </c>
      <c r="B8" s="1899">
        <f>+D8/C8</f>
        <v>2.4524009228573944</v>
      </c>
      <c r="C8" s="1901">
        <f>+'Table E1'!J12+'Table E1'!J24++'Table E1'!J30+'Table E1'!J41+'Table E1'!J32+'Table E1'!J60+'Table E1'!J62+'Table E1'!J72+'Table E1'!J77+'Table E1'!J83+'Table E1'!J88+'Table E1'!J89</f>
        <v>241.63390424752185</v>
      </c>
      <c r="D8" s="1821">
        <f>+'Table E1'!L12+'Table E1'!L24++'Table E1'!L30+'Table E1'!L41+'Table E1'!L32+'Table E1'!L60+'Table E1'!L62+'Table E1'!L67+'Table E1'!L72+'Table E1'!L77+'Table E1'!L83+'Table E1'!L88+'Table E1'!L89</f>
        <v>592.58320977025789</v>
      </c>
      <c r="E8" s="1822">
        <f>+G8/F8</f>
        <v>2.708681523099028</v>
      </c>
      <c r="F8" s="1901">
        <f>+'Table E1'!O12+'Table E1'!O24++'Table E1'!O30+'Table E1'!O41+'Table E1'!O32+'Table E1'!O60+'Table E1'!O62+'Table E1'!O72+'Table E1'!O77+'Table E1'!O83+'Table E1'!O88+'Table E1'!O89</f>
        <v>871.07808662809578</v>
      </c>
      <c r="G8" s="1821">
        <f>+'Table E1'!Q12+'Table E1'!Q24++'Table E1'!Q30+'Table E1'!Q41+'Table E1'!Q32+'Table E1'!Q60+'Table E1'!Q62+'Table E1'!Q67+'Table E1'!Q72+'Table E1'!Q77+'Table E1'!Q83+'Table E1'!Q88+'Table E1'!Q89</f>
        <v>2359.4731184259776</v>
      </c>
      <c r="H8" s="1820">
        <f>+B8/E8</f>
        <v>0.90538548070117131</v>
      </c>
      <c r="K8" s="1897"/>
      <c r="L8" s="1897"/>
      <c r="M8" s="1897"/>
    </row>
    <row r="9" spans="1:14" ht="16" thickBot="1" x14ac:dyDescent="0.4">
      <c r="A9" s="1819" t="s">
        <v>631</v>
      </c>
      <c r="B9" s="1818">
        <f>+D9/C9</f>
        <v>3.1101129180836606</v>
      </c>
      <c r="C9" s="1816">
        <f>+C7-C8</f>
        <v>2528.6745171691182</v>
      </c>
      <c r="D9" s="1815">
        <f>+D7-D8</f>
        <v>7864.4632814766383</v>
      </c>
      <c r="E9" s="1817">
        <f>+G9/F9</f>
        <v>2.8164372635819173</v>
      </c>
      <c r="F9" s="1816">
        <f>+F7-F8</f>
        <v>16642.102101854078</v>
      </c>
      <c r="G9" s="1815">
        <f>+G7-G8</f>
        <v>46871.436503996774</v>
      </c>
      <c r="H9" s="1814">
        <f>+B9/E9</f>
        <v>1.1042720384008304</v>
      </c>
      <c r="K9" s="1897"/>
      <c r="L9" s="1897"/>
      <c r="M9" s="1897"/>
    </row>
    <row r="10" spans="1:14" x14ac:dyDescent="0.35">
      <c r="G10" s="1897"/>
      <c r="H10" s="1897"/>
      <c r="I10" s="1897"/>
      <c r="J10" s="1897"/>
      <c r="K10" s="1897"/>
      <c r="L10" s="1897"/>
      <c r="M10" s="1897"/>
      <c r="N10" s="1897"/>
    </row>
    <row r="11" spans="1:14" x14ac:dyDescent="0.35">
      <c r="G11" s="1897"/>
      <c r="H11" s="1897"/>
      <c r="I11" s="1897"/>
      <c r="J11" s="1897"/>
      <c r="K11" s="1897"/>
      <c r="L11" s="1897"/>
      <c r="M11" s="1897"/>
      <c r="N11" s="1897"/>
    </row>
    <row r="12" spans="1:14" x14ac:dyDescent="0.35">
      <c r="G12" s="1897"/>
      <c r="H12" s="1897"/>
      <c r="I12" s="1897"/>
      <c r="J12" s="1897"/>
      <c r="K12" s="1897"/>
      <c r="L12" s="1897"/>
      <c r="M12" s="1897"/>
      <c r="N12" s="1897"/>
    </row>
    <row r="13" spans="1:14" x14ac:dyDescent="0.35">
      <c r="G13" s="1897"/>
      <c r="H13" s="1897"/>
      <c r="I13" s="1897"/>
      <c r="J13" s="1897"/>
      <c r="K13" s="1897"/>
      <c r="L13" s="1897"/>
      <c r="M13" s="1897"/>
      <c r="N13" s="1897"/>
    </row>
    <row r="14" spans="1:14" x14ac:dyDescent="0.35">
      <c r="G14" s="1897"/>
      <c r="H14" s="1897"/>
      <c r="I14" s="1897"/>
      <c r="J14" s="1897"/>
      <c r="K14" s="1897"/>
      <c r="L14" s="1897"/>
      <c r="M14" s="1897"/>
      <c r="N14" s="1897"/>
    </row>
    <row r="15" spans="1:14" x14ac:dyDescent="0.35">
      <c r="G15" s="1897"/>
      <c r="H15" s="1897"/>
      <c r="I15" s="1897"/>
      <c r="J15" s="1897"/>
      <c r="K15" s="1897"/>
      <c r="L15" s="1897"/>
      <c r="M15" s="1897"/>
      <c r="N15" s="1897"/>
    </row>
    <row r="16" spans="1:14" x14ac:dyDescent="0.35">
      <c r="G16" s="1897"/>
      <c r="H16" s="1897"/>
      <c r="I16" s="1897"/>
      <c r="J16" s="1897"/>
      <c r="K16" s="1897"/>
      <c r="L16" s="1897"/>
      <c r="M16" s="1897"/>
      <c r="N16" s="1897"/>
    </row>
    <row r="17" spans="7:14" x14ac:dyDescent="0.35">
      <c r="G17" s="1897"/>
      <c r="H17" s="1897"/>
      <c r="I17" s="1897"/>
      <c r="J17" s="1897"/>
      <c r="K17" s="1897"/>
      <c r="L17" s="1897"/>
      <c r="M17" s="1897"/>
      <c r="N17" s="1897"/>
    </row>
    <row r="18" spans="7:14" x14ac:dyDescent="0.35">
      <c r="G18" s="1897"/>
      <c r="H18" s="1897"/>
      <c r="I18" s="1897"/>
      <c r="J18" s="1897"/>
      <c r="K18" s="1897"/>
      <c r="L18" s="1897"/>
      <c r="M18" s="1897"/>
      <c r="N18" s="1897"/>
    </row>
    <row r="19" spans="7:14" x14ac:dyDescent="0.35">
      <c r="G19" s="1897"/>
      <c r="H19" s="1897"/>
      <c r="I19" s="1897"/>
      <c r="J19" s="1897"/>
      <c r="K19" s="1897"/>
      <c r="L19" s="1897"/>
      <c r="M19" s="1897"/>
      <c r="N19" s="1897"/>
    </row>
    <row r="20" spans="7:14" x14ac:dyDescent="0.35">
      <c r="G20" s="1897"/>
      <c r="H20" s="1897"/>
      <c r="I20" s="1897"/>
      <c r="J20" s="1897"/>
      <c r="K20" s="1897"/>
      <c r="L20" s="1897"/>
      <c r="M20" s="1897"/>
      <c r="N20" s="1897"/>
    </row>
    <row r="21" spans="7:14" x14ac:dyDescent="0.35">
      <c r="G21" s="1897"/>
      <c r="H21" s="1897"/>
      <c r="I21" s="1897"/>
      <c r="J21" s="1897"/>
      <c r="K21" s="1897"/>
      <c r="L21" s="1897"/>
      <c r="M21" s="1897"/>
      <c r="N21" s="1897"/>
    </row>
    <row r="22" spans="7:14" x14ac:dyDescent="0.35">
      <c r="G22" s="1897"/>
      <c r="H22" s="1897"/>
      <c r="I22" s="1897"/>
      <c r="J22" s="1897"/>
      <c r="K22" s="1897"/>
      <c r="L22" s="1897"/>
      <c r="M22" s="1897"/>
      <c r="N22" s="1897"/>
    </row>
    <row r="23" spans="7:14" x14ac:dyDescent="0.35">
      <c r="G23" s="1897"/>
      <c r="H23" s="1897"/>
      <c r="I23" s="1897"/>
      <c r="J23" s="1897"/>
      <c r="K23" s="1897"/>
      <c r="L23" s="1897"/>
      <c r="M23" s="1897"/>
      <c r="N23" s="1897"/>
    </row>
    <row r="24" spans="7:14" x14ac:dyDescent="0.35">
      <c r="G24" s="1897"/>
      <c r="H24" s="1897"/>
      <c r="I24" s="1897"/>
      <c r="J24" s="1897"/>
      <c r="K24" s="1897"/>
      <c r="L24" s="1897"/>
      <c r="M24" s="1897"/>
      <c r="N24" s="1897"/>
    </row>
    <row r="25" spans="7:14" x14ac:dyDescent="0.35">
      <c r="G25" s="1897"/>
      <c r="H25" s="1897"/>
      <c r="I25" s="1897"/>
      <c r="J25" s="1897"/>
      <c r="K25" s="1897"/>
      <c r="L25" s="1897"/>
      <c r="M25" s="1897"/>
      <c r="N25" s="1897"/>
    </row>
    <row r="26" spans="7:14" x14ac:dyDescent="0.35">
      <c r="G26" s="1897"/>
      <c r="H26" s="1897"/>
      <c r="I26" s="1897"/>
      <c r="J26" s="1897"/>
      <c r="K26" s="1897"/>
      <c r="L26" s="1897"/>
      <c r="M26" s="1897"/>
      <c r="N26" s="1897"/>
    </row>
    <row r="27" spans="7:14" x14ac:dyDescent="0.35">
      <c r="G27" s="1897"/>
      <c r="H27" s="1897"/>
      <c r="I27" s="1897"/>
      <c r="J27" s="1897"/>
      <c r="K27" s="1897"/>
      <c r="L27" s="1897"/>
      <c r="M27" s="1897"/>
      <c r="N27" s="1897"/>
    </row>
    <row r="28" spans="7:14" x14ac:dyDescent="0.35">
      <c r="G28" s="1897"/>
      <c r="H28" s="1897"/>
      <c r="I28" s="1897"/>
      <c r="J28" s="1897"/>
      <c r="K28" s="1897"/>
      <c r="L28" s="1897"/>
      <c r="M28" s="1897"/>
      <c r="N28" s="1897"/>
    </row>
    <row r="29" spans="7:14" x14ac:dyDescent="0.35">
      <c r="G29" s="1897"/>
      <c r="H29" s="1897"/>
      <c r="I29" s="1897"/>
      <c r="J29" s="1897"/>
      <c r="K29" s="1897"/>
      <c r="L29" s="1897"/>
      <c r="M29" s="1897"/>
      <c r="N29" s="1897"/>
    </row>
    <row r="30" spans="7:14" x14ac:dyDescent="0.35">
      <c r="G30" s="1897"/>
      <c r="H30" s="1897"/>
      <c r="I30" s="1897"/>
      <c r="J30" s="1897"/>
      <c r="K30" s="1897"/>
      <c r="L30" s="1897"/>
      <c r="M30" s="1897"/>
      <c r="N30" s="1897"/>
    </row>
    <row r="31" spans="7:14" x14ac:dyDescent="0.35">
      <c r="G31" s="1897"/>
      <c r="H31" s="1897"/>
      <c r="I31" s="1897"/>
      <c r="J31" s="1897"/>
      <c r="K31" s="1897"/>
      <c r="L31" s="1897"/>
      <c r="M31" s="1897"/>
      <c r="N31" s="1897"/>
    </row>
    <row r="32" spans="7:14" x14ac:dyDescent="0.35">
      <c r="G32" s="1897"/>
      <c r="H32" s="1897"/>
      <c r="I32" s="1897"/>
      <c r="J32" s="1897"/>
      <c r="K32" s="1897"/>
      <c r="L32" s="1897"/>
      <c r="M32" s="1897"/>
      <c r="N32" s="1897"/>
    </row>
    <row r="33" spans="7:14" x14ac:dyDescent="0.35">
      <c r="G33" s="1897"/>
      <c r="H33" s="1897"/>
      <c r="I33" s="1897"/>
      <c r="J33" s="1897"/>
      <c r="K33" s="1897"/>
      <c r="L33" s="1897"/>
      <c r="M33" s="1897"/>
      <c r="N33" s="1897"/>
    </row>
    <row r="34" spans="7:14" x14ac:dyDescent="0.35">
      <c r="G34" s="1897"/>
      <c r="H34" s="1897"/>
      <c r="I34" s="1897"/>
      <c r="J34" s="1897"/>
      <c r="K34" s="1897"/>
      <c r="L34" s="1897"/>
      <c r="M34" s="1897"/>
      <c r="N34" s="1897"/>
    </row>
    <row r="35" spans="7:14" x14ac:dyDescent="0.35">
      <c r="G35" s="1897"/>
      <c r="H35" s="1897"/>
      <c r="I35" s="1897"/>
      <c r="J35" s="1897"/>
      <c r="K35" s="1897"/>
      <c r="L35" s="1897"/>
      <c r="M35" s="1897"/>
      <c r="N35" s="1897"/>
    </row>
    <row r="36" spans="7:14" x14ac:dyDescent="0.35">
      <c r="G36" s="1897"/>
      <c r="H36" s="1897"/>
      <c r="I36" s="1897"/>
      <c r="J36" s="1897"/>
      <c r="K36" s="1897"/>
      <c r="L36" s="1897"/>
      <c r="M36" s="1897"/>
      <c r="N36" s="1897"/>
    </row>
    <row r="37" spans="7:14" x14ac:dyDescent="0.35">
      <c r="G37" s="1897"/>
      <c r="H37" s="1897"/>
      <c r="I37" s="1897"/>
      <c r="J37" s="1897"/>
      <c r="K37" s="1897"/>
      <c r="L37" s="1897"/>
      <c r="M37" s="1897"/>
      <c r="N37" s="1897"/>
    </row>
    <row r="38" spans="7:14" x14ac:dyDescent="0.35">
      <c r="G38" s="1897"/>
      <c r="H38" s="1897"/>
      <c r="I38" s="1897"/>
      <c r="J38" s="1897"/>
      <c r="K38" s="1897"/>
      <c r="L38" s="1897"/>
      <c r="M38" s="1897"/>
      <c r="N38" s="1897"/>
    </row>
    <row r="39" spans="7:14" x14ac:dyDescent="0.35">
      <c r="G39" s="1897"/>
      <c r="H39" s="1897"/>
      <c r="I39" s="1897"/>
      <c r="J39" s="1897"/>
      <c r="K39" s="1897"/>
      <c r="L39" s="1897"/>
      <c r="M39" s="1897"/>
      <c r="N39" s="1897"/>
    </row>
    <row r="40" spans="7:14" x14ac:dyDescent="0.35">
      <c r="G40" s="1897"/>
      <c r="H40" s="1897"/>
      <c r="I40" s="1897"/>
      <c r="J40" s="1897"/>
      <c r="K40" s="1897"/>
      <c r="L40" s="1897"/>
      <c r="M40" s="1897"/>
      <c r="N40" s="1897"/>
    </row>
    <row r="41" spans="7:14" x14ac:dyDescent="0.35">
      <c r="G41" s="1897"/>
      <c r="H41" s="1897"/>
      <c r="I41" s="1897"/>
      <c r="J41" s="1897"/>
      <c r="K41" s="1897"/>
      <c r="L41" s="1897"/>
      <c r="M41" s="1897"/>
      <c r="N41" s="1897"/>
    </row>
    <row r="42" spans="7:14" x14ac:dyDescent="0.35">
      <c r="G42" s="1897"/>
      <c r="H42" s="1897"/>
      <c r="I42" s="1897"/>
      <c r="J42" s="1897"/>
      <c r="K42" s="1897"/>
      <c r="L42" s="1897"/>
      <c r="M42" s="1897"/>
      <c r="N42" s="1897"/>
    </row>
    <row r="43" spans="7:14" x14ac:dyDescent="0.35">
      <c r="G43" s="1897"/>
      <c r="H43" s="1897"/>
      <c r="I43" s="1897"/>
      <c r="J43" s="1897"/>
      <c r="K43" s="1897"/>
      <c r="L43" s="1897"/>
      <c r="M43" s="1897"/>
      <c r="N43" s="1897"/>
    </row>
    <row r="44" spans="7:14" x14ac:dyDescent="0.35">
      <c r="G44" s="1897"/>
      <c r="H44" s="1897"/>
      <c r="I44" s="1897"/>
      <c r="J44" s="1897"/>
      <c r="K44" s="1897"/>
      <c r="L44" s="1897"/>
      <c r="M44" s="1897"/>
      <c r="N44" s="1897"/>
    </row>
    <row r="45" spans="7:14" x14ac:dyDescent="0.35">
      <c r="G45" s="1897"/>
      <c r="H45" s="1897"/>
      <c r="I45" s="1897"/>
      <c r="J45" s="1897"/>
      <c r="K45" s="1897"/>
      <c r="L45" s="1897"/>
      <c r="M45" s="1897"/>
      <c r="N45" s="1897"/>
    </row>
    <row r="46" spans="7:14" x14ac:dyDescent="0.35">
      <c r="G46" s="1897"/>
      <c r="H46" s="1897"/>
      <c r="I46" s="1897"/>
      <c r="J46" s="1897"/>
      <c r="K46" s="1897"/>
      <c r="L46" s="1897"/>
      <c r="M46" s="1897"/>
      <c r="N46" s="1897"/>
    </row>
    <row r="47" spans="7:14" x14ac:dyDescent="0.35">
      <c r="G47" s="1897"/>
      <c r="H47" s="1897"/>
      <c r="I47" s="1897"/>
      <c r="J47" s="1897"/>
      <c r="K47" s="1897"/>
      <c r="L47" s="1897"/>
      <c r="M47" s="1897"/>
      <c r="N47" s="1897"/>
    </row>
    <row r="48" spans="7:14" x14ac:dyDescent="0.35">
      <c r="G48" s="1897"/>
      <c r="H48" s="1897"/>
      <c r="I48" s="1897"/>
      <c r="J48" s="1897"/>
      <c r="K48" s="1897"/>
      <c r="L48" s="1897"/>
      <c r="M48" s="1897"/>
      <c r="N48" s="1897"/>
    </row>
    <row r="49" spans="7:14" x14ac:dyDescent="0.35">
      <c r="G49" s="1897"/>
      <c r="H49" s="1897"/>
      <c r="I49" s="1897"/>
      <c r="J49" s="1897"/>
      <c r="K49" s="1897"/>
      <c r="L49" s="1897"/>
      <c r="M49" s="1897"/>
      <c r="N49" s="1897"/>
    </row>
    <row r="50" spans="7:14" x14ac:dyDescent="0.35">
      <c r="G50" s="1897"/>
      <c r="H50" s="1897"/>
      <c r="I50" s="1897"/>
      <c r="J50" s="1897"/>
      <c r="K50" s="1897"/>
      <c r="L50" s="1897"/>
      <c r="M50" s="1897"/>
      <c r="N50" s="1897"/>
    </row>
    <row r="51" spans="7:14" x14ac:dyDescent="0.35">
      <c r="G51" s="1897"/>
      <c r="H51" s="1897"/>
      <c r="I51" s="1897"/>
      <c r="J51" s="1897"/>
      <c r="K51" s="1897"/>
      <c r="L51" s="1897"/>
      <c r="M51" s="1897"/>
      <c r="N51" s="1897"/>
    </row>
    <row r="52" spans="7:14" x14ac:dyDescent="0.35">
      <c r="G52" s="1897"/>
      <c r="H52" s="1897"/>
      <c r="I52" s="1897"/>
      <c r="J52" s="1897"/>
      <c r="K52" s="1897"/>
      <c r="L52" s="1897"/>
      <c r="M52" s="1897"/>
      <c r="N52" s="1897"/>
    </row>
    <row r="53" spans="7:14" x14ac:dyDescent="0.35">
      <c r="G53" s="1897"/>
      <c r="H53" s="1897"/>
      <c r="I53" s="1897"/>
      <c r="J53" s="1897"/>
      <c r="K53" s="1897"/>
      <c r="L53" s="1897"/>
      <c r="M53" s="1897"/>
      <c r="N53" s="1897"/>
    </row>
    <row r="54" spans="7:14" x14ac:dyDescent="0.35">
      <c r="G54" s="1897"/>
      <c r="H54" s="1897"/>
      <c r="I54" s="1897"/>
      <c r="J54" s="1897"/>
      <c r="K54" s="1897"/>
      <c r="L54" s="1897"/>
      <c r="M54" s="1897"/>
      <c r="N54" s="1897"/>
    </row>
    <row r="55" spans="7:14" x14ac:dyDescent="0.35">
      <c r="G55" s="1897"/>
      <c r="H55" s="1897"/>
      <c r="I55" s="1897"/>
      <c r="J55" s="1897"/>
      <c r="K55" s="1897"/>
      <c r="L55" s="1897"/>
      <c r="M55" s="1897"/>
      <c r="N55" s="1897"/>
    </row>
    <row r="56" spans="7:14" x14ac:dyDescent="0.35">
      <c r="G56" s="1897"/>
      <c r="H56" s="1897"/>
      <c r="I56" s="1897"/>
      <c r="J56" s="1897"/>
      <c r="K56" s="1897"/>
      <c r="L56" s="1897"/>
      <c r="M56" s="1897"/>
      <c r="N56" s="1897"/>
    </row>
    <row r="57" spans="7:14" x14ac:dyDescent="0.35">
      <c r="G57" s="1897"/>
      <c r="H57" s="1897"/>
      <c r="I57" s="1897"/>
      <c r="J57" s="1897"/>
      <c r="K57" s="1897"/>
      <c r="L57" s="1897"/>
      <c r="M57" s="1897"/>
      <c r="N57" s="1897"/>
    </row>
    <row r="58" spans="7:14" x14ac:dyDescent="0.35">
      <c r="G58" s="1897"/>
      <c r="H58" s="1897"/>
      <c r="I58" s="1897"/>
      <c r="J58" s="1897"/>
      <c r="K58" s="1897"/>
      <c r="L58" s="1897"/>
      <c r="M58" s="1897"/>
      <c r="N58" s="1897"/>
    </row>
    <row r="59" spans="7:14" x14ac:dyDescent="0.35">
      <c r="G59" s="1897"/>
      <c r="H59" s="1897"/>
      <c r="I59" s="1897"/>
      <c r="J59" s="1897"/>
      <c r="K59" s="1897"/>
      <c r="L59" s="1897"/>
      <c r="M59" s="1897"/>
      <c r="N59" s="1897"/>
    </row>
    <row r="60" spans="7:14" x14ac:dyDescent="0.35">
      <c r="G60" s="1897"/>
      <c r="H60" s="1897"/>
      <c r="I60" s="1897"/>
      <c r="J60" s="1897"/>
      <c r="K60" s="1897"/>
      <c r="L60" s="1897"/>
      <c r="M60" s="1897"/>
      <c r="N60" s="1897"/>
    </row>
    <row r="61" spans="7:14" x14ac:dyDescent="0.35">
      <c r="G61" s="1897"/>
      <c r="H61" s="1897"/>
      <c r="I61" s="1897"/>
      <c r="J61" s="1897"/>
      <c r="K61" s="1897"/>
      <c r="L61" s="1897"/>
      <c r="M61" s="1897"/>
      <c r="N61" s="1897"/>
    </row>
    <row r="62" spans="7:14" x14ac:dyDescent="0.35">
      <c r="G62" s="1897"/>
      <c r="H62" s="1897"/>
      <c r="I62" s="1897"/>
      <c r="J62" s="1897"/>
      <c r="K62" s="1897"/>
      <c r="L62" s="1897"/>
      <c r="M62" s="1897"/>
      <c r="N62" s="1897"/>
    </row>
    <row r="63" spans="7:14" x14ac:dyDescent="0.35">
      <c r="G63" s="1897"/>
      <c r="H63" s="1897"/>
      <c r="I63" s="1897"/>
      <c r="J63" s="1897"/>
      <c r="K63" s="1897"/>
      <c r="L63" s="1897"/>
      <c r="M63" s="1897"/>
      <c r="N63" s="1897"/>
    </row>
    <row r="64" spans="7:14" x14ac:dyDescent="0.35">
      <c r="G64" s="1897"/>
      <c r="H64" s="1897"/>
      <c r="I64" s="1897"/>
      <c r="J64" s="1897"/>
      <c r="K64" s="1897"/>
      <c r="L64" s="1897"/>
      <c r="M64" s="1897"/>
      <c r="N64" s="1897"/>
    </row>
    <row r="65" spans="7:14" x14ac:dyDescent="0.35">
      <c r="G65" s="1897"/>
      <c r="H65" s="1897"/>
      <c r="I65" s="1897"/>
      <c r="J65" s="1897"/>
      <c r="K65" s="1897"/>
      <c r="L65" s="1897"/>
      <c r="M65" s="1897"/>
      <c r="N65" s="1897"/>
    </row>
    <row r="66" spans="7:14" x14ac:dyDescent="0.35">
      <c r="G66" s="1897"/>
      <c r="H66" s="1897"/>
      <c r="I66" s="1897"/>
      <c r="J66" s="1897"/>
      <c r="K66" s="1897"/>
      <c r="L66" s="1897"/>
      <c r="M66" s="1897"/>
      <c r="N66" s="1897"/>
    </row>
    <row r="67" spans="7:14" x14ac:dyDescent="0.35">
      <c r="G67" s="1897"/>
      <c r="H67" s="1897"/>
      <c r="I67" s="1897"/>
      <c r="J67" s="1897"/>
      <c r="K67" s="1897"/>
      <c r="L67" s="1897"/>
      <c r="M67" s="1897"/>
      <c r="N67" s="1897"/>
    </row>
    <row r="68" spans="7:14" x14ac:dyDescent="0.35">
      <c r="G68" s="1897"/>
      <c r="H68" s="1897"/>
      <c r="I68" s="1897"/>
      <c r="J68" s="1897"/>
      <c r="K68" s="1897"/>
      <c r="L68" s="1897"/>
      <c r="M68" s="1897"/>
      <c r="N68" s="1897"/>
    </row>
    <row r="69" spans="7:14" x14ac:dyDescent="0.35">
      <c r="G69" s="1897"/>
      <c r="H69" s="1897"/>
      <c r="I69" s="1897"/>
      <c r="J69" s="1897"/>
      <c r="K69" s="1897"/>
      <c r="L69" s="1897"/>
      <c r="M69" s="1897"/>
      <c r="N69" s="1897"/>
    </row>
    <row r="70" spans="7:14" x14ac:dyDescent="0.35">
      <c r="G70" s="1897"/>
      <c r="H70" s="1897"/>
      <c r="I70" s="1897"/>
      <c r="J70" s="1897"/>
      <c r="K70" s="1897"/>
      <c r="L70" s="1897"/>
      <c r="M70" s="1897"/>
      <c r="N70" s="1897"/>
    </row>
    <row r="71" spans="7:14" x14ac:dyDescent="0.35">
      <c r="G71" s="1897"/>
      <c r="H71" s="1897"/>
      <c r="I71" s="1897"/>
      <c r="J71" s="1897"/>
      <c r="K71" s="1897"/>
      <c r="L71" s="1897"/>
      <c r="M71" s="1897"/>
      <c r="N71" s="1897"/>
    </row>
    <row r="72" spans="7:14" x14ac:dyDescent="0.35">
      <c r="G72" s="1897"/>
      <c r="H72" s="1897"/>
      <c r="I72" s="1897"/>
      <c r="J72" s="1897"/>
      <c r="K72" s="1897"/>
      <c r="L72" s="1897"/>
      <c r="M72" s="1897"/>
      <c r="N72" s="1897"/>
    </row>
    <row r="73" spans="7:14" x14ac:dyDescent="0.35">
      <c r="G73" s="1897"/>
      <c r="H73" s="1897"/>
      <c r="I73" s="1897"/>
      <c r="J73" s="1897"/>
      <c r="K73" s="1897"/>
      <c r="L73" s="1897"/>
      <c r="M73" s="1897"/>
      <c r="N73" s="1897"/>
    </row>
    <row r="74" spans="7:14" x14ac:dyDescent="0.35">
      <c r="G74" s="1897"/>
      <c r="H74" s="1897"/>
      <c r="I74" s="1897"/>
      <c r="J74" s="1897"/>
      <c r="K74" s="1897"/>
      <c r="L74" s="1897"/>
      <c r="M74" s="1897"/>
      <c r="N74" s="1897"/>
    </row>
    <row r="75" spans="7:14" x14ac:dyDescent="0.35">
      <c r="G75" s="1897"/>
      <c r="H75" s="1897"/>
      <c r="I75" s="1897"/>
      <c r="J75" s="1897"/>
      <c r="K75" s="1897"/>
      <c r="L75" s="1897"/>
      <c r="M75" s="1897"/>
      <c r="N75" s="1897"/>
    </row>
    <row r="76" spans="7:14" x14ac:dyDescent="0.35">
      <c r="G76" s="1897"/>
      <c r="H76" s="1897"/>
      <c r="I76" s="1897"/>
      <c r="J76" s="1897"/>
      <c r="K76" s="1897"/>
      <c r="L76" s="1897"/>
      <c r="M76" s="1897"/>
      <c r="N76" s="1897"/>
    </row>
    <row r="77" spans="7:14" x14ac:dyDescent="0.35">
      <c r="G77" s="1897"/>
      <c r="H77" s="1897"/>
      <c r="I77" s="1897"/>
      <c r="J77" s="1897"/>
      <c r="K77" s="1897"/>
      <c r="L77" s="1897"/>
      <c r="M77" s="1897"/>
      <c r="N77" s="1897"/>
    </row>
    <row r="78" spans="7:14" x14ac:dyDescent="0.35">
      <c r="G78" s="1897"/>
      <c r="H78" s="1897"/>
      <c r="I78" s="1897"/>
      <c r="J78" s="1897"/>
      <c r="K78" s="1897"/>
      <c r="L78" s="1897"/>
      <c r="M78" s="1897"/>
      <c r="N78" s="1897"/>
    </row>
    <row r="79" spans="7:14" x14ac:dyDescent="0.35">
      <c r="G79" s="1897"/>
      <c r="H79" s="1897"/>
      <c r="I79" s="1897"/>
      <c r="J79" s="1897"/>
      <c r="K79" s="1897"/>
      <c r="L79" s="1897"/>
      <c r="M79" s="1897"/>
      <c r="N79" s="1897"/>
    </row>
    <row r="80" spans="7:14" x14ac:dyDescent="0.35">
      <c r="G80" s="1897"/>
      <c r="H80" s="1897"/>
      <c r="I80" s="1897"/>
      <c r="J80" s="1897"/>
      <c r="K80" s="1897"/>
      <c r="L80" s="1897"/>
      <c r="M80" s="1897"/>
      <c r="N80" s="1897"/>
    </row>
    <row r="81" spans="7:14" x14ac:dyDescent="0.35">
      <c r="G81" s="1897"/>
      <c r="H81" s="1897"/>
      <c r="I81" s="1897"/>
      <c r="J81" s="1897"/>
      <c r="K81" s="1897"/>
      <c r="L81" s="1897"/>
      <c r="M81" s="1897"/>
      <c r="N81" s="1897"/>
    </row>
    <row r="82" spans="7:14" x14ac:dyDescent="0.35">
      <c r="G82" s="1897"/>
      <c r="H82" s="1897"/>
      <c r="I82" s="1897"/>
      <c r="J82" s="1897"/>
      <c r="K82" s="1897"/>
      <c r="L82" s="1897"/>
      <c r="M82" s="1897"/>
      <c r="N82" s="1897"/>
    </row>
    <row r="83" spans="7:14" x14ac:dyDescent="0.35">
      <c r="G83" s="1897"/>
      <c r="H83" s="1897"/>
      <c r="I83" s="1897"/>
      <c r="J83" s="1897"/>
      <c r="K83" s="1897"/>
      <c r="L83" s="1897"/>
      <c r="M83" s="1897"/>
      <c r="N83" s="1897"/>
    </row>
    <row r="84" spans="7:14" x14ac:dyDescent="0.35">
      <c r="G84" s="1897"/>
      <c r="H84" s="1897"/>
      <c r="I84" s="1897"/>
      <c r="J84" s="1897"/>
      <c r="K84" s="1897"/>
      <c r="L84" s="1897"/>
      <c r="M84" s="1897"/>
      <c r="N84" s="1897"/>
    </row>
    <row r="85" spans="7:14" x14ac:dyDescent="0.35">
      <c r="G85" s="1897"/>
      <c r="H85" s="1897"/>
      <c r="I85" s="1897"/>
      <c r="J85" s="1897"/>
      <c r="K85" s="1897"/>
      <c r="L85" s="1897"/>
      <c r="M85" s="1897"/>
      <c r="N85" s="1897"/>
    </row>
    <row r="86" spans="7:14" x14ac:dyDescent="0.35">
      <c r="G86" s="1897"/>
      <c r="H86" s="1897"/>
      <c r="I86" s="1897"/>
      <c r="J86" s="1897"/>
      <c r="K86" s="1897"/>
      <c r="L86" s="1897"/>
      <c r="M86" s="1897"/>
      <c r="N86" s="1897"/>
    </row>
    <row r="87" spans="7:14" x14ac:dyDescent="0.35">
      <c r="G87" s="1897"/>
      <c r="H87" s="1897"/>
      <c r="I87" s="1897"/>
      <c r="J87" s="1897"/>
      <c r="K87" s="1897"/>
      <c r="L87" s="1897"/>
      <c r="M87" s="1897"/>
      <c r="N87" s="1897"/>
    </row>
    <row r="88" spans="7:14" x14ac:dyDescent="0.35">
      <c r="G88" s="1897"/>
      <c r="H88" s="1897"/>
      <c r="I88" s="1897"/>
      <c r="J88" s="1897"/>
      <c r="K88" s="1897"/>
      <c r="L88" s="1897"/>
      <c r="M88" s="1897"/>
      <c r="N88" s="1897"/>
    </row>
    <row r="89" spans="7:14" x14ac:dyDescent="0.35">
      <c r="G89" s="1897"/>
      <c r="H89" s="1897"/>
      <c r="I89" s="1897"/>
      <c r="J89" s="1897"/>
      <c r="K89" s="1897"/>
      <c r="L89" s="1897"/>
      <c r="M89" s="1897"/>
      <c r="N89" s="1897"/>
    </row>
    <row r="90" spans="7:14" x14ac:dyDescent="0.35">
      <c r="G90" s="1897"/>
      <c r="H90" s="1897"/>
      <c r="I90" s="1897"/>
      <c r="J90" s="1897"/>
      <c r="K90" s="1897"/>
      <c r="L90" s="1897"/>
      <c r="M90" s="1897"/>
      <c r="N90" s="1897"/>
    </row>
    <row r="91" spans="7:14" x14ac:dyDescent="0.35">
      <c r="G91" s="1897"/>
      <c r="H91" s="1897"/>
      <c r="I91" s="1897"/>
      <c r="J91" s="1897"/>
      <c r="K91" s="1897"/>
      <c r="L91" s="1897"/>
      <c r="M91" s="1897"/>
      <c r="N91" s="1897"/>
    </row>
    <row r="92" spans="7:14" x14ac:dyDescent="0.35">
      <c r="G92" s="1897"/>
      <c r="H92" s="1897"/>
      <c r="I92" s="1897"/>
      <c r="J92" s="1897"/>
      <c r="K92" s="1897"/>
      <c r="L92" s="1897"/>
      <c r="M92" s="1897"/>
      <c r="N92" s="1897"/>
    </row>
    <row r="93" spans="7:14" x14ac:dyDescent="0.35">
      <c r="G93" s="1897"/>
      <c r="H93" s="1897"/>
      <c r="I93" s="1897"/>
      <c r="J93" s="1897"/>
      <c r="K93" s="1897"/>
      <c r="L93" s="1897"/>
      <c r="M93" s="1897"/>
      <c r="N93" s="1897"/>
    </row>
    <row r="94" spans="7:14" x14ac:dyDescent="0.35">
      <c r="G94" s="1897"/>
      <c r="H94" s="1897"/>
      <c r="I94" s="1897"/>
      <c r="J94" s="1897"/>
      <c r="K94" s="1897"/>
      <c r="L94" s="1897"/>
      <c r="M94" s="1897"/>
      <c r="N94" s="1897"/>
    </row>
    <row r="95" spans="7:14" x14ac:dyDescent="0.35">
      <c r="G95" s="1897"/>
      <c r="H95" s="1897"/>
      <c r="I95" s="1897"/>
      <c r="J95" s="1897"/>
      <c r="K95" s="1897"/>
      <c r="L95" s="1897"/>
      <c r="M95" s="1897"/>
      <c r="N95" s="1897"/>
    </row>
    <row r="96" spans="7:14" x14ac:dyDescent="0.35">
      <c r="G96" s="1897"/>
      <c r="H96" s="1897"/>
      <c r="I96" s="1897"/>
      <c r="J96" s="1897"/>
      <c r="K96" s="1897"/>
      <c r="L96" s="1897"/>
      <c r="M96" s="1897"/>
      <c r="N96" s="1897"/>
    </row>
  </sheetData>
  <mergeCells count="3">
    <mergeCell ref="E5:G5"/>
    <mergeCell ref="B5:D5"/>
    <mergeCell ref="A2:H3"/>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J99"/>
  <sheetViews>
    <sheetView zoomScale="70" zoomScaleNormal="70" zoomScalePageLayoutView="85" workbookViewId="0">
      <pane xSplit="1" ySplit="8" topLeftCell="B46" activePane="bottomRight" state="frozen"/>
      <selection activeCell="AR8" sqref="AR8"/>
      <selection pane="topRight" activeCell="AR8" sqref="AR8"/>
      <selection pane="bottomLeft" activeCell="AR8" sqref="AR8"/>
      <selection pane="bottomRight" activeCell="E61" sqref="E61"/>
    </sheetView>
  </sheetViews>
  <sheetFormatPr baseColWidth="10" defaultColWidth="10.81640625" defaultRowHeight="15.5" x14ac:dyDescent="0.35"/>
  <cols>
    <col min="1" max="1" width="19" style="1" customWidth="1"/>
    <col min="2" max="5" width="11.36328125" style="1" customWidth="1"/>
    <col min="6" max="11" width="11.36328125" style="1" hidden="1" customWidth="1"/>
    <col min="12" max="12" width="11.36328125" style="1" customWidth="1"/>
    <col min="13" max="13" width="10.81640625" style="1" customWidth="1"/>
    <col min="14" max="14" width="11.36328125" style="1" hidden="1" customWidth="1"/>
    <col min="15" max="21" width="11.36328125" style="1" customWidth="1"/>
    <col min="22" max="22" width="11.81640625" style="1" bestFit="1" customWidth="1"/>
    <col min="23" max="16384" width="10.81640625" style="1"/>
  </cols>
  <sheetData>
    <row r="1" spans="1:35" x14ac:dyDescent="0.35">
      <c r="C1" s="27"/>
      <c r="D1" s="27"/>
      <c r="F1" s="27"/>
      <c r="G1" s="27"/>
      <c r="H1" s="27"/>
      <c r="I1" s="27"/>
      <c r="J1" s="27"/>
      <c r="K1" s="27"/>
      <c r="L1" s="27"/>
      <c r="M1" s="27"/>
      <c r="N1" s="27"/>
      <c r="V1" s="675"/>
      <c r="W1" s="675"/>
      <c r="X1" s="675"/>
      <c r="Y1" s="675"/>
      <c r="Z1" s="675"/>
      <c r="AA1" s="675"/>
      <c r="AB1" s="675"/>
      <c r="AC1" s="675"/>
      <c r="AD1" s="675"/>
      <c r="AE1" s="675"/>
    </row>
    <row r="2" spans="1:35" ht="16" thickBot="1" x14ac:dyDescent="0.4"/>
    <row r="3" spans="1:35" ht="32.25" customHeight="1" x14ac:dyDescent="0.35">
      <c r="A3" s="2212" t="s">
        <v>940</v>
      </c>
      <c r="B3" s="2213"/>
      <c r="C3" s="2213"/>
      <c r="D3" s="2213"/>
      <c r="E3" s="2213"/>
      <c r="F3" s="2213"/>
      <c r="G3" s="2213"/>
      <c r="H3" s="2213"/>
      <c r="I3" s="2213"/>
      <c r="J3" s="2213"/>
      <c r="K3" s="2213"/>
      <c r="L3" s="2213"/>
      <c r="M3" s="2213"/>
      <c r="N3" s="2213"/>
      <c r="O3" s="2213"/>
      <c r="P3" s="2213"/>
      <c r="Q3" s="2213"/>
      <c r="R3" s="2213"/>
      <c r="S3" s="2213"/>
      <c r="T3" s="2213"/>
      <c r="U3" s="2213"/>
      <c r="V3" s="2213"/>
      <c r="W3" s="2213"/>
      <c r="X3" s="2213"/>
      <c r="Y3" s="2213"/>
      <c r="Z3" s="2213"/>
      <c r="AA3" s="2213"/>
      <c r="AB3" s="2214"/>
      <c r="AC3" s="1312"/>
      <c r="AD3" s="1312"/>
      <c r="AE3" s="1312"/>
    </row>
    <row r="4" spans="1:35" ht="12" customHeight="1" x14ac:dyDescent="0.35">
      <c r="A4" s="1907"/>
      <c r="B4" s="1312"/>
      <c r="C4" s="1312"/>
      <c r="D4" s="1312"/>
      <c r="E4" s="1312"/>
      <c r="F4" s="1312"/>
      <c r="G4" s="1312"/>
      <c r="H4" s="1312"/>
      <c r="I4" s="1312"/>
      <c r="J4" s="1312"/>
      <c r="K4" s="1312"/>
      <c r="L4" s="1312"/>
      <c r="M4" s="1312"/>
      <c r="N4" s="1312"/>
      <c r="O4" s="1312"/>
      <c r="P4" s="1312"/>
      <c r="Q4" s="1312"/>
      <c r="R4" s="1312"/>
      <c r="S4" s="1312"/>
      <c r="T4" s="1312"/>
      <c r="U4" s="1312"/>
      <c r="V4" s="28"/>
      <c r="W4" s="28"/>
      <c r="X4" s="28"/>
      <c r="Y4" s="28"/>
      <c r="Z4" s="28"/>
      <c r="AA4" s="28"/>
      <c r="AB4" s="1769"/>
      <c r="AC4" s="28"/>
      <c r="AD4" s="28"/>
      <c r="AE4" s="28"/>
    </row>
    <row r="5" spans="1:35" x14ac:dyDescent="0.35">
      <c r="A5" s="1908"/>
      <c r="B5" s="10" t="s">
        <v>20</v>
      </c>
      <c r="C5" s="10" t="s">
        <v>21</v>
      </c>
      <c r="D5" s="10" t="s">
        <v>22</v>
      </c>
      <c r="E5" s="10" t="s">
        <v>23</v>
      </c>
      <c r="F5" s="28"/>
      <c r="G5" s="28"/>
      <c r="H5" s="28"/>
      <c r="I5" s="28"/>
      <c r="J5" s="28"/>
      <c r="K5" s="28"/>
      <c r="L5" s="10" t="s">
        <v>24</v>
      </c>
      <c r="M5" s="10" t="s">
        <v>25</v>
      </c>
      <c r="N5" s="10" t="s">
        <v>26</v>
      </c>
      <c r="O5" s="10" t="s">
        <v>33</v>
      </c>
      <c r="P5" s="10" t="s">
        <v>34</v>
      </c>
      <c r="Q5" s="10" t="s">
        <v>37</v>
      </c>
      <c r="R5" s="10" t="s">
        <v>105</v>
      </c>
      <c r="S5" s="10" t="s">
        <v>138</v>
      </c>
      <c r="T5" s="10" t="s">
        <v>139</v>
      </c>
      <c r="U5" s="10" t="s">
        <v>140</v>
      </c>
      <c r="V5" s="10" t="s">
        <v>141</v>
      </c>
      <c r="W5" s="10" t="s">
        <v>255</v>
      </c>
      <c r="X5" s="10" t="s">
        <v>655</v>
      </c>
      <c r="Y5" s="1931" t="s">
        <v>656</v>
      </c>
      <c r="Z5" s="10" t="s">
        <v>657</v>
      </c>
      <c r="AA5" s="10" t="s">
        <v>658</v>
      </c>
      <c r="AB5" s="1734" t="s">
        <v>659</v>
      </c>
      <c r="AC5" s="10"/>
      <c r="AD5" s="10"/>
      <c r="AE5" s="10"/>
    </row>
    <row r="6" spans="1:35" ht="21" customHeight="1" x14ac:dyDescent="0.35">
      <c r="A6" s="1908"/>
      <c r="B6" s="2189" t="s">
        <v>52</v>
      </c>
      <c r="C6" s="2190"/>
      <c r="D6" s="2190"/>
      <c r="E6" s="2190"/>
      <c r="F6" s="2184" t="s">
        <v>112</v>
      </c>
      <c r="G6" s="2187" t="s">
        <v>304</v>
      </c>
      <c r="H6" s="2193" t="s">
        <v>568</v>
      </c>
      <c r="I6" s="2196" t="s">
        <v>307</v>
      </c>
      <c r="J6" s="2179" t="s">
        <v>305</v>
      </c>
      <c r="K6" s="2179" t="s">
        <v>306</v>
      </c>
      <c r="L6" s="2524" t="s">
        <v>303</v>
      </c>
      <c r="M6" s="2160" t="s">
        <v>110</v>
      </c>
      <c r="N6" s="2191" t="s">
        <v>195</v>
      </c>
      <c r="O6" s="2552" t="s">
        <v>109</v>
      </c>
      <c r="P6" s="2431" t="s">
        <v>929</v>
      </c>
      <c r="Q6" s="2556" t="s">
        <v>930</v>
      </c>
      <c r="R6" s="2556" t="s">
        <v>931</v>
      </c>
      <c r="S6" s="2431" t="s">
        <v>936</v>
      </c>
      <c r="T6" s="2431"/>
      <c r="U6" s="2431"/>
      <c r="V6" s="2553" t="s">
        <v>111</v>
      </c>
      <c r="W6" s="2150"/>
      <c r="X6" s="2150"/>
      <c r="Y6" s="2554"/>
      <c r="Z6" s="2551" t="s">
        <v>111</v>
      </c>
      <c r="AA6" s="2150"/>
      <c r="AB6" s="2151"/>
      <c r="AC6" s="93"/>
      <c r="AD6" s="93"/>
      <c r="AE6" s="93"/>
    </row>
    <row r="7" spans="1:35" ht="85" customHeight="1" x14ac:dyDescent="0.35">
      <c r="A7" s="1908"/>
      <c r="B7" s="2182" t="s">
        <v>179</v>
      </c>
      <c r="C7" s="1810" t="s">
        <v>566</v>
      </c>
      <c r="D7" s="1810" t="s">
        <v>567</v>
      </c>
      <c r="E7" s="1809" t="s">
        <v>44</v>
      </c>
      <c r="F7" s="2185"/>
      <c r="G7" s="2557"/>
      <c r="H7" s="2194"/>
      <c r="I7" s="2194"/>
      <c r="J7" s="2167"/>
      <c r="K7" s="2167"/>
      <c r="L7" s="2126"/>
      <c r="M7" s="2161"/>
      <c r="N7" s="2192"/>
      <c r="O7" s="2206"/>
      <c r="P7" s="2223"/>
      <c r="Q7" s="2161"/>
      <c r="R7" s="2161"/>
      <c r="S7" s="2223"/>
      <c r="T7" s="2223"/>
      <c r="U7" s="2223"/>
      <c r="V7" s="2524" t="s">
        <v>938</v>
      </c>
      <c r="W7" s="2431"/>
      <c r="X7" s="2431"/>
      <c r="Y7" s="2549"/>
      <c r="Z7" s="2223" t="s">
        <v>939</v>
      </c>
      <c r="AA7" s="2223"/>
      <c r="AB7" s="2550"/>
      <c r="AC7" s="1811"/>
      <c r="AD7" s="1811"/>
      <c r="AE7" s="1811"/>
      <c r="AF7" s="28"/>
      <c r="AH7" s="431" t="s">
        <v>512</v>
      </c>
    </row>
    <row r="8" spans="1:35" ht="33" customHeight="1" x14ac:dyDescent="0.35">
      <c r="A8" s="1908"/>
      <c r="B8" s="2332"/>
      <c r="C8" s="1902"/>
      <c r="D8" s="1902"/>
      <c r="E8" s="1902"/>
      <c r="F8" s="2186"/>
      <c r="G8" s="2558"/>
      <c r="H8" s="2559"/>
      <c r="I8" s="2559"/>
      <c r="J8" s="1909"/>
      <c r="K8" s="1909"/>
      <c r="L8" s="2560"/>
      <c r="M8" s="1902"/>
      <c r="N8" s="1902"/>
      <c r="O8" s="1932"/>
      <c r="P8" s="2555"/>
      <c r="Q8" s="1902"/>
      <c r="R8" s="1902"/>
      <c r="S8" s="1905" t="s">
        <v>933</v>
      </c>
      <c r="T8" s="1905" t="s">
        <v>934</v>
      </c>
      <c r="U8" s="1905" t="s">
        <v>935</v>
      </c>
      <c r="V8" s="1941" t="s">
        <v>937</v>
      </c>
      <c r="W8" s="1905" t="s">
        <v>933</v>
      </c>
      <c r="X8" s="1905" t="s">
        <v>934</v>
      </c>
      <c r="Y8" s="1942" t="s">
        <v>935</v>
      </c>
      <c r="Z8" s="1905" t="s">
        <v>933</v>
      </c>
      <c r="AA8" s="1905" t="s">
        <v>934</v>
      </c>
      <c r="AB8" s="1910" t="s">
        <v>935</v>
      </c>
      <c r="AC8" s="1930"/>
      <c r="AD8" s="1930"/>
      <c r="AE8" s="1930"/>
      <c r="AH8" s="430"/>
    </row>
    <row r="9" spans="1:35" ht="40" customHeight="1" x14ac:dyDescent="0.35">
      <c r="A9" s="1911" t="s">
        <v>98</v>
      </c>
      <c r="B9" s="569">
        <f>SUM(B10:B44)</f>
        <v>6449.286986082956</v>
      </c>
      <c r="C9" s="648">
        <f>SUM(C10:C44)</f>
        <v>956.10086642796193</v>
      </c>
      <c r="D9" s="648">
        <f>SUM(D10:D44)</f>
        <v>83.176702611519431</v>
      </c>
      <c r="E9" s="571">
        <f>SUM(E10:E44)</f>
        <v>5410.0094170434731</v>
      </c>
      <c r="F9" s="691">
        <f t="shared" ref="F9:F72" si="0">C9/(B9-D9)</f>
        <v>0.1501860357195384</v>
      </c>
      <c r="G9" s="589">
        <f>TableA2!L9</f>
        <v>0.41149842417638866</v>
      </c>
      <c r="H9" s="589">
        <f>D9/TableA2!C9</f>
        <v>5.4072503583288559E-3</v>
      </c>
      <c r="I9" s="589">
        <f>J9+K9</f>
        <v>7.7645217153016902E-3</v>
      </c>
      <c r="J9" s="589">
        <f>TableA6!I9/TableA2!$C9</f>
        <v>6.6527210204393103E-3</v>
      </c>
      <c r="K9" s="589">
        <f>TableA6!J9/TableA2!$C9</f>
        <v>1.1118006948623801E-3</v>
      </c>
      <c r="L9" s="1553">
        <f>G9-H9+I9</f>
        <v>0.41385569553336149</v>
      </c>
      <c r="M9" s="589">
        <f>C9/TableA4!D9</f>
        <v>0.42001657601288439</v>
      </c>
      <c r="N9" s="589"/>
      <c r="O9" s="955">
        <f>E9/TableA4!G9</f>
        <v>0.41278563924415895</v>
      </c>
      <c r="P9" s="589">
        <f>+'Table E1'!D9</f>
        <v>0.13295330543030764</v>
      </c>
      <c r="Q9" s="589">
        <f>+'Table E1'!I9</f>
        <v>0.20563597055527447</v>
      </c>
      <c r="R9" s="589">
        <f>+'Table E1'!N9</f>
        <v>0.12468410759526835</v>
      </c>
      <c r="S9" s="589"/>
      <c r="T9" s="589"/>
      <c r="U9" s="589"/>
      <c r="V9" s="1943">
        <f>V12+V24+V30+V32+V41</f>
        <v>281.74149562210863</v>
      </c>
      <c r="W9" s="1906">
        <f t="shared" ref="W9:Y9" si="1">W12+W24+W30+W32+W41</f>
        <v>304.57484169223159</v>
      </c>
      <c r="X9" s="1906">
        <f t="shared" si="1"/>
        <v>281.74149562210863</v>
      </c>
      <c r="Y9" s="1944">
        <f t="shared" si="1"/>
        <v>269.44661696896549</v>
      </c>
      <c r="Z9" s="1906">
        <f t="shared" ref="Z9:AB9" si="2">Z12+Z24+Z30+Z32+Z41</f>
        <v>22.833346070122928</v>
      </c>
      <c r="AA9" s="1906">
        <f t="shared" si="2"/>
        <v>0</v>
      </c>
      <c r="AB9" s="1912">
        <f t="shared" si="2"/>
        <v>-12.294878653143119</v>
      </c>
      <c r="AC9" s="120"/>
      <c r="AD9" s="120"/>
      <c r="AE9" s="120"/>
      <c r="AH9" s="711">
        <f>L9-G9-I9+H9</f>
        <v>0</v>
      </c>
      <c r="AI9" s="711">
        <f>B9-C9-D9-E9</f>
        <v>0</v>
      </c>
    </row>
    <row r="10" spans="1:35" ht="14.25" customHeight="1" x14ac:dyDescent="0.35">
      <c r="A10" s="1913" t="s">
        <v>54</v>
      </c>
      <c r="B10" s="1914">
        <f>TableA6!B10</f>
        <v>178.84741076861815</v>
      </c>
      <c r="C10" s="8">
        <f>TableA6!E10</f>
        <v>28.299110069424813</v>
      </c>
      <c r="D10" s="8">
        <v>0</v>
      </c>
      <c r="E10" s="8">
        <f>B10-C10-D10</f>
        <v>150.54830069919333</v>
      </c>
      <c r="F10" s="701">
        <f t="shared" si="0"/>
        <v>0.15823047114747707</v>
      </c>
      <c r="G10" s="680">
        <f>TableA2!L10</f>
        <v>0.35986511293798373</v>
      </c>
      <c r="H10" s="680">
        <f>D10/TableA2!C10</f>
        <v>0</v>
      </c>
      <c r="I10" s="680">
        <f>J10+K10</f>
        <v>0</v>
      </c>
      <c r="J10" s="680">
        <f>TableA6!I10/TableA2!$C10</f>
        <v>0</v>
      </c>
      <c r="K10" s="680">
        <f>TableA6!J10/TableA2!$C10</f>
        <v>0</v>
      </c>
      <c r="L10" s="1553">
        <f t="shared" ref="L10:L44" si="3">G10-H10+I10</f>
        <v>0.35986511293798373</v>
      </c>
      <c r="M10" s="680">
        <f>C10/TableA4!D10</f>
        <v>0.27383940346897767</v>
      </c>
      <c r="N10" s="680">
        <f>AVERAGE((VLOOKUP(A10,TableA10!$A$8:$G$95,4,)/VLOOKUP(A10,TableA10!$A$8:$G$95,3,)),(VLOOKUP(A10,TableA10b!$A$8:$G$95,4,)/VLOOKUP(A10,TableA10b!$A$8:$G$95,3,)))</f>
        <v>0.27383940346897767</v>
      </c>
      <c r="O10" s="1933">
        <f>E10/TableA4!G10</f>
        <v>0.38244922547378107</v>
      </c>
      <c r="P10" s="589">
        <f>+'Table E1'!D10</f>
        <v>0.23694866782897228</v>
      </c>
      <c r="Q10" s="589">
        <f>+'Table E1'!I10</f>
        <v>0.43762637385941966</v>
      </c>
      <c r="R10" s="589">
        <f>+'Table E1'!N10</f>
        <v>0.21572732634001954</v>
      </c>
      <c r="S10" s="589">
        <f>IFERROR(($Q10/$R10-1)*(1-1/0.7)*$O10+$O10,"")</f>
        <v>0.21385322124215647</v>
      </c>
      <c r="T10" s="589">
        <f>IFERROR(($Q10/$R10-1)*(1-1/1)*$O10+$O10,"")</f>
        <v>0.38244922547378107</v>
      </c>
      <c r="U10" s="589">
        <f>IFERROR(($Q10/$R10-1)*(1-1/1.3)*$O10+$O10,"")</f>
        <v>0.47323168929080972</v>
      </c>
      <c r="V10" s="47">
        <f>$C10-O10*TableA4!$D10</f>
        <v>-11.223955605361816</v>
      </c>
      <c r="W10" s="120">
        <f>IFERROR($C10-S10*TableA4!$D10,"")</f>
        <v>6.199091701109765</v>
      </c>
      <c r="X10" s="120">
        <f>IFERROR($C10-T10*TableA4!$D10,"")</f>
        <v>-11.223955605361816</v>
      </c>
      <c r="Y10" s="1945">
        <f>IFERROR($C10-U10*TableA4!$D10,"")</f>
        <v>-20.605596462692674</v>
      </c>
      <c r="Z10" s="120">
        <f>IFERROR(-$V10+W10,"")</f>
        <v>17.423047306471581</v>
      </c>
      <c r="AA10" s="120">
        <f t="shared" ref="AA10:AB10" si="4">IFERROR(-$V10+X10,"")</f>
        <v>0</v>
      </c>
      <c r="AB10" s="1915">
        <f t="shared" si="4"/>
        <v>-9.3816408573308578</v>
      </c>
      <c r="AC10" s="120"/>
      <c r="AD10" s="120"/>
      <c r="AE10" s="120"/>
      <c r="AH10" s="711">
        <f t="shared" ref="AH10:AH73" si="5">L10-G10-I10+H10</f>
        <v>0</v>
      </c>
      <c r="AI10" s="711">
        <f t="shared" ref="AI10:AI73" si="6">B10-C10-D10-E10</f>
        <v>0</v>
      </c>
    </row>
    <row r="11" spans="1:35" ht="14.25" customHeight="1" x14ac:dyDescent="0.35">
      <c r="A11" s="1913" t="s">
        <v>55</v>
      </c>
      <c r="B11" s="1914">
        <f>TableA6!B11</f>
        <v>47.957043627358011</v>
      </c>
      <c r="C11" s="8">
        <f>TableA6!E11</f>
        <v>11.294821742987047</v>
      </c>
      <c r="D11" s="8">
        <v>0</v>
      </c>
      <c r="E11" s="8">
        <f t="shared" ref="E11:E52" si="7">B11-C11-D11</f>
        <v>36.662221884370965</v>
      </c>
      <c r="F11" s="701">
        <f t="shared" si="0"/>
        <v>0.23551955851890127</v>
      </c>
      <c r="G11" s="9">
        <f>TableA2!L11</f>
        <v>0.38573161702393371</v>
      </c>
      <c r="H11" s="9">
        <f>D11/TableA2!C11</f>
        <v>0</v>
      </c>
      <c r="I11" s="9">
        <f t="shared" ref="I11:I52" si="8">J11+K11</f>
        <v>0</v>
      </c>
      <c r="J11" s="9">
        <f>TableA6!I11/TableA2!$C11</f>
        <v>0</v>
      </c>
      <c r="K11" s="9">
        <f>TableA6!J11/TableA2!$C11</f>
        <v>0</v>
      </c>
      <c r="L11" s="1934">
        <f t="shared" si="3"/>
        <v>0.38573161702393371</v>
      </c>
      <c r="M11" s="9">
        <f>C11/TableA4!D11</f>
        <v>0.33058399232200741</v>
      </c>
      <c r="N11" s="9">
        <f>VLOOKUP(A11,TableA10!$A$8:$G$95,4,)/VLOOKUP(A11,TableA10!$A$8:$G$95,3,)</f>
        <v>-3.7660055234747677E-3</v>
      </c>
      <c r="O11" s="957">
        <f>E11/TableA4!G11</f>
        <v>0.40662961061080261</v>
      </c>
      <c r="P11" s="589">
        <f>+'Table E1'!D11</f>
        <v>0.25199362023294941</v>
      </c>
      <c r="Q11" s="589">
        <f>+'Table E1'!I11</f>
        <v>0.30122861727115979</v>
      </c>
      <c r="R11" s="589">
        <f>+'Table E1'!N11</f>
        <v>0.23976431623616923</v>
      </c>
      <c r="S11" s="589">
        <f t="shared" ref="S11:S74" si="9">IFERROR(($Q11/$R11-1)*(1-1/0.7)*$O11+$O11,"")</f>
        <v>0.36195501660829965</v>
      </c>
      <c r="T11" s="589">
        <f t="shared" ref="T11:T74" si="10">IFERROR(($Q11/$R11-1)*(1-1/1)*$O11+$O11,"")</f>
        <v>0.40662961061080261</v>
      </c>
      <c r="U11" s="589">
        <f t="shared" ref="U11:U74" si="11">IFERROR(($Q11/$R11-1)*(1-1/1.3)*$O11+$O11,"")</f>
        <v>0.43068516122753497</v>
      </c>
      <c r="V11" s="47">
        <f>C11-O11*TableA4!D11</f>
        <v>-2.5981950816013484</v>
      </c>
      <c r="W11" s="120">
        <f>IFERROR($C11-S11*TableA4!$D11,"")</f>
        <v>-1.0718308673078489</v>
      </c>
      <c r="X11" s="120">
        <f>IFERROR($C11-T11*TableA4!$D11,"")</f>
        <v>-2.5981950816013484</v>
      </c>
      <c r="Y11" s="1945">
        <f>IFERROR($C11-U11*TableA4!$D11,"")</f>
        <v>-3.4200835046824629</v>
      </c>
      <c r="Z11" s="120">
        <f t="shared" ref="Z11:Z52" si="12">IFERROR(-$V11+W11,"")</f>
        <v>1.5263642142934994</v>
      </c>
      <c r="AA11" s="120">
        <f t="shared" ref="AA11:AA52" si="13">IFERROR(-$V11+X11,"")</f>
        <v>0</v>
      </c>
      <c r="AB11" s="1915">
        <f t="shared" ref="AB11:AB52" si="14">IFERROR(-$V11+Y11,"")</f>
        <v>-0.82188842308111454</v>
      </c>
      <c r="AC11" s="120"/>
      <c r="AD11" s="120"/>
      <c r="AE11" s="120"/>
      <c r="AH11" s="711">
        <f t="shared" si="5"/>
        <v>0</v>
      </c>
      <c r="AI11" s="711">
        <f t="shared" si="6"/>
        <v>0</v>
      </c>
    </row>
    <row r="12" spans="1:35" x14ac:dyDescent="0.35">
      <c r="A12" s="1913" t="s">
        <v>2</v>
      </c>
      <c r="B12" s="1914">
        <f>TableA6!B12</f>
        <v>80.241889758299209</v>
      </c>
      <c r="C12" s="8">
        <f>TableA6!E12</f>
        <v>32.206747942780808</v>
      </c>
      <c r="D12" s="8">
        <v>0</v>
      </c>
      <c r="E12" s="8">
        <f t="shared" si="7"/>
        <v>48.035141815518401</v>
      </c>
      <c r="F12" s="701">
        <f t="shared" si="0"/>
        <v>0.40137075584576132</v>
      </c>
      <c r="G12" s="9">
        <f>TableA2!L12</f>
        <v>0.46042895713758619</v>
      </c>
      <c r="H12" s="9">
        <f>D12/TableA2!C12</f>
        <v>0</v>
      </c>
      <c r="I12" s="9">
        <f t="shared" si="8"/>
        <v>2.1427357922788704E-2</v>
      </c>
      <c r="J12" s="9">
        <f>TableA6!I12/TableA2!$C12</f>
        <v>2.1427357922788704E-2</v>
      </c>
      <c r="K12" s="9">
        <f>TableA6!J12/TableA2!$C12</f>
        <v>0</v>
      </c>
      <c r="L12" s="1934">
        <f t="shared" si="3"/>
        <v>0.48185631506037491</v>
      </c>
      <c r="M12" s="9">
        <f>C12/TableA4!D12</f>
        <v>0.67980103327038299</v>
      </c>
      <c r="N12" s="9">
        <f>VLOOKUP(A12,TableA10!$A$8:$G$95,4,)/VLOOKUP(A12,TableA10!$A$8:$G$95,3,)</f>
        <v>0.60110878851222393</v>
      </c>
      <c r="O12" s="957">
        <f>E12/TableA4!G12</f>
        <v>0.4031489417707429</v>
      </c>
      <c r="P12" s="589">
        <f>+'Table E1'!D12</f>
        <v>0.18083148404617411</v>
      </c>
      <c r="Q12" s="589">
        <f>+'Table E1'!I12</f>
        <v>0.23510719634065672</v>
      </c>
      <c r="R12" s="589">
        <f>+'Table E1'!N12</f>
        <v>0.17060626965404216</v>
      </c>
      <c r="S12" s="589">
        <f t="shared" si="9"/>
        <v>0.33782690678087707</v>
      </c>
      <c r="T12" s="589">
        <f t="shared" si="10"/>
        <v>0.4031489417707429</v>
      </c>
      <c r="U12" s="589">
        <f t="shared" si="11"/>
        <v>0.43832234522682451</v>
      </c>
      <c r="V12" s="47">
        <f>C12-O12*TableA4!D12</f>
        <v>13.106870602869716</v>
      </c>
      <c r="W12" s="120">
        <f>IFERROR($C12-S12*TableA4!$D12,"")</f>
        <v>16.201614819287155</v>
      </c>
      <c r="X12" s="120">
        <f>IFERROR($C12-T12*TableA4!$D12,"")</f>
        <v>13.106870602869716</v>
      </c>
      <c r="Y12" s="1945">
        <f>IFERROR($C12-U12*TableA4!$D12,"")</f>
        <v>11.440469870952633</v>
      </c>
      <c r="Z12" s="120">
        <f t="shared" si="12"/>
        <v>3.094744216417439</v>
      </c>
      <c r="AA12" s="120">
        <f t="shared" si="13"/>
        <v>0</v>
      </c>
      <c r="AB12" s="1915">
        <f t="shared" si="14"/>
        <v>-1.6664007319170828</v>
      </c>
      <c r="AC12" s="120"/>
      <c r="AD12" s="120"/>
      <c r="AE12" s="120"/>
      <c r="AH12" s="711">
        <f t="shared" si="5"/>
        <v>1.0408340855860843E-17</v>
      </c>
      <c r="AI12" s="711">
        <f t="shared" si="6"/>
        <v>0</v>
      </c>
    </row>
    <row r="13" spans="1:35" x14ac:dyDescent="0.35">
      <c r="A13" s="1913" t="s">
        <v>56</v>
      </c>
      <c r="B13" s="1914">
        <f>TableA6!B13</f>
        <v>142.9569900038934</v>
      </c>
      <c r="C13" s="8">
        <f>TableA6!E13</f>
        <v>46.935942392007277</v>
      </c>
      <c r="D13" s="8">
        <v>0</v>
      </c>
      <c r="E13" s="8">
        <f t="shared" si="7"/>
        <v>96.021047611886118</v>
      </c>
      <c r="F13" s="701">
        <f t="shared" si="0"/>
        <v>0.3283221225539863</v>
      </c>
      <c r="G13" s="9">
        <f>TableA2!L13</f>
        <v>0.23305888899623428</v>
      </c>
      <c r="H13" s="9">
        <f>D13/TableA2!C13</f>
        <v>0</v>
      </c>
      <c r="I13" s="9">
        <f t="shared" si="8"/>
        <v>0</v>
      </c>
      <c r="J13" s="9">
        <f>TableA6!I13/TableA2!$C13</f>
        <v>0</v>
      </c>
      <c r="K13" s="9">
        <f>TableA6!J13/TableA2!$C13</f>
        <v>0</v>
      </c>
      <c r="L13" s="1934">
        <f t="shared" si="3"/>
        <v>0.23305888899623428</v>
      </c>
      <c r="M13" s="9">
        <f>C13/TableA4!D13</f>
        <v>0.51265902111925798</v>
      </c>
      <c r="N13" s="9">
        <f>VLOOKUP(A13,TableA10!$A$8:$G$95,4,)/VLOOKUP(A13,TableA10!$A$8:$G$95,3,)</f>
        <v>0.51265902111925798</v>
      </c>
      <c r="O13" s="957">
        <f>E13/TableA4!G13</f>
        <v>0.18400463874630477</v>
      </c>
      <c r="P13" s="589">
        <f>+'Table E1'!D13</f>
        <v>0.11840889506314953</v>
      </c>
      <c r="Q13" s="589">
        <f>+'Table E1'!I13</f>
        <v>0.22644356487007861</v>
      </c>
      <c r="R13" s="589">
        <f>+'Table E1'!N13</f>
        <v>0.10423262483262766</v>
      </c>
      <c r="S13" s="589">
        <f t="shared" si="9"/>
        <v>9.1543679116492846E-2</v>
      </c>
      <c r="T13" s="589">
        <f t="shared" si="10"/>
        <v>0.18400463874630477</v>
      </c>
      <c r="U13" s="589">
        <f t="shared" si="11"/>
        <v>0.23379130931620351</v>
      </c>
      <c r="V13" s="1946">
        <f>C13-O13*TableA4!D13</f>
        <v>30.089596637272944</v>
      </c>
      <c r="W13" s="120">
        <f>IFERROR($C13-S13*TableA4!$D13,"")</f>
        <v>38.554759827457055</v>
      </c>
      <c r="X13" s="120">
        <f>IFERROR($C13-T13*TableA4!$D13,"")</f>
        <v>30.089596637272944</v>
      </c>
      <c r="Y13" s="1945">
        <f>IFERROR($C13-U13*TableA4!$D13,"")</f>
        <v>25.531431842558419</v>
      </c>
      <c r="Z13" s="120">
        <f t="shared" si="12"/>
        <v>8.4651631901841107</v>
      </c>
      <c r="AA13" s="120">
        <f t="shared" si="13"/>
        <v>0</v>
      </c>
      <c r="AB13" s="1915">
        <f t="shared" si="14"/>
        <v>-4.558164794714525</v>
      </c>
      <c r="AC13" s="120"/>
      <c r="AD13" s="120"/>
      <c r="AE13" s="120"/>
      <c r="AH13" s="711">
        <f t="shared" si="5"/>
        <v>0</v>
      </c>
      <c r="AI13" s="711">
        <f t="shared" si="6"/>
        <v>0</v>
      </c>
    </row>
    <row r="14" spans="1:35" x14ac:dyDescent="0.35">
      <c r="A14" s="1913" t="s">
        <v>57</v>
      </c>
      <c r="B14" s="1914">
        <f>TableA6!B14</f>
        <v>67.542484958596845</v>
      </c>
      <c r="C14" s="8">
        <f>TableA6!E14</f>
        <v>9.8951445885655183</v>
      </c>
      <c r="D14" s="8">
        <v>0</v>
      </c>
      <c r="E14" s="8">
        <f t="shared" si="7"/>
        <v>57.64734037003133</v>
      </c>
      <c r="F14" s="701">
        <f t="shared" si="0"/>
        <v>0.14650252496086255</v>
      </c>
      <c r="G14" s="9">
        <f>TableA2!L14</f>
        <v>1.0076535203150763</v>
      </c>
      <c r="H14" s="9">
        <f>D14/TableA2!C14</f>
        <v>0</v>
      </c>
      <c r="I14" s="9">
        <f t="shared" si="8"/>
        <v>0</v>
      </c>
      <c r="J14" s="9">
        <f>TableA6!I14/TableA2!$C14</f>
        <v>0</v>
      </c>
      <c r="K14" s="9">
        <f>TableA6!J14/TableA2!$C14</f>
        <v>0</v>
      </c>
      <c r="L14" s="1934">
        <f t="shared" si="3"/>
        <v>1.0076535203150763</v>
      </c>
      <c r="M14" s="9">
        <f>C14/TableA4!D14</f>
        <v>0.99074432261467493</v>
      </c>
      <c r="N14" s="9">
        <f>VLOOKUP(A14,TableA10!$A$8:$G$95,4,)/VLOOKUP(A14,TableA10!$A$8:$G$95,3,)</f>
        <v>0.99075263293090166</v>
      </c>
      <c r="O14" s="957">
        <f>E14/TableA4!G14</f>
        <v>1.0106141880425457</v>
      </c>
      <c r="P14" s="589">
        <f>+'Table E1'!D14</f>
        <v>4.4822137481688472E-2</v>
      </c>
      <c r="Q14" s="589">
        <f>+'Table E1'!I14</f>
        <v>0.15444711315829332</v>
      </c>
      <c r="R14" s="589">
        <f>+'Table E1'!N14</f>
        <v>3.4671939098385202E-2</v>
      </c>
      <c r="S14" s="589">
        <f t="shared" si="9"/>
        <v>-0.48561211518612657</v>
      </c>
      <c r="T14" s="589">
        <f t="shared" si="10"/>
        <v>1.0106141880425457</v>
      </c>
      <c r="U14" s="589">
        <f t="shared" si="11"/>
        <v>1.8162745051656772</v>
      </c>
      <c r="V14" s="47">
        <f>C14-O14*TableA4!D14</f>
        <v>-0.19845199904374233</v>
      </c>
      <c r="W14" s="120">
        <f>IFERROR($C14-S14*TableA4!$D14,"")</f>
        <v>14.745237578293118</v>
      </c>
      <c r="X14" s="120">
        <f>IFERROR($C14-T14*TableA4!$D14,"")</f>
        <v>-0.19845199904374233</v>
      </c>
      <c r="Y14" s="1945">
        <f>IFERROR($C14-U14*TableA4!$D14,"")</f>
        <v>-8.2450540791482076</v>
      </c>
      <c r="Z14" s="120">
        <f t="shared" si="12"/>
        <v>14.94368957733686</v>
      </c>
      <c r="AA14" s="120">
        <f t="shared" si="13"/>
        <v>0</v>
      </c>
      <c r="AB14" s="1915">
        <f t="shared" si="14"/>
        <v>-8.0466020801044653</v>
      </c>
      <c r="AC14" s="120"/>
      <c r="AD14" s="120"/>
      <c r="AE14" s="120"/>
      <c r="AH14" s="711">
        <f t="shared" si="5"/>
        <v>0</v>
      </c>
      <c r="AI14" s="711">
        <f t="shared" si="6"/>
        <v>0</v>
      </c>
    </row>
    <row r="15" spans="1:35" x14ac:dyDescent="0.35">
      <c r="A15" s="1913" t="s">
        <v>58</v>
      </c>
      <c r="B15" s="1914">
        <f>TableA6!B15</f>
        <v>33.577437877940952</v>
      </c>
      <c r="C15" s="8">
        <f>TableA6!E15</f>
        <v>17.490778418103861</v>
      </c>
      <c r="D15" s="8">
        <v>0</v>
      </c>
      <c r="E15" s="8">
        <f t="shared" si="7"/>
        <v>16.08665945983709</v>
      </c>
      <c r="F15" s="701">
        <f t="shared" si="0"/>
        <v>0.52090866735232977</v>
      </c>
      <c r="G15" s="9">
        <f>TableA2!L15</f>
        <v>0.62169699268833523</v>
      </c>
      <c r="H15" s="9">
        <f>D15/TableA2!C15</f>
        <v>0</v>
      </c>
      <c r="I15" s="9">
        <f t="shared" si="8"/>
        <v>0</v>
      </c>
      <c r="J15" s="9">
        <f>TableA6!I15/TableA2!$C15</f>
        <v>0</v>
      </c>
      <c r="K15" s="9">
        <f>TableA6!J15/TableA2!$C15</f>
        <v>0</v>
      </c>
      <c r="L15" s="1934">
        <f t="shared" si="3"/>
        <v>0.62169699268833523</v>
      </c>
      <c r="M15" s="9">
        <f>C15/TableA4!D15</f>
        <v>0.76443329218162037</v>
      </c>
      <c r="N15" s="9">
        <f>VLOOKUP(A15,TableA10!$A$8:$G$95,4,)/VLOOKUP(A15,TableA10!$A$8:$G$95,3,)</f>
        <v>0.60775473399458968</v>
      </c>
      <c r="O15" s="957">
        <f>E15/TableA4!G15</f>
        <v>0.51678040684408355</v>
      </c>
      <c r="P15" s="589">
        <f>+'Table E1'!D15</f>
        <v>8.8064214554096215E-2</v>
      </c>
      <c r="Q15" s="589">
        <f>+'Table E1'!I15</f>
        <v>0.12008709361182347</v>
      </c>
      <c r="R15" s="589">
        <f>+'Table E1'!N15</f>
        <v>7.6323365014813682E-2</v>
      </c>
      <c r="S15" s="589">
        <f t="shared" si="9"/>
        <v>0.3897855711305348</v>
      </c>
      <c r="T15" s="589">
        <f t="shared" si="10"/>
        <v>0.51678040684408355</v>
      </c>
      <c r="U15" s="589">
        <f t="shared" si="11"/>
        <v>0.58516224145907136</v>
      </c>
      <c r="V15" s="47">
        <f>C15-O15*TableA4!D15</f>
        <v>5.6664744803053289</v>
      </c>
      <c r="W15" s="120">
        <f>IFERROR($C15-S15*TableA4!$D15,"")</f>
        <v>8.5722068109446425</v>
      </c>
      <c r="X15" s="120">
        <f>IFERROR($C15-T15*TableA4!$D15,"")</f>
        <v>5.6664744803053289</v>
      </c>
      <c r="Y15" s="1945">
        <f>IFERROR($C15-U15*TableA4!$D15,"")</f>
        <v>4.1018493791918509</v>
      </c>
      <c r="Z15" s="120">
        <f t="shared" si="12"/>
        <v>2.9057323306393137</v>
      </c>
      <c r="AA15" s="120">
        <f t="shared" si="13"/>
        <v>0</v>
      </c>
      <c r="AB15" s="1915">
        <f t="shared" si="14"/>
        <v>-1.564625101113478</v>
      </c>
      <c r="AC15" s="120"/>
      <c r="AD15" s="120"/>
      <c r="AE15" s="120"/>
      <c r="AH15" s="711">
        <f t="shared" si="5"/>
        <v>0</v>
      </c>
      <c r="AI15" s="711">
        <f t="shared" si="6"/>
        <v>0</v>
      </c>
    </row>
    <row r="16" spans="1:35" x14ac:dyDescent="0.35">
      <c r="A16" s="1913" t="s">
        <v>59</v>
      </c>
      <c r="B16" s="1914">
        <f>TableA6!B16</f>
        <v>51.69259919912686</v>
      </c>
      <c r="C16" s="8">
        <f>TableA6!E16</f>
        <v>5.1092950429719881</v>
      </c>
      <c r="D16" s="8">
        <v>0</v>
      </c>
      <c r="E16" s="8">
        <f t="shared" si="7"/>
        <v>46.583304156154874</v>
      </c>
      <c r="F16" s="701">
        <f t="shared" si="0"/>
        <v>9.8839971719941855E-2</v>
      </c>
      <c r="G16" s="9">
        <f>TableA2!L16</f>
        <v>0.52437213243531344</v>
      </c>
      <c r="H16" s="9">
        <f>D16/TableA2!C16</f>
        <v>0</v>
      </c>
      <c r="I16" s="9">
        <f t="shared" si="8"/>
        <v>0</v>
      </c>
      <c r="J16" s="9">
        <f>TableA6!I16/TableA2!$C16</f>
        <v>0</v>
      </c>
      <c r="K16" s="9">
        <f>TableA6!J16/TableA2!$C16</f>
        <v>0</v>
      </c>
      <c r="L16" s="1934">
        <f t="shared" si="3"/>
        <v>0.52437213243531344</v>
      </c>
      <c r="M16" s="9">
        <f>C16/TableA4!D16</f>
        <v>0.22447139293998325</v>
      </c>
      <c r="N16" s="9">
        <f>VLOOKUP(A16,TableA10!$A$8:$G$95,4,)/VLOOKUP(A16,TableA10!$A$8:$G$95,3,)</f>
        <v>0.2613430127041742</v>
      </c>
      <c r="O16" s="957">
        <f>E16/TableA4!G16</f>
        <v>0.6144052152506192</v>
      </c>
      <c r="P16" s="589">
        <f>+'Table E1'!D16</f>
        <v>0.24911472763689882</v>
      </c>
      <c r="Q16" s="589">
        <f>+'Table E1'!I16</f>
        <v>0.18914404956710307</v>
      </c>
      <c r="R16" s="589">
        <f>+'Table E1'!N16</f>
        <v>0.26533508473269962</v>
      </c>
      <c r="S16" s="589">
        <f t="shared" si="9"/>
        <v>0.69001661929022884</v>
      </c>
      <c r="T16" s="589">
        <f t="shared" si="10"/>
        <v>0.6144052152506192</v>
      </c>
      <c r="U16" s="589">
        <f t="shared" si="11"/>
        <v>0.57369138230621397</v>
      </c>
      <c r="V16" s="47">
        <f>C16-O16*TableA4!D16</f>
        <v>-8.8754603396234497</v>
      </c>
      <c r="W16" s="120">
        <f>IFERROR($C16-S16*TableA4!$D16,"")</f>
        <v>-10.596485753115759</v>
      </c>
      <c r="X16" s="120">
        <f>IFERROR($C16-T16*TableA4!$D16,"")</f>
        <v>-8.8754603396234497</v>
      </c>
      <c r="Y16" s="1945">
        <f>IFERROR($C16-U16*TableA4!$D16,"")</f>
        <v>-7.9487543477429732</v>
      </c>
      <c r="Z16" s="120">
        <f t="shared" si="12"/>
        <v>-1.7210254134923098</v>
      </c>
      <c r="AA16" s="120">
        <f t="shared" si="13"/>
        <v>0</v>
      </c>
      <c r="AB16" s="1915">
        <f t="shared" si="14"/>
        <v>0.92670599188047653</v>
      </c>
      <c r="AC16" s="120"/>
      <c r="AD16" s="120"/>
      <c r="AE16" s="120"/>
      <c r="AH16" s="711">
        <f t="shared" si="5"/>
        <v>0</v>
      </c>
      <c r="AI16" s="711">
        <f t="shared" si="6"/>
        <v>0</v>
      </c>
    </row>
    <row r="17" spans="1:35" x14ac:dyDescent="0.35">
      <c r="A17" s="1913" t="s">
        <v>60</v>
      </c>
      <c r="B17" s="1914">
        <f>TableA6!B17</f>
        <v>4.0797019715879275</v>
      </c>
      <c r="C17" s="8">
        <f>TableA6!E17</f>
        <v>1.4550356443784636</v>
      </c>
      <c r="D17" s="8">
        <v>0</v>
      </c>
      <c r="E17" s="8">
        <f t="shared" si="7"/>
        <v>2.6246663272094639</v>
      </c>
      <c r="F17" s="701">
        <f t="shared" si="0"/>
        <v>0.35665243552389325</v>
      </c>
      <c r="G17" s="9">
        <f>TableA2!L17</f>
        <v>0.51266863641431581</v>
      </c>
      <c r="H17" s="9">
        <f>D17/TableA2!C17</f>
        <v>0</v>
      </c>
      <c r="I17" s="9">
        <f t="shared" si="8"/>
        <v>0</v>
      </c>
      <c r="J17" s="9">
        <f>TableA6!I17/TableA2!$C17</f>
        <v>0</v>
      </c>
      <c r="K17" s="9">
        <f>TableA6!J17/TableA2!$C17</f>
        <v>0</v>
      </c>
      <c r="L17" s="1934">
        <f t="shared" si="3"/>
        <v>0.51266863641431581</v>
      </c>
      <c r="M17" s="9">
        <f>C17/TableA4!D17</f>
        <v>0.45190986584988918</v>
      </c>
      <c r="N17" s="9"/>
      <c r="O17" s="957">
        <f>E17/TableA4!G17</f>
        <v>0.55395752101378837</v>
      </c>
      <c r="P17" s="589">
        <f>+'Table E1'!D17</f>
        <v>0.13831160795229278</v>
      </c>
      <c r="Q17" s="589">
        <f>+'Table E1'!I17</f>
        <v>0.10047777000456205</v>
      </c>
      <c r="R17" s="589">
        <f>+'Table E1'!N17</f>
        <v>0.16157766015647265</v>
      </c>
      <c r="S17" s="589">
        <f t="shared" si="9"/>
        <v>0.64373321945234152</v>
      </c>
      <c r="T17" s="589">
        <f t="shared" si="10"/>
        <v>0.55395752101378837</v>
      </c>
      <c r="U17" s="589">
        <f t="shared" si="11"/>
        <v>0.50561676031610592</v>
      </c>
      <c r="V17" s="47">
        <f>C17-O17*TableA4!D17</f>
        <v>-0.32856767888762328</v>
      </c>
      <c r="W17" s="120">
        <f>IFERROR($C17-S17*TableA4!$D17,"")</f>
        <v>-0.6176227562345229</v>
      </c>
      <c r="X17" s="120">
        <f>IFERROR($C17-T17*TableA4!$D17,"")</f>
        <v>-0.32856767888762328</v>
      </c>
      <c r="Y17" s="1945">
        <f>IFERROR($C17-U17*TableA4!$D17,"")</f>
        <v>-0.17292263723929269</v>
      </c>
      <c r="Z17" s="120">
        <f t="shared" si="12"/>
        <v>-0.28905507734689961</v>
      </c>
      <c r="AA17" s="120">
        <f t="shared" si="13"/>
        <v>0</v>
      </c>
      <c r="AB17" s="1915">
        <f t="shared" si="14"/>
        <v>0.1556450416483306</v>
      </c>
      <c r="AC17" s="120"/>
      <c r="AD17" s="120"/>
      <c r="AE17" s="120"/>
      <c r="AH17" s="711">
        <f t="shared" si="5"/>
        <v>0</v>
      </c>
      <c r="AI17" s="711">
        <f t="shared" si="6"/>
        <v>0</v>
      </c>
    </row>
    <row r="18" spans="1:35" x14ac:dyDescent="0.35">
      <c r="A18" s="1913" t="s">
        <v>61</v>
      </c>
      <c r="B18" s="1914">
        <f>TableA6!B18</f>
        <v>25.094852932206081</v>
      </c>
      <c r="C18" s="8">
        <f>TableA6!E18</f>
        <v>4.2466092034416771</v>
      </c>
      <c r="D18" s="8">
        <v>0</v>
      </c>
      <c r="E18" s="8">
        <f t="shared" si="7"/>
        <v>20.848243728764402</v>
      </c>
      <c r="F18" s="701">
        <f t="shared" si="0"/>
        <v>0.16922231881230471</v>
      </c>
      <c r="G18" s="9">
        <f>TableA2!L18</f>
        <v>0.33261304168871642</v>
      </c>
      <c r="H18" s="9">
        <f>D18/TableA2!C18</f>
        <v>0</v>
      </c>
      <c r="I18" s="9">
        <f t="shared" si="8"/>
        <v>0</v>
      </c>
      <c r="J18" s="9">
        <f>TableA6!I18/TableA2!$C18</f>
        <v>0</v>
      </c>
      <c r="K18" s="9">
        <f>TableA6!J18/TableA2!$C18</f>
        <v>0</v>
      </c>
      <c r="L18" s="1934">
        <f t="shared" si="3"/>
        <v>0.33261304168871642</v>
      </c>
      <c r="M18" s="9">
        <f>C18/TableA4!D18</f>
        <v>0.25990349075974173</v>
      </c>
      <c r="N18" s="9">
        <f>VLOOKUP(A18,TableA10!$A$8:$G$95,4,)/VLOOKUP(A18,TableA10!$A$8:$G$95,3,)</f>
        <v>-0.86225490196078436</v>
      </c>
      <c r="O18" s="957">
        <f>E18/TableA4!G18</f>
        <v>0.35271194390671812</v>
      </c>
      <c r="P18" s="589">
        <f>+'Table E1'!D18</f>
        <v>0.18095028521661602</v>
      </c>
      <c r="Q18" s="589">
        <f>+'Table E1'!I18</f>
        <v>0.18420637943609547</v>
      </c>
      <c r="R18" s="589">
        <f>+'Table E1'!N18</f>
        <v>0.1802924460042071</v>
      </c>
      <c r="S18" s="589">
        <f t="shared" si="9"/>
        <v>0.34943039194644837</v>
      </c>
      <c r="T18" s="589">
        <f t="shared" si="10"/>
        <v>0.35271194390671812</v>
      </c>
      <c r="U18" s="589">
        <f t="shared" si="11"/>
        <v>0.35447893342378645</v>
      </c>
      <c r="V18" s="47">
        <f>C18-O18*TableA4!D18</f>
        <v>-1.516413766275523</v>
      </c>
      <c r="W18" s="120">
        <f>IFERROR($C18-S18*TableA4!$D18,"")</f>
        <v>-1.462795907141281</v>
      </c>
      <c r="X18" s="120">
        <f>IFERROR($C18-T18*TableA4!$D18,"")</f>
        <v>-1.516413766275523</v>
      </c>
      <c r="Y18" s="1945">
        <f>IFERROR($C18-U18*TableA4!$D18,"")</f>
        <v>-1.5452849211939608</v>
      </c>
      <c r="Z18" s="120">
        <f t="shared" si="12"/>
        <v>5.3617859134241996E-2</v>
      </c>
      <c r="AA18" s="120">
        <f t="shared" si="13"/>
        <v>0</v>
      </c>
      <c r="AB18" s="1915">
        <f t="shared" si="14"/>
        <v>-2.8871154918437725E-2</v>
      </c>
      <c r="AC18" s="120"/>
      <c r="AD18" s="120"/>
      <c r="AE18" s="120"/>
      <c r="AH18" s="711">
        <f t="shared" si="5"/>
        <v>0</v>
      </c>
      <c r="AI18" s="711">
        <f t="shared" si="6"/>
        <v>0</v>
      </c>
    </row>
    <row r="19" spans="1:35" x14ac:dyDescent="0.35">
      <c r="A19" s="1913" t="s">
        <v>48</v>
      </c>
      <c r="B19" s="1914">
        <f>TableA6!B19</f>
        <v>187.65852722592464</v>
      </c>
      <c r="C19" s="8">
        <f>TableA6!E19</f>
        <v>31.778815000521959</v>
      </c>
      <c r="D19" s="8">
        <v>0</v>
      </c>
      <c r="E19" s="8">
        <f t="shared" si="7"/>
        <v>155.87971222540267</v>
      </c>
      <c r="F19" s="701">
        <f t="shared" si="0"/>
        <v>0.16934383675655204</v>
      </c>
      <c r="G19" s="9">
        <f>TableA2!L19</f>
        <v>0.21535775015018682</v>
      </c>
      <c r="H19" s="9">
        <f>D19/TableA2!C19</f>
        <v>0</v>
      </c>
      <c r="I19" s="9">
        <f t="shared" si="8"/>
        <v>0</v>
      </c>
      <c r="J19" s="9">
        <f>TableA6!I19/TableA2!$C19</f>
        <v>0</v>
      </c>
      <c r="K19" s="9">
        <f>TableA6!J19/TableA2!$C19</f>
        <v>0</v>
      </c>
      <c r="L19" s="1934">
        <f t="shared" si="3"/>
        <v>0.21535775015018682</v>
      </c>
      <c r="M19" s="9">
        <f>C19/TableA4!D19</f>
        <v>0.2071972615008727</v>
      </c>
      <c r="N19" s="9">
        <f>VLOOKUP(A19,TableA10!$A$8:$G$95,4,)/VLOOKUP(A19,TableA10!$A$8:$G$95,3,)</f>
        <v>0.14399522601820081</v>
      </c>
      <c r="O19" s="957">
        <f>E19/TableA4!G19</f>
        <v>0.2171009289647885</v>
      </c>
      <c r="P19" s="589">
        <f>+'Table E1'!D19</f>
        <v>0.14506478214910593</v>
      </c>
      <c r="Q19" s="589">
        <f>+'Table E1'!I19</f>
        <v>0.1604858759321765</v>
      </c>
      <c r="R19" s="589">
        <f>+'Table E1'!N19</f>
        <v>0.14312079639648098</v>
      </c>
      <c r="S19" s="589">
        <f t="shared" si="9"/>
        <v>0.20581183912798734</v>
      </c>
      <c r="T19" s="589">
        <f t="shared" si="10"/>
        <v>0.2171009289647885</v>
      </c>
      <c r="U19" s="589">
        <f t="shared" si="11"/>
        <v>0.22317966964614297</v>
      </c>
      <c r="V19" s="47">
        <f>C19-O19*TableA4!D19</f>
        <v>-1.5189718912435666</v>
      </c>
      <c r="W19" s="120">
        <f>IFERROR($C19-S19*TableA4!$D19,"")</f>
        <v>0.21248872193864798</v>
      </c>
      <c r="X19" s="120">
        <f>IFERROR($C19-T19*TableA4!$D19,"")</f>
        <v>-1.5189718912435666</v>
      </c>
      <c r="Y19" s="1945">
        <f>IFERROR($C19-U19*TableA4!$D19,"")</f>
        <v>-2.4512968368032233</v>
      </c>
      <c r="Z19" s="120">
        <f t="shared" si="12"/>
        <v>1.7314606131822146</v>
      </c>
      <c r="AA19" s="120">
        <f t="shared" si="13"/>
        <v>0</v>
      </c>
      <c r="AB19" s="1915">
        <f t="shared" si="14"/>
        <v>-0.93232494555965673</v>
      </c>
      <c r="AC19" s="120"/>
      <c r="AD19" s="120"/>
      <c r="AE19" s="120"/>
      <c r="AH19" s="711">
        <f t="shared" si="5"/>
        <v>0</v>
      </c>
      <c r="AI19" s="711">
        <f t="shared" si="6"/>
        <v>0</v>
      </c>
    </row>
    <row r="20" spans="1:35" x14ac:dyDescent="0.35">
      <c r="A20" s="1913" t="s">
        <v>62</v>
      </c>
      <c r="B20" s="1914">
        <f>TableA6!B20</f>
        <v>553.04943443142031</v>
      </c>
      <c r="C20" s="8">
        <f>TableA6!E20</f>
        <v>42.83586575015805</v>
      </c>
      <c r="D20" s="8">
        <v>0</v>
      </c>
      <c r="E20" s="8">
        <f t="shared" si="7"/>
        <v>510.21356868126225</v>
      </c>
      <c r="F20" s="701">
        <f t="shared" si="0"/>
        <v>7.7453954535179656E-2</v>
      </c>
      <c r="G20" s="9">
        <f>TableA2!L20</f>
        <v>0.45220474547375394</v>
      </c>
      <c r="H20" s="9">
        <f>D20/TableA2!C20</f>
        <v>0</v>
      </c>
      <c r="I20" s="9">
        <f t="shared" si="8"/>
        <v>0</v>
      </c>
      <c r="J20" s="9">
        <f>TableA6!I20/TableA2!$C20</f>
        <v>0</v>
      </c>
      <c r="K20" s="9">
        <f>TableA6!J20/TableA2!$C20</f>
        <v>0</v>
      </c>
      <c r="L20" s="1934">
        <f t="shared" si="3"/>
        <v>0.45220474547375394</v>
      </c>
      <c r="M20" s="9">
        <f>C20/TableA4!D20</f>
        <v>0.18304850872360104</v>
      </c>
      <c r="N20" s="9">
        <f>VLOOKUP(A20,TableA10!$A$8:$G$95,4,)/VLOOKUP(A20,TableA10!$A$8:$G$95,3,)</f>
        <v>0.24505490373044525</v>
      </c>
      <c r="O20" s="957">
        <f>E20/TableA4!G20</f>
        <v>0.51589201053413136</v>
      </c>
      <c r="P20" s="589">
        <f>+'Table E1'!D20</f>
        <v>0.12776033754199193</v>
      </c>
      <c r="Q20" s="589">
        <f>+'Table E1'!I20</f>
        <v>0.2581822877163451</v>
      </c>
      <c r="R20" s="589">
        <f>+'Table E1'!N20</f>
        <v>0.11190368320557728</v>
      </c>
      <c r="S20" s="589">
        <f t="shared" si="9"/>
        <v>0.22687830102409207</v>
      </c>
      <c r="T20" s="589">
        <f t="shared" si="10"/>
        <v>0.51589201053413136</v>
      </c>
      <c r="U20" s="589">
        <f t="shared" si="11"/>
        <v>0.67151477719338337</v>
      </c>
      <c r="V20" s="1947">
        <f>C20-O20*TableA4!D20</f>
        <v>-77.889952006640314</v>
      </c>
      <c r="W20" s="120">
        <f>IFERROR($C20-S20*TableA4!$D20,"")</f>
        <v>-10.256773529229385</v>
      </c>
      <c r="X20" s="120">
        <f>IFERROR($C20-T20*TableA4!$D20,"")</f>
        <v>-77.889952006640314</v>
      </c>
      <c r="Y20" s="1945">
        <f>IFERROR($C20-U20*TableA4!$D20,"")</f>
        <v>-114.30781734063082</v>
      </c>
      <c r="Z20" s="120">
        <f t="shared" si="12"/>
        <v>67.633178477410922</v>
      </c>
      <c r="AA20" s="120">
        <f t="shared" si="13"/>
        <v>0</v>
      </c>
      <c r="AB20" s="1915">
        <f t="shared" si="14"/>
        <v>-36.417865333990505</v>
      </c>
      <c r="AC20" s="120"/>
      <c r="AD20" s="120"/>
      <c r="AE20" s="120"/>
      <c r="AH20" s="711">
        <f t="shared" si="5"/>
        <v>0</v>
      </c>
      <c r="AI20" s="711">
        <f t="shared" si="6"/>
        <v>0</v>
      </c>
    </row>
    <row r="21" spans="1:35" x14ac:dyDescent="0.35">
      <c r="A21" s="1913" t="s">
        <v>63</v>
      </c>
      <c r="B21" s="1914">
        <f>TableA6!B21</f>
        <v>22.607784095761257</v>
      </c>
      <c r="C21" s="8">
        <f>TableA6!E21</f>
        <v>1.3429928248302583</v>
      </c>
      <c r="D21" s="8">
        <v>0</v>
      </c>
      <c r="E21" s="8">
        <f t="shared" si="7"/>
        <v>21.264791270930999</v>
      </c>
      <c r="F21" s="701">
        <f t="shared" si="0"/>
        <v>5.9404000814129172E-2</v>
      </c>
      <c r="G21" s="9">
        <f>TableA2!L21</f>
        <v>0.81636062215561511</v>
      </c>
      <c r="H21" s="9">
        <f>D21/TableA2!C21</f>
        <v>0</v>
      </c>
      <c r="I21" s="9">
        <f t="shared" si="8"/>
        <v>0</v>
      </c>
      <c r="J21" s="9">
        <f>TableA6!I21/TableA2!$C21</f>
        <v>0</v>
      </c>
      <c r="K21" s="9">
        <f>TableA6!J21/TableA2!$C21</f>
        <v>0</v>
      </c>
      <c r="L21" s="1934">
        <f t="shared" si="3"/>
        <v>0.81636062215561511</v>
      </c>
      <c r="M21" s="9">
        <f>C21/TableA4!D21</f>
        <v>0.32015467353035559</v>
      </c>
      <c r="N21" s="9">
        <f>VLOOKUP(A21,TableA10!$A$8:$G$95,4,)/VLOOKUP(A21,TableA10!$A$8:$G$95,3,)</f>
        <v>0.14510686164229472</v>
      </c>
      <c r="O21" s="957">
        <f>E21/TableA4!G21</f>
        <v>0.90494041789473145</v>
      </c>
      <c r="P21" s="589">
        <f>+'Table E1'!D21</f>
        <v>6.147764241837958E-2</v>
      </c>
      <c r="Q21" s="589">
        <f>+'Table E1'!I21</f>
        <v>0.13824577991346368</v>
      </c>
      <c r="R21" s="589">
        <f>+'Table E1'!N21</f>
        <v>5.6820217672788415E-2</v>
      </c>
      <c r="S21" s="589">
        <f t="shared" si="9"/>
        <v>0.34916277390497952</v>
      </c>
      <c r="T21" s="589">
        <f t="shared" si="10"/>
        <v>0.90494041789473145</v>
      </c>
      <c r="U21" s="589">
        <f t="shared" si="11"/>
        <v>1.2042053031199824</v>
      </c>
      <c r="V21" s="1947">
        <f>C21-O21*TableA4!D21</f>
        <v>-2.4530738535975614</v>
      </c>
      <c r="W21" s="120">
        <f>IFERROR($C21-S21*TableA4!$D21,"")</f>
        <v>-0.12168390433126719</v>
      </c>
      <c r="X21" s="120">
        <f>IFERROR($C21-T21*TableA4!$D21,"")</f>
        <v>-2.4530738535975614</v>
      </c>
      <c r="Y21" s="1945">
        <f>IFERROR($C21-U21*TableA4!$D21,"")</f>
        <v>-3.7084376724332575</v>
      </c>
      <c r="Z21" s="120">
        <f t="shared" si="12"/>
        <v>2.3313899492662942</v>
      </c>
      <c r="AA21" s="120">
        <f t="shared" si="13"/>
        <v>0</v>
      </c>
      <c r="AB21" s="1915">
        <f t="shared" si="14"/>
        <v>-1.2553638188356961</v>
      </c>
      <c r="AC21" s="120"/>
      <c r="AD21" s="120"/>
      <c r="AE21" s="120"/>
      <c r="AH21" s="711">
        <f t="shared" si="5"/>
        <v>0</v>
      </c>
      <c r="AI21" s="711">
        <f t="shared" si="6"/>
        <v>0</v>
      </c>
    </row>
    <row r="22" spans="1:35" x14ac:dyDescent="0.35">
      <c r="A22" s="1913" t="s">
        <v>64</v>
      </c>
      <c r="B22" s="1914">
        <f>TableA6!B22</f>
        <v>20.668289583202817</v>
      </c>
      <c r="C22" s="8">
        <f>TableA6!E22</f>
        <v>9.7164397220911169</v>
      </c>
      <c r="D22" s="8">
        <v>0</v>
      </c>
      <c r="E22" s="8">
        <f t="shared" si="7"/>
        <v>10.9518498611117</v>
      </c>
      <c r="F22" s="701">
        <f t="shared" si="0"/>
        <v>0.47011339196581114</v>
      </c>
      <c r="G22" s="9">
        <f>TableA2!L22</f>
        <v>0.60422536243108271</v>
      </c>
      <c r="H22" s="9">
        <f>D22/TableA2!C22</f>
        <v>0</v>
      </c>
      <c r="I22" s="9">
        <f t="shared" si="8"/>
        <v>0</v>
      </c>
      <c r="J22" s="9">
        <f>TableA6!I22/TableA2!$C22</f>
        <v>0</v>
      </c>
      <c r="K22" s="9">
        <f>TableA6!J22/TableA2!$C22</f>
        <v>0</v>
      </c>
      <c r="L22" s="1934">
        <f t="shared" si="3"/>
        <v>0.60422536243108271</v>
      </c>
      <c r="M22" s="9">
        <f>C22/TableA4!D22</f>
        <v>0.61386905762305399</v>
      </c>
      <c r="N22" s="9">
        <f>VLOOKUP(A22,TableA10!$A$8:$G$95,4,)/VLOOKUP(A22,TableA10!$A$8:$G$95,3,)</f>
        <v>7.4171817058096412</v>
      </c>
      <c r="O22" s="957">
        <f>E22/TableA4!G22</f>
        <v>0.59591968343815072</v>
      </c>
      <c r="P22" s="589">
        <f>+'Table E1'!D22</f>
        <v>7.1800964935391079E-2</v>
      </c>
      <c r="Q22" s="589">
        <f>+'Table E1'!I22</f>
        <v>0.12931448405704929</v>
      </c>
      <c r="R22" s="589">
        <f>+'Table E1'!N22</f>
        <v>5.15960753570395E-2</v>
      </c>
      <c r="S22" s="589">
        <f t="shared" si="9"/>
        <v>0.21122323520190361</v>
      </c>
      <c r="T22" s="589">
        <f t="shared" si="10"/>
        <v>0.59591968343815072</v>
      </c>
      <c r="U22" s="589">
        <f t="shared" si="11"/>
        <v>0.80306392479612998</v>
      </c>
      <c r="V22" s="1947">
        <f>C22-O22*TableA4!D22</f>
        <v>0.28410621149757276</v>
      </c>
      <c r="W22" s="120">
        <f>IFERROR($C22-S22*TableA4!$D22,"")</f>
        <v>6.3731569694285639</v>
      </c>
      <c r="X22" s="120">
        <f>IFERROR($C22-T22*TableA4!$D22,"")</f>
        <v>0.28410621149757276</v>
      </c>
      <c r="Y22" s="1945">
        <f>IFERROR($C22-U22*TableA4!$D22,"")</f>
        <v>-2.9946134273883462</v>
      </c>
      <c r="Z22" s="120">
        <f t="shared" si="12"/>
        <v>6.0890507579309912</v>
      </c>
      <c r="AA22" s="120">
        <f t="shared" si="13"/>
        <v>0</v>
      </c>
      <c r="AB22" s="1915">
        <f t="shared" si="14"/>
        <v>-3.278719638885919</v>
      </c>
      <c r="AC22" s="120"/>
      <c r="AD22" s="120"/>
      <c r="AE22" s="120"/>
      <c r="AH22" s="711">
        <f t="shared" si="5"/>
        <v>0</v>
      </c>
      <c r="AI22" s="711">
        <f t="shared" si="6"/>
        <v>0</v>
      </c>
    </row>
    <row r="23" spans="1:35" x14ac:dyDescent="0.35">
      <c r="A23" s="1913" t="s">
        <v>65</v>
      </c>
      <c r="B23" s="1914">
        <f>TableA6!B23</f>
        <v>2.1489969781260903</v>
      </c>
      <c r="C23" s="8">
        <f>TableA6!E23</f>
        <v>-9.6186838505018343E-2</v>
      </c>
      <c r="D23" s="8">
        <v>0</v>
      </c>
      <c r="E23" s="8">
        <f t="shared" si="7"/>
        <v>2.2451838166311084</v>
      </c>
      <c r="F23" s="701">
        <f t="shared" si="0"/>
        <v>-4.4758945444815172E-2</v>
      </c>
      <c r="G23" s="9">
        <f>TableA2!L23</f>
        <v>0.41910792740626918</v>
      </c>
      <c r="H23" s="9">
        <f>D23/TableA2!C23</f>
        <v>0</v>
      </c>
      <c r="I23" s="9">
        <f t="shared" si="8"/>
        <v>0</v>
      </c>
      <c r="J23" s="9">
        <f>TableA6!I23/TableA2!$C23</f>
        <v>0</v>
      </c>
      <c r="K23" s="9">
        <f>TableA6!J23/TableA2!$C23</f>
        <v>0</v>
      </c>
      <c r="L23" s="1934">
        <f t="shared" si="3"/>
        <v>0.41910792740626918</v>
      </c>
      <c r="M23" s="9">
        <f>C23/TableA4!D23</f>
        <v>-6.7952586167860679E-2</v>
      </c>
      <c r="N23" s="9"/>
      <c r="O23" s="957">
        <f>E23/TableA4!G23</f>
        <v>0.60483646934821078</v>
      </c>
      <c r="P23" s="589">
        <f>+'Table E1'!D23</f>
        <v>0.142361783342771</v>
      </c>
      <c r="Q23" s="589">
        <f>+'Table E1'!I23</f>
        <v>0</v>
      </c>
      <c r="R23" s="589">
        <f>+'Table E1'!N23</f>
        <v>0</v>
      </c>
      <c r="S23" s="589" t="str">
        <f t="shared" si="9"/>
        <v/>
      </c>
      <c r="T23" s="589" t="str">
        <f t="shared" si="10"/>
        <v/>
      </c>
      <c r="U23" s="589" t="str">
        <f t="shared" si="11"/>
        <v/>
      </c>
      <c r="V23" s="1947">
        <f>C23-O23*TableA4!D23</f>
        <v>-0.95233244060805888</v>
      </c>
      <c r="W23" s="120" t="str">
        <f>IFERROR($C23-S23*TableA4!$D23,"")</f>
        <v/>
      </c>
      <c r="X23" s="120" t="str">
        <f>IFERROR($C23-T23*TableA4!$D23,"")</f>
        <v/>
      </c>
      <c r="Y23" s="1945" t="str">
        <f>IFERROR($C23-U23*TableA4!$D23,"")</f>
        <v/>
      </c>
      <c r="Z23" s="120" t="str">
        <f t="shared" si="12"/>
        <v/>
      </c>
      <c r="AA23" s="120" t="str">
        <f t="shared" si="13"/>
        <v/>
      </c>
      <c r="AB23" s="1915" t="str">
        <f t="shared" si="14"/>
        <v/>
      </c>
      <c r="AC23" s="120"/>
      <c r="AD23" s="120"/>
      <c r="AE23" s="120"/>
      <c r="AH23" s="711">
        <f t="shared" si="5"/>
        <v>0</v>
      </c>
      <c r="AI23" s="711">
        <f t="shared" si="6"/>
        <v>0</v>
      </c>
    </row>
    <row r="24" spans="1:35" x14ac:dyDescent="0.35">
      <c r="A24" s="1913" t="s">
        <v>19</v>
      </c>
      <c r="B24" s="1914">
        <f>TableA6!B24</f>
        <v>174.30510209753976</v>
      </c>
      <c r="C24" s="8">
        <f>TableA6!E24</f>
        <v>116.2731292562101</v>
      </c>
      <c r="D24" s="8">
        <f>+(VLOOKUP($A24,[1]OECDTable14a!$A$15:$XO$66,265,0)/VLOOKUP($A24,[1]FX!$B$2:$D$54,3,0))/1000*0.75</f>
        <v>25.995157260117182</v>
      </c>
      <c r="E24" s="8">
        <f t="shared" si="7"/>
        <v>32.03681558121248</v>
      </c>
      <c r="F24" s="701">
        <f t="shared" si="0"/>
        <v>0.78398740815168366</v>
      </c>
      <c r="G24" s="9">
        <f>TableA2!L24</f>
        <v>2.0458364548956904</v>
      </c>
      <c r="H24" s="9">
        <f>D24/TableA2!C24</f>
        <v>0.42364275085659048</v>
      </c>
      <c r="I24" s="9">
        <f t="shared" si="8"/>
        <v>0.79481160128028239</v>
      </c>
      <c r="J24" s="9">
        <f>TableA6!I24/TableA2!$C24</f>
        <v>0.79481160128028239</v>
      </c>
      <c r="K24" s="9">
        <f>TableA6!J24/TableA2!$C24</f>
        <v>0</v>
      </c>
      <c r="L24" s="1934">
        <f t="shared" si="3"/>
        <v>2.4170053053193823</v>
      </c>
      <c r="M24" s="9">
        <f>C24/TableA4!D24</f>
        <v>7.9996490577609283</v>
      </c>
      <c r="N24" s="9">
        <f>VLOOKUP(A24,TableA10!$A$8:$G$95,4,)/VLOOKUP(A24,TableA10!$A$8:$G$95,3,)</f>
        <v>7.7427987962166807</v>
      </c>
      <c r="O24" s="1935">
        <f>E24/TableA4!G24</f>
        <v>0.68416351867003244</v>
      </c>
      <c r="P24" s="589">
        <f>+'Table E1'!D24</f>
        <v>0.1510853378572892</v>
      </c>
      <c r="Q24" s="589">
        <f>+'Table E1'!I24</f>
        <v>0.33424889387920881</v>
      </c>
      <c r="R24" s="589">
        <f>+'Table E1'!N24</f>
        <v>0.11035923688474457</v>
      </c>
      <c r="S24" s="589">
        <f t="shared" si="9"/>
        <v>8.9312143753408457E-2</v>
      </c>
      <c r="T24" s="589">
        <f t="shared" si="10"/>
        <v>0.68416351867003244</v>
      </c>
      <c r="U24" s="589">
        <f t="shared" si="11"/>
        <v>1.0044681051635993</v>
      </c>
      <c r="V24" s="1947">
        <f>C24-O24*TableA4!D24</f>
        <v>106.3289638729139</v>
      </c>
      <c r="W24" s="120">
        <f>IFERROR($C24-S24*TableA4!$D24,"")</f>
        <v>114.97499700568162</v>
      </c>
      <c r="X24" s="120">
        <f>IFERROR($C24-T24*TableA4!$D24,"")</f>
        <v>106.3289638729139</v>
      </c>
      <c r="Y24" s="1945">
        <f>IFERROR($C24-U24*TableA4!$D24,"")</f>
        <v>101.67340757065438</v>
      </c>
      <c r="Z24" s="120">
        <f t="shared" si="12"/>
        <v>8.6460331327677125</v>
      </c>
      <c r="AA24" s="120">
        <f t="shared" si="13"/>
        <v>0</v>
      </c>
      <c r="AB24" s="1915">
        <f t="shared" si="14"/>
        <v>-4.6555563022595265</v>
      </c>
      <c r="AC24" s="120"/>
      <c r="AD24" s="120"/>
      <c r="AE24" s="120"/>
      <c r="AH24" s="711">
        <f t="shared" si="5"/>
        <v>0</v>
      </c>
      <c r="AI24" s="711">
        <f t="shared" si="6"/>
        <v>0</v>
      </c>
    </row>
    <row r="25" spans="1:35" x14ac:dyDescent="0.35">
      <c r="A25" s="1913" t="s">
        <v>95</v>
      </c>
      <c r="B25" s="1914">
        <f>TableA6!B25</f>
        <v>53.821062621875072</v>
      </c>
      <c r="C25" s="8">
        <f>TableA6!E25</f>
        <v>5.8274626748237663</v>
      </c>
      <c r="D25" s="8">
        <v>0</v>
      </c>
      <c r="E25" s="8">
        <f t="shared" si="7"/>
        <v>47.993599947051308</v>
      </c>
      <c r="F25" s="701">
        <f t="shared" si="0"/>
        <v>0.10827476067808532</v>
      </c>
      <c r="G25" s="9">
        <f>TableA2!L25</f>
        <v>0.58530208289956809</v>
      </c>
      <c r="H25" s="9">
        <f>D25/TableA2!C25</f>
        <v>0</v>
      </c>
      <c r="I25" s="9">
        <f t="shared" si="8"/>
        <v>0</v>
      </c>
      <c r="J25" s="9">
        <f>TableA6!I25/TableA2!$C25</f>
        <v>0</v>
      </c>
      <c r="K25" s="9">
        <f>TableA6!J25/TableA2!$C25</f>
        <v>0</v>
      </c>
      <c r="L25" s="1934">
        <f t="shared" si="3"/>
        <v>0.58530208289956809</v>
      </c>
      <c r="M25" s="9">
        <f>C25/TableA4!D25</f>
        <v>0.507499525346497</v>
      </c>
      <c r="N25" s="9">
        <f>VLOOKUP(A25,TableA10!$A$8:$G$95,4,)/VLOOKUP(A25,TableA10!$A$8:$G$95,3,)</f>
        <v>0.507499525346497</v>
      </c>
      <c r="O25" s="957">
        <f>E25/TableA4!G25</f>
        <v>0.59640392117908991</v>
      </c>
      <c r="P25" s="589">
        <f>+'Table E1'!D25</f>
        <v>7.6088109021998335E-2</v>
      </c>
      <c r="Q25" s="589">
        <f>+'Table E1'!I25</f>
        <v>8.1275159193857013E-2</v>
      </c>
      <c r="R25" s="589">
        <f>+'Table E1'!N25</f>
        <v>7.5627376630288817E-2</v>
      </c>
      <c r="S25" s="589">
        <f t="shared" si="9"/>
        <v>0.57731582400187609</v>
      </c>
      <c r="T25" s="589">
        <f t="shared" si="10"/>
        <v>0.59640392117908991</v>
      </c>
      <c r="U25" s="589">
        <f t="shared" si="11"/>
        <v>0.60668212735143578</v>
      </c>
      <c r="V25" s="1947">
        <f>C25-O25*TableA4!D25</f>
        <v>-1.0208621337891248</v>
      </c>
      <c r="W25" s="120">
        <f>IFERROR($C25-S25*TableA4!$D25,"")</f>
        <v>-0.80167932025313871</v>
      </c>
      <c r="X25" s="120">
        <f>IFERROR($C25-T25*TableA4!$D25,"")</f>
        <v>-1.0208621337891248</v>
      </c>
      <c r="Y25" s="1945">
        <f>IFERROR($C25-U25*TableA4!$D25,"")</f>
        <v>-1.1388836487700393</v>
      </c>
      <c r="Z25" s="120">
        <f t="shared" si="12"/>
        <v>0.21918281353598612</v>
      </c>
      <c r="AA25" s="120">
        <f t="shared" si="13"/>
        <v>0</v>
      </c>
      <c r="AB25" s="1915">
        <f t="shared" si="14"/>
        <v>-0.11802151498091451</v>
      </c>
      <c r="AC25" s="120"/>
      <c r="AD25" s="120"/>
      <c r="AE25" s="120"/>
      <c r="AH25" s="711">
        <f t="shared" si="5"/>
        <v>0</v>
      </c>
      <c r="AI25" s="711">
        <f t="shared" si="6"/>
        <v>0</v>
      </c>
    </row>
    <row r="26" spans="1:35" x14ac:dyDescent="0.35">
      <c r="A26" s="1913" t="s">
        <v>66</v>
      </c>
      <c r="B26" s="1914">
        <f>TableA6!B26</f>
        <v>211.89440797463348</v>
      </c>
      <c r="C26" s="8">
        <f>TableA6!E26</f>
        <v>13.197888688714203</v>
      </c>
      <c r="D26" s="8">
        <v>0</v>
      </c>
      <c r="E26" s="8">
        <f t="shared" si="7"/>
        <v>198.69651928591927</v>
      </c>
      <c r="F26" s="701">
        <f t="shared" si="0"/>
        <v>6.228521467302791E-2</v>
      </c>
      <c r="G26" s="9">
        <f>TableA2!L26</f>
        <v>0.43094579515647402</v>
      </c>
      <c r="H26" s="9">
        <f>D26/TableA2!C26</f>
        <v>0</v>
      </c>
      <c r="I26" s="9">
        <f t="shared" si="8"/>
        <v>0</v>
      </c>
      <c r="J26" s="9">
        <f>TableA6!I26/TableA2!$C26</f>
        <v>0</v>
      </c>
      <c r="K26" s="9">
        <f>TableA6!J26/TableA2!$C26</f>
        <v>0</v>
      </c>
      <c r="L26" s="1934">
        <f t="shared" si="3"/>
        <v>0.43094579515647402</v>
      </c>
      <c r="M26" s="9">
        <f>C26/TableA4!D26</f>
        <v>0.16233602672515596</v>
      </c>
      <c r="N26" s="9">
        <f>VLOOKUP(A26,TableA10!$A$8:$G$95,4,)/VLOOKUP(A26,TableA10!$A$8:$G$95,3,)</f>
        <v>0.29230028211656228</v>
      </c>
      <c r="O26" s="957">
        <f>E26/TableA4!G26</f>
        <v>0.48415758018996907</v>
      </c>
      <c r="P26" s="589">
        <f>+'Table E1'!D26</f>
        <v>0.1416191303959051</v>
      </c>
      <c r="Q26" s="589">
        <f>+'Table E1'!I26</f>
        <v>0.23520857895128969</v>
      </c>
      <c r="R26" s="589">
        <f>+'Table E1'!N26</f>
        <v>0.13324414709091489</v>
      </c>
      <c r="S26" s="589">
        <f t="shared" si="9"/>
        <v>0.32537220009921791</v>
      </c>
      <c r="T26" s="589">
        <f t="shared" si="10"/>
        <v>0.48415758018996907</v>
      </c>
      <c r="U26" s="589">
        <f t="shared" si="11"/>
        <v>0.56965740023883515</v>
      </c>
      <c r="V26" s="1947">
        <f>C26-O26*TableA4!D26</f>
        <v>-26.164032260372608</v>
      </c>
      <c r="W26" s="120">
        <f>IFERROR($C26-S26*TableA4!$D26,"")</f>
        <v>-13.254810480656802</v>
      </c>
      <c r="X26" s="120">
        <f>IFERROR($C26-T26*TableA4!$D26,"")</f>
        <v>-26.164032260372608</v>
      </c>
      <c r="Y26" s="1945">
        <f>IFERROR($C26-U26*TableA4!$D26,"")</f>
        <v>-33.11515168021959</v>
      </c>
      <c r="Z26" s="120">
        <f t="shared" si="12"/>
        <v>12.909221779715805</v>
      </c>
      <c r="AA26" s="120">
        <f t="shared" si="13"/>
        <v>0</v>
      </c>
      <c r="AB26" s="1915">
        <f t="shared" si="14"/>
        <v>-6.9511194198469823</v>
      </c>
      <c r="AC26" s="120"/>
      <c r="AD26" s="120"/>
      <c r="AE26" s="120"/>
      <c r="AH26" s="711">
        <f t="shared" si="5"/>
        <v>0</v>
      </c>
      <c r="AI26" s="711">
        <f t="shared" si="6"/>
        <v>0</v>
      </c>
    </row>
    <row r="27" spans="1:35" x14ac:dyDescent="0.35">
      <c r="A27" s="1913" t="s">
        <v>67</v>
      </c>
      <c r="B27" s="1914">
        <f>TableA6!B27</f>
        <v>634.13536380108962</v>
      </c>
      <c r="C27" s="8">
        <f>TableA6!E27</f>
        <v>32.091665406409945</v>
      </c>
      <c r="D27" s="8">
        <v>0</v>
      </c>
      <c r="E27" s="8">
        <f t="shared" si="7"/>
        <v>602.04369839467972</v>
      </c>
      <c r="F27" s="701">
        <f t="shared" si="0"/>
        <v>5.0606963809821832E-2</v>
      </c>
      <c r="G27" s="9">
        <f>TableA2!L27</f>
        <v>0.41884260770852871</v>
      </c>
      <c r="H27" s="9">
        <f>D27/TableA2!C27</f>
        <v>0</v>
      </c>
      <c r="I27" s="9">
        <f t="shared" si="8"/>
        <v>0</v>
      </c>
      <c r="J27" s="9">
        <f>TableA6!I27/TableA2!$C27</f>
        <v>0</v>
      </c>
      <c r="K27" s="9">
        <f>TableA6!J27/TableA2!$C27</f>
        <v>0</v>
      </c>
      <c r="L27" s="1934">
        <f t="shared" si="3"/>
        <v>0.41884260770852871</v>
      </c>
      <c r="M27" s="9">
        <f>C27/TableA4!D27</f>
        <v>0.23732566147384185</v>
      </c>
      <c r="N27" s="9">
        <f>VLOOKUP(A27,TableA10!$A$8:$G$95,4,)/VLOOKUP(A27,TableA10!$A$8:$G$95,3,)</f>
        <v>0.85962139029186102</v>
      </c>
      <c r="O27" s="957">
        <f>E27/TableA4!G27</f>
        <v>0.43664443770241151</v>
      </c>
      <c r="P27" s="589">
        <f>+'Table E1'!D27</f>
        <v>0.14545222977998268</v>
      </c>
      <c r="Q27" s="589">
        <f>+'Table E1'!I27</f>
        <v>0.10940132347603941</v>
      </c>
      <c r="R27" s="589">
        <f>+'Table E1'!N27</f>
        <v>0.14671054470606501</v>
      </c>
      <c r="S27" s="589">
        <f t="shared" si="9"/>
        <v>0.48423337440106978</v>
      </c>
      <c r="T27" s="589">
        <f t="shared" si="10"/>
        <v>0.43664443770241151</v>
      </c>
      <c r="U27" s="589">
        <f t="shared" si="11"/>
        <v>0.41101962563390321</v>
      </c>
      <c r="V27" s="1948">
        <f>C27-O27*TableA4!D27</f>
        <v>-26.952295997908244</v>
      </c>
      <c r="W27" s="120">
        <f>IFERROR($C27-S27*TableA4!$D27,"")</f>
        <v>-33.387370166019195</v>
      </c>
      <c r="X27" s="120">
        <f>IFERROR($C27-T27*TableA4!$D27,"")</f>
        <v>-26.952295997908244</v>
      </c>
      <c r="Y27" s="1945">
        <f>IFERROR($C27-U27*TableA4!$D27,"")</f>
        <v>-23.487256061233118</v>
      </c>
      <c r="Z27" s="120">
        <f t="shared" si="12"/>
        <v>-6.4350741681109511</v>
      </c>
      <c r="AA27" s="120">
        <f t="shared" si="13"/>
        <v>0</v>
      </c>
      <c r="AB27" s="1915">
        <f t="shared" si="14"/>
        <v>3.4650399366751259</v>
      </c>
      <c r="AC27" s="120"/>
      <c r="AD27" s="120"/>
      <c r="AE27" s="120"/>
      <c r="AH27" s="711">
        <f t="shared" si="5"/>
        <v>0</v>
      </c>
      <c r="AI27" s="711">
        <f t="shared" si="6"/>
        <v>0</v>
      </c>
    </row>
    <row r="28" spans="1:35" x14ac:dyDescent="0.35">
      <c r="A28" s="1913" t="s">
        <v>68</v>
      </c>
      <c r="B28" s="1914">
        <f>TableA6!B28</f>
        <v>248.21706968304588</v>
      </c>
      <c r="C28" s="8">
        <f>TableA6!E28</f>
        <v>2.54407878701964</v>
      </c>
      <c r="D28" s="8">
        <v>0</v>
      </c>
      <c r="E28" s="8">
        <f t="shared" si="7"/>
        <v>245.67299089602625</v>
      </c>
      <c r="F28" s="701">
        <f t="shared" si="0"/>
        <v>1.0249411091139835E-2</v>
      </c>
      <c r="G28" s="9">
        <f>TableA2!L28</f>
        <v>0.59857470740953445</v>
      </c>
      <c r="H28" s="9">
        <f>D28/TableA2!C28</f>
        <v>0</v>
      </c>
      <c r="I28" s="9">
        <f t="shared" si="8"/>
        <v>0</v>
      </c>
      <c r="J28" s="9">
        <f>TableA6!I28/TableA2!$C28</f>
        <v>0</v>
      </c>
      <c r="K28" s="9">
        <f>TableA6!J28/TableA2!$C28</f>
        <v>0</v>
      </c>
      <c r="L28" s="1934">
        <f t="shared" si="3"/>
        <v>0.59857470740953445</v>
      </c>
      <c r="M28" s="9">
        <f>C28/TableA4!D28</f>
        <v>3.9749361886952154E-2</v>
      </c>
      <c r="N28" s="9">
        <f>VLOOKUP(A28,TableA10!$A$8:$G$95,4,)/VLOOKUP(A28,TableA10!$A$8:$G$95,3,)</f>
        <v>0.68300783844825297</v>
      </c>
      <c r="O28" s="957">
        <f>E28/TableA4!G28</f>
        <v>0.70056738480426717</v>
      </c>
      <c r="P28" s="589">
        <f>+'Table E1'!D28</f>
        <v>0.12414683693476472</v>
      </c>
      <c r="Q28" s="589">
        <f>+'Table E1'!I28</f>
        <v>0.15303662955804084</v>
      </c>
      <c r="R28" s="589">
        <f>+'Table E1'!N28</f>
        <v>0</v>
      </c>
      <c r="S28" s="589" t="str">
        <f t="shared" si="9"/>
        <v/>
      </c>
      <c r="T28" s="589" t="str">
        <f t="shared" si="10"/>
        <v/>
      </c>
      <c r="U28" s="589" t="str">
        <f t="shared" si="11"/>
        <v/>
      </c>
      <c r="V28" s="1947">
        <f>C28-O28*TableA4!D28</f>
        <v>-42.29434220769339</v>
      </c>
      <c r="W28" s="120" t="str">
        <f>IFERROR($C28-S28*TableA4!$D28,"")</f>
        <v/>
      </c>
      <c r="X28" s="120" t="str">
        <f>IFERROR($C28-T28*TableA4!$D28,"")</f>
        <v/>
      </c>
      <c r="Y28" s="1945" t="str">
        <f>IFERROR($C28-U28*TableA4!$D28,"")</f>
        <v/>
      </c>
      <c r="Z28" s="120" t="str">
        <f t="shared" si="12"/>
        <v/>
      </c>
      <c r="AA28" s="120" t="str">
        <f t="shared" si="13"/>
        <v/>
      </c>
      <c r="AB28" s="1915" t="str">
        <f t="shared" si="14"/>
        <v/>
      </c>
      <c r="AC28" s="120"/>
      <c r="AD28" s="120"/>
      <c r="AE28" s="120"/>
      <c r="AH28" s="711">
        <f t="shared" si="5"/>
        <v>0</v>
      </c>
      <c r="AI28" s="711">
        <f t="shared" si="6"/>
        <v>0</v>
      </c>
    </row>
    <row r="29" spans="1:35" x14ac:dyDescent="0.35">
      <c r="A29" s="1908" t="s">
        <v>69</v>
      </c>
      <c r="B29" s="1914">
        <f>TableA6!B29</f>
        <v>4.1858751479217755</v>
      </c>
      <c r="C29" s="8">
        <f>TableA6!E29</f>
        <v>1.2242246708432463</v>
      </c>
      <c r="D29" s="8">
        <v>0</v>
      </c>
      <c r="E29" s="8">
        <f t="shared" si="7"/>
        <v>2.9616504770785292</v>
      </c>
      <c r="F29" s="701">
        <f t="shared" si="0"/>
        <v>0.29246564400064717</v>
      </c>
      <c r="G29" s="9">
        <f>TableA2!L29</f>
        <v>0.4548799812563365</v>
      </c>
      <c r="H29" s="9">
        <f>D29/TableA2!C29</f>
        <v>0</v>
      </c>
      <c r="I29" s="9">
        <f t="shared" si="8"/>
        <v>0</v>
      </c>
      <c r="J29" s="9">
        <f>TableA6!I29/TableA2!$C29</f>
        <v>0</v>
      </c>
      <c r="K29" s="9">
        <f>TableA6!J29/TableA2!$C29</f>
        <v>0</v>
      </c>
      <c r="L29" s="1934">
        <f t="shared" si="3"/>
        <v>0.4548799812563365</v>
      </c>
      <c r="M29" s="9">
        <f>C29/TableA4!D29</f>
        <v>0.41891257424263328</v>
      </c>
      <c r="N29" s="9"/>
      <c r="O29" s="957">
        <f>E29/TableA4!G29</f>
        <v>0.47161797519422538</v>
      </c>
      <c r="P29" s="589">
        <f>+'Table E1'!D29</f>
        <v>8.8296635740784585E-2</v>
      </c>
      <c r="Q29" s="589">
        <f>+'Table E1'!I29</f>
        <v>0.12839451804317503</v>
      </c>
      <c r="R29" s="589">
        <f>+'Table E1'!N29</f>
        <v>7.8297670309072434E-2</v>
      </c>
      <c r="S29" s="589">
        <f t="shared" si="9"/>
        <v>0.342295167949</v>
      </c>
      <c r="T29" s="589">
        <f t="shared" si="10"/>
        <v>0.47161797519422538</v>
      </c>
      <c r="U29" s="589">
        <f t="shared" si="11"/>
        <v>0.54125333294165445</v>
      </c>
      <c r="V29" s="1947">
        <f>C29-O29*TableA4!D29</f>
        <v>-0.15402557979616138</v>
      </c>
      <c r="W29" s="120">
        <f>IFERROR($C29-S29*TableA4!$D29,"")</f>
        <v>0.22390571390764591</v>
      </c>
      <c r="X29" s="120">
        <f>IFERROR($C29-T29*TableA4!$D29,"")</f>
        <v>-0.15402557979616138</v>
      </c>
      <c r="Y29" s="1945">
        <f>IFERROR($C29-U29*TableA4!$D29,"")</f>
        <v>-0.35752704563667304</v>
      </c>
      <c r="Z29" s="120">
        <f t="shared" si="12"/>
        <v>0.37793129370380729</v>
      </c>
      <c r="AA29" s="120">
        <f t="shared" si="13"/>
        <v>0</v>
      </c>
      <c r="AB29" s="1915">
        <f t="shared" si="14"/>
        <v>-0.20350146584051165</v>
      </c>
      <c r="AC29" s="120"/>
      <c r="AD29" s="120"/>
      <c r="AE29" s="120"/>
      <c r="AH29" s="711">
        <f t="shared" si="5"/>
        <v>0</v>
      </c>
      <c r="AI29" s="711">
        <f t="shared" si="6"/>
        <v>0</v>
      </c>
    </row>
    <row r="30" spans="1:35" x14ac:dyDescent="0.35">
      <c r="A30" s="1908" t="s">
        <v>70</v>
      </c>
      <c r="B30" s="1914">
        <f>TableA6!B30</f>
        <v>91.027431841444567</v>
      </c>
      <c r="C30" s="8">
        <f>TableA6!E30</f>
        <v>51.304832182529623</v>
      </c>
      <c r="D30" s="8">
        <f>+(VLOOKUP($A30,[1]OECDTable14a!$A$15:$XO$66,265,0)/VLOOKUP($A30,[1]FX!$B$2:$D$54,3,0))/1000*0.35</f>
        <v>35.507497845637872</v>
      </c>
      <c r="E30" s="8">
        <f t="shared" si="7"/>
        <v>4.215101813277073</v>
      </c>
      <c r="F30" s="701">
        <f t="shared" si="0"/>
        <v>0.92407948803405582</v>
      </c>
      <c r="G30" s="9">
        <f>TableA2!L30</f>
        <v>2.7503859454118813</v>
      </c>
      <c r="H30" s="9">
        <f>D30/TableA2!C30</f>
        <v>1.6475060207484251</v>
      </c>
      <c r="I30" s="9">
        <f t="shared" si="8"/>
        <v>1.4731795298014214</v>
      </c>
      <c r="J30" s="9">
        <f>TableA6!I30/TableA2!$C30</f>
        <v>1.1684081444524146</v>
      </c>
      <c r="K30" s="9">
        <f>TableA6!J30/TableA2!$C30</f>
        <v>0.30477138534900672</v>
      </c>
      <c r="L30" s="1934">
        <f t="shared" si="3"/>
        <v>2.5760594544648776</v>
      </c>
      <c r="M30" s="9">
        <f>C30/TableA4!D30</f>
        <v>4.6076539817790847</v>
      </c>
      <c r="N30" s="9">
        <f>VLOOKUP(A30,TableA10!$A$8:$G$95,4,)/VLOOKUP(A30,TableA10!$A$8:$G$95,3,)</f>
        <v>5.5750591016548467</v>
      </c>
      <c r="O30" s="327">
        <f>E30/TableA4!G30</f>
        <v>0.40461450275815142</v>
      </c>
      <c r="P30" s="589">
        <f>+'Table E1'!D30</f>
        <v>0.1933696418088944</v>
      </c>
      <c r="Q30" s="589">
        <f>+'Table E1'!I30</f>
        <v>0.16146643743375119</v>
      </c>
      <c r="R30" s="589">
        <f>+'Table E1'!N30</f>
        <v>0.21380838644670047</v>
      </c>
      <c r="S30" s="589">
        <f t="shared" si="9"/>
        <v>0.44706568738839331</v>
      </c>
      <c r="T30" s="589">
        <f t="shared" si="10"/>
        <v>0.40461450275815142</v>
      </c>
      <c r="U30" s="589">
        <f t="shared" si="11"/>
        <v>0.38175617257263655</v>
      </c>
      <c r="V30" s="1947">
        <f>C30-O30*TableA4!D30</f>
        <v>46.799572185855702</v>
      </c>
      <c r="W30" s="120">
        <f>IFERROR($C30-S30*TableA4!$D30,"")</f>
        <v>46.326891096516782</v>
      </c>
      <c r="X30" s="120">
        <f>IFERROR($C30-T30*TableA4!$D30,"")</f>
        <v>46.799572185855702</v>
      </c>
      <c r="Y30" s="1945">
        <f>IFERROR($C30-U30*TableA4!$D30,"")</f>
        <v>47.054092772422806</v>
      </c>
      <c r="Z30" s="120">
        <f t="shared" si="12"/>
        <v>-0.47268108933891995</v>
      </c>
      <c r="AA30" s="120">
        <f t="shared" si="13"/>
        <v>0</v>
      </c>
      <c r="AB30" s="1915">
        <f t="shared" si="14"/>
        <v>0.25452058656710363</v>
      </c>
      <c r="AC30" s="120"/>
      <c r="AD30" s="120"/>
      <c r="AE30" s="120"/>
      <c r="AH30" s="711">
        <f t="shared" si="5"/>
        <v>0</v>
      </c>
      <c r="AI30" s="711">
        <f t="shared" si="6"/>
        <v>0</v>
      </c>
    </row>
    <row r="31" spans="1:35" x14ac:dyDescent="0.35">
      <c r="A31" s="1908" t="s">
        <v>71</v>
      </c>
      <c r="B31" s="1914">
        <f>TableA6!B31</f>
        <v>325.04468785135941</v>
      </c>
      <c r="C31" s="8">
        <f>TableA6!E31</f>
        <v>23.460473720946542</v>
      </c>
      <c r="D31" s="8">
        <v>0</v>
      </c>
      <c r="E31" s="8">
        <f t="shared" si="7"/>
        <v>301.58421413041287</v>
      </c>
      <c r="F31" s="701">
        <f t="shared" si="0"/>
        <v>7.2176148689053019E-2</v>
      </c>
      <c r="G31" s="9">
        <f>TableA2!L31</f>
        <v>2.3179694326877476</v>
      </c>
      <c r="H31" s="9">
        <f>D31/TableA2!C31</f>
        <v>0</v>
      </c>
      <c r="I31" s="9">
        <f t="shared" si="8"/>
        <v>0</v>
      </c>
      <c r="J31" s="9">
        <f>TableA6!I31/TableA2!$C31</f>
        <v>0</v>
      </c>
      <c r="K31" s="9">
        <f>TableA6!J31/TableA2!$C31</f>
        <v>0</v>
      </c>
      <c r="L31" s="1934">
        <f t="shared" si="3"/>
        <v>2.3179694326877476</v>
      </c>
      <c r="M31" s="9">
        <f>C31/TableA4!D31</f>
        <v>0.72504257375615577</v>
      </c>
      <c r="N31" s="9">
        <f>VLOOKUP(A31,TableA10!$A$8:$G$95,4,)/VLOOKUP(A31,TableA10!$A$8:$G$95,3,)</f>
        <v>0.72504257375615588</v>
      </c>
      <c r="O31" s="957">
        <f>E31/TableA4!G31</f>
        <v>2.7957902732061406</v>
      </c>
      <c r="P31" s="589">
        <f>+'Table E1'!D31</f>
        <v>4.2736244821519324E-2</v>
      </c>
      <c r="Q31" s="589">
        <f>+'Table E1'!I31</f>
        <v>5.4253262422202644E-2</v>
      </c>
      <c r="R31" s="589">
        <f>+'Table E1'!N31</f>
        <v>4.2108579462909072E-2</v>
      </c>
      <c r="S31" s="589">
        <f t="shared" si="9"/>
        <v>2.4502144147756071</v>
      </c>
      <c r="T31" s="589">
        <f t="shared" si="10"/>
        <v>2.7957902732061406</v>
      </c>
      <c r="U31" s="589">
        <f t="shared" si="11"/>
        <v>2.9818695815918126</v>
      </c>
      <c r="V31" s="1947">
        <f>C31-O31*TableA4!D31</f>
        <v>-67.003957759307255</v>
      </c>
      <c r="W31" s="120">
        <f>IFERROR($C31-S31*TableA4!$D31,"")</f>
        <v>-55.822030464607835</v>
      </c>
      <c r="X31" s="120">
        <f>IFERROR($C31-T31*TableA4!$D31,"")</f>
        <v>-67.003957759307255</v>
      </c>
      <c r="Y31" s="1945">
        <f>IFERROR($C31-U31*TableA4!$D31,"")</f>
        <v>-73.02499553337617</v>
      </c>
      <c r="Z31" s="120">
        <f t="shared" si="12"/>
        <v>11.18192729469942</v>
      </c>
      <c r="AA31" s="120">
        <f t="shared" si="13"/>
        <v>0</v>
      </c>
      <c r="AB31" s="1915">
        <f t="shared" si="14"/>
        <v>-6.0210377740689154</v>
      </c>
      <c r="AC31" s="120"/>
      <c r="AD31" s="120"/>
      <c r="AE31" s="120"/>
      <c r="AH31" s="711">
        <f t="shared" si="5"/>
        <v>0</v>
      </c>
      <c r="AI31" s="711">
        <f t="shared" si="6"/>
        <v>0</v>
      </c>
    </row>
    <row r="32" spans="1:35" x14ac:dyDescent="0.35">
      <c r="A32" s="1908" t="s">
        <v>72</v>
      </c>
      <c r="B32" s="1914">
        <f>TableA6!B32</f>
        <v>195.09598848383817</v>
      </c>
      <c r="C32" s="8">
        <f>TableA6!E32</f>
        <v>89.333947018983608</v>
      </c>
      <c r="D32" s="8">
        <f>+(VLOOKUP($A32,[1]OECDTable14a!$A$15:$XO$66,265,0)/VLOOKUP($A32,[1]FX!$B$2:$D$54,3,0))/1000*0.35</f>
        <v>21.674047505764374</v>
      </c>
      <c r="E32" s="8">
        <f t="shared" si="7"/>
        <v>84.087993959090184</v>
      </c>
      <c r="F32" s="701">
        <f t="shared" si="0"/>
        <v>0.51512482512393487</v>
      </c>
      <c r="G32" s="9">
        <f>TableA2!L32</f>
        <v>0.56640307035308279</v>
      </c>
      <c r="H32" s="9">
        <f>D32/TableA2!C32</f>
        <v>7.6847697431803794E-2</v>
      </c>
      <c r="I32" s="9">
        <f t="shared" si="8"/>
        <v>0.12533101803891039</v>
      </c>
      <c r="J32" s="9">
        <f>TableA6!I32/TableA2!$C32</f>
        <v>8.798266735978813E-2</v>
      </c>
      <c r="K32" s="9">
        <f>TableA6!J32/TableA2!$C32</f>
        <v>3.7348350679122254E-2</v>
      </c>
      <c r="L32" s="1934">
        <f t="shared" si="3"/>
        <v>0.61488639096018938</v>
      </c>
      <c r="M32" s="9">
        <f>C32/TableA4!D32</f>
        <v>1.1495705968665206</v>
      </c>
      <c r="N32" s="119">
        <f>VLOOKUP(A32,TableA10!$A$8:$G$95,4,)/VLOOKUP(A32,TableA10!$A$8:$G$95,3,)</f>
        <v>1.7924291254711313</v>
      </c>
      <c r="O32" s="957">
        <f>E32/TableA4!G32</f>
        <v>0.41153378760859277</v>
      </c>
      <c r="P32" s="589">
        <f>+'Table E1'!D32</f>
        <v>0.15081767375249652</v>
      </c>
      <c r="Q32" s="589">
        <f>+'Table E1'!I32</f>
        <v>0.24817144798456189</v>
      </c>
      <c r="R32" s="589">
        <f>+'Table E1'!N32</f>
        <v>0.13119593915213407</v>
      </c>
      <c r="S32" s="589">
        <f t="shared" si="9"/>
        <v>0.25427922235400396</v>
      </c>
      <c r="T32" s="589">
        <f t="shared" si="10"/>
        <v>0.41153378760859277</v>
      </c>
      <c r="U32" s="589">
        <f t="shared" si="11"/>
        <v>0.49620932274567908</v>
      </c>
      <c r="V32" s="1947">
        <f>C32-O32*TableA4!D32</f>
        <v>57.353364287520073</v>
      </c>
      <c r="W32" s="120">
        <f>IFERROR($C32-S32*TableA4!$D32,"")</f>
        <v>69.573728168815393</v>
      </c>
      <c r="X32" s="120">
        <f>IFERROR($C32-T32*TableA4!$D32,"")</f>
        <v>57.353364287520073</v>
      </c>
      <c r="Y32" s="1945">
        <f>IFERROR($C32-U32*TableA4!$D32,"")</f>
        <v>50.773168351437974</v>
      </c>
      <c r="Z32" s="120">
        <f t="shared" si="12"/>
        <v>12.22036388129532</v>
      </c>
      <c r="AA32" s="120">
        <f t="shared" si="13"/>
        <v>0</v>
      </c>
      <c r="AB32" s="1915">
        <f t="shared" si="14"/>
        <v>-6.5801959360820987</v>
      </c>
      <c r="AC32" s="120"/>
      <c r="AD32" s="120"/>
      <c r="AE32" s="120"/>
      <c r="AH32" s="711">
        <f t="shared" si="5"/>
        <v>0</v>
      </c>
      <c r="AI32" s="711">
        <f t="shared" si="6"/>
        <v>0</v>
      </c>
    </row>
    <row r="33" spans="1:35" x14ac:dyDescent="0.35">
      <c r="A33" s="1908" t="s">
        <v>73</v>
      </c>
      <c r="B33" s="1914">
        <f>TableA6!B33</f>
        <v>43.62366684525152</v>
      </c>
      <c r="C33" s="8">
        <f>TableA6!E33</f>
        <v>6.2361538780448305</v>
      </c>
      <c r="D33" s="8">
        <v>0</v>
      </c>
      <c r="E33" s="8">
        <f t="shared" si="7"/>
        <v>37.387512967206689</v>
      </c>
      <c r="F33" s="701">
        <f t="shared" si="0"/>
        <v>0.1429534546045077</v>
      </c>
      <c r="G33" s="9">
        <f>TableA2!L33</f>
        <v>0.76342747942908895</v>
      </c>
      <c r="H33" s="9">
        <f>D33/TableA2!C33</f>
        <v>0</v>
      </c>
      <c r="I33" s="9">
        <f t="shared" si="8"/>
        <v>0</v>
      </c>
      <c r="J33" s="9">
        <f>TableA6!I33/TableA2!$C33</f>
        <v>0</v>
      </c>
      <c r="K33" s="9">
        <f>TableA6!J33/TableA2!$C33</f>
        <v>0</v>
      </c>
      <c r="L33" s="1934">
        <f t="shared" si="3"/>
        <v>0.76342747942908895</v>
      </c>
      <c r="M33" s="9">
        <f>C33/TableA4!D33</f>
        <v>0.67991169977924948</v>
      </c>
      <c r="N33" s="9">
        <f>VLOOKUP(A33,TableA10!$A$8:$G$95,4,)/VLOOKUP(A33,TableA10!$A$8:$G$95,3,)</f>
        <v>0.67991169977924948</v>
      </c>
      <c r="O33" s="957">
        <f>E33/TableA4!G33</f>
        <v>0.77939599106707602</v>
      </c>
      <c r="P33" s="589">
        <f>+'Table E1'!D33</f>
        <v>0.12442219910297715</v>
      </c>
      <c r="Q33" s="589">
        <f>+'Table E1'!I33</f>
        <v>5.7446548961500678E-2</v>
      </c>
      <c r="R33" s="589">
        <f>+'Table E1'!N33</f>
        <v>0.14424978986778478</v>
      </c>
      <c r="S33" s="589">
        <f t="shared" si="9"/>
        <v>0.98039880323060724</v>
      </c>
      <c r="T33" s="589">
        <f t="shared" si="10"/>
        <v>0.77939599106707602</v>
      </c>
      <c r="U33" s="589">
        <f t="shared" si="11"/>
        <v>0.67116370759440536</v>
      </c>
      <c r="V33" s="1947">
        <f>C33-O33*TableA4!D33</f>
        <v>-0.91247047097520007</v>
      </c>
      <c r="W33" s="120">
        <f>IFERROR($C33-S33*TableA4!$D33,"")</f>
        <v>-2.7560693779781209</v>
      </c>
      <c r="X33" s="120">
        <f>IFERROR($C33-T33*TableA4!$D33,"")</f>
        <v>-0.91247047097520007</v>
      </c>
      <c r="Y33" s="1945">
        <f>IFERROR($C33-U33*TableA4!$D33,"")</f>
        <v>8.023663279560278E-2</v>
      </c>
      <c r="Z33" s="120">
        <f t="shared" si="12"/>
        <v>-1.8435989070029208</v>
      </c>
      <c r="AA33" s="120">
        <f t="shared" si="13"/>
        <v>0</v>
      </c>
      <c r="AB33" s="1915">
        <f t="shared" si="14"/>
        <v>0.99270710377080285</v>
      </c>
      <c r="AC33" s="120"/>
      <c r="AD33" s="120"/>
      <c r="AE33" s="120"/>
      <c r="AH33" s="711">
        <f t="shared" si="5"/>
        <v>0</v>
      </c>
      <c r="AI33" s="711">
        <f t="shared" si="6"/>
        <v>0</v>
      </c>
    </row>
    <row r="34" spans="1:35" x14ac:dyDescent="0.35">
      <c r="A34" s="1908" t="s">
        <v>74</v>
      </c>
      <c r="B34" s="1914">
        <f>TableA6!B34</f>
        <v>76.129871814410606</v>
      </c>
      <c r="C34" s="8">
        <f>TableA6!E34</f>
        <v>6.9090708256049158</v>
      </c>
      <c r="D34" s="8">
        <v>0</v>
      </c>
      <c r="E34" s="8">
        <f t="shared" si="7"/>
        <v>69.220800988805692</v>
      </c>
      <c r="F34" s="701">
        <f t="shared" si="0"/>
        <v>9.0753743056967803E-2</v>
      </c>
      <c r="G34" s="9">
        <f>TableA2!L34</f>
        <v>0.63204211939456467</v>
      </c>
      <c r="H34" s="9">
        <f>D34/TableA2!C34</f>
        <v>0</v>
      </c>
      <c r="I34" s="9">
        <f t="shared" si="8"/>
        <v>0</v>
      </c>
      <c r="J34" s="9">
        <f>TableA6!I34/TableA2!$C34</f>
        <v>0</v>
      </c>
      <c r="K34" s="9">
        <f>TableA6!J34/TableA2!$C34</f>
        <v>0</v>
      </c>
      <c r="L34" s="1934">
        <f t="shared" si="3"/>
        <v>0.63204211939456467</v>
      </c>
      <c r="M34" s="9">
        <f>C34/TableA4!D34</f>
        <v>0.2081320757956302</v>
      </c>
      <c r="N34" s="9">
        <f>VLOOKUP(A34,TableA10!$A$8:$G$95,4,)/VLOOKUP(A34,TableA10!$A$8:$G$95,3,)</f>
        <v>1.3034855769230769</v>
      </c>
      <c r="O34" s="957">
        <f>E34/TableA4!G34</f>
        <v>0.79331594976644759</v>
      </c>
      <c r="P34" s="589">
        <f>+'Table E1'!D34</f>
        <v>0.28659257722826242</v>
      </c>
      <c r="Q34" s="589">
        <f>+'Table E1'!I34</f>
        <v>0.34417605887332126</v>
      </c>
      <c r="R34" s="589">
        <f>+'Table E1'!N34</f>
        <v>0.27135598963949448</v>
      </c>
      <c r="S34" s="589">
        <f t="shared" si="9"/>
        <v>0.70207683226773798</v>
      </c>
      <c r="T34" s="589">
        <f t="shared" si="10"/>
        <v>0.79331594976644759</v>
      </c>
      <c r="U34" s="589">
        <f t="shared" si="11"/>
        <v>0.8424447053426759</v>
      </c>
      <c r="V34" s="1947">
        <f>C34-O34*TableA4!D34</f>
        <v>-19.425534559297006</v>
      </c>
      <c r="W34" s="120">
        <f>IFERROR($C34-S34*TableA4!$D34,"")</f>
        <v>-16.396796569467625</v>
      </c>
      <c r="X34" s="120">
        <f>IFERROR($C34-T34*TableA4!$D34,"")</f>
        <v>-19.425534559297006</v>
      </c>
      <c r="Y34" s="1945">
        <f>IFERROR($C34-U34*TableA4!$D34,"")</f>
        <v>-21.056393476897448</v>
      </c>
      <c r="Z34" s="120">
        <f t="shared" si="12"/>
        <v>3.0287379898293807</v>
      </c>
      <c r="AA34" s="120">
        <f t="shared" si="13"/>
        <v>0</v>
      </c>
      <c r="AB34" s="1915">
        <f t="shared" si="14"/>
        <v>-1.6308589176004418</v>
      </c>
      <c r="AC34" s="120"/>
      <c r="AD34" s="120"/>
      <c r="AE34" s="120"/>
      <c r="AH34" s="711">
        <f t="shared" si="5"/>
        <v>0</v>
      </c>
      <c r="AI34" s="711">
        <f t="shared" si="6"/>
        <v>0</v>
      </c>
    </row>
    <row r="35" spans="1:35" x14ac:dyDescent="0.35">
      <c r="A35" s="1908" t="s">
        <v>75</v>
      </c>
      <c r="B35" s="1914">
        <f>TableA6!B35</f>
        <v>87.784586815227485</v>
      </c>
      <c r="C35" s="8">
        <f>TableA6!E35</f>
        <v>19.384207569701928</v>
      </c>
      <c r="D35" s="8">
        <v>0</v>
      </c>
      <c r="E35" s="8">
        <f t="shared" si="7"/>
        <v>68.400379245525556</v>
      </c>
      <c r="F35" s="701">
        <f t="shared" si="0"/>
        <v>0.22081561550779508</v>
      </c>
      <c r="G35" s="9">
        <f>TableA2!L35</f>
        <v>0.79203427559300121</v>
      </c>
      <c r="H35" s="9">
        <f>D35/TableA2!C35</f>
        <v>0</v>
      </c>
      <c r="I35" s="9">
        <f t="shared" si="8"/>
        <v>0</v>
      </c>
      <c r="J35" s="9">
        <f>TableA6!I35/TableA2!$C35</f>
        <v>0</v>
      </c>
      <c r="K35" s="9">
        <f>TableA6!J35/TableA2!$C35</f>
        <v>0</v>
      </c>
      <c r="L35" s="1934">
        <f t="shared" si="3"/>
        <v>0.79203427559300121</v>
      </c>
      <c r="M35" s="9">
        <f>C35/TableA4!D35</f>
        <v>0.49458294133053354</v>
      </c>
      <c r="N35" s="9">
        <f>VLOOKUP(A35,TableA10!$A$8:$G$95,4,)/VLOOKUP(A35,TableA10!$A$8:$G$95,3,)</f>
        <v>0.35369993211133743</v>
      </c>
      <c r="O35" s="957">
        <f>E35/TableA4!G35</f>
        <v>0.9547619569021214</v>
      </c>
      <c r="P35" s="589">
        <f>+'Table E1'!D35</f>
        <v>6.1047230498978568E-2</v>
      </c>
      <c r="Q35" s="589">
        <f>+'Table E1'!I35</f>
        <v>6.7428599473708828E-2</v>
      </c>
      <c r="R35" s="589">
        <f>+'Table E1'!N35</f>
        <v>5.8465393294983591E-2</v>
      </c>
      <c r="S35" s="589">
        <f t="shared" si="9"/>
        <v>0.89203086721185387</v>
      </c>
      <c r="T35" s="589">
        <f t="shared" si="10"/>
        <v>0.9547619569021214</v>
      </c>
      <c r="U35" s="589">
        <f t="shared" si="11"/>
        <v>0.98854023596611162</v>
      </c>
      <c r="V35" s="1947">
        <f>C35-O35*TableA4!D35</f>
        <v>-18.035813230968905</v>
      </c>
      <c r="W35" s="120">
        <f>IFERROR($C35-S35*TableA4!$D35,"")</f>
        <v>-15.57719130527439</v>
      </c>
      <c r="X35" s="120">
        <f>IFERROR($C35-T35*TableA4!$D35,"")</f>
        <v>-18.035813230968905</v>
      </c>
      <c r="Y35" s="1945">
        <f>IFERROR($C35-U35*TableA4!$D35,"")</f>
        <v>-19.359686575573647</v>
      </c>
      <c r="Z35" s="120">
        <f t="shared" si="12"/>
        <v>2.4586219256945157</v>
      </c>
      <c r="AA35" s="120">
        <f t="shared" si="13"/>
        <v>0</v>
      </c>
      <c r="AB35" s="1915">
        <f t="shared" si="14"/>
        <v>-1.3238733446047419</v>
      </c>
      <c r="AC35" s="120"/>
      <c r="AD35" s="120"/>
      <c r="AE35" s="120"/>
      <c r="AH35" s="711">
        <f t="shared" si="5"/>
        <v>0</v>
      </c>
      <c r="AI35" s="711">
        <f t="shared" si="6"/>
        <v>0</v>
      </c>
    </row>
    <row r="36" spans="1:35" x14ac:dyDescent="0.35">
      <c r="A36" s="1908" t="s">
        <v>76</v>
      </c>
      <c r="B36" s="1914">
        <f>TableA6!B36</f>
        <v>26.618072907828797</v>
      </c>
      <c r="C36" s="8">
        <f>TableA6!E36</f>
        <v>4.8218004507448811</v>
      </c>
      <c r="D36" s="8">
        <v>0</v>
      </c>
      <c r="E36" s="8">
        <f t="shared" si="7"/>
        <v>21.796272457083916</v>
      </c>
      <c r="F36" s="701">
        <f t="shared" si="0"/>
        <v>0.18114761603672341</v>
      </c>
      <c r="G36" s="9">
        <f>TableA2!L36</f>
        <v>0.45898248483094545</v>
      </c>
      <c r="H36" s="9">
        <f>D36/TableA2!C36</f>
        <v>0</v>
      </c>
      <c r="I36" s="9">
        <f t="shared" si="8"/>
        <v>0</v>
      </c>
      <c r="J36" s="9">
        <f>TableA6!I36/TableA2!$C36</f>
        <v>0</v>
      </c>
      <c r="K36" s="9">
        <f>TableA6!J36/TableA2!$C36</f>
        <v>0</v>
      </c>
      <c r="L36" s="1934">
        <f t="shared" si="3"/>
        <v>0.45898248483094545</v>
      </c>
      <c r="M36" s="9">
        <f>C36/TableA4!D36</f>
        <v>0.36763705254070139</v>
      </c>
      <c r="N36" s="9">
        <f>VLOOKUP(A36,TableA10!$A$8:$G$95,4,)/VLOOKUP(A36,TableA10!$A$8:$G$95,3,)</f>
        <v>0.39500390320062451</v>
      </c>
      <c r="O36" s="957">
        <f>E36/TableA4!G36</f>
        <v>0.48567830507336524</v>
      </c>
      <c r="P36" s="589">
        <f>+'Table E1'!D36</f>
        <v>7.7770166463602797E-2</v>
      </c>
      <c r="Q36" s="589">
        <f>+'Table E1'!I36</f>
        <v>0.12788421869713573</v>
      </c>
      <c r="R36" s="589">
        <f>+'Table E1'!N36</f>
        <v>7.0226287527235379E-2</v>
      </c>
      <c r="S36" s="589">
        <f t="shared" si="9"/>
        <v>0.31478255442825853</v>
      </c>
      <c r="T36" s="589">
        <f t="shared" si="10"/>
        <v>0.48567830507336524</v>
      </c>
      <c r="U36" s="589">
        <f t="shared" si="11"/>
        <v>0.57769909388226881</v>
      </c>
      <c r="V36" s="1947">
        <f>C36-O36*TableA4!D36</f>
        <v>-1.5481882490761061</v>
      </c>
      <c r="W36" s="120">
        <f>IFERROR($C36-S36*TableA4!$D36,"")</f>
        <v>0.69322131994368608</v>
      </c>
      <c r="X36" s="120">
        <f>IFERROR($C36-T36*TableA4!$D36,"")</f>
        <v>-1.5481882490761061</v>
      </c>
      <c r="Y36" s="1945">
        <f>IFERROR($C36-U36*TableA4!$D36,"")</f>
        <v>-2.7551010939329172</v>
      </c>
      <c r="Z36" s="120">
        <f t="shared" si="12"/>
        <v>2.2414095690197922</v>
      </c>
      <c r="AA36" s="120">
        <f t="shared" si="13"/>
        <v>0</v>
      </c>
      <c r="AB36" s="1915">
        <f t="shared" si="14"/>
        <v>-1.2069128448568112</v>
      </c>
      <c r="AC36" s="120"/>
      <c r="AD36" s="120"/>
      <c r="AE36" s="120"/>
      <c r="AH36" s="711">
        <f t="shared" si="5"/>
        <v>0</v>
      </c>
      <c r="AI36" s="711">
        <f t="shared" si="6"/>
        <v>0</v>
      </c>
    </row>
    <row r="37" spans="1:35" x14ac:dyDescent="0.35">
      <c r="A37" s="1908" t="s">
        <v>96</v>
      </c>
      <c r="B37" s="1914">
        <f>TableA6!B37</f>
        <v>11.604550057172386</v>
      </c>
      <c r="C37" s="8">
        <f>TableA6!E37</f>
        <v>5.4939498259811472</v>
      </c>
      <c r="D37" s="8">
        <v>0</v>
      </c>
      <c r="E37" s="8">
        <f t="shared" si="7"/>
        <v>6.1106002311912384</v>
      </c>
      <c r="F37" s="701">
        <f t="shared" si="0"/>
        <v>0.47343066287912816</v>
      </c>
      <c r="G37" s="9">
        <f>TableA2!L37</f>
        <v>0.546278965386233</v>
      </c>
      <c r="H37" s="9">
        <f>D37/TableA2!C37</f>
        <v>0</v>
      </c>
      <c r="I37" s="9">
        <f t="shared" si="8"/>
        <v>0</v>
      </c>
      <c r="J37" s="9">
        <f>TableA6!I37/TableA2!$C37</f>
        <v>0</v>
      </c>
      <c r="K37" s="9">
        <f>TableA6!J37/TableA2!$C37</f>
        <v>0</v>
      </c>
      <c r="L37" s="1934">
        <f t="shared" si="3"/>
        <v>0.546278965386233</v>
      </c>
      <c r="M37" s="9">
        <f>C37/TableA4!D37</f>
        <v>0.57224436371630738</v>
      </c>
      <c r="N37" s="9"/>
      <c r="O37" s="957">
        <f>E37/TableA4!G37</f>
        <v>0.52486666755881606</v>
      </c>
      <c r="P37" s="589">
        <f>+'Table E1'!D37</f>
        <v>2.8874183365466183E-2</v>
      </c>
      <c r="Q37" s="589">
        <f>+'Table E1'!I37</f>
        <v>4.5380937888974411E-2</v>
      </c>
      <c r="R37" s="589">
        <f>+'Table E1'!N37</f>
        <v>2.3083978122192914E-2</v>
      </c>
      <c r="S37" s="589">
        <f t="shared" si="9"/>
        <v>0.30759294560694572</v>
      </c>
      <c r="T37" s="589">
        <f t="shared" si="10"/>
        <v>0.52486666755881606</v>
      </c>
      <c r="U37" s="589">
        <f t="shared" si="11"/>
        <v>0.64186021014828476</v>
      </c>
      <c r="V37" s="1947">
        <f>C37-O37*TableA4!D37</f>
        <v>0.45485932595201106</v>
      </c>
      <c r="W37" s="120">
        <f>IFERROR($C37-S37*TableA4!$D37,"")</f>
        <v>2.5408404252774939</v>
      </c>
      <c r="X37" s="120">
        <f>IFERROR($C37-T37*TableA4!$D37,"")</f>
        <v>0.45485932595201106</v>
      </c>
      <c r="Y37" s="1945">
        <f>IFERROR($C37-U37*TableA4!$D37,"")</f>
        <v>-0.66836126599248047</v>
      </c>
      <c r="Z37" s="120">
        <f t="shared" si="12"/>
        <v>2.0859810993254828</v>
      </c>
      <c r="AA37" s="120">
        <f t="shared" si="13"/>
        <v>0</v>
      </c>
      <c r="AB37" s="1915">
        <f t="shared" si="14"/>
        <v>-1.1232205919444915</v>
      </c>
      <c r="AC37" s="120"/>
      <c r="AD37" s="120"/>
      <c r="AE37" s="120"/>
      <c r="AH37" s="711">
        <f t="shared" si="5"/>
        <v>0</v>
      </c>
      <c r="AI37" s="711">
        <f t="shared" si="6"/>
        <v>0</v>
      </c>
    </row>
    <row r="38" spans="1:35" x14ac:dyDescent="0.35">
      <c r="A38" s="1908" t="s">
        <v>78</v>
      </c>
      <c r="B38" s="1914">
        <f>TableA6!B38</f>
        <v>3.417758487410429</v>
      </c>
      <c r="C38" s="8">
        <f>TableA6!E38</f>
        <v>1.2522612330475162</v>
      </c>
      <c r="D38" s="8">
        <v>0</v>
      </c>
      <c r="E38" s="8">
        <f t="shared" si="7"/>
        <v>2.1654972543629127</v>
      </c>
      <c r="F38" s="701">
        <f t="shared" si="0"/>
        <v>0.36639839756387554</v>
      </c>
      <c r="G38" s="9">
        <f>TableA2!L38</f>
        <v>0.22872131230765103</v>
      </c>
      <c r="H38" s="9">
        <f>D38/TableA2!C38</f>
        <v>0</v>
      </c>
      <c r="I38" s="9">
        <f t="shared" si="8"/>
        <v>0</v>
      </c>
      <c r="J38" s="9">
        <f>TableA6!I38/TableA2!$C38</f>
        <v>0</v>
      </c>
      <c r="K38" s="9">
        <f>TableA6!J38/TableA2!$C38</f>
        <v>0</v>
      </c>
      <c r="L38" s="1934">
        <f t="shared" si="3"/>
        <v>0.22872131230765103</v>
      </c>
      <c r="M38" s="9">
        <f>C38/TableA4!D38</f>
        <v>0.31396441219878563</v>
      </c>
      <c r="N38" s="9"/>
      <c r="O38" s="957">
        <f>E38/TableA4!G38</f>
        <v>0.19768378236215448</v>
      </c>
      <c r="P38" s="589">
        <f>+'Table E1'!D38</f>
        <v>0.10921944096458891</v>
      </c>
      <c r="Q38" s="589">
        <f>+'Table E1'!I38</f>
        <v>0.1119093004510788</v>
      </c>
      <c r="R38" s="589">
        <f>+'Table E1'!N38</f>
        <v>0.10852625901174039</v>
      </c>
      <c r="S38" s="589">
        <f t="shared" si="9"/>
        <v>0.19504279245517073</v>
      </c>
      <c r="T38" s="589">
        <f t="shared" si="10"/>
        <v>0.19768378236215448</v>
      </c>
      <c r="U38" s="589">
        <f t="shared" si="11"/>
        <v>0.19910585385053034</v>
      </c>
      <c r="V38" s="1947">
        <f>C38-O38*TableA4!D38</f>
        <v>0.46379054198845515</v>
      </c>
      <c r="W38" s="120">
        <f>IFERROR($C38-S38*TableA4!$D38,"")</f>
        <v>0.47432424946894358</v>
      </c>
      <c r="X38" s="120">
        <f>IFERROR($C38-T38*TableA4!$D38,"")</f>
        <v>0.46379054198845515</v>
      </c>
      <c r="Y38" s="1945">
        <f>IFERROR($C38-U38*TableA4!$D38,"")</f>
        <v>0.45811854565280752</v>
      </c>
      <c r="Z38" s="120">
        <f t="shared" si="12"/>
        <v>1.053370748048843E-2</v>
      </c>
      <c r="AA38" s="120">
        <f t="shared" si="13"/>
        <v>0</v>
      </c>
      <c r="AB38" s="1915">
        <f t="shared" si="14"/>
        <v>-5.6719963356476333E-3</v>
      </c>
      <c r="AC38" s="120"/>
      <c r="AD38" s="120"/>
      <c r="AE38" s="120"/>
      <c r="AH38" s="711">
        <f t="shared" si="5"/>
        <v>0</v>
      </c>
      <c r="AI38" s="711">
        <f t="shared" si="6"/>
        <v>0</v>
      </c>
    </row>
    <row r="39" spans="1:35" x14ac:dyDescent="0.35">
      <c r="A39" s="1908" t="s">
        <v>79</v>
      </c>
      <c r="B39" s="1914">
        <f>TableA6!B39</f>
        <v>158.95366208289389</v>
      </c>
      <c r="C39" s="8">
        <f>TableA6!E39</f>
        <v>20.844161911169302</v>
      </c>
      <c r="D39" s="8">
        <v>0</v>
      </c>
      <c r="E39" s="8">
        <f t="shared" si="7"/>
        <v>138.10950017172459</v>
      </c>
      <c r="F39" s="701">
        <f t="shared" si="0"/>
        <v>0.13113357464075995</v>
      </c>
      <c r="G39" s="9">
        <f>TableA2!L39</f>
        <v>0.40428538787668511</v>
      </c>
      <c r="H39" s="9">
        <f>D39/TableA2!C39</f>
        <v>0</v>
      </c>
      <c r="I39" s="9">
        <f t="shared" si="8"/>
        <v>0</v>
      </c>
      <c r="J39" s="9">
        <f>TableA6!I39/TableA2!$C39</f>
        <v>0</v>
      </c>
      <c r="K39" s="9">
        <f>TableA6!J39/TableA2!$C39</f>
        <v>0</v>
      </c>
      <c r="L39" s="1934">
        <f t="shared" si="3"/>
        <v>0.40428538787668511</v>
      </c>
      <c r="M39" s="9">
        <f>C39/TableA4!D39</f>
        <v>0.24643753940062663</v>
      </c>
      <c r="N39" s="9">
        <f>VLOOKUP(A39,TableA10!$A$8:$G$95,4,)/VLOOKUP(A39,TableA10!$A$8:$G$95,3,)</f>
        <v>0.26873857404021939</v>
      </c>
      <c r="O39" s="957">
        <f>E39/TableA4!G39</f>
        <v>0.44755015816737814</v>
      </c>
      <c r="P39" s="589">
        <f>+'Table E1'!D39</f>
        <v>0.10475523411099644</v>
      </c>
      <c r="Q39" s="589">
        <f>+'Table E1'!I39</f>
        <v>0.17196455041775643</v>
      </c>
      <c r="R39" s="589">
        <f>+'Table E1'!N39</f>
        <v>9.5050196103206239E-2</v>
      </c>
      <c r="S39" s="589">
        <f t="shared" si="9"/>
        <v>0.29234029680659668</v>
      </c>
      <c r="T39" s="589">
        <f t="shared" si="10"/>
        <v>0.44755015816737814</v>
      </c>
      <c r="U39" s="589">
        <f t="shared" si="11"/>
        <v>0.53112469890010661</v>
      </c>
      <c r="V39" s="1947">
        <f>C39-O39*TableA4!D39</f>
        <v>-17.010492793220834</v>
      </c>
      <c r="W39" s="120">
        <f>IFERROR($C39-S39*TableA4!$D39,"")</f>
        <v>-3.8825436654912977</v>
      </c>
      <c r="X39" s="120">
        <f>IFERROR($C39-T39*TableA4!$D39,"")</f>
        <v>-17.010492793220834</v>
      </c>
      <c r="Y39" s="1945">
        <f>IFERROR($C39-U39*TableA4!$D39,"")</f>
        <v>-24.079388477382885</v>
      </c>
      <c r="Z39" s="120">
        <f t="shared" si="12"/>
        <v>13.127949127729536</v>
      </c>
      <c r="AA39" s="120">
        <f t="shared" si="13"/>
        <v>0</v>
      </c>
      <c r="AB39" s="1915">
        <f t="shared" si="14"/>
        <v>-7.0688956841620509</v>
      </c>
      <c r="AC39" s="120"/>
      <c r="AD39" s="120"/>
      <c r="AE39" s="120"/>
      <c r="AH39" s="711">
        <f t="shared" si="5"/>
        <v>0</v>
      </c>
      <c r="AI39" s="711">
        <f t="shared" si="6"/>
        <v>0</v>
      </c>
    </row>
    <row r="40" spans="1:35" x14ac:dyDescent="0.35">
      <c r="A40" s="1908" t="s">
        <v>80</v>
      </c>
      <c r="B40" s="1914">
        <f>TableA6!B40</f>
        <v>63.367762356160583</v>
      </c>
      <c r="C40" s="8">
        <f>TableA6!E40</f>
        <v>24.473912269549327</v>
      </c>
      <c r="D40" s="8">
        <v>0</v>
      </c>
      <c r="E40" s="8">
        <f t="shared" si="7"/>
        <v>38.893850086611252</v>
      </c>
      <c r="F40" s="701">
        <f t="shared" si="0"/>
        <v>0.38622023817083678</v>
      </c>
      <c r="G40" s="9">
        <f>TableA2!L40</f>
        <v>0.38626088690911503</v>
      </c>
      <c r="H40" s="9">
        <f>D40/TableA2!C40</f>
        <v>0</v>
      </c>
      <c r="I40" s="9">
        <f t="shared" si="8"/>
        <v>0</v>
      </c>
      <c r="J40" s="9">
        <f>TableA6!I40/TableA2!$C40</f>
        <v>0</v>
      </c>
      <c r="K40" s="9">
        <f>TableA6!J40/TableA2!$C40</f>
        <v>0</v>
      </c>
      <c r="L40" s="1934">
        <f t="shared" si="3"/>
        <v>0.38626088690911503</v>
      </c>
      <c r="M40" s="9">
        <f>C40/TableA4!D40</f>
        <v>0.53949704245493946</v>
      </c>
      <c r="N40" s="9">
        <f>VLOOKUP(A40,TableA10!$A$8:$G$95,4,)/VLOOKUP(A40,TableA10!$A$8:$G$95,3,)</f>
        <v>0.46141975308641975</v>
      </c>
      <c r="O40" s="957">
        <f>E40/TableA4!G40</f>
        <v>0.32769274240203272</v>
      </c>
      <c r="P40" s="589">
        <f>+'Table E1'!D40</f>
        <v>0.23198890791914323</v>
      </c>
      <c r="Q40" s="589">
        <f>+'Table E1'!I40</f>
        <v>0.22751533146991837</v>
      </c>
      <c r="R40" s="589">
        <f>+'Table E1'!N40</f>
        <v>0.23323111415856385</v>
      </c>
      <c r="S40" s="589">
        <f t="shared" si="9"/>
        <v>0.33113449191359151</v>
      </c>
      <c r="T40" s="589">
        <f t="shared" si="10"/>
        <v>0.32769274240203272</v>
      </c>
      <c r="U40" s="589">
        <f t="shared" si="11"/>
        <v>0.32583949266503953</v>
      </c>
      <c r="V40" s="1947">
        <f>C40-O40*TableA4!D40</f>
        <v>9.6083563947268509</v>
      </c>
      <c r="W40" s="120">
        <f>IFERROR($C40-S40*TableA4!$D40,"")</f>
        <v>9.4522237953406574</v>
      </c>
      <c r="X40" s="120">
        <f>IFERROR($C40-T40*TableA4!$D40,"")</f>
        <v>9.6083563947268509</v>
      </c>
      <c r="Y40" s="1945">
        <f>IFERROR($C40-U40*TableA4!$D40,"")</f>
        <v>9.6924277943963411</v>
      </c>
      <c r="Z40" s="120">
        <f t="shared" si="12"/>
        <v>-0.1561325993861935</v>
      </c>
      <c r="AA40" s="120">
        <f t="shared" si="13"/>
        <v>0</v>
      </c>
      <c r="AB40" s="1915">
        <f t="shared" si="14"/>
        <v>8.4071399669490177E-2</v>
      </c>
      <c r="AC40" s="120"/>
      <c r="AD40" s="120"/>
      <c r="AE40" s="120"/>
      <c r="AH40" s="711">
        <f t="shared" si="5"/>
        <v>0</v>
      </c>
      <c r="AI40" s="711">
        <f t="shared" si="6"/>
        <v>0</v>
      </c>
    </row>
    <row r="41" spans="1:35" x14ac:dyDescent="0.35">
      <c r="A41" s="1908" t="s">
        <v>1</v>
      </c>
      <c r="B41" s="1914">
        <f>TableA6!B41</f>
        <v>94.889238877326122</v>
      </c>
      <c r="C41" s="8">
        <f>TableA6!E41</f>
        <v>60.313127140541056</v>
      </c>
      <c r="D41" s="8">
        <v>0</v>
      </c>
      <c r="E41" s="8">
        <f t="shared" si="7"/>
        <v>34.576111736785066</v>
      </c>
      <c r="F41" s="701">
        <f t="shared" si="0"/>
        <v>0.6356160914992115</v>
      </c>
      <c r="G41" s="9">
        <f>TableA2!L41</f>
        <v>0.29546351380205693</v>
      </c>
      <c r="H41" s="9">
        <f>D41/TableA2!C41</f>
        <v>0</v>
      </c>
      <c r="I41" s="9">
        <f t="shared" si="8"/>
        <v>0</v>
      </c>
      <c r="J41" s="9">
        <f>TableA6!I41/TableA2!$C41</f>
        <v>0</v>
      </c>
      <c r="K41" s="9">
        <f>TableA6!J41/TableA2!$C41</f>
        <v>0</v>
      </c>
      <c r="L41" s="1934">
        <f t="shared" si="3"/>
        <v>0.29546351380205693</v>
      </c>
      <c r="M41" s="9">
        <f>C41/TableA4!D41</f>
        <v>3.1934639833073937</v>
      </c>
      <c r="N41" s="9">
        <f>VLOOKUP(A41,TableA10!$A$8:$G$95,4,)/VLOOKUP(A41,TableA10!$A$8:$G$95,3,)</f>
        <v>3.0350836431226766</v>
      </c>
      <c r="O41" s="327">
        <f>E41/TableA4!G41</f>
        <v>0.11438915202699569</v>
      </c>
      <c r="P41" s="589">
        <f>+'Table E1'!D41</f>
        <v>0.1231524981241746</v>
      </c>
      <c r="Q41" s="589">
        <f>+'Table E1'!I41</f>
        <v>3.849423923889609E-2</v>
      </c>
      <c r="R41" s="589">
        <f>+'Table E1'!N41</f>
        <v>0.13162813975194951</v>
      </c>
      <c r="S41" s="589">
        <f t="shared" si="9"/>
        <v>0.14907618103613485</v>
      </c>
      <c r="T41" s="589">
        <f t="shared" si="10"/>
        <v>0.11438915202699569</v>
      </c>
      <c r="U41" s="589">
        <f t="shared" si="11"/>
        <v>9.57115210220746E-2</v>
      </c>
      <c r="V41" s="1948">
        <f>C41-O41*TableA4!D41</f>
        <v>58.152724672949248</v>
      </c>
      <c r="W41" s="120">
        <f>IFERROR($C41-S41*TableA4!$D41,"")</f>
        <v>57.497610601930624</v>
      </c>
      <c r="X41" s="120">
        <f>IFERROR($C41-T41*TableA4!$D41,"")</f>
        <v>58.152724672949248</v>
      </c>
      <c r="Y41" s="1945">
        <f>IFERROR($C41-U41*TableA4!$D41,"")</f>
        <v>58.505478403497733</v>
      </c>
      <c r="Z41" s="120">
        <f t="shared" si="12"/>
        <v>-0.65511407101862318</v>
      </c>
      <c r="AA41" s="120">
        <f t="shared" si="13"/>
        <v>0</v>
      </c>
      <c r="AB41" s="1915">
        <f t="shared" si="14"/>
        <v>0.35275373054848558</v>
      </c>
      <c r="AC41" s="120"/>
      <c r="AD41" s="120"/>
      <c r="AE41" s="120"/>
      <c r="AH41" s="711">
        <f t="shared" si="5"/>
        <v>0</v>
      </c>
      <c r="AI41" s="711">
        <f t="shared" si="6"/>
        <v>0</v>
      </c>
    </row>
    <row r="42" spans="1:35" x14ac:dyDescent="0.35">
      <c r="A42" s="1908" t="s">
        <v>81</v>
      </c>
      <c r="B42" s="1914">
        <f>TableA6!B42</f>
        <v>212.59949330572061</v>
      </c>
      <c r="C42" s="8">
        <f>TableA6!E42</f>
        <v>3.6081037546987877</v>
      </c>
      <c r="D42" s="8">
        <v>0</v>
      </c>
      <c r="E42" s="8">
        <f t="shared" si="7"/>
        <v>208.99138955102183</v>
      </c>
      <c r="F42" s="701">
        <f t="shared" si="0"/>
        <v>1.6971365729034411E-2</v>
      </c>
      <c r="G42" s="9">
        <f>TableA2!L42</f>
        <v>1.1786568376604671</v>
      </c>
      <c r="H42" s="9">
        <f>D42/TableA2!C42</f>
        <v>0</v>
      </c>
      <c r="I42" s="9">
        <f t="shared" si="8"/>
        <v>0</v>
      </c>
      <c r="J42" s="9">
        <f>TableA6!I42/TableA2!$C42</f>
        <v>0</v>
      </c>
      <c r="K42" s="9">
        <f>TableA6!J42/TableA2!$C42</f>
        <v>0</v>
      </c>
      <c r="L42" s="1934">
        <f t="shared" si="3"/>
        <v>1.1786568376604671</v>
      </c>
      <c r="M42" s="9">
        <f>C42/TableA4!D42</f>
        <v>0.43176052765093853</v>
      </c>
      <c r="N42" s="9">
        <f>VLOOKUP(A42,TableA10!$A$8:$G$95,4,)/VLOOKUP(A42,TableA10!$A$8:$G$95,3,)</f>
        <v>0.43176052765093859</v>
      </c>
      <c r="O42" s="957">
        <f>E42/TableA4!G42</f>
        <v>1.2149415243838195</v>
      </c>
      <c r="P42" s="589">
        <f>+'Table E1'!D42</f>
        <v>4.8533754489864959E-2</v>
      </c>
      <c r="Q42" s="589">
        <f>+'Table E1'!I42</f>
        <v>7.1316210841993452E-2</v>
      </c>
      <c r="R42" s="589">
        <f>+'Table E1'!N42</f>
        <v>4.837056781781255E-2</v>
      </c>
      <c r="S42" s="589">
        <f t="shared" si="9"/>
        <v>0.96794113517341462</v>
      </c>
      <c r="T42" s="589">
        <f t="shared" si="10"/>
        <v>1.2149415243838195</v>
      </c>
      <c r="U42" s="589">
        <f t="shared" si="11"/>
        <v>1.347941733958653</v>
      </c>
      <c r="V42" s="1947">
        <f>C42-O42*TableA4!D42</f>
        <v>-6.5448277782474689</v>
      </c>
      <c r="W42" s="120">
        <f>IFERROR($C42-S42*TableA4!$D42,"")</f>
        <v>-4.4807135884421738</v>
      </c>
      <c r="X42" s="120">
        <f>IFERROR($C42-T42*TableA4!$D42,"")</f>
        <v>-6.5448277782474689</v>
      </c>
      <c r="Y42" s="1945">
        <f>IFERROR($C42-U42*TableA4!$D42,"")</f>
        <v>-7.6562738804503203</v>
      </c>
      <c r="Z42" s="120">
        <f t="shared" si="12"/>
        <v>2.064114189805295</v>
      </c>
      <c r="AA42" s="120">
        <f t="shared" si="13"/>
        <v>0</v>
      </c>
      <c r="AB42" s="1915">
        <f t="shared" si="14"/>
        <v>-1.1114461022028514</v>
      </c>
      <c r="AC42" s="120"/>
      <c r="AD42" s="120"/>
      <c r="AE42" s="120"/>
      <c r="AH42" s="711">
        <f t="shared" si="5"/>
        <v>0</v>
      </c>
      <c r="AI42" s="711">
        <f t="shared" si="6"/>
        <v>0</v>
      </c>
    </row>
    <row r="43" spans="1:35" x14ac:dyDescent="0.35">
      <c r="A43" s="1908" t="s">
        <v>82</v>
      </c>
      <c r="B43" s="1914">
        <f>TableA6!B43</f>
        <v>425.05098961874262</v>
      </c>
      <c r="C43" s="8">
        <f>TableA6!E43</f>
        <v>72.19500365863982</v>
      </c>
      <c r="D43" s="8">
        <v>0</v>
      </c>
      <c r="E43" s="8">
        <f t="shared" si="7"/>
        <v>352.85598596010277</v>
      </c>
      <c r="F43" s="701">
        <f t="shared" si="0"/>
        <v>0.16985021896642677</v>
      </c>
      <c r="G43" s="9">
        <f>TableA2!L43</f>
        <v>0.41977482452487414</v>
      </c>
      <c r="H43" s="9">
        <f>D43/TableA2!C43</f>
        <v>0</v>
      </c>
      <c r="I43" s="9">
        <f t="shared" si="8"/>
        <v>0</v>
      </c>
      <c r="J43" s="9">
        <f>TableA6!I43/TableA2!$C43</f>
        <v>0</v>
      </c>
      <c r="K43" s="9">
        <f>TableA6!J43/TableA2!$C43</f>
        <v>0</v>
      </c>
      <c r="L43" s="1934">
        <f t="shared" si="3"/>
        <v>0.41977482452487414</v>
      </c>
      <c r="M43" s="9">
        <f>C43/TableA4!D43</f>
        <v>0.25723407405999843</v>
      </c>
      <c r="N43" s="9">
        <f>VLOOKUP(A43,TableA10!$A$8:$G$95,4,)/VLOOKUP(A43,TableA10!$A$8:$G$95,3,)</f>
        <v>0.32541900820732633</v>
      </c>
      <c r="O43" s="957">
        <f>E43/TableA4!G43</f>
        <v>0.48210280844721259</v>
      </c>
      <c r="P43" s="589">
        <f>+'Table E1'!D43</f>
        <v>0.14514875312203893</v>
      </c>
      <c r="Q43" s="589">
        <f>+'Table E1'!I43</f>
        <v>0.23782860019575947</v>
      </c>
      <c r="R43" s="589">
        <f>+'Table E1'!N43</f>
        <v>0.12322627923489798</v>
      </c>
      <c r="S43" s="589">
        <f t="shared" si="9"/>
        <v>0.28994724900633129</v>
      </c>
      <c r="T43" s="589">
        <f t="shared" si="10"/>
        <v>0.48210280844721259</v>
      </c>
      <c r="U43" s="589">
        <f t="shared" si="11"/>
        <v>0.58557118660768714</v>
      </c>
      <c r="V43" s="1947">
        <f>C43-O43*TableA4!D43</f>
        <v>-63.111386627620902</v>
      </c>
      <c r="W43" s="120">
        <f>IFERROR($C43-S43*TableA4!$D43,"")</f>
        <v>-9.1812400575880275</v>
      </c>
      <c r="X43" s="120">
        <f>IFERROR($C43-T43*TableA4!$D43,"")</f>
        <v>-63.111386627620902</v>
      </c>
      <c r="Y43" s="1945">
        <f>IFERROR($C43-U43*TableA4!$D43,"")</f>
        <v>-92.150696319177058</v>
      </c>
      <c r="Z43" s="120">
        <f t="shared" si="12"/>
        <v>53.930146570032875</v>
      </c>
      <c r="AA43" s="120">
        <f t="shared" si="13"/>
        <v>0</v>
      </c>
      <c r="AB43" s="1915">
        <f t="shared" si="14"/>
        <v>-29.039309691556156</v>
      </c>
      <c r="AC43" s="120"/>
      <c r="AD43" s="120"/>
      <c r="AE43" s="120"/>
      <c r="AH43" s="711">
        <f t="shared" si="5"/>
        <v>0</v>
      </c>
      <c r="AI43" s="711">
        <f t="shared" si="6"/>
        <v>0</v>
      </c>
    </row>
    <row r="44" spans="1:35" x14ac:dyDescent="0.35">
      <c r="A44" s="1908" t="s">
        <v>0</v>
      </c>
      <c r="B44" s="1914">
        <f>TableA6!B44</f>
        <v>1889.3969000000002</v>
      </c>
      <c r="C44" s="8">
        <f>TableA6!E44</f>
        <v>152.79999999999998</v>
      </c>
      <c r="D44" s="8">
        <v>0</v>
      </c>
      <c r="E44" s="8">
        <f t="shared" si="7"/>
        <v>1736.5969000000002</v>
      </c>
      <c r="F44" s="701">
        <f t="shared" si="0"/>
        <v>8.0872367261743669E-2</v>
      </c>
      <c r="G44" s="9">
        <f>TableA2!L44</f>
        <v>0.31301581156556391</v>
      </c>
      <c r="H44" s="9">
        <f>D44/TableA2!C44</f>
        <v>0</v>
      </c>
      <c r="I44" s="9">
        <f t="shared" si="8"/>
        <v>0</v>
      </c>
      <c r="J44" s="9">
        <f>TableA6!I44/TableA2!$C44</f>
        <v>0</v>
      </c>
      <c r="K44" s="9">
        <f>TableA6!J44/TableA2!$C44</f>
        <v>0</v>
      </c>
      <c r="L44" s="1934">
        <f t="shared" si="3"/>
        <v>0.31301581156556391</v>
      </c>
      <c r="M44" s="9">
        <f>C44/TableA4!D44</f>
        <v>0.28343272646330486</v>
      </c>
      <c r="N44" s="9"/>
      <c r="O44" s="1936">
        <f>E44/TableA4!G44</f>
        <v>0.3159171001923794</v>
      </c>
      <c r="P44" s="589">
        <f>+'Table E1'!D44</f>
        <v>0.17275643440163449</v>
      </c>
      <c r="Q44" s="589">
        <f>+'Table E1'!I44</f>
        <v>0.25788985140996118</v>
      </c>
      <c r="R44" s="589">
        <f>+'Table E1'!N44</f>
        <v>0.16269600222188993</v>
      </c>
      <c r="S44" s="589">
        <f t="shared" si="9"/>
        <v>0.23669828267572257</v>
      </c>
      <c r="T44" s="589">
        <f t="shared" si="10"/>
        <v>0.3159171001923794</v>
      </c>
      <c r="U44" s="589">
        <f t="shared" si="11"/>
        <v>0.35857338654750232</v>
      </c>
      <c r="V44" s="1947">
        <f>C44-O44*TableA4!D44</f>
        <v>-17.51248829921272</v>
      </c>
      <c r="W44" s="120">
        <f>IFERROR($C44-S44*TableA4!$D44,"")</f>
        <v>25.194772318104569</v>
      </c>
      <c r="X44" s="120">
        <f>IFERROR($C44-T44*TableA4!$D44,"")</f>
        <v>-17.51248829921272</v>
      </c>
      <c r="Y44" s="1945">
        <f>IFERROR($C44-U44*TableA4!$D44,"")</f>
        <v>-40.508705554691261</v>
      </c>
      <c r="Z44" s="120">
        <f t="shared" si="12"/>
        <v>42.707260617317289</v>
      </c>
      <c r="AA44" s="120">
        <f t="shared" si="13"/>
        <v>0</v>
      </c>
      <c r="AB44" s="1915">
        <f t="shared" si="14"/>
        <v>-22.996217255478541</v>
      </c>
      <c r="AC44" s="120"/>
      <c r="AD44" s="120"/>
      <c r="AE44" s="120"/>
      <c r="AH44" s="711">
        <f t="shared" si="5"/>
        <v>0</v>
      </c>
      <c r="AI44" s="711">
        <f t="shared" si="6"/>
        <v>0</v>
      </c>
    </row>
    <row r="45" spans="1:35" ht="40" customHeight="1" x14ac:dyDescent="0.35">
      <c r="A45" s="1916" t="s">
        <v>99</v>
      </c>
      <c r="B45" s="1917">
        <f>SUM(B46:B52)</f>
        <v>3157.101545061153</v>
      </c>
      <c r="C45" s="557">
        <f>SUM(C46:C52)</f>
        <v>253.30348219544206</v>
      </c>
      <c r="D45" s="557">
        <f>SUM(D46:D52)</f>
        <v>0</v>
      </c>
      <c r="E45" s="557">
        <f>SUM(E46:E52)</f>
        <v>2903.7980628657106</v>
      </c>
      <c r="F45" s="691">
        <f t="shared" si="0"/>
        <v>8.0232922058430522E-2</v>
      </c>
      <c r="G45" s="589">
        <f>TableA2!L45</f>
        <v>0.68108145790918762</v>
      </c>
      <c r="H45" s="589">
        <f>D45/TableA2!C45</f>
        <v>0</v>
      </c>
      <c r="I45" s="589">
        <f>J45+K45</f>
        <v>0</v>
      </c>
      <c r="J45" s="589">
        <f>TableA6!I45/TableA2!$C45</f>
        <v>0</v>
      </c>
      <c r="K45" s="589">
        <f>TableA6!J45/TableA2!$C45</f>
        <v>0</v>
      </c>
      <c r="L45" s="1553">
        <f>G45-H45+I45</f>
        <v>0.68108145790918762</v>
      </c>
      <c r="M45" s="589">
        <f>C45/TableA4!D45</f>
        <v>0.60344989333222621</v>
      </c>
      <c r="N45" s="589">
        <f>(TableA10!D43+TableA10!D52+TableA10!D45+TableA10!D81+TableA10!D31+TableA10!D68)/(TableA10!C43+TableA10!C45+TableA10!C52+TableA10!C81+TableA10!C31+TableA10!C68)</f>
        <v>0.20871685346538396</v>
      </c>
      <c r="O45" s="1435">
        <f>E45/TableA4!G45</f>
        <v>0.68881132725607408</v>
      </c>
      <c r="P45" s="589">
        <f>+'Table E1'!D45</f>
        <v>1.3538521803939461E-2</v>
      </c>
      <c r="Q45" s="589">
        <f>+'Table E1'!I45</f>
        <v>7.2171752825818419E-2</v>
      </c>
      <c r="R45" s="589">
        <f>+'Table E1'!N45</f>
        <v>9.9419204706696282E-3</v>
      </c>
      <c r="S45" s="589">
        <f t="shared" si="9"/>
        <v>-1.1589753918734798</v>
      </c>
      <c r="T45" s="589">
        <f t="shared" si="10"/>
        <v>0.68881132725607408</v>
      </c>
      <c r="U45" s="589">
        <f t="shared" si="11"/>
        <v>1.6837734067873726</v>
      </c>
      <c r="V45" s="1949"/>
      <c r="W45" s="120"/>
      <c r="X45" s="120"/>
      <c r="Y45" s="1945"/>
      <c r="Z45" s="120"/>
      <c r="AA45" s="120"/>
      <c r="AB45" s="1915"/>
      <c r="AC45" s="120"/>
      <c r="AD45" s="120"/>
      <c r="AE45" s="120"/>
      <c r="AH45" s="711">
        <f t="shared" si="5"/>
        <v>0</v>
      </c>
      <c r="AI45" s="711">
        <f t="shared" si="6"/>
        <v>0</v>
      </c>
    </row>
    <row r="46" spans="1:35" x14ac:dyDescent="0.35">
      <c r="A46" s="1913" t="s">
        <v>92</v>
      </c>
      <c r="B46" s="1914">
        <f>TableA6!B46</f>
        <v>274.33569999999997</v>
      </c>
      <c r="C46" s="8">
        <f>TableA6!E46</f>
        <v>29.642380154899492</v>
      </c>
      <c r="D46" s="8">
        <v>0</v>
      </c>
      <c r="E46" s="8">
        <f t="shared" si="7"/>
        <v>244.69331984510049</v>
      </c>
      <c r="F46" s="701">
        <f t="shared" si="0"/>
        <v>0.10805148639021277</v>
      </c>
      <c r="G46" s="9">
        <f>TableA2!L46</f>
        <v>0.40116486198248541</v>
      </c>
      <c r="H46" s="9">
        <f>D46/TableA2!C46</f>
        <v>0</v>
      </c>
      <c r="I46" s="9">
        <f t="shared" si="8"/>
        <v>0</v>
      </c>
      <c r="J46" s="9">
        <f>TableA6!I46/TableA2!$C46</f>
        <v>0</v>
      </c>
      <c r="K46" s="9">
        <f>TableA6!J46/TableA2!$C46</f>
        <v>0</v>
      </c>
      <c r="L46" s="1934">
        <f t="shared" ref="L46:L52" si="15">G46-H46+I46</f>
        <v>0.40116486198248541</v>
      </c>
      <c r="M46" s="9">
        <f>C46/TableA4!D46</f>
        <v>0.28488946288839928</v>
      </c>
      <c r="N46" s="9">
        <f>VLOOKUP(A46,TableA10b!$A$8:$G$95,4,)/VLOOKUP(A46,TableA10b!$A$8:$G$95,3,)</f>
        <v>0.28488946288839928</v>
      </c>
      <c r="O46" s="1936">
        <f>E46/TableA4!G46</f>
        <v>0.42203123701335166</v>
      </c>
      <c r="P46" s="589">
        <f>+'Table E1'!D46</f>
        <v>3.422710872748267E-2</v>
      </c>
      <c r="Q46" s="589">
        <f>+'Table E1'!I46</f>
        <v>0.10715394693222455</v>
      </c>
      <c r="R46" s="589">
        <f>+'Table E1'!N46</f>
        <v>3.1822809604507951E-2</v>
      </c>
      <c r="S46" s="589">
        <f t="shared" si="9"/>
        <v>-6.1265188382692015E-3</v>
      </c>
      <c r="T46" s="589">
        <f t="shared" si="10"/>
        <v>0.42203123701335166</v>
      </c>
      <c r="U46" s="589">
        <f t="shared" si="11"/>
        <v>0.65257772093345523</v>
      </c>
      <c r="V46" s="1947">
        <f>C46-O46*TableA4!D46</f>
        <v>-14.269424226903311</v>
      </c>
      <c r="W46" s="120">
        <f>IFERROR($C46-S46*TableA4!$D46,"")</f>
        <v>30.279836516355967</v>
      </c>
      <c r="X46" s="120">
        <f>IFERROR($C46-T46*TableA4!$D46,"")</f>
        <v>-14.269424226903311</v>
      </c>
      <c r="Y46" s="1945">
        <f>IFERROR($C46-U46*TableA4!$D46,"")</f>
        <v>-38.257487704042937</v>
      </c>
      <c r="Z46" s="120">
        <f t="shared" si="12"/>
        <v>44.549260743259282</v>
      </c>
      <c r="AA46" s="120">
        <f t="shared" si="13"/>
        <v>0</v>
      </c>
      <c r="AB46" s="1915">
        <f t="shared" si="14"/>
        <v>-23.988063477139626</v>
      </c>
      <c r="AC46" s="120"/>
      <c r="AD46" s="120"/>
      <c r="AE46" s="120"/>
      <c r="AH46" s="711">
        <f t="shared" si="5"/>
        <v>0</v>
      </c>
      <c r="AI46" s="711">
        <f t="shared" si="6"/>
        <v>0</v>
      </c>
    </row>
    <row r="47" spans="1:35" x14ac:dyDescent="0.35">
      <c r="A47" s="1918" t="s">
        <v>101</v>
      </c>
      <c r="B47" s="1914">
        <f>TableA6!B47</f>
        <v>2068.7040725409047</v>
      </c>
      <c r="C47" s="8">
        <f>TableA6!E47</f>
        <v>162.29225058924547</v>
      </c>
      <c r="D47" s="8">
        <v>0</v>
      </c>
      <c r="E47" s="8">
        <f t="shared" si="7"/>
        <v>1906.4118219516592</v>
      </c>
      <c r="F47" s="701">
        <f t="shared" si="0"/>
        <v>7.8451167928484097E-2</v>
      </c>
      <c r="G47" s="9">
        <f>TableA2!L47</f>
        <v>0.6894883048234598</v>
      </c>
      <c r="H47" s="9">
        <f>D47/TableA2!C47</f>
        <v>0</v>
      </c>
      <c r="I47" s="9">
        <f t="shared" si="8"/>
        <v>0</v>
      </c>
      <c r="J47" s="9">
        <f>TableA6!I47/TableA2!$C47</f>
        <v>0</v>
      </c>
      <c r="K47" s="9">
        <f>TableA6!J47/TableA2!$C47</f>
        <v>0</v>
      </c>
      <c r="L47" s="1934">
        <f t="shared" si="15"/>
        <v>0.6894883048234598</v>
      </c>
      <c r="M47" s="9">
        <f>C47/TableA4!D47</f>
        <v>0.86041477550450374</v>
      </c>
      <c r="N47" s="9">
        <f>VLOOKUP(A47,TableA10!$A$8:$G$95,4,)/VLOOKUP(A47,TableA10!$A$8:$G$95,3,)</f>
        <v>0.86041477550450385</v>
      </c>
      <c r="O47" s="1936">
        <f>E47/TableA4!G47</f>
        <v>0.67802192655512161</v>
      </c>
      <c r="P47" s="589">
        <f>+'Table E1'!D47</f>
        <v>6.6557315636438736E-3</v>
      </c>
      <c r="Q47" s="589">
        <f>+'Table E1'!I47</f>
        <v>6.4526259113114659E-2</v>
      </c>
      <c r="R47" s="589">
        <f>+'Table E1'!N47</f>
        <v>5.9200082554295786E-3</v>
      </c>
      <c r="S47" s="589">
        <f t="shared" si="9"/>
        <v>-2.1986383800963041</v>
      </c>
      <c r="T47" s="589">
        <f t="shared" si="10"/>
        <v>0.67802192655512161</v>
      </c>
      <c r="U47" s="589">
        <f t="shared" si="11"/>
        <v>2.2269928609058898</v>
      </c>
      <c r="V47" s="1947">
        <f>C47-O47*TableA4!D47</f>
        <v>34.40311206885427</v>
      </c>
      <c r="W47" s="120">
        <f>IFERROR($C47-S47*TableA4!$D47,"")</f>
        <v>577.00150605094962</v>
      </c>
      <c r="X47" s="120">
        <f>IFERROR($C47-T47*TableA4!$D47,"")</f>
        <v>34.40311206885427</v>
      </c>
      <c r="Y47" s="1945">
        <f>IFERROR($C47-U47*TableA4!$D47,"")</f>
        <v>-257.76525392150484</v>
      </c>
      <c r="Z47" s="120">
        <f t="shared" si="12"/>
        <v>542.59839398209533</v>
      </c>
      <c r="AA47" s="120">
        <f t="shared" si="13"/>
        <v>0</v>
      </c>
      <c r="AB47" s="1915">
        <f t="shared" si="14"/>
        <v>-292.16836599035912</v>
      </c>
      <c r="AC47" s="120"/>
      <c r="AD47" s="120"/>
      <c r="AE47" s="120"/>
      <c r="AH47" s="711">
        <f t="shared" si="5"/>
        <v>0</v>
      </c>
      <c r="AI47" s="711">
        <f t="shared" si="6"/>
        <v>0</v>
      </c>
    </row>
    <row r="48" spans="1:35" x14ac:dyDescent="0.35">
      <c r="A48" s="1918" t="s">
        <v>93</v>
      </c>
      <c r="B48" s="1914">
        <f>TableA6!B48</f>
        <v>58.600733808963028</v>
      </c>
      <c r="C48" s="8">
        <f>TableA6!E48</f>
        <v>6.7581585025254878</v>
      </c>
      <c r="D48" s="8">
        <v>0</v>
      </c>
      <c r="E48" s="8">
        <f t="shared" si="7"/>
        <v>51.842575306437539</v>
      </c>
      <c r="F48" s="701">
        <f t="shared" si="0"/>
        <v>0.11532549275845112</v>
      </c>
      <c r="G48" s="9">
        <f>TableA2!L48</f>
        <v>1.0817835759803136</v>
      </c>
      <c r="H48" s="9">
        <f>D48/TableA2!C48</f>
        <v>0</v>
      </c>
      <c r="I48" s="9">
        <f t="shared" si="8"/>
        <v>0</v>
      </c>
      <c r="J48" s="9">
        <f>TableA6!I48/TableA2!$C48</f>
        <v>0</v>
      </c>
      <c r="K48" s="9">
        <f>TableA6!J48/TableA2!$C48</f>
        <v>0</v>
      </c>
      <c r="L48" s="1934">
        <f t="shared" si="15"/>
        <v>1.0817835759803136</v>
      </c>
      <c r="M48" s="9">
        <f>C48/TableA4!D48</f>
        <v>0.59300746775288526</v>
      </c>
      <c r="N48" s="9">
        <f>VLOOKUP(A48,TableA10b!$A$8:$G$95,4,)/VLOOKUP(A48,TableA10b!$A$8:$G$95,3,)</f>
        <v>0.59300746775288526</v>
      </c>
      <c r="O48" s="1936">
        <f>E48/TableA4!G48</f>
        <v>1.2120095634890702</v>
      </c>
      <c r="P48" s="589">
        <f>+'Table E1'!D48</f>
        <v>2.1524734512741107E-2</v>
      </c>
      <c r="Q48" s="589">
        <f>+'Table E1'!I48</f>
        <v>0.10036365100009582</v>
      </c>
      <c r="R48" s="589">
        <f>+'Table E1'!N48</f>
        <v>2.003379651528606E-2</v>
      </c>
      <c r="S48" s="589">
        <f t="shared" si="9"/>
        <v>-0.87076844462737979</v>
      </c>
      <c r="T48" s="589">
        <f t="shared" si="10"/>
        <v>1.2120095634890702</v>
      </c>
      <c r="U48" s="589">
        <f t="shared" si="11"/>
        <v>2.3335054140133127</v>
      </c>
      <c r="V48" s="1947">
        <f>C48-O48*TableA4!D48</f>
        <v>-7.0544040401930346</v>
      </c>
      <c r="W48" s="120">
        <f>IFERROR($C48-S48*TableA4!$D48,"")</f>
        <v>16.681796041339247</v>
      </c>
      <c r="X48" s="120">
        <f>IFERROR($C48-T48*TableA4!$D48,"")</f>
        <v>-7.0544040401930346</v>
      </c>
      <c r="Y48" s="1945">
        <f>IFERROR($C48-U48*TableA4!$D48,"")</f>
        <v>-19.8354348533258</v>
      </c>
      <c r="Z48" s="120">
        <f t="shared" si="12"/>
        <v>23.736200081532282</v>
      </c>
      <c r="AA48" s="120">
        <f t="shared" si="13"/>
        <v>0</v>
      </c>
      <c r="AB48" s="1915">
        <f t="shared" si="14"/>
        <v>-12.781030813132766</v>
      </c>
      <c r="AC48" s="120"/>
      <c r="AD48" s="120"/>
      <c r="AE48" s="120"/>
      <c r="AH48" s="711">
        <f t="shared" si="5"/>
        <v>0</v>
      </c>
      <c r="AI48" s="711">
        <f t="shared" si="6"/>
        <v>0</v>
      </c>
    </row>
    <row r="49" spans="1:36" x14ac:dyDescent="0.35">
      <c r="A49" s="1918" t="s">
        <v>94</v>
      </c>
      <c r="B49" s="1914">
        <f>TableA6!B49</f>
        <v>13.202740172271037</v>
      </c>
      <c r="C49" s="8">
        <f>TableA6!E49</f>
        <v>1.0992314060745381</v>
      </c>
      <c r="D49" s="8">
        <v>0</v>
      </c>
      <c r="E49" s="8">
        <f t="shared" si="7"/>
        <v>12.103508766196498</v>
      </c>
      <c r="F49" s="701">
        <f t="shared" si="0"/>
        <v>8.3257823128504119E-2</v>
      </c>
      <c r="G49" s="9">
        <f>TableA2!L49</f>
        <v>0.84460673307568312</v>
      </c>
      <c r="H49" s="9">
        <f>D49/TableA2!C49</f>
        <v>0</v>
      </c>
      <c r="I49" s="9">
        <f t="shared" si="8"/>
        <v>0</v>
      </c>
      <c r="J49" s="9">
        <f>TableA6!I49/TableA2!$C49</f>
        <v>0</v>
      </c>
      <c r="K49" s="9">
        <f>TableA6!J49/TableA2!$C49</f>
        <v>0</v>
      </c>
      <c r="L49" s="1934">
        <f t="shared" si="15"/>
        <v>0.84460673307568312</v>
      </c>
      <c r="M49" s="9">
        <f>C49/TableA4!D49</f>
        <v>0.58033898305084741</v>
      </c>
      <c r="N49" s="9">
        <f>VLOOKUP(A49,TableA10!$A$8:$G$95,4,)/VLOOKUP(A49,TableA10!$A$8:$G$95,3,)</f>
        <v>0.58033898305084741</v>
      </c>
      <c r="O49" s="1936">
        <f>E49/TableA4!G49</f>
        <v>0.88104330559766775</v>
      </c>
      <c r="P49" s="589">
        <f>+'Table E1'!D49</f>
        <v>4.7831781660845021E-2</v>
      </c>
      <c r="Q49" s="589">
        <f>+'Table E1'!I49</f>
        <v>3.9950500372258176E-2</v>
      </c>
      <c r="R49" s="589">
        <f>+'Table E1'!N49</f>
        <v>4.8363553479633836E-2</v>
      </c>
      <c r="S49" s="589">
        <f t="shared" si="9"/>
        <v>0.94672674683091251</v>
      </c>
      <c r="T49" s="589">
        <f t="shared" si="10"/>
        <v>0.88104330559766775</v>
      </c>
      <c r="U49" s="589">
        <f t="shared" si="11"/>
        <v>0.84567529877976666</v>
      </c>
      <c r="V49" s="1947">
        <f>C49-O49*TableA4!D49</f>
        <v>-0.56956993229743369</v>
      </c>
      <c r="W49" s="120">
        <f>IFERROR($C49-S49*TableA4!$D49,"")</f>
        <v>-0.69398222161680878</v>
      </c>
      <c r="X49" s="120">
        <f>IFERROR($C49-T49*TableA4!$D49,"")</f>
        <v>-0.56956993229743369</v>
      </c>
      <c r="Y49" s="1945">
        <f>IFERROR($C49-U49*TableA4!$D49,"")</f>
        <v>-0.50257869958700097</v>
      </c>
      <c r="Z49" s="120">
        <f t="shared" si="12"/>
        <v>-0.12441228931937509</v>
      </c>
      <c r="AA49" s="120">
        <f t="shared" si="13"/>
        <v>0</v>
      </c>
      <c r="AB49" s="1915">
        <f t="shared" si="14"/>
        <v>6.6991232710432724E-2</v>
      </c>
      <c r="AC49" s="120"/>
      <c r="AD49" s="120"/>
      <c r="AE49" s="120"/>
      <c r="AH49" s="711">
        <f t="shared" si="5"/>
        <v>0</v>
      </c>
      <c r="AI49" s="711">
        <f t="shared" si="6"/>
        <v>0</v>
      </c>
    </row>
    <row r="50" spans="1:36" x14ac:dyDescent="0.35">
      <c r="A50" s="1918" t="s">
        <v>102</v>
      </c>
      <c r="B50" s="1914">
        <f>TableA6!B50</f>
        <v>376.12710693199818</v>
      </c>
      <c r="C50" s="8">
        <f>TableA6!E50</f>
        <v>7.7329709258650219</v>
      </c>
      <c r="D50" s="8">
        <v>0</v>
      </c>
      <c r="E50" s="8">
        <f t="shared" si="7"/>
        <v>368.39413600613318</v>
      </c>
      <c r="F50" s="701">
        <f t="shared" si="0"/>
        <v>2.0559461903560974E-2</v>
      </c>
      <c r="G50" s="9">
        <f>TableA2!L50</f>
        <v>1.1804668339549873</v>
      </c>
      <c r="H50" s="9">
        <f>D50/TableA2!C50</f>
        <v>0</v>
      </c>
      <c r="I50" s="9">
        <f t="shared" si="8"/>
        <v>0</v>
      </c>
      <c r="J50" s="9">
        <f>TableA6!I50/TableA2!$C50</f>
        <v>0</v>
      </c>
      <c r="K50" s="9">
        <f>TableA6!J50/TableA2!$C50</f>
        <v>0</v>
      </c>
      <c r="L50" s="1934">
        <f t="shared" si="15"/>
        <v>1.1804668339549873</v>
      </c>
      <c r="M50" s="9">
        <f>C50/TableA4!D50</f>
        <v>0.36740237691001698</v>
      </c>
      <c r="N50" s="9">
        <f>VLOOKUP(A50,TableA10!$A$8:$G$95,4,)/VLOOKUP(A50,TableA10!$A$8:$G$95,3,)</f>
        <v>0.36740237691001698</v>
      </c>
      <c r="O50" s="1936">
        <f>E50/TableA4!G50</f>
        <v>1.2379748666810551</v>
      </c>
      <c r="P50" s="589">
        <f>+'Table E1'!D50</f>
        <v>0</v>
      </c>
      <c r="Q50" s="589">
        <f>+'Table E1'!I50</f>
        <v>1.9789899575823135E-2</v>
      </c>
      <c r="R50" s="589">
        <f>+'Table E1'!N50</f>
        <v>4.3665075963113982E-3</v>
      </c>
      <c r="S50" s="589">
        <f t="shared" si="9"/>
        <v>-0.63607316910602196</v>
      </c>
      <c r="T50" s="589">
        <f t="shared" si="10"/>
        <v>1.2379748666810551</v>
      </c>
      <c r="U50" s="589">
        <f t="shared" si="11"/>
        <v>2.2470776551817888</v>
      </c>
      <c r="V50" s="1947">
        <f>C50-O50*TableA4!D50</f>
        <v>-18.323538919036906</v>
      </c>
      <c r="W50" s="120">
        <f>IFERROR($C50-S50*TableA4!$D50,"")</f>
        <v>21.12084109912842</v>
      </c>
      <c r="X50" s="120">
        <f>IFERROR($C50-T50*TableA4!$D50,"")</f>
        <v>-18.323538919036906</v>
      </c>
      <c r="Y50" s="1945">
        <f>IFERROR($C50-U50*TableA4!$D50,"")</f>
        <v>-39.562820467279778</v>
      </c>
      <c r="Z50" s="120">
        <f t="shared" si="12"/>
        <v>39.444380018165326</v>
      </c>
      <c r="AA50" s="120">
        <f t="shared" si="13"/>
        <v>0</v>
      </c>
      <c r="AB50" s="1915">
        <f t="shared" si="14"/>
        <v>-21.239281548242872</v>
      </c>
      <c r="AC50" s="120"/>
      <c r="AD50" s="120"/>
      <c r="AE50" s="120"/>
      <c r="AH50" s="711">
        <f t="shared" si="5"/>
        <v>0</v>
      </c>
      <c r="AI50" s="711">
        <f t="shared" si="6"/>
        <v>0</v>
      </c>
    </row>
    <row r="51" spans="1:36" x14ac:dyDescent="0.35">
      <c r="A51" s="1918" t="s">
        <v>103</v>
      </c>
      <c r="B51" s="1914">
        <f>TableA6!B51</f>
        <v>289.6640115913587</v>
      </c>
      <c r="C51" s="8">
        <f>TableA6!E51</f>
        <v>37.035306707060499</v>
      </c>
      <c r="D51" s="8">
        <v>0</v>
      </c>
      <c r="E51" s="8">
        <f t="shared" si="7"/>
        <v>252.6287048842982</v>
      </c>
      <c r="F51" s="701">
        <f t="shared" si="0"/>
        <v>0.12785608575810162</v>
      </c>
      <c r="G51" s="9">
        <f>TableA2!L51</f>
        <v>0.62204444586734098</v>
      </c>
      <c r="H51" s="9">
        <f>D51/TableA2!C51</f>
        <v>0</v>
      </c>
      <c r="I51" s="9">
        <f t="shared" si="8"/>
        <v>0</v>
      </c>
      <c r="J51" s="9">
        <f>TableA6!I51/TableA2!$C51</f>
        <v>0</v>
      </c>
      <c r="K51" s="9">
        <f>TableA6!J51/TableA2!$C51</f>
        <v>0</v>
      </c>
      <c r="L51" s="1934">
        <f t="shared" si="15"/>
        <v>0.62204444586734098</v>
      </c>
      <c r="M51" s="9">
        <f>C51/TableA4!D51</f>
        <v>0.57186108637577915</v>
      </c>
      <c r="N51" s="9">
        <f>VLOOKUP(A51,TableA10b!$A$8:$G$95,4,)/VLOOKUP(A51,TableA10b!$A$8:$G$95,3,)</f>
        <v>0.57186108637577915</v>
      </c>
      <c r="O51" s="1936">
        <f>E51/TableA4!G51</f>
        <v>0.63015120382906453</v>
      </c>
      <c r="P51" s="589">
        <f>+'Table E1'!D51</f>
        <v>5.3742769036280592E-2</v>
      </c>
      <c r="Q51" s="589">
        <f>+'Table E1'!I51</f>
        <v>8.7326556684011569E-2</v>
      </c>
      <c r="R51" s="589">
        <f>+'Table E1'!N51</f>
        <v>5.2359583486292896E-2</v>
      </c>
      <c r="S51" s="589">
        <f t="shared" si="9"/>
        <v>0.44979551625753944</v>
      </c>
      <c r="T51" s="589">
        <f t="shared" si="10"/>
        <v>0.63015120382906453</v>
      </c>
      <c r="U51" s="589">
        <f t="shared" si="11"/>
        <v>0.72726580482911651</v>
      </c>
      <c r="V51" s="1947">
        <f>C51-O51*TableA4!D51</f>
        <v>-3.7750293372023975</v>
      </c>
      <c r="W51" s="120">
        <f>IFERROR($C51-S51*TableA4!$D51,"")</f>
        <v>7.9053041646036384</v>
      </c>
      <c r="X51" s="120">
        <f>IFERROR($C51-T51*TableA4!$D51,"")</f>
        <v>-3.7750293372023975</v>
      </c>
      <c r="Y51" s="1945">
        <f>IFERROR($C51-U51*TableA4!$D51,"")</f>
        <v>-10.064439684328732</v>
      </c>
      <c r="Z51" s="120">
        <f t="shared" si="12"/>
        <v>11.680333501806036</v>
      </c>
      <c r="AA51" s="120">
        <f t="shared" si="13"/>
        <v>0</v>
      </c>
      <c r="AB51" s="1915">
        <f t="shared" si="14"/>
        <v>-6.289410347126335</v>
      </c>
      <c r="AC51" s="120"/>
      <c r="AD51" s="120"/>
      <c r="AE51" s="120"/>
      <c r="AH51" s="711">
        <f t="shared" si="5"/>
        <v>0</v>
      </c>
      <c r="AI51" s="711">
        <f t="shared" si="6"/>
        <v>0</v>
      </c>
    </row>
    <row r="52" spans="1:36" x14ac:dyDescent="0.35">
      <c r="A52" s="1908" t="s">
        <v>97</v>
      </c>
      <c r="B52" s="1914">
        <f>TableA6!B52</f>
        <v>76.467180015656993</v>
      </c>
      <c r="C52" s="8">
        <f>TableA6!E52</f>
        <v>8.7431839097715454</v>
      </c>
      <c r="D52" s="8">
        <v>0</v>
      </c>
      <c r="E52" s="8">
        <f t="shared" si="7"/>
        <v>67.723996105885448</v>
      </c>
      <c r="F52" s="701">
        <f t="shared" si="0"/>
        <v>0.11433903941509729</v>
      </c>
      <c r="G52" s="9">
        <f>TableA2!L52</f>
        <v>0.78720845080042035</v>
      </c>
      <c r="H52" s="9">
        <f>D52/TableA2!C52</f>
        <v>0</v>
      </c>
      <c r="I52" s="9">
        <f t="shared" si="8"/>
        <v>0</v>
      </c>
      <c r="J52" s="9">
        <f>TableA6!I52/TableA2!$C52</f>
        <v>0</v>
      </c>
      <c r="K52" s="9">
        <f>TableA6!J52/TableA2!$C52</f>
        <v>0</v>
      </c>
      <c r="L52" s="1934">
        <f t="shared" si="15"/>
        <v>0.78720845080042035</v>
      </c>
      <c r="M52" s="9">
        <f>C52/TableA4!D52</f>
        <v>0.31238725195429945</v>
      </c>
      <c r="N52" s="9">
        <f>VLOOKUP(A52,TableA10!$A$8:$G$95,4,)/VLOOKUP(A52,TableA10!$A$8:$G$95,3,)</f>
        <v>0.31238725195429945</v>
      </c>
      <c r="O52" s="1936">
        <f>E52/TableA4!G52</f>
        <v>0.97939430014021822</v>
      </c>
      <c r="P52" s="589">
        <f>+'Table E1'!D52</f>
        <v>0</v>
      </c>
      <c r="Q52" s="589">
        <f>+'Table E1'!I52</f>
        <v>6.4415425758922895E-2</v>
      </c>
      <c r="R52" s="589">
        <f>+'Table E1'!N52</f>
        <v>2.403572164420276E-2</v>
      </c>
      <c r="S52" s="589">
        <f t="shared" si="9"/>
        <v>0.27423578702514706</v>
      </c>
      <c r="T52" s="589">
        <f t="shared" si="10"/>
        <v>0.97939430014021822</v>
      </c>
      <c r="U52" s="589">
        <f t="shared" si="11"/>
        <v>1.3590950379714104</v>
      </c>
      <c r="V52" s="1947">
        <f>C52-O52*TableA4!D52</f>
        <v>-18.668384368823393</v>
      </c>
      <c r="W52" s="120">
        <f>IFERROR($C52-S52*TableA4!$D52,"")</f>
        <v>1.0677941312137076</v>
      </c>
      <c r="X52" s="120">
        <f>IFERROR($C52-T52*TableA4!$D52,"")</f>
        <v>-18.668384368823393</v>
      </c>
      <c r="Y52" s="1945">
        <f>IFERROR($C52-U52*TableA4!$D52,"")</f>
        <v>-29.295557407304912</v>
      </c>
      <c r="Z52" s="120">
        <f t="shared" si="12"/>
        <v>19.736178500037099</v>
      </c>
      <c r="AA52" s="120">
        <f t="shared" si="13"/>
        <v>0</v>
      </c>
      <c r="AB52" s="1915">
        <f t="shared" si="14"/>
        <v>-10.627173038481519</v>
      </c>
      <c r="AC52" s="120"/>
      <c r="AD52" s="120"/>
      <c r="AE52" s="120"/>
      <c r="AH52" s="711">
        <f t="shared" si="5"/>
        <v>0</v>
      </c>
      <c r="AI52" s="711">
        <f t="shared" si="6"/>
        <v>0</v>
      </c>
    </row>
    <row r="53" spans="1:36" ht="40" customHeight="1" x14ac:dyDescent="0.35">
      <c r="A53" s="1916" t="s">
        <v>100</v>
      </c>
      <c r="B53" s="1917">
        <f>SUM(B54:B89)</f>
        <v>485.75226113968216</v>
      </c>
      <c r="C53" s="557">
        <f>SUM(C54:C89)</f>
        <v>379.64154036573251</v>
      </c>
      <c r="D53" s="557">
        <f>SUM(D54:D89)</f>
        <v>0</v>
      </c>
      <c r="E53" s="557">
        <f>SUM(E54:E89)</f>
        <v>106.11072077394961</v>
      </c>
      <c r="F53" s="691">
        <f t="shared" si="0"/>
        <v>0.7815538304958366</v>
      </c>
      <c r="G53" s="589">
        <f>TableA2!L53</f>
        <v>0.9495478158383921</v>
      </c>
      <c r="H53" s="589">
        <f>D53/TableA2!C53</f>
        <v>0</v>
      </c>
      <c r="I53" s="589">
        <f>TableA6!D53/TableA2!C53</f>
        <v>0.59411815848754679</v>
      </c>
      <c r="J53" s="589">
        <f>TableA6!I53/TableA2!$C53</f>
        <v>0.1253592019677329</v>
      </c>
      <c r="K53" s="589">
        <f>TableA6!J53/TableA2!$C53</f>
        <v>0.57918768418334599</v>
      </c>
      <c r="L53" s="1553">
        <f>(C53+E53)/TableA2!C53</f>
        <v>1.5436659743259391</v>
      </c>
      <c r="M53" s="589">
        <f>C53/TableA4!D53</f>
        <v>4.0562827786519096</v>
      </c>
      <c r="N53" s="589">
        <f>(TableA10!D59+TableA10!D60+TableA10!D62+TableA10!D63+TableA10!D80+TableA10!D88+C89*1000)/(TableA10!C59+TableA10!C60+TableA10!C62+TableA10!C63+TableA10!C80+TableA10!C88+TableA4!D89*1000)</f>
        <v>3.6378279827459132</v>
      </c>
      <c r="O53" s="1937">
        <f>(E9+E45)/(TableA4!G9+TableA4!G45)</f>
        <v>0.47996308817683037</v>
      </c>
      <c r="P53" s="589"/>
      <c r="Q53" s="589"/>
      <c r="R53" s="589"/>
      <c r="S53" s="589" t="str">
        <f t="shared" si="9"/>
        <v/>
      </c>
      <c r="T53" s="589" t="str">
        <f t="shared" si="10"/>
        <v/>
      </c>
      <c r="U53" s="589" t="str">
        <f t="shared" si="11"/>
        <v/>
      </c>
      <c r="V53" s="1950">
        <f>SUM(V54:V89)</f>
        <v>334.72013422680857</v>
      </c>
      <c r="W53" s="120" t="str">
        <f>IFERROR($C53-S53*TableA4!$D53,"")</f>
        <v/>
      </c>
      <c r="X53" s="120" t="str">
        <f>IFERROR($C53-T53*TableA4!$D53,"")</f>
        <v/>
      </c>
      <c r="Y53" s="1945" t="str">
        <f>IFERROR($C53-U53*TableA4!$D53,"")</f>
        <v/>
      </c>
      <c r="Z53" s="606">
        <f>SUM(Z54:Z89)</f>
        <v>20.641445594046825</v>
      </c>
      <c r="AA53" s="120">
        <f t="shared" ref="AA53:AB53" si="16">SUM(AA54:AA89)</f>
        <v>0</v>
      </c>
      <c r="AB53" s="1915">
        <f t="shared" si="16"/>
        <v>-11.114624550640611</v>
      </c>
      <c r="AC53" s="120"/>
      <c r="AD53" s="120"/>
      <c r="AE53" s="120"/>
      <c r="AG53" s="376"/>
      <c r="AH53" s="711">
        <f t="shared" si="5"/>
        <v>2.2204460492503131E-16</v>
      </c>
      <c r="AI53" s="711">
        <f t="shared" si="6"/>
        <v>0</v>
      </c>
    </row>
    <row r="54" spans="1:36" x14ac:dyDescent="0.35">
      <c r="A54" s="1919" t="s">
        <v>272</v>
      </c>
      <c r="B54" s="1914">
        <f>TableA6!B54</f>
        <v>1.2179448838266</v>
      </c>
      <c r="C54" s="8">
        <f>TableA6!E54</f>
        <v>1.0713339190228408</v>
      </c>
      <c r="D54" s="8">
        <v>0</v>
      </c>
      <c r="E54" s="8">
        <f>TableA6!K54</f>
        <v>0.14661096480375915</v>
      </c>
      <c r="F54" s="691">
        <f t="shared" si="0"/>
        <v>0.87962430258491697</v>
      </c>
      <c r="G54" s="680">
        <f>TableA2!L54</f>
        <v>2.3923255199351803</v>
      </c>
      <c r="H54" s="680">
        <f>D54/TableA2!C54</f>
        <v>0</v>
      </c>
      <c r="I54" s="680">
        <f>TableA6!D54/TableA2!C54</f>
        <v>0</v>
      </c>
      <c r="J54" s="680">
        <f>TableA6!I54/TableA2!$C54</f>
        <v>0</v>
      </c>
      <c r="K54" s="680">
        <f>TableA6!J54/TableA2!$C54</f>
        <v>2.171958577610551</v>
      </c>
      <c r="L54" s="1934">
        <f>(C54+E54)/TableA2!C54</f>
        <v>2.3923255199351803</v>
      </c>
      <c r="M54" s="9">
        <f>C54/TableA4!D54</f>
        <v>5.2608691675727046</v>
      </c>
      <c r="N54" s="9">
        <f>TableA10!D37/TableA10!C37</f>
        <v>1.5591216216216208</v>
      </c>
      <c r="O54" s="1938">
        <f>O$53</f>
        <v>0.47996308817683037</v>
      </c>
      <c r="P54" s="589" t="str">
        <f>+'Table E1'!D54</f>
        <v/>
      </c>
      <c r="Q54" s="589" t="str">
        <f>+'Table E1'!I54</f>
        <v/>
      </c>
      <c r="R54" s="589" t="str">
        <f>+'Table E1'!N54</f>
        <v/>
      </c>
      <c r="S54" s="589" t="str">
        <f t="shared" si="9"/>
        <v/>
      </c>
      <c r="T54" s="589" t="str">
        <f t="shared" si="10"/>
        <v/>
      </c>
      <c r="U54" s="589" t="str">
        <f t="shared" si="11"/>
        <v/>
      </c>
      <c r="V54" s="1947">
        <f>C54-O54*TableA4!D54</f>
        <v>0.97359327582033472</v>
      </c>
      <c r="W54" s="120" t="str">
        <f>IFERROR($C54-S54*TableA4!$D54,"")</f>
        <v/>
      </c>
      <c r="X54" s="120" t="str">
        <f>IFERROR($C54-T54*TableA4!$D54,"")</f>
        <v/>
      </c>
      <c r="Y54" s="1945" t="str">
        <f>IFERROR($C54-U54*TableA4!$D54,"")</f>
        <v/>
      </c>
      <c r="Z54" s="120" t="str">
        <f t="shared" ref="Z54:Z90" si="17">IFERROR(-$V54+W54,"")</f>
        <v/>
      </c>
      <c r="AA54" s="120" t="str">
        <f t="shared" ref="AA54:AA90" si="18">IFERROR(-$V54+X54,"")</f>
        <v/>
      </c>
      <c r="AB54" s="1915" t="str">
        <f t="shared" ref="AB54:AB90" si="19">IFERROR(-$V54+Y54,"")</f>
        <v/>
      </c>
      <c r="AC54" s="120"/>
      <c r="AD54" s="120"/>
      <c r="AE54" s="120"/>
      <c r="AH54" s="711">
        <f t="shared" si="5"/>
        <v>0</v>
      </c>
      <c r="AI54" s="711">
        <f t="shared" si="6"/>
        <v>0</v>
      </c>
    </row>
    <row r="55" spans="1:36" x14ac:dyDescent="0.35">
      <c r="A55" s="1919" t="s">
        <v>273</v>
      </c>
      <c r="B55" s="1914">
        <f>TableA6!B55</f>
        <v>0.23996156292186116</v>
      </c>
      <c r="C55" s="8">
        <f>TableA6!E55</f>
        <v>0.22608681761471922</v>
      </c>
      <c r="D55" s="393">
        <v>0</v>
      </c>
      <c r="E55" s="8">
        <f>TableA6!K55</f>
        <v>1.3874745307141934E-2</v>
      </c>
      <c r="F55" s="701">
        <f t="shared" si="0"/>
        <v>0.94217930097554836</v>
      </c>
      <c r="G55" s="680">
        <f>TableA2!L55</f>
        <v>2.3923282826230872</v>
      </c>
      <c r="H55" s="9">
        <f>D55/TableA2!C55</f>
        <v>0</v>
      </c>
      <c r="I55" s="9">
        <f>TableA6!D55/TableA2!C55</f>
        <v>2.5882039102567727</v>
      </c>
      <c r="J55" s="9">
        <f>TableA6!I55/TableA2!$C55</f>
        <v>0</v>
      </c>
      <c r="K55" s="9">
        <f>TableA6!J55/TableA2!$C55</f>
        <v>2.5609602213968543</v>
      </c>
      <c r="L55" s="1934">
        <f>(C55+E55)/TableA2!C55</f>
        <v>4.9805321928798598</v>
      </c>
      <c r="M55" s="9">
        <f>C55/TableA4!D55</f>
        <v>11.731385849934403</v>
      </c>
      <c r="N55" s="9">
        <f>TableA10!D$63/TableA10!C$63</f>
        <v>14.031458531935176</v>
      </c>
      <c r="O55" s="1938">
        <f t="shared" ref="O55:O90" si="20">O$53</f>
        <v>0.47996308817683037</v>
      </c>
      <c r="P55" s="589" t="str">
        <f>+'Table E1'!D55</f>
        <v/>
      </c>
      <c r="Q55" s="589" t="str">
        <f>+'Table E1'!I55</f>
        <v/>
      </c>
      <c r="R55" s="589" t="str">
        <f>+'Table E1'!N55</f>
        <v/>
      </c>
      <c r="S55" s="589" t="str">
        <f t="shared" si="9"/>
        <v/>
      </c>
      <c r="T55" s="589" t="str">
        <f t="shared" si="10"/>
        <v/>
      </c>
      <c r="U55" s="589" t="str">
        <f t="shared" si="11"/>
        <v/>
      </c>
      <c r="V55" s="1947">
        <f>C55-O55*TableA4!D55</f>
        <v>0.21683698740995794</v>
      </c>
      <c r="W55" s="120" t="str">
        <f>IFERROR($C55-S55*TableA4!$D55,"")</f>
        <v/>
      </c>
      <c r="X55" s="120" t="str">
        <f>IFERROR($C55-T55*TableA4!$D55,"")</f>
        <v/>
      </c>
      <c r="Y55" s="1945" t="str">
        <f>IFERROR($C55-U55*TableA4!$D55,"")</f>
        <v/>
      </c>
      <c r="Z55" s="120" t="str">
        <f t="shared" si="17"/>
        <v/>
      </c>
      <c r="AA55" s="120" t="str">
        <f t="shared" si="18"/>
        <v/>
      </c>
      <c r="AB55" s="1915" t="str">
        <f t="shared" si="19"/>
        <v/>
      </c>
      <c r="AC55" s="120"/>
      <c r="AD55" s="120"/>
      <c r="AE55" s="120"/>
      <c r="AH55" s="711">
        <f t="shared" si="5"/>
        <v>0</v>
      </c>
      <c r="AI55" s="711">
        <f t="shared" si="6"/>
        <v>0</v>
      </c>
      <c r="AJ55" s="305"/>
    </row>
    <row r="56" spans="1:36" x14ac:dyDescent="0.35">
      <c r="A56" s="1920" t="str">
        <f>+TableA1!A56</f>
        <v>Antigua and Barbuda</v>
      </c>
      <c r="B56" s="1914">
        <f>TableA6!B56</f>
        <v>0.83688997048164881</v>
      </c>
      <c r="C56" s="8">
        <f>TableA6!E56</f>
        <v>0.80975658198969502</v>
      </c>
      <c r="D56" s="8">
        <v>0</v>
      </c>
      <c r="E56" s="8">
        <f>TableA6!K56</f>
        <v>2.7133388491953736E-2</v>
      </c>
      <c r="F56" s="701">
        <f t="shared" si="0"/>
        <v>0.96757830844078829</v>
      </c>
      <c r="G56" s="680">
        <f>TableA2!L56</f>
        <v>7.8984192228753365</v>
      </c>
      <c r="H56" s="9">
        <f>D56/TableA2!C56</f>
        <v>0</v>
      </c>
      <c r="I56" s="9">
        <f>TableA6!D56/TableA2!C56</f>
        <v>0.98383950752326899</v>
      </c>
      <c r="J56" s="9">
        <f>TableA6!I56/TableA2!$C56</f>
        <v>0</v>
      </c>
      <c r="K56" s="9">
        <f>TableA6!J56/TableA2!$C56</f>
        <v>7.7351530408344944</v>
      </c>
      <c r="L56" s="1934">
        <f>(C56+E56)/TableA2!C56</f>
        <v>8.8822587303986058</v>
      </c>
      <c r="M56" s="9">
        <f>C56/TableA4!D56</f>
        <v>21.485702193731267</v>
      </c>
      <c r="N56" s="9">
        <f>TableA10!D$63/TableA10!C$63</f>
        <v>14.031458531935176</v>
      </c>
      <c r="O56" s="1938">
        <f t="shared" si="20"/>
        <v>0.47996308817683037</v>
      </c>
      <c r="P56" s="589" t="str">
        <f>+'Table E1'!D56</f>
        <v/>
      </c>
      <c r="Q56" s="589" t="str">
        <f>+'Table E1'!I56</f>
        <v/>
      </c>
      <c r="R56" s="589" t="str">
        <f>+'Table E1'!N56</f>
        <v/>
      </c>
      <c r="S56" s="589" t="str">
        <f t="shared" si="9"/>
        <v/>
      </c>
      <c r="T56" s="589" t="str">
        <f t="shared" si="10"/>
        <v/>
      </c>
      <c r="U56" s="589" t="str">
        <f t="shared" si="11"/>
        <v/>
      </c>
      <c r="V56" s="1947">
        <f>C56-O56*TableA4!D56</f>
        <v>0.79166765632839253</v>
      </c>
      <c r="W56" s="120" t="str">
        <f>IFERROR($C56-S56*TableA4!$D56,"")</f>
        <v/>
      </c>
      <c r="X56" s="120" t="str">
        <f>IFERROR($C56-T56*TableA4!$D56,"")</f>
        <v/>
      </c>
      <c r="Y56" s="1945" t="str">
        <f>IFERROR($C56-U56*TableA4!$D56,"")</f>
        <v/>
      </c>
      <c r="Z56" s="120" t="str">
        <f t="shared" si="17"/>
        <v/>
      </c>
      <c r="AA56" s="120" t="str">
        <f t="shared" si="18"/>
        <v/>
      </c>
      <c r="AB56" s="1915" t="str">
        <f t="shared" si="19"/>
        <v/>
      </c>
      <c r="AC56" s="120"/>
      <c r="AD56" s="120"/>
      <c r="AE56" s="120"/>
      <c r="AH56" s="711">
        <f t="shared" si="5"/>
        <v>3.3306690738754696E-16</v>
      </c>
      <c r="AI56" s="711">
        <f t="shared" si="6"/>
        <v>5.5511151231257827E-17</v>
      </c>
      <c r="AJ56" s="305"/>
    </row>
    <row r="57" spans="1:36" x14ac:dyDescent="0.35">
      <c r="A57" s="1919" t="s">
        <v>274</v>
      </c>
      <c r="B57" s="1914">
        <f>TableA6!B57</f>
        <v>1.0830039076807072</v>
      </c>
      <c r="C57" s="8">
        <f>TableA6!E57</f>
        <v>0.95263604569226357</v>
      </c>
      <c r="D57" s="393">
        <v>0</v>
      </c>
      <c r="E57" s="8">
        <f>TableA6!K57</f>
        <v>0.13036786198844358</v>
      </c>
      <c r="F57" s="701">
        <f t="shared" si="0"/>
        <v>0.87962383047386117</v>
      </c>
      <c r="G57" s="680">
        <f>TableA2!L57</f>
        <v>2.3923161373195709</v>
      </c>
      <c r="H57" s="9">
        <f>D57/TableA2!C57</f>
        <v>0</v>
      </c>
      <c r="I57" s="9">
        <f>TableA6!D57/TableA2!C57</f>
        <v>0</v>
      </c>
      <c r="J57" s="9">
        <f>TableA6!I57/TableA2!$C57</f>
        <v>0</v>
      </c>
      <c r="K57" s="9">
        <f>TableA6!J57/TableA2!$C57</f>
        <v>2.0073413382474254</v>
      </c>
      <c r="L57" s="1934">
        <f>(C57+E57)/TableA2!C57</f>
        <v>2.3923161373195709</v>
      </c>
      <c r="M57" s="9">
        <f>C57/TableA4!D57</f>
        <v>5.2608457110336815</v>
      </c>
      <c r="N57" s="9">
        <f>TableA10!D$63/TableA10!C$63</f>
        <v>14.031458531935176</v>
      </c>
      <c r="O57" s="1938">
        <f t="shared" si="20"/>
        <v>0.47996308817683037</v>
      </c>
      <c r="P57" s="589" t="str">
        <f>+'Table E1'!D57</f>
        <v/>
      </c>
      <c r="Q57" s="589" t="str">
        <f>+'Table E1'!I57</f>
        <v/>
      </c>
      <c r="R57" s="589" t="str">
        <f>+'Table E1'!N57</f>
        <v/>
      </c>
      <c r="S57" s="589" t="str">
        <f t="shared" si="9"/>
        <v/>
      </c>
      <c r="T57" s="589" t="str">
        <f t="shared" si="10"/>
        <v/>
      </c>
      <c r="U57" s="589" t="str">
        <f t="shared" si="11"/>
        <v/>
      </c>
      <c r="V57" s="1947">
        <f>C57-O57*TableA4!D57</f>
        <v>0.86572413769996781</v>
      </c>
      <c r="W57" s="120" t="str">
        <f>IFERROR($C57-S57*TableA4!$D57,"")</f>
        <v/>
      </c>
      <c r="X57" s="120" t="str">
        <f>IFERROR($C57-T57*TableA4!$D57,"")</f>
        <v/>
      </c>
      <c r="Y57" s="1945" t="str">
        <f>IFERROR($C57-U57*TableA4!$D57,"")</f>
        <v/>
      </c>
      <c r="Z57" s="120" t="str">
        <f t="shared" si="17"/>
        <v/>
      </c>
      <c r="AA57" s="120" t="str">
        <f t="shared" si="18"/>
        <v/>
      </c>
      <c r="AB57" s="1915" t="str">
        <f t="shared" si="19"/>
        <v/>
      </c>
      <c r="AC57" s="120"/>
      <c r="AD57" s="120"/>
      <c r="AE57" s="120"/>
      <c r="AH57" s="711">
        <f t="shared" si="5"/>
        <v>0</v>
      </c>
      <c r="AI57" s="711">
        <f t="shared" si="6"/>
        <v>0</v>
      </c>
    </row>
    <row r="58" spans="1:36" x14ac:dyDescent="0.35">
      <c r="A58" s="1919" t="s">
        <v>275</v>
      </c>
      <c r="B58" s="1914">
        <f>TableA6!B58</f>
        <v>7.5674507528223769</v>
      </c>
      <c r="C58" s="8">
        <f>TableA6!E58</f>
        <v>7.4256876071944387</v>
      </c>
      <c r="D58" s="393">
        <v>0</v>
      </c>
      <c r="E58" s="8">
        <f>TableA6!K58</f>
        <v>0.1417631456279379</v>
      </c>
      <c r="F58" s="701">
        <f t="shared" si="0"/>
        <v>0.98126672372792567</v>
      </c>
      <c r="G58" s="680">
        <f>TableA2!L58</f>
        <v>13.025874775347917</v>
      </c>
      <c r="H58" s="9">
        <f>D58/TableA2!C58</f>
        <v>0</v>
      </c>
      <c r="I58" s="9">
        <f>TableA6!D58/TableA2!C58</f>
        <v>2.3466553002047297</v>
      </c>
      <c r="J58" s="9">
        <f>TableA6!I58/TableA2!$C58</f>
        <v>11.090152854335686</v>
      </c>
      <c r="K58" s="9">
        <f>TableA6!J58/TableA2!$C58</f>
        <v>2.493548736246979</v>
      </c>
      <c r="L58" s="1934">
        <f>(C58+E58)/TableA2!C58</f>
        <v>15.372530075552646</v>
      </c>
      <c r="M58" s="9">
        <f>C58/TableA4!D58</f>
        <v>37.711380556616369</v>
      </c>
      <c r="N58" s="9">
        <f>TableA10!D$63/TableA10!C$63</f>
        <v>14.031458531935176</v>
      </c>
      <c r="O58" s="1938">
        <f t="shared" si="20"/>
        <v>0.47996308817683037</v>
      </c>
      <c r="P58" s="589"/>
      <c r="Q58" s="589"/>
      <c r="R58" s="589"/>
      <c r="S58" s="589" t="str">
        <f t="shared" si="9"/>
        <v/>
      </c>
      <c r="T58" s="589" t="str">
        <f t="shared" si="10"/>
        <v/>
      </c>
      <c r="U58" s="589" t="str">
        <f t="shared" si="11"/>
        <v/>
      </c>
      <c r="V58" s="1947">
        <f>C58-O58*TableA4!D58</f>
        <v>7.3311788434424798</v>
      </c>
      <c r="W58" s="120" t="str">
        <f>IFERROR($C58-S58*TableA4!$D58,"")</f>
        <v/>
      </c>
      <c r="X58" s="120" t="str">
        <f>IFERROR($C58-T58*TableA4!$D58,"")</f>
        <v/>
      </c>
      <c r="Y58" s="1945" t="str">
        <f>IFERROR($C58-U58*TableA4!$D58,"")</f>
        <v/>
      </c>
      <c r="Z58" s="120" t="str">
        <f t="shared" si="17"/>
        <v/>
      </c>
      <c r="AA58" s="120" t="str">
        <f t="shared" si="18"/>
        <v/>
      </c>
      <c r="AB58" s="1915" t="str">
        <f t="shared" si="19"/>
        <v/>
      </c>
      <c r="AC58" s="120"/>
      <c r="AD58" s="120"/>
      <c r="AE58" s="120"/>
      <c r="AH58" s="711">
        <f t="shared" si="5"/>
        <v>-8.8817841970012523E-16</v>
      </c>
      <c r="AI58" s="711">
        <f t="shared" si="6"/>
        <v>3.3306690738754696E-16</v>
      </c>
    </row>
    <row r="59" spans="1:36" x14ac:dyDescent="0.35">
      <c r="A59" s="1919" t="s">
        <v>276</v>
      </c>
      <c r="B59" s="1914">
        <f>TableA6!B59</f>
        <v>12.818630643859262</v>
      </c>
      <c r="C59" s="8">
        <f>TableA6!E59</f>
        <v>9.9035637652207527</v>
      </c>
      <c r="D59" s="393">
        <v>0</v>
      </c>
      <c r="E59" s="8">
        <f>TableA6!K59</f>
        <v>2.9150668786385086</v>
      </c>
      <c r="F59" s="701">
        <f t="shared" si="0"/>
        <v>0.7725913976595491</v>
      </c>
      <c r="G59" s="680">
        <f>TableA2!L59</f>
        <v>1.1886326440866672</v>
      </c>
      <c r="H59" s="9">
        <f>D59/TableA2!C59</f>
        <v>0</v>
      </c>
      <c r="I59" s="9">
        <f>TableA6!D59/TableA2!C59</f>
        <v>7.7712823684907076E-2</v>
      </c>
      <c r="J59" s="9">
        <f>TableA6!I59/TableA2!$C59</f>
        <v>9.6292997742348937E-2</v>
      </c>
      <c r="K59" s="9">
        <f>TableA6!J59/TableA2!$C59</f>
        <v>0.81859172082117837</v>
      </c>
      <c r="L59" s="1934">
        <f>(C59+E59)/TableA2!C59</f>
        <v>1.2663454677715744</v>
      </c>
      <c r="M59" s="9">
        <f>C59/TableA4!D59</f>
        <v>2.4459190371636907</v>
      </c>
      <c r="N59" s="9">
        <f>TableA10!D75/TableA10!C75</f>
        <v>2.6792645556690502</v>
      </c>
      <c r="O59" s="1938">
        <f t="shared" si="20"/>
        <v>0.47996308817683037</v>
      </c>
      <c r="P59" s="589"/>
      <c r="Q59" s="589"/>
      <c r="R59" s="589"/>
      <c r="S59" s="589" t="str">
        <f t="shared" si="9"/>
        <v/>
      </c>
      <c r="T59" s="589" t="str">
        <f t="shared" si="10"/>
        <v/>
      </c>
      <c r="U59" s="589" t="str">
        <f t="shared" si="11"/>
        <v/>
      </c>
      <c r="V59" s="1947">
        <f>C59-O59*TableA4!D59</f>
        <v>7.9601858461284136</v>
      </c>
      <c r="W59" s="120" t="str">
        <f>IFERROR($C59-S59*TableA4!$D59,"")</f>
        <v/>
      </c>
      <c r="X59" s="120" t="str">
        <f>IFERROR($C59-T59*TableA4!$D59,"")</f>
        <v/>
      </c>
      <c r="Y59" s="1945" t="str">
        <f>IFERROR($C59-U59*TableA4!$D59,"")</f>
        <v/>
      </c>
      <c r="Z59" s="120" t="str">
        <f t="shared" si="17"/>
        <v/>
      </c>
      <c r="AA59" s="120" t="str">
        <f t="shared" si="18"/>
        <v/>
      </c>
      <c r="AB59" s="1915" t="str">
        <f t="shared" si="19"/>
        <v/>
      </c>
      <c r="AC59" s="120"/>
      <c r="AD59" s="120"/>
      <c r="AE59" s="120"/>
      <c r="AH59" s="711">
        <f t="shared" si="5"/>
        <v>9.7144514654701197E-17</v>
      </c>
      <c r="AI59" s="711">
        <f t="shared" si="6"/>
        <v>0</v>
      </c>
    </row>
    <row r="60" spans="1:36" x14ac:dyDescent="0.35">
      <c r="A60" s="1920" t="str">
        <f>+TableA1!A60</f>
        <v>Barbados</v>
      </c>
      <c r="B60" s="1914">
        <f>TableA6!B60</f>
        <v>4.7927919009162316</v>
      </c>
      <c r="C60" s="8">
        <f>TableA6!E60</f>
        <v>4.6934588361797722</v>
      </c>
      <c r="D60" s="393">
        <v>0</v>
      </c>
      <c r="E60" s="8">
        <f>TableA6!K60</f>
        <v>9.933306473645917E-2</v>
      </c>
      <c r="F60" s="701">
        <f t="shared" si="0"/>
        <v>0.97927448827530561</v>
      </c>
      <c r="G60" s="680">
        <f>TableA2!L60</f>
        <v>7.1637948004065679</v>
      </c>
      <c r="H60" s="9">
        <f>D60/TableA2!C60</f>
        <v>0</v>
      </c>
      <c r="I60" s="9">
        <f>TableA6!D60/TableA2!C60</f>
        <v>6.7310540569548074</v>
      </c>
      <c r="J60" s="9">
        <f>TableA6!I60/TableA2!$C60</f>
        <v>4.65234739282762</v>
      </c>
      <c r="K60" s="9">
        <f>TableA6!J60/TableA2!$C60</f>
        <v>3.1691441921362671</v>
      </c>
      <c r="L60" s="1934">
        <f>(C60+E60)/TableA2!C60</f>
        <v>13.894848857361376</v>
      </c>
      <c r="M60" s="9">
        <f>C60/TableA4!D60</f>
        <v>34.017177511138193</v>
      </c>
      <c r="N60" s="9">
        <f>VLOOKUP(A60,TableA10!$A$8:$G$95,4,)/VLOOKUP(A60,TableA10!$A$8:$G$95,3,)</f>
        <v>25.326530612244898</v>
      </c>
      <c r="O60" s="1938">
        <f t="shared" si="20"/>
        <v>0.47996308817683037</v>
      </c>
      <c r="P60" s="589"/>
      <c r="Q60" s="589"/>
      <c r="R60" s="589"/>
      <c r="S60" s="589" t="str">
        <f t="shared" si="9"/>
        <v/>
      </c>
      <c r="T60" s="589" t="str">
        <f t="shared" si="10"/>
        <v/>
      </c>
      <c r="U60" s="589" t="str">
        <f t="shared" si="11"/>
        <v/>
      </c>
      <c r="V60" s="1947">
        <f>C60-O60*TableA4!D60</f>
        <v>4.6272367930221332</v>
      </c>
      <c r="W60" s="120" t="str">
        <f>IFERROR($C60-S60*TableA4!$D60,"")</f>
        <v/>
      </c>
      <c r="X60" s="120" t="str">
        <f>IFERROR($C60-T60*TableA4!$D60,"")</f>
        <v/>
      </c>
      <c r="Y60" s="1945" t="str">
        <f>IFERROR($C60-U60*TableA4!$D60,"")</f>
        <v/>
      </c>
      <c r="Z60" s="120" t="str">
        <f t="shared" si="17"/>
        <v/>
      </c>
      <c r="AA60" s="120" t="str">
        <f t="shared" si="18"/>
        <v/>
      </c>
      <c r="AB60" s="1915" t="str">
        <f t="shared" si="19"/>
        <v/>
      </c>
      <c r="AC60" s="120"/>
      <c r="AD60" s="120"/>
      <c r="AE60" s="120"/>
      <c r="AH60" s="711">
        <f t="shared" si="5"/>
        <v>8.8817841970012523E-16</v>
      </c>
      <c r="AI60" s="711">
        <f t="shared" si="6"/>
        <v>2.4980018054066022E-16</v>
      </c>
    </row>
    <row r="61" spans="1:36" x14ac:dyDescent="0.35">
      <c r="A61" s="1919" t="s">
        <v>277</v>
      </c>
      <c r="B61" s="1914">
        <f>TableA6!B61</f>
        <v>0.96228953856820065</v>
      </c>
      <c r="C61" s="8">
        <f>TableA6!E61</f>
        <v>0.92373045597548575</v>
      </c>
      <c r="D61" s="8">
        <v>0</v>
      </c>
      <c r="E61" s="8">
        <f>TableA6!K61</f>
        <v>3.855908259271492E-2</v>
      </c>
      <c r="F61" s="701">
        <f t="shared" si="0"/>
        <v>0.95992985370069872</v>
      </c>
      <c r="G61" s="680">
        <f>TableA2!L61</f>
        <v>6.9944164581853387</v>
      </c>
      <c r="H61" s="9">
        <f>D61/TableA2!C61</f>
        <v>0</v>
      </c>
      <c r="I61" s="9">
        <f>TableA6!D61/TableA2!C61</f>
        <v>0.19242660335646011</v>
      </c>
      <c r="J61" s="9">
        <f>TableA6!I61/TableA2!$C61</f>
        <v>0.52273449757673773</v>
      </c>
      <c r="K61" s="9">
        <f>TableA6!J61/TableA2!$C61</f>
        <v>5.8907579015650278</v>
      </c>
      <c r="L61" s="1934">
        <f>(C61+E61)/TableA2!C61</f>
        <v>7.1868430615417989</v>
      </c>
      <c r="M61" s="9">
        <f>C61/TableA4!D61</f>
        <v>17.247163021589252</v>
      </c>
      <c r="N61" s="396">
        <f>TableA10!D$63/TableA10!C$63</f>
        <v>14.031458531935176</v>
      </c>
      <c r="O61" s="1938">
        <f t="shared" si="20"/>
        <v>0.47996308817683037</v>
      </c>
      <c r="P61" s="589"/>
      <c r="Q61" s="589"/>
      <c r="R61" s="589"/>
      <c r="S61" s="589" t="str">
        <f t="shared" si="9"/>
        <v/>
      </c>
      <c r="T61" s="589" t="str">
        <f t="shared" si="10"/>
        <v/>
      </c>
      <c r="U61" s="589" t="str">
        <f t="shared" si="11"/>
        <v/>
      </c>
      <c r="V61" s="1947">
        <f>C61-O61*TableA4!D61</f>
        <v>0.89802440091367575</v>
      </c>
      <c r="W61" s="120" t="str">
        <f>IFERROR($C61-S61*TableA4!$D61,"")</f>
        <v/>
      </c>
      <c r="X61" s="120" t="str">
        <f>IFERROR($C61-T61*TableA4!$D61,"")</f>
        <v/>
      </c>
      <c r="Y61" s="1945" t="str">
        <f>IFERROR($C61-U61*TableA4!$D61,"")</f>
        <v/>
      </c>
      <c r="Z61" s="120" t="str">
        <f t="shared" si="17"/>
        <v/>
      </c>
      <c r="AA61" s="120" t="str">
        <f t="shared" si="18"/>
        <v/>
      </c>
      <c r="AB61" s="1915" t="str">
        <f t="shared" si="19"/>
        <v/>
      </c>
      <c r="AC61" s="120"/>
      <c r="AD61" s="120"/>
      <c r="AE61" s="120"/>
      <c r="AH61" s="711">
        <f t="shared" si="5"/>
        <v>0</v>
      </c>
      <c r="AI61" s="711">
        <f t="shared" si="6"/>
        <v>0</v>
      </c>
    </row>
    <row r="62" spans="1:36" x14ac:dyDescent="0.35">
      <c r="A62" s="1919" t="s">
        <v>213</v>
      </c>
      <c r="B62" s="1914">
        <f>TableA6!B62</f>
        <v>25.438024032487199</v>
      </c>
      <c r="C62" s="8">
        <f>TableA6!E62</f>
        <v>24.545618103452078</v>
      </c>
      <c r="D62" s="393">
        <v>0</v>
      </c>
      <c r="E62" s="8">
        <f>TableA6!K62</f>
        <v>0.89240592903512039</v>
      </c>
      <c r="F62" s="701">
        <f t="shared" si="0"/>
        <v>0.96491842574346898</v>
      </c>
      <c r="G62" s="680">
        <f>TableA2!L62</f>
        <v>0.57155258740431214</v>
      </c>
      <c r="H62" s="9">
        <f>D62/TableA2!C62</f>
        <v>0</v>
      </c>
      <c r="I62" s="9">
        <f>TableA6!D62/TableA2!C62</f>
        <v>7.6372538589736259</v>
      </c>
      <c r="J62" s="9">
        <f>TableA6!I62/TableA2!$C62</f>
        <v>1.6319218643375801</v>
      </c>
      <c r="K62" s="9">
        <f>TableA6!J62/TableA2!$C62</f>
        <v>1.3040578882868976</v>
      </c>
      <c r="L62" s="1934">
        <f>(C62+E62)/TableA2!C62</f>
        <v>8.2088064463779382</v>
      </c>
      <c r="M62" s="9">
        <f>C62/TableA4!D62</f>
        <v>19.802071483679597</v>
      </c>
      <c r="N62" s="9">
        <f>VLOOKUP(A62,TableA10!$A$8:$G$95,4,)/VLOOKUP(A62,TableA10!$A$8:$G$95,3,)</f>
        <v>1.3093313739897134</v>
      </c>
      <c r="O62" s="1938">
        <f t="shared" si="20"/>
        <v>0.47996308817683037</v>
      </c>
      <c r="P62" s="589"/>
      <c r="Q62" s="589"/>
      <c r="R62" s="589"/>
      <c r="S62" s="589" t="str">
        <f t="shared" si="9"/>
        <v/>
      </c>
      <c r="T62" s="589" t="str">
        <f t="shared" si="10"/>
        <v/>
      </c>
      <c r="U62" s="589" t="str">
        <f t="shared" si="11"/>
        <v/>
      </c>
      <c r="V62" s="1947">
        <f>C62-O62*TableA4!D62</f>
        <v>23.950680817428665</v>
      </c>
      <c r="W62" s="120" t="str">
        <f>IFERROR($C62-S62*TableA4!$D62,"")</f>
        <v/>
      </c>
      <c r="X62" s="120" t="str">
        <f>IFERROR($C62-T62*TableA4!$D62,"")</f>
        <v/>
      </c>
      <c r="Y62" s="1945" t="str">
        <f>IFERROR($C62-U62*TableA4!$D62,"")</f>
        <v/>
      </c>
      <c r="Z62" s="120" t="str">
        <f t="shared" si="17"/>
        <v/>
      </c>
      <c r="AA62" s="120" t="str">
        <f t="shared" si="18"/>
        <v/>
      </c>
      <c r="AB62" s="1915" t="str">
        <f t="shared" si="19"/>
        <v/>
      </c>
      <c r="AC62" s="120"/>
      <c r="AD62" s="120"/>
      <c r="AE62" s="120"/>
      <c r="AH62" s="711">
        <f t="shared" si="5"/>
        <v>0</v>
      </c>
      <c r="AI62" s="711">
        <f t="shared" si="6"/>
        <v>0</v>
      </c>
    </row>
    <row r="63" spans="1:36" x14ac:dyDescent="0.35">
      <c r="A63" s="1919" t="s">
        <v>278</v>
      </c>
      <c r="B63" s="1914">
        <f>TableA6!B63</f>
        <v>0.17335876526209473</v>
      </c>
      <c r="C63" s="8">
        <f>TableA6!E63</f>
        <v>0.1524905077468249</v>
      </c>
      <c r="D63" s="393">
        <v>0</v>
      </c>
      <c r="E63" s="8">
        <f>TableA6!K63</f>
        <v>2.0868257515269825E-2</v>
      </c>
      <c r="F63" s="701">
        <f t="shared" si="0"/>
        <v>0.87962386854959496</v>
      </c>
      <c r="G63" s="680">
        <f>TableA2!L63</f>
        <v>2.3923168940243364</v>
      </c>
      <c r="H63" s="9">
        <f>D63/TableA2!C63</f>
        <v>0</v>
      </c>
      <c r="I63" s="9">
        <f>TableA6!D63/TableA2!C63</f>
        <v>0</v>
      </c>
      <c r="J63" s="9">
        <f>TableA6!I63/TableA2!$C63</f>
        <v>0</v>
      </c>
      <c r="K63" s="9">
        <f>TableA6!J63/TableA2!$C63</f>
        <v>2.2408844651324529</v>
      </c>
      <c r="L63" s="1934">
        <f>(C63+E63)/TableA2!C63</f>
        <v>2.3923168940243364</v>
      </c>
      <c r="M63" s="9">
        <f>C63/TableA4!D63</f>
        <v>5.2608476027955957</v>
      </c>
      <c r="N63" s="9">
        <f>TableA10!D$63/TableA10!C$63</f>
        <v>14.031458531935176</v>
      </c>
      <c r="O63" s="1938">
        <f t="shared" si="20"/>
        <v>0.47996308817683037</v>
      </c>
      <c r="P63" s="589" t="str">
        <f>+'Table E1'!D63</f>
        <v/>
      </c>
      <c r="Q63" s="589" t="str">
        <f>+'Table E1'!I63</f>
        <v/>
      </c>
      <c r="R63" s="589" t="str">
        <f>+'Table E1'!N63</f>
        <v/>
      </c>
      <c r="S63" s="589" t="str">
        <f t="shared" si="9"/>
        <v/>
      </c>
      <c r="T63" s="589" t="str">
        <f t="shared" si="10"/>
        <v/>
      </c>
      <c r="U63" s="589" t="str">
        <f t="shared" si="11"/>
        <v/>
      </c>
      <c r="V63" s="1947">
        <f>C63-O63*TableA4!D63</f>
        <v>0.13857833606997835</v>
      </c>
      <c r="W63" s="120" t="str">
        <f>IFERROR($C63-S63*TableA4!$D63,"")</f>
        <v/>
      </c>
      <c r="X63" s="120" t="str">
        <f>IFERROR($C63-T63*TableA4!$D63,"")</f>
        <v/>
      </c>
      <c r="Y63" s="1945" t="str">
        <f>IFERROR($C63-U63*TableA4!$D63,"")</f>
        <v/>
      </c>
      <c r="Z63" s="120" t="str">
        <f t="shared" si="17"/>
        <v/>
      </c>
      <c r="AA63" s="120" t="str">
        <f t="shared" si="18"/>
        <v/>
      </c>
      <c r="AB63" s="1915" t="str">
        <f t="shared" si="19"/>
        <v/>
      </c>
      <c r="AC63" s="120"/>
      <c r="AD63" s="120"/>
      <c r="AE63" s="120"/>
      <c r="AH63" s="711">
        <f t="shared" si="5"/>
        <v>0</v>
      </c>
      <c r="AI63" s="711">
        <f t="shared" si="6"/>
        <v>0</v>
      </c>
    </row>
    <row r="64" spans="1:36" x14ac:dyDescent="0.35">
      <c r="A64" s="1919" t="s">
        <v>279</v>
      </c>
      <c r="B64" s="1914">
        <f>TableA6!B64</f>
        <v>29.125071697810739</v>
      </c>
      <c r="C64" s="8">
        <f>TableA6!E64</f>
        <v>29.078139371166927</v>
      </c>
      <c r="D64" s="393">
        <v>0</v>
      </c>
      <c r="E64" s="8">
        <f>TableA6!K64</f>
        <v>4.6932326643812639E-2</v>
      </c>
      <c r="F64" s="701">
        <f t="shared" si="0"/>
        <v>0.99838859360997423</v>
      </c>
      <c r="G64" s="680">
        <f>TableA2!L64</f>
        <v>2.3923257034784351</v>
      </c>
      <c r="H64" s="9">
        <f>D64/TableA2!C64</f>
        <v>0</v>
      </c>
      <c r="I64" s="9">
        <f>TableA6!D64/TableA2!C64</f>
        <v>176.31979477004302</v>
      </c>
      <c r="J64" s="9">
        <f>TableA6!I64/TableA2!$C64</f>
        <v>0</v>
      </c>
      <c r="K64" s="9">
        <f>TableA6!J64/TableA2!$C64</f>
        <v>203.02408818842605</v>
      </c>
      <c r="L64" s="1934">
        <f>(C64+E64)/TableA2!C64</f>
        <v>178.71212047352145</v>
      </c>
      <c r="M64" s="9">
        <f>C64/TableA4!D64</f>
        <v>446.06035655153835</v>
      </c>
      <c r="N64" s="9">
        <f>TableA10!D$62/TableA10!C$62</f>
        <v>8.901215805471125</v>
      </c>
      <c r="O64" s="1938">
        <f t="shared" si="20"/>
        <v>0.47996308817683037</v>
      </c>
      <c r="P64" s="589" t="str">
        <f>+'Table E1'!D64</f>
        <v/>
      </c>
      <c r="Q64" s="589" t="str">
        <f>+'Table E1'!I64</f>
        <v/>
      </c>
      <c r="R64" s="589" t="str">
        <f>+'Table E1'!N64</f>
        <v/>
      </c>
      <c r="S64" s="589" t="str">
        <f t="shared" si="9"/>
        <v/>
      </c>
      <c r="T64" s="589" t="str">
        <f t="shared" si="10"/>
        <v/>
      </c>
      <c r="U64" s="589" t="str">
        <f t="shared" si="11"/>
        <v/>
      </c>
      <c r="V64" s="1947">
        <f>C64-O64*TableA4!D64</f>
        <v>29.046851153404386</v>
      </c>
      <c r="W64" s="120" t="str">
        <f>IFERROR($C64-S64*TableA4!$D64,"")</f>
        <v/>
      </c>
      <c r="X64" s="120" t="str">
        <f>IFERROR($C64-T64*TableA4!$D64,"")</f>
        <v/>
      </c>
      <c r="Y64" s="1945" t="str">
        <f>IFERROR($C64-U64*TableA4!$D64,"")</f>
        <v/>
      </c>
      <c r="Z64" s="120" t="str">
        <f t="shared" si="17"/>
        <v/>
      </c>
      <c r="AA64" s="120" t="str">
        <f t="shared" si="18"/>
        <v/>
      </c>
      <c r="AB64" s="1915" t="str">
        <f t="shared" si="19"/>
        <v/>
      </c>
      <c r="AC64" s="120"/>
      <c r="AD64" s="120"/>
      <c r="AE64" s="120"/>
      <c r="AH64" s="711">
        <f t="shared" si="5"/>
        <v>0</v>
      </c>
      <c r="AI64" s="711">
        <f t="shared" si="6"/>
        <v>-2.2204460492503131E-16</v>
      </c>
    </row>
    <row r="65" spans="1:35" x14ac:dyDescent="0.35">
      <c r="A65" s="1921" t="s">
        <v>291</v>
      </c>
      <c r="B65" s="1914">
        <f>TableA6!B65</f>
        <v>22.920824144129366</v>
      </c>
      <c r="C65" s="8">
        <f>TableA6!E65</f>
        <v>22.512935193051696</v>
      </c>
      <c r="D65" s="689">
        <v>0</v>
      </c>
      <c r="E65" s="8">
        <f>TableA6!K65</f>
        <v>0.40788895107766843</v>
      </c>
      <c r="F65" s="701">
        <f t="shared" si="0"/>
        <v>0.98220443782855249</v>
      </c>
      <c r="G65" s="680">
        <f>TableA2!L65</f>
        <v>0.75160134279400448</v>
      </c>
      <c r="H65" s="9">
        <f>D65/TableA2!C65</f>
        <v>0</v>
      </c>
      <c r="I65" s="9">
        <f>TableA6!D65/TableA2!C65</f>
        <v>15.430964295292515</v>
      </c>
      <c r="J65" s="9">
        <f>TableA6!I65/TableA2!$C65</f>
        <v>2.876389513296298</v>
      </c>
      <c r="K65" s="9">
        <f>TableA6!J65/TableA2!$C65</f>
        <v>1.6922088373792077</v>
      </c>
      <c r="L65" s="1934">
        <f>(C65+E65)/TableA2!C65</f>
        <v>16.182565638086519</v>
      </c>
      <c r="M65" s="9">
        <f>C65/TableA4!D65</f>
        <v>39.73646946295105</v>
      </c>
      <c r="N65" s="9">
        <f>TableA10!D$62/TableA10!C$62</f>
        <v>8.901215805471125</v>
      </c>
      <c r="O65" s="1938">
        <f t="shared" si="20"/>
        <v>0.47996308817683037</v>
      </c>
      <c r="P65" s="589" t="str">
        <f>+'Table E1'!D65</f>
        <v/>
      </c>
      <c r="Q65" s="589" t="str">
        <f>+'Table E1'!I65</f>
        <v/>
      </c>
      <c r="R65" s="589" t="str">
        <f>+'Table E1'!N65</f>
        <v/>
      </c>
      <c r="S65" s="589" t="str">
        <f t="shared" si="9"/>
        <v/>
      </c>
      <c r="T65" s="589" t="str">
        <f t="shared" si="10"/>
        <v/>
      </c>
      <c r="U65" s="589" t="str">
        <f t="shared" si="11"/>
        <v/>
      </c>
      <c r="V65" s="1947">
        <f>C65-O65*TableA4!D65</f>
        <v>22.241009225666584</v>
      </c>
      <c r="W65" s="120" t="str">
        <f>IFERROR($C65-S65*TableA4!$D65,"")</f>
        <v/>
      </c>
      <c r="X65" s="120" t="str">
        <f>IFERROR($C65-T65*TableA4!$D65,"")</f>
        <v/>
      </c>
      <c r="Y65" s="1945" t="str">
        <f>IFERROR($C65-U65*TableA4!$D65,"")</f>
        <v/>
      </c>
      <c r="Z65" s="120" t="str">
        <f t="shared" si="17"/>
        <v/>
      </c>
      <c r="AA65" s="120" t="str">
        <f t="shared" si="18"/>
        <v/>
      </c>
      <c r="AB65" s="1915" t="str">
        <f t="shared" si="19"/>
        <v/>
      </c>
      <c r="AC65" s="120"/>
      <c r="AD65" s="120"/>
      <c r="AE65" s="120"/>
      <c r="AF65" s="376"/>
      <c r="AH65" s="711">
        <f t="shared" si="5"/>
        <v>0</v>
      </c>
      <c r="AI65" s="711">
        <f t="shared" si="6"/>
        <v>1.3322676295501878E-15</v>
      </c>
    </row>
    <row r="66" spans="1:35" x14ac:dyDescent="0.35">
      <c r="A66" s="1919" t="s">
        <v>280</v>
      </c>
      <c r="B66" s="1914">
        <f>TableA6!B66</f>
        <v>11.68734919710977</v>
      </c>
      <c r="C66" s="8">
        <f>TableA6!E66</f>
        <v>11.296185999728888</v>
      </c>
      <c r="D66" s="393">
        <v>0</v>
      </c>
      <c r="E66" s="8">
        <f>TableA6!K66</f>
        <v>0.39116319738088223</v>
      </c>
      <c r="F66" s="701">
        <f t="shared" si="0"/>
        <v>0.96653105928608563</v>
      </c>
      <c r="G66" s="680">
        <f>TableA2!L66</f>
        <v>0.33575980655064125</v>
      </c>
      <c r="H66" s="9">
        <f>D66/TableA2!C66</f>
        <v>0</v>
      </c>
      <c r="I66" s="9">
        <f>TableA6!D66/TableA2!C66</f>
        <v>8.2685714559076864</v>
      </c>
      <c r="J66" s="9">
        <f>TableA6!I66/TableA2!$C66</f>
        <v>1.3268676411786671</v>
      </c>
      <c r="K66" s="9">
        <f>TableA6!J66/TableA2!$C66</f>
        <v>8.6936233491982904</v>
      </c>
      <c r="L66" s="1934">
        <f>(C66+E66)/TableA2!C66</f>
        <v>8.6043312624583272</v>
      </c>
      <c r="M66" s="9">
        <f>C66/TableA4!D66</f>
        <v>20.79088352388057</v>
      </c>
      <c r="N66" s="9">
        <f>TableA10!D$63/TableA10!C$63</f>
        <v>14.031458531935176</v>
      </c>
      <c r="O66" s="1938">
        <f t="shared" si="20"/>
        <v>0.47996308817683037</v>
      </c>
      <c r="P66" s="589" t="str">
        <f>+'Table E1'!D66</f>
        <v/>
      </c>
      <c r="Q66" s="589" t="str">
        <f>+'Table E1'!I66</f>
        <v/>
      </c>
      <c r="R66" s="589" t="str">
        <f>+'Table E1'!N66</f>
        <v/>
      </c>
      <c r="S66" s="589" t="str">
        <f t="shared" si="9"/>
        <v/>
      </c>
      <c r="T66" s="589" t="str">
        <f t="shared" si="10"/>
        <v/>
      </c>
      <c r="U66" s="589" t="str">
        <f t="shared" si="11"/>
        <v/>
      </c>
      <c r="V66" s="1947">
        <f>C66-O66*TableA4!D66</f>
        <v>11.0354105348083</v>
      </c>
      <c r="W66" s="120" t="str">
        <f>IFERROR($C66-S66*TableA4!$D66,"")</f>
        <v/>
      </c>
      <c r="X66" s="120" t="str">
        <f>IFERROR($C66-T66*TableA4!$D66,"")</f>
        <v/>
      </c>
      <c r="Y66" s="1945" t="str">
        <f>IFERROR($C66-U66*TableA4!$D66,"")</f>
        <v/>
      </c>
      <c r="Z66" s="120" t="str">
        <f t="shared" si="17"/>
        <v/>
      </c>
      <c r="AA66" s="120" t="str">
        <f t="shared" si="18"/>
        <v/>
      </c>
      <c r="AB66" s="1915" t="str">
        <f t="shared" si="19"/>
        <v/>
      </c>
      <c r="AC66" s="120"/>
      <c r="AD66" s="120"/>
      <c r="AE66" s="120"/>
      <c r="AH66" s="711">
        <f t="shared" si="5"/>
        <v>0</v>
      </c>
      <c r="AI66" s="711">
        <f t="shared" si="6"/>
        <v>0</v>
      </c>
    </row>
    <row r="67" spans="1:35" x14ac:dyDescent="0.35">
      <c r="A67" s="1920" t="str">
        <f>+TableA1!A67</f>
        <v>Cyprus</v>
      </c>
      <c r="B67" s="1914">
        <f>TableA6!B67</f>
        <v>6.8820083274691735</v>
      </c>
      <c r="C67" s="8">
        <f>TableA6!E67</f>
        <v>5.2850761004134004</v>
      </c>
      <c r="D67" s="393">
        <v>0</v>
      </c>
      <c r="E67" s="8">
        <f>TableA6!K67</f>
        <v>1.5969322270557735</v>
      </c>
      <c r="F67" s="701">
        <f t="shared" si="0"/>
        <v>0.76795549335770164</v>
      </c>
      <c r="G67" s="680">
        <f>TableA2!L67</f>
        <v>0.56340199771699795</v>
      </c>
      <c r="H67" s="9">
        <f>D67/TableA2!C67</f>
        <v>0</v>
      </c>
      <c r="I67" s="9">
        <f>TableA6!D67/TableA2!C67</f>
        <v>0.67764377006763776</v>
      </c>
      <c r="J67" s="9">
        <f>TableA6!I67/TableA2!$C67</f>
        <v>1.0088176835559211E-2</v>
      </c>
      <c r="K67" s="9">
        <f>TableA6!J67/TableA2!$C67</f>
        <v>0.28675503536078822</v>
      </c>
      <c r="L67" s="1934">
        <f>(C67+E67)/TableA2!C67</f>
        <v>1.2410457677846358</v>
      </c>
      <c r="M67" s="9">
        <f>C67/TableA4!D67</f>
        <v>2.3826697871963436</v>
      </c>
      <c r="N67" s="9">
        <f>TableA10!D$63/TableA10!C$63</f>
        <v>14.031458531935176</v>
      </c>
      <c r="O67" s="1938">
        <f t="shared" si="20"/>
        <v>0.47996308817683037</v>
      </c>
      <c r="P67" s="589">
        <f>+'Table E1'!D67</f>
        <v>0.14801994603568444</v>
      </c>
      <c r="Q67" s="589">
        <f>+'Table E1'!I67</f>
        <v>0.22964710193716911</v>
      </c>
      <c r="R67" s="589">
        <f>+'Table E1'!N67</f>
        <v>0.14194509090763011</v>
      </c>
      <c r="S67" s="589">
        <f t="shared" si="9"/>
        <v>0.35287049870971771</v>
      </c>
      <c r="T67" s="589">
        <f t="shared" si="10"/>
        <v>0.47996308817683037</v>
      </c>
      <c r="U67" s="589">
        <f t="shared" si="11"/>
        <v>0.54839755942835255</v>
      </c>
      <c r="V67" s="1947">
        <f>C67-O67*TableA4!D67</f>
        <v>4.220454615709551</v>
      </c>
      <c r="W67" s="120">
        <f>IFERROR($C67-S67*TableA4!$D67,"")</f>
        <v>4.5023627553694165</v>
      </c>
      <c r="X67" s="120">
        <f>IFERROR($C67-T67*TableA4!$D67,"")</f>
        <v>4.220454615709551</v>
      </c>
      <c r="Y67" s="1945">
        <f>IFERROR($C67-U67*TableA4!$D67,"")</f>
        <v>4.0686579251234694</v>
      </c>
      <c r="Z67" s="120">
        <f t="shared" si="17"/>
        <v>0.2819081396598655</v>
      </c>
      <c r="AA67" s="120">
        <f t="shared" si="18"/>
        <v>0</v>
      </c>
      <c r="AB67" s="1915">
        <f t="shared" si="19"/>
        <v>-0.1517966905860817</v>
      </c>
      <c r="AC67" s="120"/>
      <c r="AD67" s="120"/>
      <c r="AE67" s="120"/>
      <c r="AH67" s="711">
        <f t="shared" si="5"/>
        <v>1.1102230246251565E-16</v>
      </c>
      <c r="AI67" s="711">
        <f t="shared" si="6"/>
        <v>0</v>
      </c>
    </row>
    <row r="68" spans="1:35" x14ac:dyDescent="0.35">
      <c r="A68" s="1919" t="s">
        <v>281</v>
      </c>
      <c r="B68" s="1914">
        <f>TableA6!B68</f>
        <v>5.5192543961170966</v>
      </c>
      <c r="C68" s="8">
        <f>TableA6!E68</f>
        <v>5.1556449197022696</v>
      </c>
      <c r="D68" s="393">
        <v>0</v>
      </c>
      <c r="E68" s="8">
        <f>TableA6!K68</f>
        <v>0.36360947641482677</v>
      </c>
      <c r="F68" s="701">
        <f t="shared" si="0"/>
        <v>0.93411981939614286</v>
      </c>
      <c r="G68" s="680">
        <f>TableA2!L68</f>
        <v>2.3923102518718911</v>
      </c>
      <c r="H68" s="9">
        <f>D68/TableA2!C68</f>
        <v>0</v>
      </c>
      <c r="I68" s="9">
        <f>TableA6!D68/TableA2!C68</f>
        <v>1.978926290992683</v>
      </c>
      <c r="J68" s="9">
        <f>TableA6!I68/TableA2!$C68</f>
        <v>0</v>
      </c>
      <c r="K68" s="9">
        <f>TableA6!J68/TableA2!$C68</f>
        <v>2.3866849643048886</v>
      </c>
      <c r="L68" s="1934">
        <f>(C68+E68)/TableA2!C68</f>
        <v>4.3712365428645743</v>
      </c>
      <c r="M68" s="9">
        <f>C68/TableA4!D68</f>
        <v>10.208146724896189</v>
      </c>
      <c r="N68" s="9">
        <f>TableA10!D$37/TableA10!C$37</f>
        <v>1.5591216216216208</v>
      </c>
      <c r="O68" s="1938">
        <f t="shared" si="20"/>
        <v>0.47996308817683037</v>
      </c>
      <c r="P68" s="589" t="str">
        <f>+'Table E1'!D68</f>
        <v/>
      </c>
      <c r="Q68" s="589" t="str">
        <f>+'Table E1'!I68</f>
        <v/>
      </c>
      <c r="R68" s="589" t="str">
        <f>+'Table E1'!N68</f>
        <v/>
      </c>
      <c r="S68" s="589" t="str">
        <f t="shared" si="9"/>
        <v/>
      </c>
      <c r="T68" s="589" t="str">
        <f t="shared" si="10"/>
        <v/>
      </c>
      <c r="U68" s="589" t="str">
        <f t="shared" si="11"/>
        <v/>
      </c>
      <c r="V68" s="1947">
        <f>C68-O68*TableA4!D68</f>
        <v>4.9132386020923846</v>
      </c>
      <c r="W68" s="120" t="str">
        <f>IFERROR($C68-S68*TableA4!$D68,"")</f>
        <v/>
      </c>
      <c r="X68" s="120" t="str">
        <f>IFERROR($C68-T68*TableA4!$D68,"")</f>
        <v/>
      </c>
      <c r="Y68" s="1945" t="str">
        <f>IFERROR($C68-U68*TableA4!$D68,"")</f>
        <v/>
      </c>
      <c r="Z68" s="120" t="str">
        <f t="shared" si="17"/>
        <v/>
      </c>
      <c r="AA68" s="120" t="str">
        <f t="shared" si="18"/>
        <v/>
      </c>
      <c r="AB68" s="1915" t="str">
        <f t="shared" si="19"/>
        <v/>
      </c>
      <c r="AC68" s="120"/>
      <c r="AD68" s="120"/>
      <c r="AE68" s="120"/>
      <c r="AH68" s="711">
        <f t="shared" si="5"/>
        <v>2.2204460492503131E-16</v>
      </c>
      <c r="AI68" s="711">
        <f t="shared" si="6"/>
        <v>0</v>
      </c>
    </row>
    <row r="69" spans="1:35" x14ac:dyDescent="0.35">
      <c r="A69" s="1920" t="str">
        <f>+TableA1!A69</f>
        <v>Grenada</v>
      </c>
      <c r="B69" s="1914">
        <f>TableA6!B69</f>
        <v>0.4015897418869116</v>
      </c>
      <c r="C69" s="8">
        <f>TableA6!E69</f>
        <v>0.38030614888924363</v>
      </c>
      <c r="D69" s="393">
        <v>0</v>
      </c>
      <c r="E69" s="8">
        <f>TableA6!K69</f>
        <v>2.1283592997667938E-2</v>
      </c>
      <c r="F69" s="701">
        <f t="shared" si="0"/>
        <v>0.94700165174124029</v>
      </c>
      <c r="G69" s="680">
        <f>TableA2!L69</f>
        <v>5.1857999974895419</v>
      </c>
      <c r="H69" s="9">
        <f>D69/TableA2!C69</f>
        <v>0</v>
      </c>
      <c r="I69" s="9">
        <f>TableA6!D69/TableA2!C69</f>
        <v>0.2479137382682656</v>
      </c>
      <c r="J69" s="9">
        <f>TableA6!I69/TableA2!$C69</f>
        <v>0</v>
      </c>
      <c r="K69" s="9">
        <f>TableA6!J69/TableA2!$C69</f>
        <v>4.929247734116557</v>
      </c>
      <c r="L69" s="1934">
        <f>(C69+E69)/TableA2!C69</f>
        <v>5.4337137357578067</v>
      </c>
      <c r="M69" s="9">
        <f>C69/TableA4!D69</f>
        <v>12.864339707129272</v>
      </c>
      <c r="N69" s="9">
        <f>TableA10!D$37/TableA10!C$37</f>
        <v>1.5591216216216208</v>
      </c>
      <c r="O69" s="1938">
        <f t="shared" si="20"/>
        <v>0.47996308817683037</v>
      </c>
      <c r="P69" s="589" t="str">
        <f>+'Table E1'!D69</f>
        <v/>
      </c>
      <c r="Q69" s="589" t="str">
        <f>+'Table E1'!I69</f>
        <v/>
      </c>
      <c r="R69" s="589" t="str">
        <f>+'Table E1'!N69</f>
        <v/>
      </c>
      <c r="S69" s="589" t="str">
        <f t="shared" si="9"/>
        <v/>
      </c>
      <c r="T69" s="589" t="str">
        <f t="shared" si="10"/>
        <v/>
      </c>
      <c r="U69" s="589" t="str">
        <f t="shared" si="11"/>
        <v/>
      </c>
      <c r="V69" s="1947">
        <f>C69-O69*TableA4!D69</f>
        <v>0.36611708689079836</v>
      </c>
      <c r="W69" s="120" t="str">
        <f>IFERROR($C69-S69*TableA4!$D69,"")</f>
        <v/>
      </c>
      <c r="X69" s="120" t="str">
        <f>IFERROR($C69-T69*TableA4!$D69,"")</f>
        <v/>
      </c>
      <c r="Y69" s="1945" t="str">
        <f>IFERROR($C69-U69*TableA4!$D69,"")</f>
        <v/>
      </c>
      <c r="Z69" s="120" t="str">
        <f t="shared" si="17"/>
        <v/>
      </c>
      <c r="AA69" s="120" t="str">
        <f t="shared" si="18"/>
        <v/>
      </c>
      <c r="AB69" s="1915" t="str">
        <f t="shared" si="19"/>
        <v/>
      </c>
      <c r="AC69" s="120"/>
      <c r="AD69" s="120"/>
      <c r="AE69" s="120"/>
      <c r="AH69" s="711">
        <f t="shared" si="5"/>
        <v>-8.0491169285323849E-16</v>
      </c>
      <c r="AI69" s="711">
        <f t="shared" si="6"/>
        <v>2.7755575615628914E-17</v>
      </c>
    </row>
    <row r="70" spans="1:35" x14ac:dyDescent="0.35">
      <c r="A70" s="1919" t="s">
        <v>282</v>
      </c>
      <c r="B70" s="1914">
        <f>TableA6!B70</f>
        <v>2.0311467085553057</v>
      </c>
      <c r="C70" s="8">
        <f>TableA6!E70</f>
        <v>1.7866451600802939</v>
      </c>
      <c r="D70" s="393">
        <v>0</v>
      </c>
      <c r="E70" s="8">
        <f>TableA6!K70</f>
        <v>0.24450154847501168</v>
      </c>
      <c r="F70" s="701">
        <f t="shared" si="0"/>
        <v>0.87962388563802052</v>
      </c>
      <c r="G70" s="680">
        <f>TableA2!L70</f>
        <v>2.3923172336343113</v>
      </c>
      <c r="H70" s="9">
        <f>D70/TableA2!C70</f>
        <v>0</v>
      </c>
      <c r="I70" s="9">
        <f>TableA6!D70/TableA2!C70</f>
        <v>0</v>
      </c>
      <c r="J70" s="9">
        <f>TableA6!I70/TableA2!$C70</f>
        <v>0</v>
      </c>
      <c r="K70" s="9">
        <f>TableA6!J70/TableA2!$C70</f>
        <v>4.416005410082767</v>
      </c>
      <c r="L70" s="1934">
        <f>(C70+E70)/TableA2!C70</f>
        <v>2.3923172336343113</v>
      </c>
      <c r="M70" s="9">
        <f>C70/TableA4!D70</f>
        <v>5.2608484518205323</v>
      </c>
      <c r="N70" s="9">
        <f>TableA10!D$37/TableA10!C$37</f>
        <v>1.5591216216216208</v>
      </c>
      <c r="O70" s="1938">
        <f t="shared" si="20"/>
        <v>0.47996308817683037</v>
      </c>
      <c r="P70" s="589" t="str">
        <f>+'Table E1'!D70</f>
        <v/>
      </c>
      <c r="Q70" s="589" t="str">
        <f>+'Table E1'!I70</f>
        <v/>
      </c>
      <c r="R70" s="589" t="str">
        <f>+'Table E1'!N70</f>
        <v/>
      </c>
      <c r="S70" s="589" t="str">
        <f t="shared" si="9"/>
        <v/>
      </c>
      <c r="T70" s="589" t="str">
        <f t="shared" si="10"/>
        <v/>
      </c>
      <c r="U70" s="589" t="str">
        <f t="shared" si="11"/>
        <v/>
      </c>
      <c r="V70" s="1947">
        <f>C70-O70*TableA4!D70</f>
        <v>1.6236441277636195</v>
      </c>
      <c r="W70" s="120" t="str">
        <f>IFERROR($C70-S70*TableA4!$D70,"")</f>
        <v/>
      </c>
      <c r="X70" s="120" t="str">
        <f>IFERROR($C70-T70*TableA4!$D70,"")</f>
        <v/>
      </c>
      <c r="Y70" s="1945" t="str">
        <f>IFERROR($C70-U70*TableA4!$D70,"")</f>
        <v/>
      </c>
      <c r="Z70" s="120" t="str">
        <f t="shared" si="17"/>
        <v/>
      </c>
      <c r="AA70" s="120" t="str">
        <f t="shared" si="18"/>
        <v/>
      </c>
      <c r="AB70" s="1915" t="str">
        <f t="shared" si="19"/>
        <v/>
      </c>
      <c r="AC70" s="120"/>
      <c r="AD70" s="120"/>
      <c r="AE70" s="120"/>
      <c r="AH70" s="711">
        <f t="shared" si="5"/>
        <v>0</v>
      </c>
      <c r="AI70" s="711">
        <f t="shared" si="6"/>
        <v>0</v>
      </c>
    </row>
    <row r="71" spans="1:35" x14ac:dyDescent="0.35">
      <c r="A71" s="1920" t="s">
        <v>295</v>
      </c>
      <c r="B71" s="1914">
        <f>TableA6!B71</f>
        <v>1.0873325907085956</v>
      </c>
      <c r="C71" s="8">
        <f>TableA6!E71</f>
        <v>0.95644320082853906</v>
      </c>
      <c r="D71" s="393">
        <v>0</v>
      </c>
      <c r="E71" s="8">
        <f>TableA6!K71</f>
        <v>0.13088938988005652</v>
      </c>
      <c r="F71" s="701">
        <f t="shared" si="0"/>
        <v>0.87962340961861707</v>
      </c>
      <c r="G71" s="680">
        <f>TableA2!L71</f>
        <v>2.3923077734110332</v>
      </c>
      <c r="H71" s="9">
        <f>D71/TableA2!C71</f>
        <v>0</v>
      </c>
      <c r="I71" s="9">
        <f>TableA6!D71/TableA2!C71</f>
        <v>0</v>
      </c>
      <c r="J71" s="9">
        <f>TableA6!I71/TableA2!$C71</f>
        <v>4.2739569276131757</v>
      </c>
      <c r="K71" s="9">
        <f>TableA6!J71/TableA2!$C71</f>
        <v>4.2739569276131757</v>
      </c>
      <c r="L71" s="1934">
        <f>(C71+E71)/TableA2!C71</f>
        <v>2.3923077734110332</v>
      </c>
      <c r="M71" s="9">
        <f>C71/TableA4!D71</f>
        <v>5.2608248012623369</v>
      </c>
      <c r="N71" s="9">
        <f>TableA10!D$37/TableA10!C$37</f>
        <v>1.5591216216216208</v>
      </c>
      <c r="O71" s="1938">
        <f t="shared" si="20"/>
        <v>0.47996308817683037</v>
      </c>
      <c r="P71" s="589" t="str">
        <f>+'Table E1'!D71</f>
        <v/>
      </c>
      <c r="Q71" s="589" t="str">
        <f>+'Table E1'!I71</f>
        <v/>
      </c>
      <c r="R71" s="589" t="str">
        <f>+'Table E1'!N71</f>
        <v/>
      </c>
      <c r="S71" s="589" t="str">
        <f t="shared" si="9"/>
        <v/>
      </c>
      <c r="T71" s="589" t="str">
        <f t="shared" si="10"/>
        <v/>
      </c>
      <c r="U71" s="589" t="str">
        <f t="shared" si="11"/>
        <v/>
      </c>
      <c r="V71" s="1947">
        <f>C71-O71*TableA4!D71</f>
        <v>0.86918360757516799</v>
      </c>
      <c r="W71" s="120" t="str">
        <f>IFERROR($C71-S71*TableA4!$D71,"")</f>
        <v/>
      </c>
      <c r="X71" s="120" t="str">
        <f>IFERROR($C71-T71*TableA4!$D71,"")</f>
        <v/>
      </c>
      <c r="Y71" s="1945" t="str">
        <f>IFERROR($C71-U71*TableA4!$D71,"")</f>
        <v/>
      </c>
      <c r="Z71" s="120" t="str">
        <f t="shared" si="17"/>
        <v/>
      </c>
      <c r="AA71" s="120" t="str">
        <f t="shared" si="18"/>
        <v/>
      </c>
      <c r="AB71" s="1915" t="str">
        <f t="shared" si="19"/>
        <v/>
      </c>
      <c r="AC71" s="120"/>
      <c r="AD71" s="120"/>
      <c r="AE71" s="120"/>
      <c r="AH71" s="711">
        <f t="shared" si="5"/>
        <v>0</v>
      </c>
      <c r="AI71" s="711">
        <f t="shared" si="6"/>
        <v>0</v>
      </c>
    </row>
    <row r="72" spans="1:35" x14ac:dyDescent="0.35">
      <c r="A72" s="1919" t="s">
        <v>220</v>
      </c>
      <c r="B72" s="1914">
        <f>TableA6!B72</f>
        <v>95.223967679643692</v>
      </c>
      <c r="C72" s="8">
        <f>TableA6!E72</f>
        <v>50.356172185286226</v>
      </c>
      <c r="D72" s="266">
        <v>0</v>
      </c>
      <c r="E72" s="8">
        <f>TableA6!K72</f>
        <v>44.867795494357466</v>
      </c>
      <c r="F72" s="701">
        <f t="shared" si="0"/>
        <v>0.52881825250861725</v>
      </c>
      <c r="G72" s="680">
        <f>TableA2!L72</f>
        <v>0.63150559253260896</v>
      </c>
      <c r="H72" s="9">
        <f>D72/TableA2!C72</f>
        <v>0</v>
      </c>
      <c r="I72" s="9">
        <f>TableA6!D72/TableA2!C72</f>
        <v>0.18189477545245697</v>
      </c>
      <c r="J72" s="9">
        <f>TableA6!I72/TableA2!$C72</f>
        <v>0</v>
      </c>
      <c r="K72" s="9">
        <f>TableA6!J72/TableA2!$C72</f>
        <v>0.26079690122761051</v>
      </c>
      <c r="L72" s="1934">
        <f>(C72+E72)/TableA2!C72</f>
        <v>0.81340036798506599</v>
      </c>
      <c r="M72" s="9">
        <f>C72/TableA4!D72</f>
        <v>2.1348906384735855</v>
      </c>
      <c r="N72" s="9">
        <f>VLOOKUP(A72,TableA10!$A$8:$G$95,4,)/VLOOKUP(A72,TableA10!$A$8:$G$95,3,)</f>
        <v>0.84049435164622965</v>
      </c>
      <c r="O72" s="1938">
        <f t="shared" si="20"/>
        <v>0.47996308817683037</v>
      </c>
      <c r="P72" s="589">
        <f>+'Table E1'!D72</f>
        <v>0.14403407545691116</v>
      </c>
      <c r="Q72" s="589">
        <f>+'Table E1'!I72</f>
        <v>0.11734003212757226</v>
      </c>
      <c r="R72" s="589">
        <f>+'Table E1'!N72</f>
        <v>0.14524032817272817</v>
      </c>
      <c r="S72" s="589">
        <f t="shared" si="9"/>
        <v>0.51947723813589097</v>
      </c>
      <c r="T72" s="589">
        <f t="shared" si="10"/>
        <v>0.47996308817683037</v>
      </c>
      <c r="U72" s="589">
        <f t="shared" si="11"/>
        <v>0.45868623819887461</v>
      </c>
      <c r="V72" s="1947">
        <f>C72-O72*TableA4!D72</f>
        <v>39.035168909870336</v>
      </c>
      <c r="W72" s="120">
        <f>IFERROR($C72-S72*TableA4!$D72,"")</f>
        <v>38.103139276485301</v>
      </c>
      <c r="X72" s="120">
        <f>IFERROR($C72-T72*TableA4!$D72,"")</f>
        <v>39.035168909870336</v>
      </c>
      <c r="Y72" s="1945">
        <f>IFERROR($C72-U72*TableA4!$D72,"")</f>
        <v>39.537031020154586</v>
      </c>
      <c r="Z72" s="120">
        <f t="shared" si="17"/>
        <v>-0.93202963338503508</v>
      </c>
      <c r="AA72" s="120">
        <f t="shared" si="18"/>
        <v>0</v>
      </c>
      <c r="AB72" s="1915">
        <f t="shared" si="19"/>
        <v>0.50186211028425021</v>
      </c>
      <c r="AC72" s="120"/>
      <c r="AD72" s="120"/>
      <c r="AE72" s="120"/>
      <c r="AH72" s="711">
        <f t="shared" si="5"/>
        <v>5.5511151231257827E-17</v>
      </c>
      <c r="AI72" s="711">
        <f t="shared" si="6"/>
        <v>0</v>
      </c>
    </row>
    <row r="73" spans="1:35" x14ac:dyDescent="0.35">
      <c r="A73" s="1919" t="s">
        <v>284</v>
      </c>
      <c r="B73" s="1914">
        <f>TableA6!B73</f>
        <v>3.6449297805671903</v>
      </c>
      <c r="C73" s="8">
        <f>TableA6!E73</f>
        <v>3.2907256608282767</v>
      </c>
      <c r="D73" s="393">
        <v>0</v>
      </c>
      <c r="E73" s="8">
        <f>TableA6!K73</f>
        <v>0.35420411973891358</v>
      </c>
      <c r="F73" s="701">
        <f t="shared" ref="F73:F91" si="21">C73/(B73-D73)</f>
        <v>0.90282278642860558</v>
      </c>
      <c r="G73" s="680">
        <f>TableA2!L73</f>
        <v>2.3923324900643919</v>
      </c>
      <c r="H73" s="9">
        <f>D73/TableA2!C73</f>
        <v>0</v>
      </c>
      <c r="I73" s="9">
        <f>TableA6!D73/TableA2!C73</f>
        <v>0.57109733388837935</v>
      </c>
      <c r="J73" s="9">
        <f>TableA6!I73/TableA2!$C73</f>
        <v>0</v>
      </c>
      <c r="K73" s="9">
        <f>TableA6!J73/TableA2!$C73</f>
        <v>2.2040664276187067</v>
      </c>
      <c r="L73" s="1934">
        <f>(C73+E73)/TableA2!C73</f>
        <v>2.9634298239527714</v>
      </c>
      <c r="M73" s="9">
        <f>C73/TableA4!D73</f>
        <v>6.6886299276166827</v>
      </c>
      <c r="N73" s="9">
        <f>TableA10!D$37/TableA10!C$37</f>
        <v>1.5591216216216208</v>
      </c>
      <c r="O73" s="1938">
        <f t="shared" si="20"/>
        <v>0.47996308817683037</v>
      </c>
      <c r="P73" s="589" t="str">
        <f>+'Table E1'!D73</f>
        <v/>
      </c>
      <c r="Q73" s="589" t="str">
        <f>+'Table E1'!I73</f>
        <v/>
      </c>
      <c r="R73" s="589" t="str">
        <f>+'Table E1'!N73</f>
        <v/>
      </c>
      <c r="S73" s="589" t="str">
        <f t="shared" si="9"/>
        <v/>
      </c>
      <c r="T73" s="589" t="str">
        <f t="shared" si="10"/>
        <v/>
      </c>
      <c r="U73" s="589" t="str">
        <f t="shared" si="11"/>
        <v/>
      </c>
      <c r="V73" s="1947">
        <f>C73-O73*TableA4!D73</f>
        <v>3.0545895810023342</v>
      </c>
      <c r="W73" s="120" t="str">
        <f>IFERROR($C73-S73*TableA4!$D73,"")</f>
        <v/>
      </c>
      <c r="X73" s="120" t="str">
        <f>IFERROR($C73-T73*TableA4!$D73,"")</f>
        <v/>
      </c>
      <c r="Y73" s="1945" t="str">
        <f>IFERROR($C73-U73*TableA4!$D73,"")</f>
        <v/>
      </c>
      <c r="Z73" s="120" t="str">
        <f t="shared" si="17"/>
        <v/>
      </c>
      <c r="AA73" s="120" t="str">
        <f t="shared" si="18"/>
        <v/>
      </c>
      <c r="AB73" s="1915" t="str">
        <f t="shared" si="19"/>
        <v/>
      </c>
      <c r="AC73" s="120"/>
      <c r="AD73" s="120"/>
      <c r="AE73" s="120"/>
      <c r="AH73" s="711">
        <f t="shared" si="5"/>
        <v>2.2204460492503131E-16</v>
      </c>
      <c r="AI73" s="711">
        <f t="shared" si="6"/>
        <v>0</v>
      </c>
    </row>
    <row r="74" spans="1:35" x14ac:dyDescent="0.35">
      <c r="A74" s="1919" t="s">
        <v>285</v>
      </c>
      <c r="B74" s="1914">
        <f>TableA6!B74</f>
        <v>15.231019080376919</v>
      </c>
      <c r="C74" s="8">
        <f>TableA6!E74</f>
        <v>10.848362353703763</v>
      </c>
      <c r="D74" s="393">
        <v>0</v>
      </c>
      <c r="E74" s="8">
        <f>TableA6!K74</f>
        <v>4.3826567266731562</v>
      </c>
      <c r="F74" s="701">
        <f t="shared" si="21"/>
        <v>0.71225453112854353</v>
      </c>
      <c r="G74" s="680">
        <f>TableA2!L74</f>
        <v>0.9963546335773581</v>
      </c>
      <c r="H74" s="9">
        <f>D74/TableA2!C74</f>
        <v>0</v>
      </c>
      <c r="I74" s="9">
        <f>TableA6!D74/TableA2!C74</f>
        <v>4.4529691819596828E-3</v>
      </c>
      <c r="J74" s="9">
        <f>TableA6!I74/TableA2!$C74</f>
        <v>0</v>
      </c>
      <c r="K74" s="9">
        <f>TableA6!J74/TableA2!$C74</f>
        <v>0.71639470578797615</v>
      </c>
      <c r="L74" s="1934">
        <f>(C74+E74)/TableA2!C74</f>
        <v>1.0008076027593178</v>
      </c>
      <c r="M74" s="9">
        <f>C74/TableA4!D74</f>
        <v>1.7820743746330485</v>
      </c>
      <c r="N74" s="9">
        <f>TableA10!$D75/TableA10!$C75</f>
        <v>2.6792645556690502</v>
      </c>
      <c r="O74" s="1938">
        <f t="shared" si="20"/>
        <v>0.47996308817683037</v>
      </c>
      <c r="P74" s="589" t="str">
        <f>+'Table E1'!D74</f>
        <v/>
      </c>
      <c r="Q74" s="589" t="str">
        <f>+'Table E1'!I74</f>
        <v/>
      </c>
      <c r="R74" s="589" t="str">
        <f>+'Table E1'!N74</f>
        <v/>
      </c>
      <c r="S74" s="589" t="str">
        <f t="shared" si="9"/>
        <v/>
      </c>
      <c r="T74" s="589" t="str">
        <f t="shared" si="10"/>
        <v/>
      </c>
      <c r="U74" s="589" t="str">
        <f t="shared" si="11"/>
        <v/>
      </c>
      <c r="V74" s="1947">
        <f>C74-O74*TableA4!D74</f>
        <v>7.9265912025883249</v>
      </c>
      <c r="W74" s="120" t="str">
        <f>IFERROR($C74-S74*TableA4!$D74,"")</f>
        <v/>
      </c>
      <c r="X74" s="120" t="str">
        <f>IFERROR($C74-T74*TableA4!$D74,"")</f>
        <v/>
      </c>
      <c r="Y74" s="1945" t="str">
        <f>IFERROR($C74-U74*TableA4!$D74,"")</f>
        <v/>
      </c>
      <c r="Z74" s="120" t="str">
        <f t="shared" si="17"/>
        <v/>
      </c>
      <c r="AA74" s="120" t="str">
        <f t="shared" si="18"/>
        <v/>
      </c>
      <c r="AB74" s="1915" t="str">
        <f t="shared" si="19"/>
        <v/>
      </c>
      <c r="AC74" s="120"/>
      <c r="AD74" s="120"/>
      <c r="AE74" s="120"/>
      <c r="AH74" s="711">
        <f t="shared" ref="AH74:AH91" si="22">L74-G74-I74+H74</f>
        <v>1.5612511283791264E-17</v>
      </c>
      <c r="AI74" s="711">
        <f t="shared" ref="AI74:AI91" si="23">B74-C74-D74-E74</f>
        <v>0</v>
      </c>
    </row>
    <row r="75" spans="1:35" x14ac:dyDescent="0.35">
      <c r="A75" s="1919" t="s">
        <v>286</v>
      </c>
      <c r="B75" s="1914">
        <f>TableA6!B75</f>
        <v>1.3847476300640333</v>
      </c>
      <c r="C75" s="8">
        <f>TableA6!E75</f>
        <v>0.54431306414287628</v>
      </c>
      <c r="D75" s="393">
        <v>0</v>
      </c>
      <c r="E75" s="8">
        <f>TableA6!K75</f>
        <v>0.84043456592115706</v>
      </c>
      <c r="F75" s="701">
        <f t="shared" si="21"/>
        <v>0.3930774477062699</v>
      </c>
      <c r="G75" s="680">
        <f>TableA2!L75</f>
        <v>0.47448863420505527</v>
      </c>
      <c r="H75" s="9">
        <f>D75/TableA2!C75</f>
        <v>0</v>
      </c>
      <c r="I75" s="9">
        <f>TableA6!D75/TableA2!C75</f>
        <v>0</v>
      </c>
      <c r="J75" s="9">
        <f>TableA6!I75/TableA2!$C75</f>
        <v>0.41564747945609143</v>
      </c>
      <c r="K75" s="9">
        <f>TableA6!J75/TableA2!$C75</f>
        <v>0.41564747945609143</v>
      </c>
      <c r="L75" s="1934">
        <f>(C75+E75)/TableA2!C75</f>
        <v>0.47448863420505527</v>
      </c>
      <c r="M75" s="9">
        <f>C75/TableA4!D75</f>
        <v>0.4662769532473926</v>
      </c>
      <c r="N75" s="9">
        <f>TableA10!D$37/TableA10!C$37</f>
        <v>1.5591216216216208</v>
      </c>
      <c r="O75" s="1938">
        <f t="shared" si="20"/>
        <v>0.47996308817683037</v>
      </c>
      <c r="P75" s="589" t="str">
        <f>+'Table E1'!D75</f>
        <v/>
      </c>
      <c r="Q75" s="589" t="str">
        <f>+'Table E1'!I75</f>
        <v/>
      </c>
      <c r="R75" s="589" t="str">
        <f>+'Table E1'!N75</f>
        <v/>
      </c>
      <c r="S75" s="589" t="str">
        <f t="shared" ref="S75:S91" si="24">IFERROR(($Q75/$R75-1)*(1-1/0.7)*$O75+$O75,"")</f>
        <v/>
      </c>
      <c r="T75" s="589" t="str">
        <f t="shared" ref="T75:T91" si="25">IFERROR(($Q75/$R75-1)*(1-1/1)*$O75+$O75,"")</f>
        <v/>
      </c>
      <c r="U75" s="589" t="str">
        <f t="shared" ref="U75:U91" si="26">IFERROR(($Q75/$R75-1)*(1-1/1.3)*$O75+$O75,"")</f>
        <v/>
      </c>
      <c r="V75" s="1947">
        <f>C75-O75*TableA4!D75</f>
        <v>-1.5976646471228539E-2</v>
      </c>
      <c r="W75" s="120" t="str">
        <f>IFERROR($C75-S75*TableA4!$D75,"")</f>
        <v/>
      </c>
      <c r="X75" s="120" t="str">
        <f>IFERROR($C75-T75*TableA4!$D75,"")</f>
        <v/>
      </c>
      <c r="Y75" s="1945" t="str">
        <f>IFERROR($C75-U75*TableA4!$D75,"")</f>
        <v/>
      </c>
      <c r="Z75" s="120" t="str">
        <f t="shared" si="17"/>
        <v/>
      </c>
      <c r="AA75" s="120" t="str">
        <f t="shared" si="18"/>
        <v/>
      </c>
      <c r="AB75" s="1915" t="str">
        <f t="shared" si="19"/>
        <v/>
      </c>
      <c r="AC75" s="120"/>
      <c r="AD75" s="120"/>
      <c r="AE75" s="120"/>
      <c r="AH75" s="711">
        <f t="shared" si="22"/>
        <v>0</v>
      </c>
      <c r="AI75" s="711">
        <f t="shared" si="23"/>
        <v>0</v>
      </c>
    </row>
    <row r="76" spans="1:35" x14ac:dyDescent="0.35">
      <c r="A76" s="1919" t="s">
        <v>287</v>
      </c>
      <c r="B76" s="1914">
        <f>TableA6!B76</f>
        <v>13.856227663292829</v>
      </c>
      <c r="C76" s="8">
        <f>TableA6!E76</f>
        <v>10.807557501271878</v>
      </c>
      <c r="D76" s="393">
        <v>0</v>
      </c>
      <c r="E76" s="8">
        <f>TableA6!K76</f>
        <v>3.0486701620209504</v>
      </c>
      <c r="F76" s="701">
        <f t="shared" si="21"/>
        <v>0.77997834359366636</v>
      </c>
      <c r="G76" s="680">
        <f>TableA2!L76</f>
        <v>1.2806878724255955</v>
      </c>
      <c r="H76" s="9">
        <f>D76/TableA2!C76</f>
        <v>0</v>
      </c>
      <c r="I76" s="9">
        <f>TableA6!D76/TableA2!C76</f>
        <v>9.0862784167046753E-2</v>
      </c>
      <c r="J76" s="9">
        <f>TableA6!I76/TableA2!$C76</f>
        <v>0</v>
      </c>
      <c r="K76" s="9">
        <f>TableA6!J76/TableA2!$C76</f>
        <v>0.40789704226304274</v>
      </c>
      <c r="L76" s="1934">
        <f>(C76+E76)/TableA2!C76</f>
        <v>1.3715506565926423</v>
      </c>
      <c r="M76" s="9">
        <f>C76/TableA4!D76</f>
        <v>2.8814656487379704</v>
      </c>
      <c r="N76" s="9">
        <f>TableA10!D$91/TableA10!C$91</f>
        <v>1.7827897293546149</v>
      </c>
      <c r="O76" s="1938">
        <f t="shared" si="20"/>
        <v>0.47996308817683037</v>
      </c>
      <c r="P76" s="589" t="str">
        <f>+'Table E1'!D76</f>
        <v/>
      </c>
      <c r="Q76" s="589" t="str">
        <f>+'Table E1'!I76</f>
        <v/>
      </c>
      <c r="R76" s="589" t="str">
        <f>+'Table E1'!N76</f>
        <v/>
      </c>
      <c r="S76" s="589" t="str">
        <f t="shared" si="24"/>
        <v/>
      </c>
      <c r="T76" s="589" t="str">
        <f t="shared" si="25"/>
        <v/>
      </c>
      <c r="U76" s="589" t="str">
        <f t="shared" si="26"/>
        <v/>
      </c>
      <c r="V76" s="1947">
        <f>C76-O76*TableA4!D76</f>
        <v>9.0073525686775824</v>
      </c>
      <c r="W76" s="120" t="str">
        <f>IFERROR($C76-S76*TableA4!$D76,"")</f>
        <v/>
      </c>
      <c r="X76" s="120" t="str">
        <f>IFERROR($C76-T76*TableA4!$D76,"")</f>
        <v/>
      </c>
      <c r="Y76" s="1945" t="str">
        <f>IFERROR($C76-U76*TableA4!$D76,"")</f>
        <v/>
      </c>
      <c r="Z76" s="120" t="str">
        <f t="shared" si="17"/>
        <v/>
      </c>
      <c r="AA76" s="120" t="str">
        <f t="shared" si="18"/>
        <v/>
      </c>
      <c r="AB76" s="1915" t="str">
        <f t="shared" si="19"/>
        <v/>
      </c>
      <c r="AC76" s="120"/>
      <c r="AD76" s="120"/>
      <c r="AE76" s="120"/>
      <c r="AH76" s="711">
        <f t="shared" si="22"/>
        <v>9.7144514654701197E-17</v>
      </c>
      <c r="AI76" s="711">
        <f t="shared" si="23"/>
        <v>0</v>
      </c>
    </row>
    <row r="77" spans="1:35" s="118" customFormat="1" x14ac:dyDescent="0.35">
      <c r="A77" s="1922" t="s">
        <v>301</v>
      </c>
      <c r="B77" s="1914">
        <f>TableA6!B77</f>
        <v>13.646495114506827</v>
      </c>
      <c r="C77" s="8">
        <f>TableA6!E77</f>
        <v>12.855054220700584</v>
      </c>
      <c r="D77" s="328">
        <v>0</v>
      </c>
      <c r="E77" s="8">
        <f>TableA6!K77</f>
        <v>0.79144089380624261</v>
      </c>
      <c r="F77" s="702">
        <f t="shared" si="21"/>
        <v>0.94200409063533785</v>
      </c>
      <c r="G77" s="680">
        <f>TableA2!L77</f>
        <v>0.84886667394397175</v>
      </c>
      <c r="H77" s="119">
        <f>D77/TableA2!C77</f>
        <v>0</v>
      </c>
      <c r="I77" s="9">
        <f>TableA6!D77/TableA2!C77</f>
        <v>4.1166189277279255</v>
      </c>
      <c r="J77" s="119">
        <f>TableA6!I77/TableA2!$C77</f>
        <v>0.10949868880580196</v>
      </c>
      <c r="K77" s="119">
        <f>TableA6!J77/TableA2!$C77</f>
        <v>4.568009059959997</v>
      </c>
      <c r="L77" s="1934">
        <f>(C77+E77)/TableA2!C77</f>
        <v>4.9654856016718973</v>
      </c>
      <c r="M77" s="9">
        <f>C77/TableA4!D77</f>
        <v>11.693769371914497</v>
      </c>
      <c r="N77" s="119">
        <f>TableA10!D$91/TableA10!C$91</f>
        <v>1.7827897293546149</v>
      </c>
      <c r="O77" s="1938">
        <f t="shared" si="20"/>
        <v>0.47996308817683037</v>
      </c>
      <c r="P77" s="589">
        <f>+'Table E1'!D77</f>
        <v>0.10988418309679379</v>
      </c>
      <c r="Q77" s="589">
        <f>+'Table E1'!I77</f>
        <v>0.22763157746295162</v>
      </c>
      <c r="R77" s="589">
        <f>+'Table E1'!N77</f>
        <v>8.853558235085375E-2</v>
      </c>
      <c r="S77" s="589">
        <f t="shared" si="24"/>
        <v>0.15679547452517456</v>
      </c>
      <c r="T77" s="589">
        <f t="shared" si="25"/>
        <v>0.47996308817683037</v>
      </c>
      <c r="U77" s="589">
        <f t="shared" si="26"/>
        <v>0.65397641860464506</v>
      </c>
      <c r="V77" s="1947">
        <f>C77-O77*TableA4!D77</f>
        <v>12.327426958163089</v>
      </c>
      <c r="W77" s="120">
        <f>IFERROR($C77-S77*TableA4!$D77,"")</f>
        <v>12.682687701191263</v>
      </c>
      <c r="X77" s="120">
        <f>IFERROR($C77-T77*TableA4!$D77,"")</f>
        <v>12.327426958163089</v>
      </c>
      <c r="Y77" s="1945">
        <f>IFERROR($C77-U77*TableA4!$D77,"")</f>
        <v>12.136132711917149</v>
      </c>
      <c r="Z77" s="120">
        <f t="shared" si="17"/>
        <v>0.35526074302817356</v>
      </c>
      <c r="AA77" s="120">
        <f t="shared" si="18"/>
        <v>0</v>
      </c>
      <c r="AB77" s="1915">
        <f t="shared" si="19"/>
        <v>-0.19129424624594016</v>
      </c>
      <c r="AC77" s="120"/>
      <c r="AD77" s="120"/>
      <c r="AE77" s="120"/>
      <c r="AH77" s="711">
        <f t="shared" si="22"/>
        <v>0</v>
      </c>
      <c r="AI77" s="711">
        <f t="shared" si="23"/>
        <v>0</v>
      </c>
    </row>
    <row r="78" spans="1:35" x14ac:dyDescent="0.35">
      <c r="A78" s="1920" t="s">
        <v>302</v>
      </c>
      <c r="B78" s="1914">
        <f>TableA6!B78</f>
        <v>3.4329997064598869E-2</v>
      </c>
      <c r="C78" s="8">
        <f>TableA6!E78</f>
        <v>1.0287836568069537E-2</v>
      </c>
      <c r="D78" s="393">
        <v>0</v>
      </c>
      <c r="E78" s="8">
        <f>TableA6!K78</f>
        <v>2.4042160496529331E-2</v>
      </c>
      <c r="F78" s="702">
        <f t="shared" si="21"/>
        <v>0.29967484555011414</v>
      </c>
      <c r="G78" s="680">
        <f>TableA2!L78</f>
        <v>0.41120592495682723</v>
      </c>
      <c r="H78" s="9">
        <f>D78/TableA2!C78</f>
        <v>0</v>
      </c>
      <c r="I78" s="9">
        <f>TableA6!D78/TableA2!C78</f>
        <v>0</v>
      </c>
      <c r="J78" s="9">
        <f>TableA6!I78/TableA2!$C78</f>
        <v>5.773884167235698</v>
      </c>
      <c r="K78" s="9">
        <f>TableA6!J78/TableA2!$C78</f>
        <v>-2.2838462712650887</v>
      </c>
      <c r="L78" s="1934">
        <f>(C78+E78)/TableA2!C78</f>
        <v>0.41120592495682723</v>
      </c>
      <c r="M78" s="9">
        <f>C78/TableA4!D78</f>
        <v>0.30807018012682247</v>
      </c>
      <c r="N78" s="9">
        <f>TableA10!D$91/TableA10!C$91</f>
        <v>1.7827897293546149</v>
      </c>
      <c r="O78" s="1938">
        <f t="shared" si="20"/>
        <v>0.47996308817683037</v>
      </c>
      <c r="P78" s="589" t="str">
        <f>+'Table E1'!D78</f>
        <v/>
      </c>
      <c r="Q78" s="589" t="str">
        <f>+'Table E1'!I78</f>
        <v/>
      </c>
      <c r="R78" s="589" t="str">
        <f>+'Table E1'!N78</f>
        <v/>
      </c>
      <c r="S78" s="589" t="str">
        <f t="shared" si="24"/>
        <v/>
      </c>
      <c r="T78" s="589" t="str">
        <f t="shared" si="25"/>
        <v/>
      </c>
      <c r="U78" s="589" t="str">
        <f t="shared" si="26"/>
        <v/>
      </c>
      <c r="V78" s="1947">
        <f>C78-O78*TableA4!D78</f>
        <v>-5.7402704296166882E-3</v>
      </c>
      <c r="W78" s="120" t="str">
        <f>IFERROR($C78-S78*TableA4!$D78,"")</f>
        <v/>
      </c>
      <c r="X78" s="120" t="str">
        <f>IFERROR($C78-T78*TableA4!$D78,"")</f>
        <v/>
      </c>
      <c r="Y78" s="1945" t="str">
        <f>IFERROR($C78-U78*TableA4!$D78,"")</f>
        <v/>
      </c>
      <c r="Z78" s="120" t="str">
        <f t="shared" si="17"/>
        <v/>
      </c>
      <c r="AA78" s="120" t="str">
        <f t="shared" si="18"/>
        <v/>
      </c>
      <c r="AB78" s="1915" t="str">
        <f t="shared" si="19"/>
        <v/>
      </c>
      <c r="AC78" s="120"/>
      <c r="AD78" s="120"/>
      <c r="AE78" s="120"/>
      <c r="AH78" s="711">
        <f t="shared" si="22"/>
        <v>0</v>
      </c>
      <c r="AI78" s="711">
        <f t="shared" si="23"/>
        <v>0</v>
      </c>
    </row>
    <row r="79" spans="1:35" x14ac:dyDescent="0.35">
      <c r="A79" s="1920" t="str">
        <f>+TableA1!A79</f>
        <v>Monaco</v>
      </c>
      <c r="B79" s="1914">
        <f>TableA6!B79</f>
        <v>2.4865786089930788</v>
      </c>
      <c r="C79" s="8">
        <f>TableA6!E79</f>
        <v>2.1872544286824804</v>
      </c>
      <c r="D79" s="393">
        <v>0</v>
      </c>
      <c r="E79" s="8">
        <f>TableA6!K79</f>
        <v>0.29932418031059849</v>
      </c>
      <c r="F79" s="701">
        <f t="shared" si="21"/>
        <v>0.87962408297568062</v>
      </c>
      <c r="G79" s="680">
        <f>TableA2!L79</f>
        <v>2.3923211554676529</v>
      </c>
      <c r="H79" s="9">
        <f>D79/TableA2!C79</f>
        <v>0</v>
      </c>
      <c r="I79" s="9">
        <f>TableA6!D79/TableA2!C79</f>
        <v>0</v>
      </c>
      <c r="J79" s="9">
        <f>TableA6!I79/TableA2!$C79</f>
        <v>0</v>
      </c>
      <c r="K79" s="9">
        <f>TableA6!J79/TableA2!$C79</f>
        <v>0</v>
      </c>
      <c r="L79" s="1934">
        <f>(C79+E79)/TableA2!C79</f>
        <v>2.3923211554676529</v>
      </c>
      <c r="M79" s="9">
        <f>C79/TableA4!D79</f>
        <v>5.2608582564038873</v>
      </c>
      <c r="N79" s="9">
        <f>TableA10!D$91/TableA10!C$91</f>
        <v>1.7827897293546149</v>
      </c>
      <c r="O79" s="1938">
        <f t="shared" si="20"/>
        <v>0.47996308817683037</v>
      </c>
      <c r="P79" s="589" t="str">
        <f>+'Table E1'!D79</f>
        <v/>
      </c>
      <c r="Q79" s="589" t="str">
        <f>+'Table E1'!I79</f>
        <v/>
      </c>
      <c r="R79" s="589" t="str">
        <f>+'Table E1'!N79</f>
        <v/>
      </c>
      <c r="S79" s="589" t="str">
        <f t="shared" si="24"/>
        <v/>
      </c>
      <c r="T79" s="589" t="str">
        <f t="shared" si="25"/>
        <v/>
      </c>
      <c r="U79" s="589" t="str">
        <f t="shared" si="26"/>
        <v/>
      </c>
      <c r="V79" s="1947">
        <f>C79-O79*TableA4!D79</f>
        <v>1.9877049751420814</v>
      </c>
      <c r="W79" s="120" t="str">
        <f>IFERROR($C79-S79*TableA4!$D79,"")</f>
        <v/>
      </c>
      <c r="X79" s="120" t="str">
        <f>IFERROR($C79-T79*TableA4!$D79,"")</f>
        <v/>
      </c>
      <c r="Y79" s="1945" t="str">
        <f>IFERROR($C79-U79*TableA4!$D79,"")</f>
        <v/>
      </c>
      <c r="Z79" s="120" t="str">
        <f t="shared" si="17"/>
        <v/>
      </c>
      <c r="AA79" s="120" t="str">
        <f t="shared" si="18"/>
        <v/>
      </c>
      <c r="AB79" s="1915" t="str">
        <f t="shared" si="19"/>
        <v/>
      </c>
      <c r="AC79" s="120"/>
      <c r="AD79" s="120"/>
      <c r="AE79" s="120"/>
      <c r="AH79" s="711">
        <f t="shared" si="22"/>
        <v>0</v>
      </c>
      <c r="AI79" s="711">
        <f t="shared" si="23"/>
        <v>0</v>
      </c>
    </row>
    <row r="80" spans="1:35" x14ac:dyDescent="0.35">
      <c r="A80" s="1919" t="s">
        <v>288</v>
      </c>
      <c r="B80" s="1914">
        <f>TableA6!B80</f>
        <v>0.34823567512391918</v>
      </c>
      <c r="C80" s="8">
        <f>TableA6!E80</f>
        <v>0.30679422220146713</v>
      </c>
      <c r="D80" s="393">
        <v>0</v>
      </c>
      <c r="E80" s="8">
        <f>TableA6!K80</f>
        <v>4.1441452922452063E-2</v>
      </c>
      <c r="F80" s="701">
        <f t="shared" si="21"/>
        <v>0.88099595795949059</v>
      </c>
      <c r="G80" s="680">
        <f>TableA2!L80</f>
        <v>2.3923120916012683</v>
      </c>
      <c r="H80" s="9">
        <f>D80/TableA2!C80</f>
        <v>0</v>
      </c>
      <c r="I80" s="9">
        <f>TableA6!D80/TableA2!C80</f>
        <v>2.7587669518353539E-2</v>
      </c>
      <c r="J80" s="9">
        <f>TableA6!I80/TableA2!$C80</f>
        <v>0</v>
      </c>
      <c r="K80" s="9">
        <f>TableA6!J80/TableA2!$C80</f>
        <v>2.1061608509370675</v>
      </c>
      <c r="L80" s="1934">
        <f>(C80+E80)/TableA2!C80</f>
        <v>2.4198997611196216</v>
      </c>
      <c r="M80" s="9">
        <f>C80/TableA4!D80</f>
        <v>5.3298047705338094</v>
      </c>
      <c r="N80" s="9">
        <f>TableA10!D$63/TableA10!C$63</f>
        <v>14.031458531935176</v>
      </c>
      <c r="O80" s="1938">
        <f t="shared" si="20"/>
        <v>0.47996308817683037</v>
      </c>
      <c r="P80" s="589" t="str">
        <f>+'Table E1'!D80</f>
        <v/>
      </c>
      <c r="Q80" s="589" t="str">
        <f>+'Table E1'!I80</f>
        <v/>
      </c>
      <c r="R80" s="589" t="str">
        <f>+'Table E1'!N80</f>
        <v/>
      </c>
      <c r="S80" s="589" t="str">
        <f t="shared" si="24"/>
        <v/>
      </c>
      <c r="T80" s="589" t="str">
        <f t="shared" si="25"/>
        <v/>
      </c>
      <c r="U80" s="589" t="str">
        <f t="shared" si="26"/>
        <v/>
      </c>
      <c r="V80" s="1947">
        <f>C80-O80*TableA4!D80</f>
        <v>0.27916658691983243</v>
      </c>
      <c r="W80" s="120" t="str">
        <f>IFERROR($C80-S80*TableA4!$D80,"")</f>
        <v/>
      </c>
      <c r="X80" s="120" t="str">
        <f>IFERROR($C80-T80*TableA4!$D80,"")</f>
        <v/>
      </c>
      <c r="Y80" s="1945" t="str">
        <f>IFERROR($C80-U80*TableA4!$D80,"")</f>
        <v/>
      </c>
      <c r="Z80" s="120" t="str">
        <f t="shared" si="17"/>
        <v/>
      </c>
      <c r="AA80" s="120" t="str">
        <f t="shared" si="18"/>
        <v/>
      </c>
      <c r="AB80" s="1915" t="str">
        <f t="shared" si="19"/>
        <v/>
      </c>
      <c r="AC80" s="120"/>
      <c r="AD80" s="120"/>
      <c r="AE80" s="120"/>
      <c r="AH80" s="711">
        <f t="shared" si="22"/>
        <v>-3.0878077872387166E-16</v>
      </c>
      <c r="AI80" s="711">
        <f t="shared" si="23"/>
        <v>0</v>
      </c>
    </row>
    <row r="81" spans="1:35" x14ac:dyDescent="0.35">
      <c r="A81" s="1919" t="s">
        <v>289</v>
      </c>
      <c r="B81" s="1914">
        <f>TableA6!B81</f>
        <v>7.4441225761320906</v>
      </c>
      <c r="C81" s="8">
        <f>TableA6!E81</f>
        <v>7.360135250471358</v>
      </c>
      <c r="D81" s="393">
        <v>0</v>
      </c>
      <c r="E81" s="8">
        <f>TableA6!K81</f>
        <v>8.3987325660732859E-2</v>
      </c>
      <c r="F81" s="701">
        <f t="shared" si="21"/>
        <v>0.98871763262872392</v>
      </c>
      <c r="G81" s="680">
        <f>TableA2!L81</f>
        <v>18.781767953473743</v>
      </c>
      <c r="H81" s="9">
        <f>D81/TableA2!C81</f>
        <v>0</v>
      </c>
      <c r="I81" s="9">
        <f>TableA6!D81/TableA2!C81</f>
        <v>1.7209382714135832</v>
      </c>
      <c r="J81" s="9">
        <f>TableA6!I81/TableA2!$C81</f>
        <v>0</v>
      </c>
      <c r="K81" s="9">
        <f>TableA6!J81/TableA2!$C81</f>
        <v>19.347816111710308</v>
      </c>
      <c r="L81" s="1934">
        <f>(C81+E81)/TableA2!C81</f>
        <v>20.502706224887326</v>
      </c>
      <c r="M81" s="9">
        <f>C81/TableA4!D81</f>
        <v>39.130309305916256</v>
      </c>
      <c r="N81" s="9">
        <f>TableA10!D$91/TableA10!C$91</f>
        <v>1.7827897293546149</v>
      </c>
      <c r="O81" s="1938">
        <f t="shared" si="20"/>
        <v>0.47996308817683037</v>
      </c>
      <c r="P81" s="589"/>
      <c r="Q81" s="589" t="str">
        <f>+'Table E1'!I81</f>
        <v/>
      </c>
      <c r="R81" s="589" t="str">
        <f>+'Table E1'!N81</f>
        <v/>
      </c>
      <c r="S81" s="589" t="str">
        <f t="shared" si="24"/>
        <v/>
      </c>
      <c r="T81" s="589" t="str">
        <f t="shared" si="25"/>
        <v/>
      </c>
      <c r="U81" s="589" t="str">
        <f t="shared" si="26"/>
        <v/>
      </c>
      <c r="V81" s="1947">
        <f>C81-O81*TableA4!D81</f>
        <v>7.2698575780768468</v>
      </c>
      <c r="W81" s="120" t="str">
        <f>IFERROR($C81-S81*TableA4!$D81,"")</f>
        <v/>
      </c>
      <c r="X81" s="120" t="str">
        <f>IFERROR($C81-T81*TableA4!$D81,"")</f>
        <v/>
      </c>
      <c r="Y81" s="1945" t="str">
        <f>IFERROR($C81-U81*TableA4!$D81,"")</f>
        <v/>
      </c>
      <c r="Z81" s="120" t="str">
        <f t="shared" si="17"/>
        <v/>
      </c>
      <c r="AA81" s="120" t="str">
        <f t="shared" si="18"/>
        <v/>
      </c>
      <c r="AB81" s="1915" t="str">
        <f t="shared" si="19"/>
        <v/>
      </c>
      <c r="AC81" s="120"/>
      <c r="AD81" s="120"/>
      <c r="AE81" s="120"/>
      <c r="AH81" s="711">
        <f t="shared" si="22"/>
        <v>2.2204460492503131E-16</v>
      </c>
      <c r="AI81" s="711">
        <f t="shared" si="23"/>
        <v>-2.2204460492503131E-16</v>
      </c>
    </row>
    <row r="82" spans="1:35" x14ac:dyDescent="0.35">
      <c r="A82" s="1920" t="str">
        <f>+TableA1!A82</f>
        <v>Seychelles</v>
      </c>
      <c r="B82" s="1914">
        <f>TableA6!B82</f>
        <v>0.82419693736547761</v>
      </c>
      <c r="C82" s="8">
        <f>TableA6!E82</f>
        <v>0.80997916157337257</v>
      </c>
      <c r="D82" s="393">
        <v>0</v>
      </c>
      <c r="E82" s="8">
        <f>TableA6!K82</f>
        <v>1.4217775792105054E-2</v>
      </c>
      <c r="F82" s="701">
        <f t="shared" si="21"/>
        <v>0.98274954061640685</v>
      </c>
      <c r="G82" s="680">
        <f>TableA2!L82</f>
        <v>11.645447640290138</v>
      </c>
      <c r="H82" s="9">
        <f>D82/TableA2!C82</f>
        <v>0</v>
      </c>
      <c r="I82" s="9">
        <f>TableA6!D82/TableA2!C82</f>
        <v>0.1556292966812485</v>
      </c>
      <c r="J82" s="9">
        <f>TableA6!I82/TableA2!$C82</f>
        <v>0</v>
      </c>
      <c r="K82" s="9">
        <f>TableA6!J82/TableA2!$C82</f>
        <v>10.570874760866056</v>
      </c>
      <c r="L82" s="1934">
        <f>(C82+E82)/TableA2!C82</f>
        <v>11.801076936971386</v>
      </c>
      <c r="M82" s="9">
        <f>C82/TableA4!D82</f>
        <v>20.139627543599083</v>
      </c>
      <c r="N82" s="9">
        <f>TableA10!D$91/TableA10!C$91</f>
        <v>1.7827897293546149</v>
      </c>
      <c r="O82" s="1938">
        <f t="shared" si="20"/>
        <v>0.47996308817683037</v>
      </c>
      <c r="P82" s="589" t="str">
        <f>+'Table E1'!D82</f>
        <v/>
      </c>
      <c r="Q82" s="589" t="str">
        <f>+'Table E1'!I82</f>
        <v/>
      </c>
      <c r="R82" s="589" t="str">
        <f>+'Table E1'!N82</f>
        <v/>
      </c>
      <c r="S82" s="589" t="str">
        <f t="shared" si="24"/>
        <v/>
      </c>
      <c r="T82" s="589" t="str">
        <f t="shared" si="25"/>
        <v/>
      </c>
      <c r="U82" s="589" t="str">
        <f t="shared" si="26"/>
        <v/>
      </c>
      <c r="V82" s="1947">
        <f>C82-O82*TableA4!D82</f>
        <v>0.79067591979762319</v>
      </c>
      <c r="W82" s="120" t="str">
        <f>IFERROR($C82-S82*TableA4!$D82,"")</f>
        <v/>
      </c>
      <c r="X82" s="120" t="str">
        <f>IFERROR($C82-T82*TableA4!$D82,"")</f>
        <v/>
      </c>
      <c r="Y82" s="1945" t="str">
        <f>IFERROR($C82-U82*TableA4!$D82,"")</f>
        <v/>
      </c>
      <c r="Z82" s="120" t="str">
        <f t="shared" si="17"/>
        <v/>
      </c>
      <c r="AA82" s="120" t="str">
        <f t="shared" si="18"/>
        <v/>
      </c>
      <c r="AB82" s="1915" t="str">
        <f t="shared" si="19"/>
        <v/>
      </c>
      <c r="AC82" s="120"/>
      <c r="AD82" s="120"/>
      <c r="AE82" s="120"/>
      <c r="AH82" s="711">
        <f t="shared" si="22"/>
        <v>-6.9388939039072284E-16</v>
      </c>
      <c r="AI82" s="711">
        <f t="shared" si="23"/>
        <v>-1.7347234759768071E-17</v>
      </c>
    </row>
    <row r="83" spans="1:35" x14ac:dyDescent="0.35">
      <c r="A83" s="1919" t="s">
        <v>225</v>
      </c>
      <c r="B83" s="1914">
        <f>TableA6!B83</f>
        <v>120.07387384516201</v>
      </c>
      <c r="C83" s="8">
        <f>TableA6!E83</f>
        <v>90.279312540155431</v>
      </c>
      <c r="D83" s="690">
        <f>D72</f>
        <v>0</v>
      </c>
      <c r="E83" s="8">
        <f>TableA6!K83</f>
        <v>29.794561305006578</v>
      </c>
      <c r="F83" s="702">
        <f t="shared" si="21"/>
        <v>0.75186474500333567</v>
      </c>
      <c r="G83" s="680">
        <f>TableA2!L83</f>
        <v>0.62387923338851881</v>
      </c>
      <c r="H83" s="9">
        <f>D83/TableA2!C83</f>
        <v>0</v>
      </c>
      <c r="I83" s="9">
        <f>TableA6!D83/TableA2!C83</f>
        <v>0.5366888322415323</v>
      </c>
      <c r="J83" s="9">
        <f>TableA6!I83/TableA2!$C83</f>
        <v>0.15643459965113188</v>
      </c>
      <c r="K83" s="9">
        <f>TableA6!J83/TableA2!$C83</f>
        <v>0.1945074374074523</v>
      </c>
      <c r="L83" s="1934">
        <f>(C83+E83)/TableA2!C83</f>
        <v>1.1605680656300512</v>
      </c>
      <c r="M83" s="9">
        <f>C83/TableA4!D83</f>
        <v>2.1814755318098822</v>
      </c>
      <c r="N83" s="9">
        <f>TableA10!D$91/TableA10!C$91</f>
        <v>1.7827897293546149</v>
      </c>
      <c r="O83" s="1938">
        <f t="shared" si="20"/>
        <v>0.47996308817683037</v>
      </c>
      <c r="P83" s="589">
        <f>+'Table E1'!D83</f>
        <v>0.13975175828398759</v>
      </c>
      <c r="Q83" s="589">
        <f>+'Table E1'!I83</f>
        <v>0.33081796705761152</v>
      </c>
      <c r="R83" s="589">
        <f>+'Table E1'!N83</f>
        <v>0.10689536438994977</v>
      </c>
      <c r="S83" s="589">
        <f t="shared" si="24"/>
        <v>4.9069417386894298E-2</v>
      </c>
      <c r="T83" s="589">
        <f t="shared" si="25"/>
        <v>0.47996308817683037</v>
      </c>
      <c r="U83" s="589">
        <f t="shared" si="26"/>
        <v>0.71198275706371905</v>
      </c>
      <c r="V83" s="1947">
        <f>C83-O83*TableA4!D83</f>
        <v>70.416271670151048</v>
      </c>
      <c r="W83" s="120">
        <f>IFERROR($C83-S83*TableA4!$D83,"")</f>
        <v>88.248598372685763</v>
      </c>
      <c r="X83" s="120">
        <f>IFERROR($C83-T83*TableA4!$D83,"")</f>
        <v>70.416271670151048</v>
      </c>
      <c r="Y83" s="1945">
        <f>IFERROR($C83-U83*TableA4!$D83,"")</f>
        <v>60.814249599555424</v>
      </c>
      <c r="Z83" s="120">
        <f t="shared" si="17"/>
        <v>17.832326702534715</v>
      </c>
      <c r="AA83" s="120">
        <f t="shared" si="18"/>
        <v>0</v>
      </c>
      <c r="AB83" s="1915">
        <f t="shared" si="19"/>
        <v>-9.6020220705956234</v>
      </c>
      <c r="AC83" s="120"/>
      <c r="AD83" s="120"/>
      <c r="AE83" s="120"/>
      <c r="AG83" s="675"/>
      <c r="AH83" s="711">
        <f t="shared" si="22"/>
        <v>1.1102230246251565E-16</v>
      </c>
      <c r="AI83" s="711">
        <f t="shared" si="23"/>
        <v>0</v>
      </c>
    </row>
    <row r="84" spans="1:35" x14ac:dyDescent="0.35">
      <c r="A84" s="1920" t="str">
        <f>+TableA1!A84</f>
        <v>St. Kitts and Nevis</v>
      </c>
      <c r="B84" s="1914">
        <f>TableA6!B84</f>
        <v>0.47270768679271868</v>
      </c>
      <c r="C84" s="8">
        <f>TableA6!E84</f>
        <v>0.45147281043247117</v>
      </c>
      <c r="D84" s="393">
        <v>0</v>
      </c>
      <c r="E84" s="8">
        <f>TableA6!K84</f>
        <v>2.1234876360247523E-2</v>
      </c>
      <c r="F84" s="701">
        <f t="shared" si="21"/>
        <v>0.95507820804792842</v>
      </c>
      <c r="G84" s="680">
        <f>TableA2!L84</f>
        <v>6.3166391090861724</v>
      </c>
      <c r="H84" s="9">
        <f>D84/TableA2!C84</f>
        <v>0</v>
      </c>
      <c r="I84" s="9">
        <f>TableA6!D84/TableA2!C84</f>
        <v>9.4010163617608E-2</v>
      </c>
      <c r="J84" s="119">
        <f>TableA6!I84/TableA2!$C84</f>
        <v>3.059194412415891</v>
      </c>
      <c r="K84" s="9">
        <f>TableA6!J84/TableA2!$C84</f>
        <v>3.059194412415891</v>
      </c>
      <c r="L84" s="1934">
        <f>(C84+E84)/TableA2!C84</f>
        <v>6.4106492727037807</v>
      </c>
      <c r="M84" s="9">
        <f>C84/TableA4!D84</f>
        <v>15.306678549494206</v>
      </c>
      <c r="N84" s="9">
        <f>TableA10!D$91/TableA10!C$91</f>
        <v>1.7827897293546149</v>
      </c>
      <c r="O84" s="1938">
        <f t="shared" si="20"/>
        <v>0.47996308817683037</v>
      </c>
      <c r="P84" s="589" t="str">
        <f>+'Table E1'!D84</f>
        <v/>
      </c>
      <c r="Q84" s="589" t="str">
        <f>+'Table E1'!I84</f>
        <v/>
      </c>
      <c r="R84" s="589" t="str">
        <f>+'Table E1'!N84</f>
        <v/>
      </c>
      <c r="S84" s="589" t="str">
        <f t="shared" si="24"/>
        <v/>
      </c>
      <c r="T84" s="589" t="str">
        <f t="shared" si="25"/>
        <v/>
      </c>
      <c r="U84" s="589" t="str">
        <f t="shared" si="26"/>
        <v/>
      </c>
      <c r="V84" s="1947">
        <f>C84-O84*TableA4!D84</f>
        <v>0.43731622619230615</v>
      </c>
      <c r="W84" s="120" t="str">
        <f>IFERROR($C84-S84*TableA4!$D84,"")</f>
        <v/>
      </c>
      <c r="X84" s="120" t="str">
        <f>IFERROR($C84-T84*TableA4!$D84,"")</f>
        <v/>
      </c>
      <c r="Y84" s="1945" t="str">
        <f>IFERROR($C84-U84*TableA4!$D84,"")</f>
        <v/>
      </c>
      <c r="Z84" s="120" t="str">
        <f t="shared" si="17"/>
        <v/>
      </c>
      <c r="AA84" s="120" t="str">
        <f t="shared" si="18"/>
        <v/>
      </c>
      <c r="AB84" s="1915" t="str">
        <f t="shared" si="19"/>
        <v/>
      </c>
      <c r="AC84" s="120"/>
      <c r="AD84" s="120"/>
      <c r="AE84" s="120"/>
      <c r="AG84" s="7"/>
      <c r="AH84" s="711">
        <f t="shared" si="22"/>
        <v>2.7755575615628914E-16</v>
      </c>
      <c r="AI84" s="711">
        <f t="shared" si="23"/>
        <v>0</v>
      </c>
    </row>
    <row r="85" spans="1:35" x14ac:dyDescent="0.35">
      <c r="A85" s="1920" t="str">
        <f>+TableA1!A85</f>
        <v>St. Lucia</v>
      </c>
      <c r="B85" s="1914">
        <f>TableA6!B85</f>
        <v>0.98185335484198899</v>
      </c>
      <c r="C85" s="8">
        <f>TableA6!E85</f>
        <v>0.94866880291806055</v>
      </c>
      <c r="D85" s="393">
        <v>0</v>
      </c>
      <c r="E85" s="8">
        <f>TableA6!K85</f>
        <v>3.318455192392842E-2</v>
      </c>
      <c r="F85" s="701">
        <f t="shared" si="21"/>
        <v>0.96620213012434131</v>
      </c>
      <c r="G85" s="680">
        <f>TableA2!L85</f>
        <v>7.7912383165560453</v>
      </c>
      <c r="H85" s="9">
        <f>D85/TableA2!C85</f>
        <v>0</v>
      </c>
      <c r="I85" s="9">
        <f>TableA6!D85/TableA2!C85</f>
        <v>0.72935348303251801</v>
      </c>
      <c r="J85" s="9">
        <f>TableA6!I85/TableA2!$C85</f>
        <v>0</v>
      </c>
      <c r="K85" s="9">
        <f>TableA6!J85/TableA2!$C85</f>
        <v>7.5986581217109093</v>
      </c>
      <c r="L85" s="1934">
        <f>(C85+E85)/TableA2!C85</f>
        <v>8.5205917995885638</v>
      </c>
      <c r="M85" s="9">
        <f>C85/TableA4!D85</f>
        <v>20.581534866706164</v>
      </c>
      <c r="N85" s="9">
        <f>TableA10!D$91/TableA10!C$91</f>
        <v>1.7827897293546149</v>
      </c>
      <c r="O85" s="1938">
        <f t="shared" si="20"/>
        <v>0.47996308817683037</v>
      </c>
      <c r="P85" s="589" t="str">
        <f>+'Table E1'!D85</f>
        <v/>
      </c>
      <c r="Q85" s="589" t="str">
        <f>+'Table E1'!I85</f>
        <v/>
      </c>
      <c r="R85" s="589" t="str">
        <f>+'Table E1'!N85</f>
        <v/>
      </c>
      <c r="S85" s="589" t="str">
        <f t="shared" si="24"/>
        <v/>
      </c>
      <c r="T85" s="589" t="str">
        <f t="shared" si="25"/>
        <v/>
      </c>
      <c r="U85" s="589" t="str">
        <f t="shared" si="26"/>
        <v/>
      </c>
      <c r="V85" s="1947">
        <f>C85-O85*TableA4!D85</f>
        <v>0.92654576830210822</v>
      </c>
      <c r="W85" s="120" t="str">
        <f>IFERROR($C85-S85*TableA4!$D85,"")</f>
        <v/>
      </c>
      <c r="X85" s="120" t="str">
        <f>IFERROR($C85-T85*TableA4!$D85,"")</f>
        <v/>
      </c>
      <c r="Y85" s="1945" t="str">
        <f>IFERROR($C85-U85*TableA4!$D85,"")</f>
        <v/>
      </c>
      <c r="Z85" s="120" t="str">
        <f t="shared" si="17"/>
        <v/>
      </c>
      <c r="AA85" s="120" t="str">
        <f t="shared" si="18"/>
        <v/>
      </c>
      <c r="AB85" s="1915" t="str">
        <f t="shared" si="19"/>
        <v/>
      </c>
      <c r="AC85" s="120"/>
      <c r="AD85" s="120"/>
      <c r="AE85" s="120"/>
      <c r="AG85" s="7"/>
      <c r="AH85" s="711">
        <f t="shared" si="22"/>
        <v>5.5511151231257827E-16</v>
      </c>
      <c r="AI85" s="711">
        <f t="shared" si="23"/>
        <v>0</v>
      </c>
    </row>
    <row r="86" spans="1:35" x14ac:dyDescent="0.35">
      <c r="A86" s="1920" t="str">
        <f>+TableA1!A86</f>
        <v>St. Vincent and the Grenadines</v>
      </c>
      <c r="B86" s="1914">
        <f>TableA6!B86</f>
        <v>0.4096430975806486</v>
      </c>
      <c r="C86" s="8">
        <f>TableA6!E86</f>
        <v>0.38835723070985412</v>
      </c>
      <c r="D86" s="393">
        <v>0</v>
      </c>
      <c r="E86" s="8">
        <f>TableA6!K86</f>
        <v>2.1285866870794486E-2</v>
      </c>
      <c r="F86" s="701">
        <f t="shared" si="21"/>
        <v>0.94803801895721229</v>
      </c>
      <c r="G86" s="680">
        <f>TableA2!L86</f>
        <v>5.2762611763764227</v>
      </c>
      <c r="H86" s="9">
        <f>D86/TableA2!C86</f>
        <v>0</v>
      </c>
      <c r="I86" s="9">
        <f>TableA6!D86/TableA2!C86</f>
        <v>0.26582646398827259</v>
      </c>
      <c r="J86" s="9">
        <f>TableA6!I86/TableA2!$C86</f>
        <v>0</v>
      </c>
      <c r="K86" s="9">
        <f>TableA6!J86/TableA2!$C86</f>
        <v>5.0219795332999517</v>
      </c>
      <c r="L86" s="1934">
        <f>(C86+E86)/TableA2!C86</f>
        <v>5.5420876403646959</v>
      </c>
      <c r="M86" s="9">
        <f>C86/TableA4!D86</f>
        <v>13.135274468646493</v>
      </c>
      <c r="N86" s="9">
        <f>TableA10!D$91/TableA10!C$91</f>
        <v>1.7827897293546149</v>
      </c>
      <c r="O86" s="1938">
        <f t="shared" si="20"/>
        <v>0.47996308817683037</v>
      </c>
      <c r="P86" s="589" t="str">
        <f>+'Table E1'!D86</f>
        <v/>
      </c>
      <c r="Q86" s="589" t="str">
        <f>+'Table E1'!I86</f>
        <v/>
      </c>
      <c r="R86" s="589" t="str">
        <f>+'Table E1'!N86</f>
        <v/>
      </c>
      <c r="S86" s="589" t="str">
        <f t="shared" si="24"/>
        <v/>
      </c>
      <c r="T86" s="589" t="str">
        <f t="shared" si="25"/>
        <v/>
      </c>
      <c r="U86" s="589" t="str">
        <f t="shared" si="26"/>
        <v/>
      </c>
      <c r="V86" s="1947">
        <f>C86-O86*TableA4!D86</f>
        <v>0.37416665279599115</v>
      </c>
      <c r="W86" s="120" t="str">
        <f>IFERROR($C86-S86*TableA4!$D86,"")</f>
        <v/>
      </c>
      <c r="X86" s="120" t="str">
        <f>IFERROR($C86-T86*TableA4!$D86,"")</f>
        <v/>
      </c>
      <c r="Y86" s="1945" t="str">
        <f>IFERROR($C86-U86*TableA4!$D86,"")</f>
        <v/>
      </c>
      <c r="Z86" s="120" t="str">
        <f t="shared" si="17"/>
        <v/>
      </c>
      <c r="AA86" s="120" t="str">
        <f t="shared" si="18"/>
        <v/>
      </c>
      <c r="AB86" s="1915" t="str">
        <f t="shared" si="19"/>
        <v/>
      </c>
      <c r="AC86" s="120"/>
      <c r="AD86" s="120"/>
      <c r="AE86" s="120"/>
      <c r="AG86" s="7"/>
      <c r="AH86" s="711">
        <f t="shared" si="22"/>
        <v>6.6613381477509392E-16</v>
      </c>
      <c r="AI86" s="711">
        <f t="shared" si="23"/>
        <v>0</v>
      </c>
    </row>
    <row r="87" spans="1:35" x14ac:dyDescent="0.35">
      <c r="A87" s="1920" t="str">
        <f>+TableA1!A87</f>
        <v>Turks and Caicos</v>
      </c>
      <c r="B87" s="1914">
        <f>TableA6!B87</f>
        <v>0.29994738122448317</v>
      </c>
      <c r="C87" s="8">
        <f>TableA6!E87</f>
        <v>0.26699033180435056</v>
      </c>
      <c r="D87" s="393">
        <v>0</v>
      </c>
      <c r="E87" s="8">
        <f>TableA6!K87</f>
        <v>3.2957049420132598E-2</v>
      </c>
      <c r="F87" s="701">
        <f t="shared" si="21"/>
        <v>0.89012389677952453</v>
      </c>
      <c r="G87" s="680">
        <f>TableA2!L87</f>
        <v>2.3923188641786157</v>
      </c>
      <c r="H87" s="9">
        <f>D87/TableA2!C87</f>
        <v>0</v>
      </c>
      <c r="I87" s="9">
        <f>TableA6!D87/TableA2!C87</f>
        <v>0.22861366314488285</v>
      </c>
      <c r="J87" s="9">
        <f>TableA6!I87/TableA2!$C87</f>
        <v>0</v>
      </c>
      <c r="K87" s="9">
        <f>TableA6!J87/TableA2!$C87</f>
        <v>0</v>
      </c>
      <c r="L87" s="1934">
        <f>(C87+E87)/TableA2!C87</f>
        <v>2.6209325273234985</v>
      </c>
      <c r="M87" s="9">
        <f>C87/TableA4!D87</f>
        <v>5.8323866860435007</v>
      </c>
      <c r="N87" s="9">
        <f>TableA10!D$91/TableA10!C$91</f>
        <v>1.7827897293546149</v>
      </c>
      <c r="O87" s="1938">
        <f t="shared" si="20"/>
        <v>0.47996308817683037</v>
      </c>
      <c r="P87" s="589" t="str">
        <f>+'Table E1'!D87</f>
        <v/>
      </c>
      <c r="Q87" s="589" t="str">
        <f>+'Table E1'!I87</f>
        <v/>
      </c>
      <c r="R87" s="589" t="str">
        <f>+'Table E1'!N87</f>
        <v/>
      </c>
      <c r="S87" s="589" t="str">
        <f t="shared" si="24"/>
        <v/>
      </c>
      <c r="T87" s="589" t="str">
        <f t="shared" si="25"/>
        <v/>
      </c>
      <c r="U87" s="589" t="str">
        <f t="shared" si="26"/>
        <v/>
      </c>
      <c r="V87" s="1947">
        <f>C87-O87*TableA4!D87</f>
        <v>0.24501896552426217</v>
      </c>
      <c r="W87" s="120" t="str">
        <f>IFERROR($C87-S87*TableA4!$D87,"")</f>
        <v/>
      </c>
      <c r="X87" s="120" t="str">
        <f>IFERROR($C87-T87*TableA4!$D87,"")</f>
        <v/>
      </c>
      <c r="Y87" s="1945" t="str">
        <f>IFERROR($C87-U87*TableA4!$D87,"")</f>
        <v/>
      </c>
      <c r="Z87" s="120" t="str">
        <f t="shared" si="17"/>
        <v/>
      </c>
      <c r="AA87" s="120" t="str">
        <f t="shared" si="18"/>
        <v/>
      </c>
      <c r="AB87" s="1915" t="str">
        <f t="shared" si="19"/>
        <v/>
      </c>
      <c r="AC87" s="120"/>
      <c r="AD87" s="120"/>
      <c r="AE87" s="120"/>
      <c r="AG87" s="7"/>
      <c r="AH87" s="711">
        <f t="shared" si="22"/>
        <v>-1.1102230246251565E-16</v>
      </c>
      <c r="AI87" s="711">
        <f t="shared" si="23"/>
        <v>0</v>
      </c>
    </row>
    <row r="88" spans="1:35" x14ac:dyDescent="0.35">
      <c r="A88" s="1920" t="str">
        <f>+TableA1!A88</f>
        <v>Panama</v>
      </c>
      <c r="B88" s="1914">
        <f>TableA6!B88</f>
        <v>21.839627936803055</v>
      </c>
      <c r="C88" s="8">
        <f>TableA6!E88</f>
        <v>17.861321218110369</v>
      </c>
      <c r="D88" s="393">
        <v>0</v>
      </c>
      <c r="E88" s="8">
        <f>TableA6!K88</f>
        <v>3.9783067186926862</v>
      </c>
      <c r="F88" s="701">
        <f t="shared" si="21"/>
        <v>0.81783999570850563</v>
      </c>
      <c r="G88" s="680">
        <f>TableA2!L88</f>
        <v>2.1187821699792249</v>
      </c>
      <c r="H88" s="9">
        <f>D88/TableA2!C88</f>
        <v>0</v>
      </c>
      <c r="I88" s="9">
        <f>TableA6!D88/TableA2!C88</f>
        <v>8.1573745132373331E-3</v>
      </c>
      <c r="J88" s="9">
        <f>TableA6!I88/TableA2!$C88</f>
        <v>0</v>
      </c>
      <c r="K88" s="9">
        <f>TableA6!J88/TableA2!$C88</f>
        <v>1.3958379286306488</v>
      </c>
      <c r="L88" s="1934">
        <f>(C88+E88)/TableA2!C88</f>
        <v>2.1269395444924624</v>
      </c>
      <c r="M88" s="9">
        <f>C88/TableA4!D88</f>
        <v>9.0239520350742346</v>
      </c>
      <c r="N88" s="9">
        <f>TableA10!D$91/TableA10!C$91</f>
        <v>1.7827897293546149</v>
      </c>
      <c r="O88" s="1938">
        <f t="shared" si="20"/>
        <v>0.47996308817683037</v>
      </c>
      <c r="P88" s="589">
        <f>+'Table E1'!D88</f>
        <v>4.6619983642402885E-2</v>
      </c>
      <c r="Q88" s="589">
        <f>+'Table E1'!I88</f>
        <v>0.29853202215285468</v>
      </c>
      <c r="R88" s="589">
        <f>+'Table E1'!N88</f>
        <v>3.9307972777586277E-2</v>
      </c>
      <c r="S88" s="589">
        <f t="shared" si="24"/>
        <v>-0.87655533881553716</v>
      </c>
      <c r="T88" s="589">
        <f t="shared" si="25"/>
        <v>0.47996308817683037</v>
      </c>
      <c r="U88" s="589">
        <f t="shared" si="26"/>
        <v>1.2103960873265669</v>
      </c>
      <c r="V88" s="1947">
        <f>C88-O88*TableA4!D88</f>
        <v>16.911318951094543</v>
      </c>
      <c r="W88" s="120">
        <f>IFERROR($C88-S88*TableA4!$D88,"")</f>
        <v>19.596307885945098</v>
      </c>
      <c r="X88" s="120">
        <f>IFERROR($C88-T88*TableA4!$D88,"")</f>
        <v>16.911318951094543</v>
      </c>
      <c r="Y88" s="1945">
        <f>IFERROR($C88-U88*TableA4!$D88,"")</f>
        <v>15.465555678482705</v>
      </c>
      <c r="Z88" s="120">
        <f t="shared" si="17"/>
        <v>2.6849889348505549</v>
      </c>
      <c r="AA88" s="120">
        <f t="shared" si="18"/>
        <v>0</v>
      </c>
      <c r="AB88" s="1915">
        <f t="shared" si="19"/>
        <v>-1.4457632726118383</v>
      </c>
      <c r="AC88" s="120"/>
      <c r="AD88" s="120"/>
      <c r="AE88" s="120"/>
      <c r="AG88" s="7"/>
      <c r="AH88" s="711">
        <f t="shared" si="22"/>
        <v>1.700029006457271E-16</v>
      </c>
      <c r="AI88" s="711">
        <f t="shared" si="23"/>
        <v>0</v>
      </c>
    </row>
    <row r="89" spans="1:35" x14ac:dyDescent="0.35">
      <c r="A89" s="1919" t="s">
        <v>290</v>
      </c>
      <c r="B89" s="1914">
        <f>TableA6!B89</f>
        <v>52.764834331533464</v>
      </c>
      <c r="C89" s="8">
        <f>TableA6!E89</f>
        <v>42.913042812221541</v>
      </c>
      <c r="D89" s="393">
        <v>0</v>
      </c>
      <c r="E89" s="8">
        <f>TableA6!K89</f>
        <v>9.8517915193119219</v>
      </c>
      <c r="F89" s="701">
        <f t="shared" si="21"/>
        <v>0.81328868660117692</v>
      </c>
      <c r="G89" s="680">
        <f>TableA2!L89</f>
        <v>2.2852999866399926</v>
      </c>
      <c r="H89" s="9">
        <f>D89/TableA2!C89</f>
        <v>0</v>
      </c>
      <c r="I89" s="9">
        <f>TableA6!D89/TableA2!C89</f>
        <v>0</v>
      </c>
      <c r="J89" s="9">
        <f>TableA6!I89/TableA2!$C89</f>
        <v>0</v>
      </c>
      <c r="K89" s="9">
        <f>TableA6!J89/TableA2!$C89</f>
        <v>0</v>
      </c>
      <c r="L89" s="1934">
        <f>(C89+E89)/TableA2!C89</f>
        <v>2.2852999866399926</v>
      </c>
      <c r="M89" s="9">
        <f>C89/TableA4!D89</f>
        <v>16.745534629218685</v>
      </c>
      <c r="N89" s="9">
        <f>TableA10!D$63/TableA10!C$63</f>
        <v>14.031458531935176</v>
      </c>
      <c r="O89" s="1938">
        <f t="shared" si="20"/>
        <v>0.47996308817683037</v>
      </c>
      <c r="P89" s="589">
        <f>+'Table E1'!D89</f>
        <v>0.14792782283040815</v>
      </c>
      <c r="Q89" s="589">
        <f>+'Table E1'!I89</f>
        <v>0.24695258440129056</v>
      </c>
      <c r="R89" s="589">
        <f>+'Table E1'!N89</f>
        <v>0.13758983851288142</v>
      </c>
      <c r="S89" s="589">
        <f t="shared" si="24"/>
        <v>0.31646446538993056</v>
      </c>
      <c r="T89" s="589">
        <f t="shared" si="25"/>
        <v>0.47996308817683037</v>
      </c>
      <c r="U89" s="589">
        <f t="shared" si="26"/>
        <v>0.56800080813900722</v>
      </c>
      <c r="V89" s="1947">
        <f>C89-O89*TableA4!D89</f>
        <v>41.683062581236264</v>
      </c>
      <c r="W89" s="120">
        <f>IFERROR($C89-S89*TableA4!$D89,"")</f>
        <v>42.102053288594817</v>
      </c>
      <c r="X89" s="120">
        <f>IFERROR($C89-T89*TableA4!$D89,"")</f>
        <v>41.683062581236264</v>
      </c>
      <c r="Y89" s="1945">
        <f>IFERROR($C89-U89*TableA4!$D89,"")</f>
        <v>41.457452200350886</v>
      </c>
      <c r="Z89" s="120">
        <f t="shared" si="17"/>
        <v>0.41899070735855304</v>
      </c>
      <c r="AA89" s="120">
        <f t="shared" si="18"/>
        <v>0</v>
      </c>
      <c r="AB89" s="1915">
        <f t="shared" si="19"/>
        <v>-0.22561038088537799</v>
      </c>
      <c r="AC89" s="120"/>
      <c r="AD89" s="120"/>
      <c r="AE89" s="120"/>
      <c r="AG89" s="7"/>
      <c r="AH89" s="711">
        <f t="shared" si="22"/>
        <v>0</v>
      </c>
      <c r="AI89" s="711">
        <f t="shared" si="23"/>
        <v>0</v>
      </c>
    </row>
    <row r="90" spans="1:35" ht="40" customHeight="1" x14ac:dyDescent="0.35">
      <c r="A90" s="1812" t="s">
        <v>498</v>
      </c>
      <c r="B90" s="1923">
        <f>TableA6!B90</f>
        <v>1423.1461018568671</v>
      </c>
      <c r="C90" s="1924">
        <f>TableA6!E90</f>
        <v>114.1831702680436</v>
      </c>
      <c r="D90" s="1924">
        <v>0</v>
      </c>
      <c r="E90" s="1924">
        <f>TableA3!B90+TableA6!H90-C90-D90</f>
        <v>1308.9629315888235</v>
      </c>
      <c r="F90" s="706">
        <f>C90/(B90-D90)</f>
        <v>8.0232922058432174E-2</v>
      </c>
      <c r="G90" s="1903">
        <f>TableA2!L90</f>
        <v>0.68108145790914665</v>
      </c>
      <c r="H90" s="1903">
        <f>D90/TableA2!C90</f>
        <v>0</v>
      </c>
      <c r="I90" s="1903">
        <f>TableA6!D90/TableA2!C90</f>
        <v>0</v>
      </c>
      <c r="J90" s="1903">
        <f>TableA6!I90/TableA2!$C90</f>
        <v>0</v>
      </c>
      <c r="K90" s="1903">
        <f>TableA6!J90/TableA2!$C90</f>
        <v>0</v>
      </c>
      <c r="L90" s="1939">
        <f>(C90+E90)/TableA2!C90</f>
        <v>0.68108145790914665</v>
      </c>
      <c r="M90" s="1903">
        <f>C90/TableA4!D90</f>
        <v>0.60344989333220223</v>
      </c>
      <c r="N90" s="1903"/>
      <c r="O90" s="1940">
        <f t="shared" si="20"/>
        <v>0.47996308817683037</v>
      </c>
      <c r="P90" s="1954"/>
      <c r="Q90" s="1955"/>
      <c r="R90" s="1955"/>
      <c r="S90" s="1955" t="str">
        <f t="shared" si="24"/>
        <v/>
      </c>
      <c r="T90" s="1955" t="str">
        <f t="shared" si="25"/>
        <v/>
      </c>
      <c r="U90" s="1956" t="str">
        <f t="shared" si="26"/>
        <v/>
      </c>
      <c r="V90" s="1951">
        <f>C90-O90*TableA4!D90</f>
        <v>23.365842060312318</v>
      </c>
      <c r="W90" s="1952" t="str">
        <f>IFERROR($C90-S90*TableA4!$D90,"")</f>
        <v/>
      </c>
      <c r="X90" s="1952" t="str">
        <f>IFERROR($C90-T90*TableA4!$D90,"")</f>
        <v/>
      </c>
      <c r="Y90" s="1953" t="str">
        <f>IFERROR($C90-U90*TableA4!$D90,"")</f>
        <v/>
      </c>
      <c r="Z90" s="1952" t="str">
        <f t="shared" si="17"/>
        <v/>
      </c>
      <c r="AA90" s="1952" t="str">
        <f t="shared" si="18"/>
        <v/>
      </c>
      <c r="AB90" s="1957" t="str">
        <f t="shared" si="19"/>
        <v/>
      </c>
      <c r="AC90" s="1117"/>
      <c r="AD90" s="1117"/>
      <c r="AE90" s="1117"/>
      <c r="AG90" s="376"/>
      <c r="AH90" s="711">
        <f t="shared" si="22"/>
        <v>0</v>
      </c>
      <c r="AI90" s="711">
        <f t="shared" si="23"/>
        <v>0</v>
      </c>
    </row>
    <row r="91" spans="1:35" ht="40" customHeight="1" thickBot="1" x14ac:dyDescent="0.4">
      <c r="A91" s="1925" t="s">
        <v>499</v>
      </c>
      <c r="B91" s="1302">
        <f>B90+B53+B45+B9</f>
        <v>11515.286894140658</v>
      </c>
      <c r="C91" s="1926">
        <f>C90+C53+C45+C9</f>
        <v>1703.2290592571801</v>
      </c>
      <c r="D91" s="1926">
        <f>D90+D53+D45+D9</f>
        <v>83.176702611519431</v>
      </c>
      <c r="E91" s="1926">
        <f>E90+E53+E45+E9</f>
        <v>9728.8811322719557</v>
      </c>
      <c r="F91" s="1927">
        <f t="shared" si="21"/>
        <v>0.14898641027088974</v>
      </c>
      <c r="G91" s="1904">
        <f>TableA2!L91</f>
        <v>0.49990443254630074</v>
      </c>
      <c r="H91" s="1904">
        <f>D91/TableA2!C91</f>
        <v>3.7095895154838419E-3</v>
      </c>
      <c r="I91" s="1904">
        <f>TableA6!D91/TableA2!C91</f>
        <v>1.3664706276192731E-2</v>
      </c>
      <c r="J91" s="1904">
        <f>TableA6!I91/TableA2!$C91</f>
        <v>6.323340074442599E-3</v>
      </c>
      <c r="K91" s="1904">
        <f>TableA6!J91/TableA2!$C91</f>
        <v>8.8911378929233814E-3</v>
      </c>
      <c r="L91" s="1958">
        <f>(C91+E91)/TableA2!C91</f>
        <v>0.5098595493070095</v>
      </c>
      <c r="M91" s="1904">
        <f>C91/TableA4!D91</f>
        <v>0.57176241351494561</v>
      </c>
      <c r="N91" s="1904"/>
      <c r="O91" s="1959">
        <f>E91/TableA4!G91</f>
        <v>0.50037533847929427</v>
      </c>
      <c r="P91" s="1904"/>
      <c r="Q91" s="1904"/>
      <c r="R91" s="1904"/>
      <c r="S91" s="1904" t="str">
        <f t="shared" si="24"/>
        <v/>
      </c>
      <c r="T91" s="1904" t="str">
        <f t="shared" si="25"/>
        <v/>
      </c>
      <c r="U91" s="1904" t="str">
        <f t="shared" si="26"/>
        <v/>
      </c>
      <c r="V91" s="1960">
        <f>V53+V9</f>
        <v>616.46162984891726</v>
      </c>
      <c r="W91" s="1928" t="str">
        <f>IFERROR($C91-S91*TableA4!$D91,"")</f>
        <v/>
      </c>
      <c r="X91" s="1928" t="str">
        <f>IFERROR($C91-T91*TableA4!$D91,"")</f>
        <v/>
      </c>
      <c r="Y91" s="1961" t="str">
        <f>IFERROR($C91-U91*TableA4!$D91,"")</f>
        <v/>
      </c>
      <c r="Z91" s="1928">
        <f>+Z53+Z9</f>
        <v>43.474791664169757</v>
      </c>
      <c r="AA91" s="1928">
        <f t="shared" ref="AA91:AB91" si="27">+AA53+AA9</f>
        <v>0</v>
      </c>
      <c r="AB91" s="1929">
        <f t="shared" si="27"/>
        <v>-23.409503203783729</v>
      </c>
      <c r="AC91" s="120"/>
      <c r="AD91" s="120"/>
      <c r="AE91" s="120"/>
      <c r="AG91" s="376"/>
      <c r="AH91" s="711">
        <f t="shared" si="22"/>
        <v>-1.2880321809127793E-16</v>
      </c>
      <c r="AI91" s="711">
        <f t="shared" si="23"/>
        <v>0</v>
      </c>
    </row>
    <row r="92" spans="1:35" s="2" customFormat="1" x14ac:dyDescent="0.35">
      <c r="B92" s="1"/>
      <c r="C92" s="1"/>
      <c r="D92" s="1"/>
      <c r="E92" s="1"/>
      <c r="F92" s="1"/>
      <c r="G92" s="1"/>
      <c r="H92" s="1"/>
      <c r="I92" s="1"/>
      <c r="J92" s="1"/>
      <c r="K92" s="1"/>
      <c r="L92" s="1"/>
      <c r="M92" s="1"/>
      <c r="N92" s="1"/>
      <c r="O92" s="1"/>
      <c r="P92" s="1"/>
      <c r="Q92" s="1"/>
      <c r="R92" s="1"/>
      <c r="S92" s="1"/>
      <c r="T92" s="1"/>
      <c r="U92" s="1"/>
    </row>
    <row r="93" spans="1:35" s="2" customFormat="1" x14ac:dyDescent="0.35">
      <c r="B93" s="1"/>
      <c r="C93" s="1"/>
      <c r="D93" s="1"/>
      <c r="E93" s="1"/>
      <c r="F93" s="1"/>
      <c r="G93" s="1"/>
      <c r="H93" s="1"/>
      <c r="I93" s="1"/>
      <c r="J93" s="1"/>
      <c r="K93" s="1"/>
      <c r="L93" s="1"/>
      <c r="M93" s="1"/>
      <c r="N93" s="1"/>
      <c r="O93" s="1"/>
      <c r="P93" s="1"/>
      <c r="Q93" s="1"/>
      <c r="R93" s="1"/>
      <c r="S93" s="1"/>
      <c r="T93" s="1"/>
      <c r="U93" s="1"/>
    </row>
    <row r="94" spans="1:35" s="2" customFormat="1" x14ac:dyDescent="0.35">
      <c r="A94" s="430" t="s">
        <v>512</v>
      </c>
      <c r="B94" s="703">
        <f>B91-C91-D91-E91</f>
        <v>0</v>
      </c>
      <c r="C94" s="430"/>
      <c r="D94" s="430"/>
      <c r="E94" s="430"/>
      <c r="F94" s="430"/>
      <c r="G94" s="430"/>
      <c r="H94" s="430"/>
      <c r="I94" s="430"/>
      <c r="J94" s="430"/>
      <c r="K94" s="430"/>
      <c r="L94" s="430"/>
      <c r="M94" s="430"/>
      <c r="N94" s="430"/>
      <c r="O94" s="430"/>
      <c r="P94" s="430"/>
      <c r="Q94" s="430"/>
      <c r="R94" s="430"/>
      <c r="S94" s="430"/>
      <c r="T94" s="430"/>
      <c r="U94" s="430"/>
      <c r="V94" s="704"/>
      <c r="W94" s="704"/>
      <c r="X94" s="704"/>
      <c r="Y94" s="704"/>
      <c r="Z94" s="704"/>
      <c r="AA94" s="704"/>
      <c r="AB94" s="704"/>
      <c r="AC94" s="704"/>
      <c r="AD94" s="704"/>
      <c r="AE94" s="704"/>
    </row>
    <row r="95" spans="1:35" s="2" customFormat="1" x14ac:dyDescent="0.35">
      <c r="A95" s="1"/>
      <c r="B95" s="1"/>
      <c r="C95" s="1"/>
      <c r="D95" s="1"/>
      <c r="E95" s="1"/>
      <c r="F95" s="1"/>
      <c r="G95" s="1"/>
      <c r="H95" s="1"/>
      <c r="I95" s="1"/>
      <c r="J95" s="1"/>
      <c r="K95" s="1"/>
      <c r="L95" s="1"/>
      <c r="M95" s="1"/>
      <c r="N95" s="1"/>
      <c r="O95" s="1"/>
      <c r="P95" s="1"/>
      <c r="Q95" s="1"/>
      <c r="R95" s="1"/>
      <c r="S95" s="1"/>
      <c r="T95" s="1"/>
      <c r="U95" s="1"/>
      <c r="V95" s="858"/>
      <c r="W95" s="858"/>
      <c r="X95" s="858"/>
      <c r="Y95" s="858"/>
      <c r="Z95" s="858"/>
      <c r="AA95" s="858"/>
      <c r="AB95" s="858"/>
      <c r="AC95" s="858"/>
      <c r="AD95" s="858"/>
      <c r="AE95" s="858"/>
    </row>
    <row r="96" spans="1:35" s="2" customFormat="1" x14ac:dyDescent="0.35">
      <c r="A96" s="1"/>
      <c r="B96" s="1"/>
      <c r="C96" s="1"/>
      <c r="D96" s="1"/>
      <c r="E96" s="1"/>
      <c r="F96" s="1"/>
      <c r="G96" s="1"/>
      <c r="H96" s="1"/>
      <c r="I96" s="1"/>
      <c r="J96" s="1"/>
      <c r="K96" s="1"/>
      <c r="L96" s="1"/>
      <c r="M96" s="1"/>
      <c r="N96" s="1"/>
      <c r="O96" s="1"/>
      <c r="P96" s="1"/>
      <c r="Q96" s="1"/>
      <c r="R96" s="1"/>
      <c r="S96" s="1"/>
      <c r="T96" s="1"/>
      <c r="U96" s="1"/>
    </row>
    <row r="97" spans="1:21" s="2" customFormat="1" x14ac:dyDescent="0.35">
      <c r="A97" s="1"/>
      <c r="B97" s="1"/>
      <c r="C97" s="1"/>
      <c r="D97" s="1"/>
      <c r="E97" s="1"/>
      <c r="F97" s="1"/>
      <c r="G97" s="1"/>
      <c r="H97" s="1"/>
      <c r="I97" s="1"/>
      <c r="J97" s="1"/>
      <c r="K97" s="1"/>
      <c r="L97" s="1"/>
      <c r="M97" s="1"/>
      <c r="N97" s="1"/>
      <c r="O97" s="1"/>
      <c r="P97" s="1"/>
      <c r="Q97" s="1"/>
      <c r="R97" s="1"/>
      <c r="S97" s="1"/>
      <c r="T97" s="1"/>
      <c r="U97" s="1"/>
    </row>
    <row r="99" spans="1:21" s="2" customFormat="1" x14ac:dyDescent="0.35">
      <c r="A99" s="1"/>
      <c r="B99" s="1"/>
      <c r="C99" s="1"/>
      <c r="D99" s="1"/>
      <c r="E99" s="1"/>
      <c r="F99" s="1"/>
      <c r="G99" s="1"/>
      <c r="H99" s="1"/>
      <c r="I99" s="1"/>
      <c r="J99" s="1"/>
      <c r="K99" s="1"/>
      <c r="L99" s="1"/>
      <c r="M99" s="1"/>
      <c r="N99" s="1"/>
      <c r="O99" s="1"/>
      <c r="P99" s="1"/>
      <c r="Q99" s="1"/>
      <c r="R99" s="1"/>
      <c r="S99" s="1"/>
      <c r="T99" s="1"/>
      <c r="U99" s="1"/>
    </row>
  </sheetData>
  <mergeCells count="21">
    <mergeCell ref="I6:I8"/>
    <mergeCell ref="J6:J7"/>
    <mergeCell ref="K6:K7"/>
    <mergeCell ref="L6:L8"/>
    <mergeCell ref="M6:M7"/>
    <mergeCell ref="V7:Y7"/>
    <mergeCell ref="Z7:AB7"/>
    <mergeCell ref="A3:AB3"/>
    <mergeCell ref="Z6:AB6"/>
    <mergeCell ref="N6:N7"/>
    <mergeCell ref="O6:O7"/>
    <mergeCell ref="V6:Y6"/>
    <mergeCell ref="B7:B8"/>
    <mergeCell ref="P6:P8"/>
    <mergeCell ref="Q6:Q7"/>
    <mergeCell ref="R6:R7"/>
    <mergeCell ref="S6:U7"/>
    <mergeCell ref="B6:E6"/>
    <mergeCell ref="F6:F8"/>
    <mergeCell ref="G6:G8"/>
    <mergeCell ref="H6:H8"/>
  </mergeCells>
  <pageMargins left="0.7" right="0.7" top="0.75" bottom="0.75" header="0.3" footer="0.3"/>
  <pageSetup scale="50" fitToHeight="0" orientation="landscape" horizontalDpi="4294967292" verticalDpi="429496729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AG94"/>
  <sheetViews>
    <sheetView topLeftCell="B1" workbookViewId="0">
      <pane xSplit="1" ySplit="6" topLeftCell="C74" activePane="bottomRight" state="frozen"/>
      <selection activeCell="H9" sqref="H9"/>
      <selection pane="topRight" activeCell="H9" sqref="H9"/>
      <selection pane="bottomLeft" activeCell="H9" sqref="H9"/>
      <selection pane="bottomRight" activeCell="C5" sqref="C5:K5"/>
    </sheetView>
  </sheetViews>
  <sheetFormatPr baseColWidth="10" defaultColWidth="8.81640625" defaultRowHeight="15.5" x14ac:dyDescent="0.35"/>
  <cols>
    <col min="1" max="1" width="0" hidden="1" customWidth="1"/>
    <col min="2" max="2" width="32" customWidth="1"/>
    <col min="15" max="15" width="9.453125" bestFit="1" customWidth="1"/>
  </cols>
  <sheetData>
    <row r="1" spans="2:33" hidden="1" x14ac:dyDescent="0.35">
      <c r="C1">
        <v>2</v>
      </c>
      <c r="D1">
        <v>3</v>
      </c>
      <c r="E1">
        <v>4</v>
      </c>
      <c r="F1">
        <v>5</v>
      </c>
      <c r="G1">
        <v>6</v>
      </c>
      <c r="H1">
        <v>7</v>
      </c>
      <c r="I1">
        <v>8</v>
      </c>
      <c r="J1">
        <v>9</v>
      </c>
      <c r="K1">
        <v>10</v>
      </c>
      <c r="L1">
        <v>11</v>
      </c>
      <c r="M1">
        <v>12</v>
      </c>
      <c r="N1">
        <v>13</v>
      </c>
      <c r="O1">
        <v>14</v>
      </c>
      <c r="P1">
        <v>15</v>
      </c>
      <c r="Q1">
        <v>16</v>
      </c>
      <c r="R1">
        <v>17</v>
      </c>
    </row>
    <row r="2" spans="2:33" ht="16" thickBot="1" x14ac:dyDescent="0.4"/>
    <row r="3" spans="2:33" ht="40" customHeight="1" thickTop="1" x14ac:dyDescent="0.35">
      <c r="B3" s="2048" t="s">
        <v>708</v>
      </c>
      <c r="C3" s="2049"/>
      <c r="D3" s="2049"/>
      <c r="E3" s="2049"/>
      <c r="F3" s="2049"/>
      <c r="G3" s="2049"/>
      <c r="H3" s="2049"/>
      <c r="I3" s="2049"/>
      <c r="J3" s="2049"/>
      <c r="K3" s="2049"/>
      <c r="L3" s="2049"/>
      <c r="M3" s="2049"/>
      <c r="N3" s="2049"/>
      <c r="O3" s="2049"/>
      <c r="P3" s="2049"/>
      <c r="Q3" s="2049"/>
      <c r="R3" s="2050"/>
    </row>
    <row r="4" spans="2:33" ht="20" x14ac:dyDescent="0.35">
      <c r="B4" s="11"/>
      <c r="C4" s="1312"/>
      <c r="D4" s="1312"/>
      <c r="E4" s="1312"/>
      <c r="F4" s="1312"/>
      <c r="G4" s="1312"/>
      <c r="H4" s="1312"/>
      <c r="I4" s="1145"/>
      <c r="J4" s="1145"/>
      <c r="K4" s="1145"/>
      <c r="L4" s="1145"/>
      <c r="M4" s="1145"/>
      <c r="N4" s="1145"/>
      <c r="O4" s="1145"/>
      <c r="P4" s="1145"/>
      <c r="Q4" s="1145"/>
      <c r="R4" s="1555"/>
    </row>
    <row r="5" spans="2:33" ht="20.5" thickBot="1" x14ac:dyDescent="0.4">
      <c r="B5" s="11"/>
      <c r="C5" s="1562" t="s">
        <v>20</v>
      </c>
      <c r="D5" s="1562" t="s">
        <v>21</v>
      </c>
      <c r="E5" s="1562" t="s">
        <v>22</v>
      </c>
      <c r="F5" s="1562" t="s">
        <v>23</v>
      </c>
      <c r="G5" s="1562" t="s">
        <v>24</v>
      </c>
      <c r="H5" s="1562" t="s">
        <v>25</v>
      </c>
      <c r="I5" s="1562" t="s">
        <v>26</v>
      </c>
      <c r="J5" s="1562" t="s">
        <v>33</v>
      </c>
      <c r="K5" s="1562" t="s">
        <v>34</v>
      </c>
      <c r="L5" s="1562" t="s">
        <v>37</v>
      </c>
      <c r="M5" s="1562" t="s">
        <v>105</v>
      </c>
      <c r="N5" s="1562" t="s">
        <v>138</v>
      </c>
      <c r="O5" s="1562" t="s">
        <v>139</v>
      </c>
      <c r="P5" s="1562" t="s">
        <v>140</v>
      </c>
      <c r="Q5" s="1562" t="s">
        <v>141</v>
      </c>
      <c r="R5" s="1563" t="s">
        <v>255</v>
      </c>
      <c r="U5" s="409"/>
      <c r="V5" s="409"/>
      <c r="W5" s="409"/>
      <c r="X5" s="409"/>
      <c r="Y5" s="409"/>
      <c r="Z5" s="409"/>
      <c r="AA5" s="409"/>
      <c r="AB5" s="409"/>
      <c r="AC5" s="409"/>
      <c r="AD5" s="409"/>
      <c r="AE5" s="409"/>
      <c r="AF5" s="409"/>
      <c r="AG5" s="409"/>
    </row>
    <row r="6" spans="2:33" ht="28" customHeight="1" x14ac:dyDescent="0.35">
      <c r="B6" s="1556"/>
      <c r="C6" s="1210">
        <v>2003</v>
      </c>
      <c r="D6" s="1211">
        <v>2004</v>
      </c>
      <c r="E6" s="1211">
        <v>2005</v>
      </c>
      <c r="F6" s="1211">
        <v>2006</v>
      </c>
      <c r="G6" s="1211">
        <v>2007</v>
      </c>
      <c r="H6" s="1211">
        <v>2008</v>
      </c>
      <c r="I6" s="1211">
        <v>2009</v>
      </c>
      <c r="J6" s="1211">
        <v>2010</v>
      </c>
      <c r="K6" s="1211">
        <v>2011</v>
      </c>
      <c r="L6" s="1211">
        <v>2012</v>
      </c>
      <c r="M6" s="1211">
        <v>2013</v>
      </c>
      <c r="N6" s="1211">
        <v>2014</v>
      </c>
      <c r="O6" s="1211">
        <v>2015</v>
      </c>
      <c r="P6" s="1211">
        <v>2016</v>
      </c>
      <c r="Q6" s="1211">
        <v>2017</v>
      </c>
      <c r="R6" s="1557">
        <v>2018</v>
      </c>
    </row>
    <row r="7" spans="2:33" x14ac:dyDescent="0.35">
      <c r="B7" s="1318" t="s">
        <v>98</v>
      </c>
      <c r="C7" s="1218"/>
      <c r="D7" s="1122"/>
      <c r="E7" s="1122"/>
      <c r="F7" s="1122"/>
      <c r="G7" s="1122"/>
      <c r="H7" s="1122"/>
      <c r="I7" s="1122"/>
      <c r="J7" s="1122"/>
      <c r="K7" s="1122"/>
      <c r="L7" s="1122"/>
      <c r="M7" s="1122"/>
      <c r="N7" s="1122"/>
      <c r="O7" s="1122"/>
      <c r="P7" s="1122"/>
      <c r="Q7" s="1122"/>
      <c r="R7" s="1558"/>
    </row>
    <row r="8" spans="2:33" x14ac:dyDescent="0.35">
      <c r="B8" s="95" t="s">
        <v>54</v>
      </c>
      <c r="C8" s="1137">
        <f>VLOOKUP($B8,'[4]Data C 2,4'!$A$3:$S$189,C$1,0)%</f>
        <v>0.3</v>
      </c>
      <c r="D8" s="396">
        <f>VLOOKUP($B8,'[4]Data C 2,4'!$A$3:$S$189,D$1,0)%</f>
        <v>0.3</v>
      </c>
      <c r="E8" s="396">
        <f>VLOOKUP($B8,'[4]Data C 2,4'!$A$3:$S$189,E$1,0)%</f>
        <v>0.3</v>
      </c>
      <c r="F8" s="396">
        <f>VLOOKUP($B8,'[4]Data C 2,4'!$A$3:$S$189,F$1,0)%</f>
        <v>0.3</v>
      </c>
      <c r="G8" s="396">
        <f>VLOOKUP($B8,'[4]Data C 2,4'!$A$3:$S$189,G$1,0)%</f>
        <v>0.3</v>
      </c>
      <c r="H8" s="396">
        <f>VLOOKUP($B8,'[4]Data C 2,4'!$A$3:$S$189,H$1,0)%</f>
        <v>0.3</v>
      </c>
      <c r="I8" s="396">
        <f>VLOOKUP($B8,'[4]Data C 2,4'!$A$3:$S$189,I$1,0)%</f>
        <v>0.3</v>
      </c>
      <c r="J8" s="396">
        <f>VLOOKUP($B8,'[4]Data C 2,4'!$A$3:$S$189,J$1,0)%</f>
        <v>0.3</v>
      </c>
      <c r="K8" s="396">
        <f>VLOOKUP($B8,'[4]Data C 2,4'!$A$3:$S$189,K$1,0)%</f>
        <v>0.3</v>
      </c>
      <c r="L8" s="396">
        <f>VLOOKUP($B8,'[4]Data C 2,4'!$A$3:$S$189,L$1,0)%</f>
        <v>0.3</v>
      </c>
      <c r="M8" s="396">
        <f>VLOOKUP($B8,'[4]Data C 2,4'!$A$3:$S$189,M$1,0)%</f>
        <v>0.3</v>
      </c>
      <c r="N8" s="396">
        <f>VLOOKUP($B8,'[4]Data C 2,4'!$A$3:$S$189,N$1,0)%</f>
        <v>0.3</v>
      </c>
      <c r="O8" s="396">
        <f>VLOOKUP($B8,'[4]Data C 2,4'!$A$3:$S$189,O$1,0)%</f>
        <v>0.3</v>
      </c>
      <c r="P8" s="396">
        <f>VLOOKUP($B8,'[4]Data C 2,4'!$A$3:$S$189,P$1,0)%</f>
        <v>0.3</v>
      </c>
      <c r="Q8" s="396">
        <f>VLOOKUP($B8,'[4]Data C 2,4'!$A$3:$S$189,Q$1,0)%</f>
        <v>0.3</v>
      </c>
      <c r="R8" s="1364">
        <f>VLOOKUP($B8,'[4]Data C 2,4'!$A$3:$S$189,R$1,0)%</f>
        <v>0.3</v>
      </c>
    </row>
    <row r="9" spans="2:33" x14ac:dyDescent="0.35">
      <c r="B9" s="95" t="s">
        <v>55</v>
      </c>
      <c r="C9" s="1137">
        <f>VLOOKUP($B9,'[4]Data C 2,4'!$A$3:$S$189,C$1,0)%</f>
        <v>0.34</v>
      </c>
      <c r="D9" s="396">
        <f>VLOOKUP($B9,'[4]Data C 2,4'!$A$3:$S$189,D$1,0)%</f>
        <v>0.34</v>
      </c>
      <c r="E9" s="396">
        <f>VLOOKUP($B9,'[4]Data C 2,4'!$A$3:$S$189,E$1,0)%</f>
        <v>0.25</v>
      </c>
      <c r="F9" s="396">
        <f>VLOOKUP($B9,'[4]Data C 2,4'!$A$3:$S$189,F$1,0)%</f>
        <v>0.25</v>
      </c>
      <c r="G9" s="396">
        <f>VLOOKUP($B9,'[4]Data C 2,4'!$A$3:$S$189,G$1,0)%</f>
        <v>0.25</v>
      </c>
      <c r="H9" s="396">
        <f>VLOOKUP($B9,'[4]Data C 2,4'!$A$3:$S$189,H$1,0)%</f>
        <v>0.25</v>
      </c>
      <c r="I9" s="396">
        <f>VLOOKUP($B9,'[4]Data C 2,4'!$A$3:$S$189,I$1,0)%</f>
        <v>0.25</v>
      </c>
      <c r="J9" s="396">
        <f>VLOOKUP($B9,'[4]Data C 2,4'!$A$3:$S$189,J$1,0)%</f>
        <v>0.25</v>
      </c>
      <c r="K9" s="396">
        <f>VLOOKUP($B9,'[4]Data C 2,4'!$A$3:$S$189,K$1,0)%</f>
        <v>0.25</v>
      </c>
      <c r="L9" s="396">
        <f>VLOOKUP($B9,'[4]Data C 2,4'!$A$3:$S$189,L$1,0)%</f>
        <v>0.25</v>
      </c>
      <c r="M9" s="396">
        <f>VLOOKUP($B9,'[4]Data C 2,4'!$A$3:$S$189,M$1,0)%</f>
        <v>0.25</v>
      </c>
      <c r="N9" s="396">
        <f>VLOOKUP($B9,'[4]Data C 2,4'!$A$3:$S$189,N$1,0)%</f>
        <v>0.25</v>
      </c>
      <c r="O9" s="396">
        <f>VLOOKUP($B9,'[4]Data C 2,4'!$A$3:$S$189,O$1,0)%</f>
        <v>0.25</v>
      </c>
      <c r="P9" s="396">
        <f>VLOOKUP($B9,'[4]Data C 2,4'!$A$3:$S$189,P$1,0)%</f>
        <v>0.25</v>
      </c>
      <c r="Q9" s="396">
        <f>VLOOKUP($B9,'[4]Data C 2,4'!$A$3:$S$189,Q$1,0)%</f>
        <v>0.25</v>
      </c>
      <c r="R9" s="1364">
        <f>VLOOKUP($B9,'[4]Data C 2,4'!$A$3:$S$189,R$1,0)%</f>
        <v>0.25</v>
      </c>
    </row>
    <row r="10" spans="2:33" x14ac:dyDescent="0.35">
      <c r="B10" s="95" t="s">
        <v>2</v>
      </c>
      <c r="C10" s="1137">
        <f>VLOOKUP($B10,'[4]Data C 2,4'!$A$3:$S$189,C$1,0)%</f>
        <v>0.33990000000000004</v>
      </c>
      <c r="D10" s="396">
        <f>VLOOKUP($B10,'[4]Data C 2,4'!$A$3:$S$189,D$1,0)%</f>
        <v>0.33990000000000004</v>
      </c>
      <c r="E10" s="396">
        <f>VLOOKUP($B10,'[4]Data C 2,4'!$A$3:$S$189,E$1,0)%</f>
        <v>0.33990000000000004</v>
      </c>
      <c r="F10" s="396">
        <f>VLOOKUP($B10,'[4]Data C 2,4'!$A$3:$S$189,F$1,0)%</f>
        <v>0.33990000000000004</v>
      </c>
      <c r="G10" s="396">
        <f>VLOOKUP($B10,'[4]Data C 2,4'!$A$3:$S$189,G$1,0)%</f>
        <v>0.33990000000000004</v>
      </c>
      <c r="H10" s="396">
        <f>VLOOKUP($B10,'[4]Data C 2,4'!$A$3:$S$189,H$1,0)%</f>
        <v>0.33990000000000004</v>
      </c>
      <c r="I10" s="396">
        <f>VLOOKUP($B10,'[4]Data C 2,4'!$A$3:$S$189,I$1,0)%</f>
        <v>0.33990000000000004</v>
      </c>
      <c r="J10" s="396">
        <f>VLOOKUP($B10,'[4]Data C 2,4'!$A$3:$S$189,J$1,0)%</f>
        <v>0.33990000000000004</v>
      </c>
      <c r="K10" s="396">
        <f>VLOOKUP($B10,'[4]Data C 2,4'!$A$3:$S$189,K$1,0)%</f>
        <v>0.33990000000000004</v>
      </c>
      <c r="L10" s="396">
        <f>VLOOKUP($B10,'[4]Data C 2,4'!$A$3:$S$189,L$1,0)%</f>
        <v>0.33990000000000004</v>
      </c>
      <c r="M10" s="396">
        <f>VLOOKUP($B10,'[4]Data C 2,4'!$A$3:$S$189,M$1,0)%</f>
        <v>0.33990000000000004</v>
      </c>
      <c r="N10" s="396">
        <f>VLOOKUP($B10,'[4]Data C 2,4'!$A$3:$S$189,N$1,0)%</f>
        <v>0.33990000000000004</v>
      </c>
      <c r="O10" s="396">
        <f>VLOOKUP($B10,'[4]Data C 2,4'!$A$3:$S$189,O$1,0)%</f>
        <v>0.33990000000000004</v>
      </c>
      <c r="P10" s="396">
        <f>VLOOKUP($B10,'[4]Data C 2,4'!$A$3:$S$189,P$1,0)%</f>
        <v>0.33990000000000004</v>
      </c>
      <c r="Q10" s="396">
        <f>VLOOKUP($B10,'[4]Data C 2,4'!$A$3:$S$189,Q$1,0)%</f>
        <v>0.33990000000000004</v>
      </c>
      <c r="R10" s="1364">
        <f>VLOOKUP($B10,'[4]Data C 2,4'!$A$3:$S$189,R$1,0)%</f>
        <v>0.28999999999999998</v>
      </c>
    </row>
    <row r="11" spans="2:33" x14ac:dyDescent="0.35">
      <c r="B11" s="95" t="s">
        <v>56</v>
      </c>
      <c r="C11" s="1137">
        <f>VLOOKUP($B11,'[4]Data C 2,4'!$A$3:$S$189,C$1,0)%</f>
        <v>0.36599999999999999</v>
      </c>
      <c r="D11" s="396">
        <f>VLOOKUP($B11,'[4]Data C 2,4'!$A$3:$S$189,D$1,0)%</f>
        <v>0.36099999999999999</v>
      </c>
      <c r="E11" s="396">
        <f>VLOOKUP($B11,'[4]Data C 2,4'!$A$3:$S$189,E$1,0)%</f>
        <v>0.36099999999999999</v>
      </c>
      <c r="F11" s="396">
        <f>VLOOKUP($B11,'[4]Data C 2,4'!$A$3:$S$189,F$1,0)%</f>
        <v>0.36099999999999999</v>
      </c>
      <c r="G11" s="396">
        <f>VLOOKUP($B11,'[4]Data C 2,4'!$A$3:$S$189,G$1,0)%</f>
        <v>0.36099999999999999</v>
      </c>
      <c r="H11" s="396">
        <f>VLOOKUP($B11,'[4]Data C 2,4'!$A$3:$S$189,H$1,0)%</f>
        <v>0.33500000000000002</v>
      </c>
      <c r="I11" s="396">
        <f>VLOOKUP($B11,'[4]Data C 2,4'!$A$3:$S$189,I$1,0)%</f>
        <v>0.33</v>
      </c>
      <c r="J11" s="396">
        <f>VLOOKUP($B11,'[4]Data C 2,4'!$A$3:$S$189,J$1,0)%</f>
        <v>0.31</v>
      </c>
      <c r="K11" s="396">
        <f>VLOOKUP($B11,'[4]Data C 2,4'!$A$3:$S$189,K$1,0)%</f>
        <v>0.28000000000000003</v>
      </c>
      <c r="L11" s="396">
        <f>VLOOKUP($B11,'[4]Data C 2,4'!$A$3:$S$189,L$1,0)%</f>
        <v>0.26</v>
      </c>
      <c r="M11" s="396">
        <f>VLOOKUP($B11,'[4]Data C 2,4'!$A$3:$S$189,M$1,0)%</f>
        <v>0.26</v>
      </c>
      <c r="N11" s="396">
        <f>VLOOKUP($B11,'[4]Data C 2,4'!$A$3:$S$189,N$1,0)%</f>
        <v>0.26500000000000001</v>
      </c>
      <c r="O11" s="396">
        <f>VLOOKUP($B11,'[4]Data C 2,4'!$A$3:$S$189,O$1,0)%</f>
        <v>0.26500000000000001</v>
      </c>
      <c r="P11" s="396">
        <f>VLOOKUP($B11,'[4]Data C 2,4'!$A$3:$S$189,P$1,0)%</f>
        <v>0.26500000000000001</v>
      </c>
      <c r="Q11" s="396">
        <f>VLOOKUP($B11,'[4]Data C 2,4'!$A$3:$S$189,Q$1,0)%</f>
        <v>0.26500000000000001</v>
      </c>
      <c r="R11" s="1364">
        <f>VLOOKUP($B11,'[4]Data C 2,4'!$A$3:$S$189,R$1,0)%</f>
        <v>0.26500000000000001</v>
      </c>
    </row>
    <row r="12" spans="2:33" x14ac:dyDescent="0.35">
      <c r="B12" s="95" t="s">
        <v>57</v>
      </c>
      <c r="C12" s="1137">
        <f>VLOOKUP($B12,'[4]Data C 2,4'!$A$3:$S$189,C$1,0)%</f>
        <v>0.16500000000000001</v>
      </c>
      <c r="D12" s="396">
        <f>VLOOKUP($B12,'[4]Data C 2,4'!$A$3:$S$189,D$1,0)%</f>
        <v>0.17</v>
      </c>
      <c r="E12" s="396">
        <f>VLOOKUP($B12,'[4]Data C 2,4'!$A$3:$S$189,E$1,0)%</f>
        <v>0.17</v>
      </c>
      <c r="F12" s="396">
        <f>VLOOKUP($B12,'[4]Data C 2,4'!$A$3:$S$189,F$1,0)%</f>
        <v>0.17</v>
      </c>
      <c r="G12" s="396">
        <f>VLOOKUP($B12,'[4]Data C 2,4'!$A$3:$S$189,G$1,0)%</f>
        <v>0.17</v>
      </c>
      <c r="H12" s="396">
        <f>VLOOKUP($B12,'[4]Data C 2,4'!$A$3:$S$189,H$1,0)%</f>
        <v>0.17</v>
      </c>
      <c r="I12" s="396">
        <f>VLOOKUP($B12,'[4]Data C 2,4'!$A$3:$S$189,I$1,0)%</f>
        <v>0.17</v>
      </c>
      <c r="J12" s="396">
        <f>VLOOKUP($B12,'[4]Data C 2,4'!$A$3:$S$189,J$1,0)%</f>
        <v>0.17</v>
      </c>
      <c r="K12" s="396">
        <f>VLOOKUP($B12,'[4]Data C 2,4'!$A$3:$S$189,K$1,0)%</f>
        <v>0.2</v>
      </c>
      <c r="L12" s="396">
        <f>VLOOKUP($B12,'[4]Data C 2,4'!$A$3:$S$189,L$1,0)%</f>
        <v>0.185</v>
      </c>
      <c r="M12" s="396">
        <f>VLOOKUP($B12,'[4]Data C 2,4'!$A$3:$S$189,M$1,0)%</f>
        <v>0.2</v>
      </c>
      <c r="N12" s="396">
        <f>VLOOKUP($B12,'[4]Data C 2,4'!$A$3:$S$189,N$1,0)%</f>
        <v>0.2</v>
      </c>
      <c r="O12" s="396">
        <f>VLOOKUP($B12,'[4]Data C 2,4'!$A$3:$S$189,O$1,0)%</f>
        <v>0.24</v>
      </c>
      <c r="P12" s="396">
        <f>VLOOKUP($B12,'[4]Data C 2,4'!$A$3:$S$189,P$1,0)%</f>
        <v>0.24</v>
      </c>
      <c r="Q12" s="396">
        <f>VLOOKUP($B12,'[4]Data C 2,4'!$A$3:$S$189,Q$1,0)%</f>
        <v>0.255</v>
      </c>
      <c r="R12" s="1364">
        <f>VLOOKUP($B12,'[4]Data C 2,4'!$A$3:$S$189,R$1,0)%</f>
        <v>0.26</v>
      </c>
    </row>
    <row r="13" spans="2:33" x14ac:dyDescent="0.35">
      <c r="B13" s="95" t="s">
        <v>58</v>
      </c>
      <c r="C13" s="1137">
        <f>VLOOKUP($B13,'[4]Data C 2,4'!$A$3:$S$189,C$1,0)%</f>
        <v>0.31</v>
      </c>
      <c r="D13" s="396">
        <f>VLOOKUP($B13,'[4]Data C 2,4'!$A$3:$S$189,D$1,0)%</f>
        <v>0.28000000000000003</v>
      </c>
      <c r="E13" s="396">
        <f>VLOOKUP($B13,'[4]Data C 2,4'!$A$3:$S$189,E$1,0)%</f>
        <v>0.26</v>
      </c>
      <c r="F13" s="396">
        <f>VLOOKUP($B13,'[4]Data C 2,4'!$A$3:$S$189,F$1,0)%</f>
        <v>0.24</v>
      </c>
      <c r="G13" s="396">
        <f>VLOOKUP($B13,'[4]Data C 2,4'!$A$3:$S$189,G$1,0)%</f>
        <v>0.24</v>
      </c>
      <c r="H13" s="396">
        <f>VLOOKUP($B13,'[4]Data C 2,4'!$A$3:$S$189,H$1,0)%</f>
        <v>0.21</v>
      </c>
      <c r="I13" s="396">
        <f>VLOOKUP($B13,'[4]Data C 2,4'!$A$3:$S$189,I$1,0)%</f>
        <v>0.2</v>
      </c>
      <c r="J13" s="396">
        <f>VLOOKUP($B13,'[4]Data C 2,4'!$A$3:$S$189,J$1,0)%</f>
        <v>0.19</v>
      </c>
      <c r="K13" s="396">
        <f>VLOOKUP($B13,'[4]Data C 2,4'!$A$3:$S$189,K$1,0)%</f>
        <v>0.19</v>
      </c>
      <c r="L13" s="396">
        <f>VLOOKUP($B13,'[4]Data C 2,4'!$A$3:$S$189,L$1,0)%</f>
        <v>0.19</v>
      </c>
      <c r="M13" s="396">
        <f>VLOOKUP($B13,'[4]Data C 2,4'!$A$3:$S$189,M$1,0)%</f>
        <v>0.19</v>
      </c>
      <c r="N13" s="396">
        <f>VLOOKUP($B13,'[4]Data C 2,4'!$A$3:$S$189,N$1,0)%</f>
        <v>0.19</v>
      </c>
      <c r="O13" s="396">
        <f>VLOOKUP($B13,'[4]Data C 2,4'!$A$3:$S$189,O$1,0)%</f>
        <v>0.19</v>
      </c>
      <c r="P13" s="396">
        <f>VLOOKUP($B13,'[4]Data C 2,4'!$A$3:$S$189,P$1,0)%</f>
        <v>0.19</v>
      </c>
      <c r="Q13" s="396">
        <f>VLOOKUP($B13,'[4]Data C 2,4'!$A$3:$S$189,Q$1,0)%</f>
        <v>0.19</v>
      </c>
      <c r="R13" s="1364">
        <f>VLOOKUP($B13,'[4]Data C 2,4'!$A$3:$S$189,R$1,0)%</f>
        <v>0.19</v>
      </c>
    </row>
    <row r="14" spans="2:33" x14ac:dyDescent="0.35">
      <c r="B14" s="95" t="s">
        <v>59</v>
      </c>
      <c r="C14" s="1137">
        <f>VLOOKUP($B14,'[4]Data C 2,4'!$A$3:$S$189,C$1,0)%</f>
        <v>0.3</v>
      </c>
      <c r="D14" s="396">
        <f>VLOOKUP($B14,'[4]Data C 2,4'!$A$3:$S$189,D$1,0)%</f>
        <v>0.3</v>
      </c>
      <c r="E14" s="396">
        <f>VLOOKUP($B14,'[4]Data C 2,4'!$A$3:$S$189,E$1,0)%</f>
        <v>0.28000000000000003</v>
      </c>
      <c r="F14" s="396">
        <f>VLOOKUP($B14,'[4]Data C 2,4'!$A$3:$S$189,F$1,0)%</f>
        <v>0.28000000000000003</v>
      </c>
      <c r="G14" s="396">
        <f>VLOOKUP($B14,'[4]Data C 2,4'!$A$3:$S$189,G$1,0)%</f>
        <v>0.25</v>
      </c>
      <c r="H14" s="396">
        <f>VLOOKUP($B14,'[4]Data C 2,4'!$A$3:$S$189,H$1,0)%</f>
        <v>0.25</v>
      </c>
      <c r="I14" s="396">
        <f>VLOOKUP($B14,'[4]Data C 2,4'!$A$3:$S$189,I$1,0)%</f>
        <v>0.25</v>
      </c>
      <c r="J14" s="396">
        <f>VLOOKUP($B14,'[4]Data C 2,4'!$A$3:$S$189,J$1,0)%</f>
        <v>0.25</v>
      </c>
      <c r="K14" s="396">
        <f>VLOOKUP($B14,'[4]Data C 2,4'!$A$3:$S$189,K$1,0)%</f>
        <v>0.25</v>
      </c>
      <c r="L14" s="396">
        <f>VLOOKUP($B14,'[4]Data C 2,4'!$A$3:$S$189,L$1,0)%</f>
        <v>0.25</v>
      </c>
      <c r="M14" s="396">
        <f>VLOOKUP($B14,'[4]Data C 2,4'!$A$3:$S$189,M$1,0)%</f>
        <v>0.25</v>
      </c>
      <c r="N14" s="396">
        <f>VLOOKUP($B14,'[4]Data C 2,4'!$A$3:$S$189,N$1,0)%</f>
        <v>0.245</v>
      </c>
      <c r="O14" s="396">
        <f>VLOOKUP($B14,'[4]Data C 2,4'!$A$3:$S$189,O$1,0)%</f>
        <v>0.22</v>
      </c>
      <c r="P14" s="396">
        <f>VLOOKUP($B14,'[4]Data C 2,4'!$A$3:$S$189,P$1,0)%</f>
        <v>0.22</v>
      </c>
      <c r="Q14" s="396">
        <f>VLOOKUP($B14,'[4]Data C 2,4'!$A$3:$S$189,Q$1,0)%</f>
        <v>0.22</v>
      </c>
      <c r="R14" s="1364">
        <f>VLOOKUP($B14,'[4]Data C 2,4'!$A$3:$S$189,R$1,0)%</f>
        <v>0.22</v>
      </c>
    </row>
    <row r="15" spans="2:33" x14ac:dyDescent="0.35">
      <c r="B15" s="455" t="s">
        <v>60</v>
      </c>
      <c r="C15" s="1137">
        <f>VLOOKUP($B15,'[4]Data C 2,4'!$A$3:$S$189,C$1,0)%</f>
        <v>0.26</v>
      </c>
      <c r="D15" s="396">
        <f>VLOOKUP($B15,'[4]Data C 2,4'!$A$3:$S$189,D$1,0)%</f>
        <v>0.26</v>
      </c>
      <c r="E15" s="396">
        <f>VLOOKUP($B15,'[4]Data C 2,4'!$A$3:$S$189,E$1,0)%</f>
        <v>0.24</v>
      </c>
      <c r="F15" s="396">
        <f>VLOOKUP($B15,'[4]Data C 2,4'!$A$3:$S$189,F$1,0)%</f>
        <v>0.23</v>
      </c>
      <c r="G15" s="396">
        <f>VLOOKUP($B15,'[4]Data C 2,4'!$A$3:$S$189,G$1,0)%</f>
        <v>0.22</v>
      </c>
      <c r="H15" s="396">
        <f>VLOOKUP($B15,'[4]Data C 2,4'!$A$3:$S$189,H$1,0)%</f>
        <v>0.21</v>
      </c>
      <c r="I15" s="396">
        <f>VLOOKUP($B15,'[4]Data C 2,4'!$A$3:$S$189,I$1,0)%</f>
        <v>0.21</v>
      </c>
      <c r="J15" s="396">
        <f>VLOOKUP($B15,'[4]Data C 2,4'!$A$3:$S$189,J$1,0)%</f>
        <v>0.21</v>
      </c>
      <c r="K15" s="396">
        <f>VLOOKUP($B15,'[4]Data C 2,4'!$A$3:$S$189,K$1,0)%</f>
        <v>0.21</v>
      </c>
      <c r="L15" s="396">
        <f>VLOOKUP($B15,'[4]Data C 2,4'!$A$3:$S$189,L$1,0)%</f>
        <v>0.21</v>
      </c>
      <c r="M15" s="396">
        <f>VLOOKUP($B15,'[4]Data C 2,4'!$A$3:$S$189,M$1,0)%</f>
        <v>0.21</v>
      </c>
      <c r="N15" s="396">
        <f>VLOOKUP($B15,'[4]Data C 2,4'!$A$3:$S$189,N$1,0)%</f>
        <v>0.21</v>
      </c>
      <c r="O15" s="396">
        <f>VLOOKUP($B15,'[4]Data C 2,4'!$A$3:$S$189,O$1,0)%</f>
        <v>0.2</v>
      </c>
      <c r="P15" s="396">
        <f>VLOOKUP($B15,'[4]Data C 2,4'!$A$3:$S$189,P$1,0)%</f>
        <v>0.2</v>
      </c>
      <c r="Q15" s="396">
        <f>VLOOKUP($B15,'[4]Data C 2,4'!$A$3:$S$189,Q$1,0)%</f>
        <v>0.2</v>
      </c>
      <c r="R15" s="1364">
        <f>VLOOKUP($B15,'[4]Data C 2,4'!$A$3:$S$189,R$1,0)%</f>
        <v>0.2</v>
      </c>
    </row>
    <row r="16" spans="2:33" x14ac:dyDescent="0.35">
      <c r="B16" s="95" t="s">
        <v>61</v>
      </c>
      <c r="C16" s="1137">
        <f>VLOOKUP($B16,'[4]Data C 2,4'!$A$3:$S$189,C$1,0)%</f>
        <v>0.28999999999999998</v>
      </c>
      <c r="D16" s="396">
        <f>VLOOKUP($B16,'[4]Data C 2,4'!$A$3:$S$189,D$1,0)%</f>
        <v>0.28999999999999998</v>
      </c>
      <c r="E16" s="396">
        <f>VLOOKUP($B16,'[4]Data C 2,4'!$A$3:$S$189,E$1,0)%</f>
        <v>0.26</v>
      </c>
      <c r="F16" s="396">
        <f>VLOOKUP($B16,'[4]Data C 2,4'!$A$3:$S$189,F$1,0)%</f>
        <v>0.26</v>
      </c>
      <c r="G16" s="396">
        <f>VLOOKUP($B16,'[4]Data C 2,4'!$A$3:$S$189,G$1,0)%</f>
        <v>0.26</v>
      </c>
      <c r="H16" s="396">
        <f>VLOOKUP($B16,'[4]Data C 2,4'!$A$3:$S$189,H$1,0)%</f>
        <v>0.26</v>
      </c>
      <c r="I16" s="396">
        <f>VLOOKUP($B16,'[4]Data C 2,4'!$A$3:$S$189,I$1,0)%</f>
        <v>0.26</v>
      </c>
      <c r="J16" s="396">
        <f>VLOOKUP($B16,'[4]Data C 2,4'!$A$3:$S$189,J$1,0)%</f>
        <v>0.26</v>
      </c>
      <c r="K16" s="396">
        <f>VLOOKUP($B16,'[4]Data C 2,4'!$A$3:$S$189,K$1,0)%</f>
        <v>0.26</v>
      </c>
      <c r="L16" s="396">
        <f>VLOOKUP($B16,'[4]Data C 2,4'!$A$3:$S$189,L$1,0)%</f>
        <v>0.245</v>
      </c>
      <c r="M16" s="396">
        <f>VLOOKUP($B16,'[4]Data C 2,4'!$A$3:$S$189,M$1,0)%</f>
        <v>0.245</v>
      </c>
      <c r="N16" s="396">
        <f>VLOOKUP($B16,'[4]Data C 2,4'!$A$3:$S$189,N$1,0)%</f>
        <v>0.2</v>
      </c>
      <c r="O16" s="396">
        <f>VLOOKUP($B16,'[4]Data C 2,4'!$A$3:$S$189,O$1,0)%</f>
        <v>0.2</v>
      </c>
      <c r="P16" s="396">
        <f>VLOOKUP($B16,'[4]Data C 2,4'!$A$3:$S$189,P$1,0)%</f>
        <v>0.2</v>
      </c>
      <c r="Q16" s="396">
        <f>VLOOKUP($B16,'[4]Data C 2,4'!$A$3:$S$189,Q$1,0)%</f>
        <v>0.2</v>
      </c>
      <c r="R16" s="1364">
        <f>VLOOKUP($B16,'[4]Data C 2,4'!$A$3:$S$189,R$1,0)%</f>
        <v>0.2</v>
      </c>
    </row>
    <row r="17" spans="1:18" x14ac:dyDescent="0.35">
      <c r="B17" s="455" t="s">
        <v>48</v>
      </c>
      <c r="C17" s="1137">
        <f>VLOOKUP($B17,'[4]Data C 2,4'!$A$3:$S$189,C$1,0)%</f>
        <v>0.34329999999999999</v>
      </c>
      <c r="D17" s="396">
        <f>VLOOKUP($B17,'[4]Data C 2,4'!$A$3:$S$189,D$1,0)%</f>
        <v>0.34329999999999999</v>
      </c>
      <c r="E17" s="396">
        <f>VLOOKUP($B17,'[4]Data C 2,4'!$A$3:$S$189,E$1,0)%</f>
        <v>0.33829999999999999</v>
      </c>
      <c r="F17" s="396">
        <f>VLOOKUP($B17,'[4]Data C 2,4'!$A$3:$S$189,F$1,0)%</f>
        <v>0.33329999999999999</v>
      </c>
      <c r="G17" s="396">
        <f>VLOOKUP($B17,'[4]Data C 2,4'!$A$3:$S$189,G$1,0)%</f>
        <v>0.33329999999999999</v>
      </c>
      <c r="H17" s="396">
        <f>VLOOKUP($B17,'[4]Data C 2,4'!$A$3:$S$189,H$1,0)%</f>
        <v>0.33329999999999999</v>
      </c>
      <c r="I17" s="396">
        <f>VLOOKUP($B17,'[4]Data C 2,4'!$A$3:$S$189,I$1,0)%</f>
        <v>0.33329999999999999</v>
      </c>
      <c r="J17" s="396">
        <f>VLOOKUP($B17,'[4]Data C 2,4'!$A$3:$S$189,J$1,0)%</f>
        <v>0.33329999999999999</v>
      </c>
      <c r="K17" s="396">
        <f>VLOOKUP($B17,'[4]Data C 2,4'!$A$3:$S$189,K$1,0)%</f>
        <v>0.33329999999999999</v>
      </c>
      <c r="L17" s="396">
        <f>VLOOKUP($B17,'[4]Data C 2,4'!$A$3:$S$189,L$1,0)%</f>
        <v>0.33329999999999999</v>
      </c>
      <c r="M17" s="396">
        <f>VLOOKUP($B17,'[4]Data C 2,4'!$A$3:$S$189,M$1,0)%</f>
        <v>0.33329999999999999</v>
      </c>
      <c r="N17" s="396">
        <f>VLOOKUP($B17,'[4]Data C 2,4'!$A$3:$S$189,N$1,0)%</f>
        <v>0.33329999999999999</v>
      </c>
      <c r="O17" s="396">
        <f>VLOOKUP($B17,'[4]Data C 2,4'!$A$3:$S$189,O$1,0)%</f>
        <v>0.33329999999999999</v>
      </c>
      <c r="P17" s="396">
        <f>VLOOKUP($B17,'[4]Data C 2,4'!$A$3:$S$189,P$1,0)%</f>
        <v>0.33299999999999996</v>
      </c>
      <c r="Q17" s="396">
        <f>VLOOKUP($B17,'[4]Data C 2,4'!$A$3:$S$189,Q$1,0)%</f>
        <v>0.33329999999999999</v>
      </c>
      <c r="R17" s="1364">
        <f>VLOOKUP($B17,'[4]Data C 2,4'!$A$3:$S$189,R$1,0)%</f>
        <v>0.33</v>
      </c>
    </row>
    <row r="18" spans="1:18" x14ac:dyDescent="0.35">
      <c r="B18" s="95" t="s">
        <v>62</v>
      </c>
      <c r="C18" s="1137">
        <f>VLOOKUP($B18,'[4]Data C 2,4'!$A$3:$S$189,C$1,0)%</f>
        <v>0.39579999999999999</v>
      </c>
      <c r="D18" s="396">
        <f>VLOOKUP($B18,'[4]Data C 2,4'!$A$3:$S$189,D$1,0)%</f>
        <v>0.38290000000000002</v>
      </c>
      <c r="E18" s="396">
        <f>VLOOKUP($B18,'[4]Data C 2,4'!$A$3:$S$189,E$1,0)%</f>
        <v>0.3831</v>
      </c>
      <c r="F18" s="396">
        <f>VLOOKUP($B18,'[4]Data C 2,4'!$A$3:$S$189,F$1,0)%</f>
        <v>0.38340000000000002</v>
      </c>
      <c r="G18" s="396">
        <f>VLOOKUP($B18,'[4]Data C 2,4'!$A$3:$S$189,G$1,0)%</f>
        <v>0.3836</v>
      </c>
      <c r="H18" s="396">
        <f>VLOOKUP($B18,'[4]Data C 2,4'!$A$3:$S$189,H$1,0)%</f>
        <v>0.29510000000000003</v>
      </c>
      <c r="I18" s="396">
        <f>VLOOKUP($B18,'[4]Data C 2,4'!$A$3:$S$189,I$1,0)%</f>
        <v>0.2944</v>
      </c>
      <c r="J18" s="396">
        <f>VLOOKUP($B18,'[4]Data C 2,4'!$A$3:$S$189,J$1,0)%</f>
        <v>0.29410000000000003</v>
      </c>
      <c r="K18" s="396">
        <f>VLOOKUP($B18,'[4]Data C 2,4'!$A$3:$S$189,K$1,0)%</f>
        <v>0.29370000000000002</v>
      </c>
      <c r="L18" s="396">
        <f>VLOOKUP($B18,'[4]Data C 2,4'!$A$3:$S$189,L$1,0)%</f>
        <v>0.29480000000000001</v>
      </c>
      <c r="M18" s="396">
        <f>VLOOKUP($B18,'[4]Data C 2,4'!$A$3:$S$189,M$1,0)%</f>
        <v>0.29549999999999998</v>
      </c>
      <c r="N18" s="396">
        <f>VLOOKUP($B18,'[4]Data C 2,4'!$A$3:$S$189,N$1,0)%</f>
        <v>0.29580000000000001</v>
      </c>
      <c r="O18" s="396">
        <f>VLOOKUP($B18,'[4]Data C 2,4'!$A$3:$S$189,O$1,0)%</f>
        <v>0.29719999999999996</v>
      </c>
      <c r="P18" s="396">
        <f>VLOOKUP($B18,'[4]Data C 2,4'!$A$3:$S$189,P$1,0)%</f>
        <v>0.29719999999999996</v>
      </c>
      <c r="Q18" s="396">
        <f>VLOOKUP($B18,'[4]Data C 2,4'!$A$3:$S$189,Q$1,0)%</f>
        <v>0.2979</v>
      </c>
      <c r="R18" s="1364">
        <f>VLOOKUP($B18,'[4]Data C 2,4'!$A$3:$S$189,R$1,0)%</f>
        <v>0.3</v>
      </c>
    </row>
    <row r="19" spans="1:18" x14ac:dyDescent="0.35">
      <c r="B19" s="95" t="s">
        <v>63</v>
      </c>
      <c r="C19" s="1137">
        <f>VLOOKUP($B19,'[4]Data C 2,4'!$A$3:$S$189,C$1,0)%</f>
        <v>0.35</v>
      </c>
      <c r="D19" s="396">
        <f>VLOOKUP($B19,'[4]Data C 2,4'!$A$3:$S$189,D$1,0)%</f>
        <v>0.35</v>
      </c>
      <c r="E19" s="396">
        <f>VLOOKUP($B19,'[4]Data C 2,4'!$A$3:$S$189,E$1,0)%</f>
        <v>0.32</v>
      </c>
      <c r="F19" s="396">
        <f>VLOOKUP($B19,'[4]Data C 2,4'!$A$3:$S$189,F$1,0)%</f>
        <v>0.28999999999999998</v>
      </c>
      <c r="G19" s="396">
        <f>VLOOKUP($B19,'[4]Data C 2,4'!$A$3:$S$189,G$1,0)%</f>
        <v>0.25</v>
      </c>
      <c r="H19" s="396">
        <f>VLOOKUP($B19,'[4]Data C 2,4'!$A$3:$S$189,H$1,0)%</f>
        <v>0.25</v>
      </c>
      <c r="I19" s="396">
        <f>VLOOKUP($B19,'[4]Data C 2,4'!$A$3:$S$189,I$1,0)%</f>
        <v>0.25</v>
      </c>
      <c r="J19" s="396">
        <f>VLOOKUP($B19,'[4]Data C 2,4'!$A$3:$S$189,J$1,0)%</f>
        <v>0.24</v>
      </c>
      <c r="K19" s="396">
        <f>VLOOKUP($B19,'[4]Data C 2,4'!$A$3:$S$189,K$1,0)%</f>
        <v>0.2</v>
      </c>
      <c r="L19" s="396">
        <f>VLOOKUP($B19,'[4]Data C 2,4'!$A$3:$S$189,L$1,0)%</f>
        <v>0.2</v>
      </c>
      <c r="M19" s="396">
        <f>VLOOKUP($B19,'[4]Data C 2,4'!$A$3:$S$189,M$1,0)%</f>
        <v>0.26</v>
      </c>
      <c r="N19" s="396">
        <f>VLOOKUP($B19,'[4]Data C 2,4'!$A$3:$S$189,N$1,0)%</f>
        <v>0.26</v>
      </c>
      <c r="O19" s="396">
        <f>VLOOKUP($B19,'[4]Data C 2,4'!$A$3:$S$189,O$1,0)%</f>
        <v>0.28999999999999998</v>
      </c>
      <c r="P19" s="396">
        <f>VLOOKUP($B19,'[4]Data C 2,4'!$A$3:$S$189,P$1,0)%</f>
        <v>0.28999999999999998</v>
      </c>
      <c r="Q19" s="396">
        <f>VLOOKUP($B19,'[4]Data C 2,4'!$A$3:$S$189,Q$1,0)%</f>
        <v>0.28999999999999998</v>
      </c>
      <c r="R19" s="1364">
        <f>VLOOKUP($B19,'[4]Data C 2,4'!$A$3:$S$189,R$1,0)%</f>
        <v>0.28999999999999998</v>
      </c>
    </row>
    <row r="20" spans="1:18" x14ac:dyDescent="0.35">
      <c r="B20" s="95" t="s">
        <v>64</v>
      </c>
      <c r="C20" s="1137">
        <f>VLOOKUP($B20,'[4]Data C 2,4'!$A$3:$S$189,C$1,0)%</f>
        <v>0.18</v>
      </c>
      <c r="D20" s="396">
        <f>VLOOKUP($B20,'[4]Data C 2,4'!$A$3:$S$189,D$1,0)%</f>
        <v>0.16</v>
      </c>
      <c r="E20" s="396">
        <f>VLOOKUP($B20,'[4]Data C 2,4'!$A$3:$S$189,E$1,0)%</f>
        <v>0.16</v>
      </c>
      <c r="F20" s="396">
        <f>VLOOKUP($B20,'[4]Data C 2,4'!$A$3:$S$189,F$1,0)%</f>
        <v>0.16</v>
      </c>
      <c r="G20" s="396">
        <f>VLOOKUP($B20,'[4]Data C 2,4'!$A$3:$S$189,G$1,0)%</f>
        <v>0.16</v>
      </c>
      <c r="H20" s="396">
        <f>VLOOKUP($B20,'[4]Data C 2,4'!$A$3:$S$189,H$1,0)%</f>
        <v>0.16</v>
      </c>
      <c r="I20" s="396">
        <f>VLOOKUP($B20,'[4]Data C 2,4'!$A$3:$S$189,I$1,0)%</f>
        <v>0.16</v>
      </c>
      <c r="J20" s="396">
        <f>VLOOKUP($B20,'[4]Data C 2,4'!$A$3:$S$189,J$1,0)%</f>
        <v>0.19</v>
      </c>
      <c r="K20" s="396">
        <f>VLOOKUP($B20,'[4]Data C 2,4'!$A$3:$S$189,K$1,0)%</f>
        <v>0.19</v>
      </c>
      <c r="L20" s="396">
        <f>VLOOKUP($B20,'[4]Data C 2,4'!$A$3:$S$189,L$1,0)%</f>
        <v>0.19</v>
      </c>
      <c r="M20" s="396">
        <f>VLOOKUP($B20,'[4]Data C 2,4'!$A$3:$S$189,M$1,0)%</f>
        <v>0.19</v>
      </c>
      <c r="N20" s="396">
        <f>VLOOKUP($B20,'[4]Data C 2,4'!$A$3:$S$189,N$1,0)%</f>
        <v>0.19</v>
      </c>
      <c r="O20" s="396">
        <f>VLOOKUP($B20,'[4]Data C 2,4'!$A$3:$S$189,O$1,0)%</f>
        <v>0.19</v>
      </c>
      <c r="P20" s="396">
        <f>VLOOKUP($B20,'[4]Data C 2,4'!$A$3:$S$189,P$1,0)%</f>
        <v>0.19</v>
      </c>
      <c r="Q20" s="396">
        <f>VLOOKUP($B20,'[4]Data C 2,4'!$A$3:$S$189,Q$1,0)%</f>
        <v>0.09</v>
      </c>
      <c r="R20" s="1364">
        <f>VLOOKUP($B20,'[4]Data C 2,4'!$A$3:$S$189,R$1,0)%</f>
        <v>0.09</v>
      </c>
    </row>
    <row r="21" spans="1:18" x14ac:dyDescent="0.35">
      <c r="B21" s="95" t="s">
        <v>65</v>
      </c>
      <c r="C21" s="1137">
        <f>VLOOKUP($B21,'[4]Data C 2,4'!$A$3:$S$189,C$1,0)%</f>
        <v>0.18</v>
      </c>
      <c r="D21" s="396">
        <f>VLOOKUP($B21,'[4]Data C 2,4'!$A$3:$S$189,D$1,0)%</f>
        <v>0.18</v>
      </c>
      <c r="E21" s="396">
        <f>VLOOKUP($B21,'[4]Data C 2,4'!$A$3:$S$189,E$1,0)%</f>
        <v>0.18</v>
      </c>
      <c r="F21" s="396">
        <f>VLOOKUP($B21,'[4]Data C 2,4'!$A$3:$S$189,F$1,0)%</f>
        <v>0.18</v>
      </c>
      <c r="G21" s="396">
        <f>VLOOKUP($B21,'[4]Data C 2,4'!$A$3:$S$189,G$1,0)%</f>
        <v>0.18</v>
      </c>
      <c r="H21" s="396">
        <f>VLOOKUP($B21,'[4]Data C 2,4'!$A$3:$S$189,H$1,0)%</f>
        <v>0.15</v>
      </c>
      <c r="I21" s="396">
        <f>VLOOKUP($B21,'[4]Data C 2,4'!$A$3:$S$189,I$1,0)%</f>
        <v>0.15</v>
      </c>
      <c r="J21" s="396">
        <f>VLOOKUP($B21,'[4]Data C 2,4'!$A$3:$S$189,J$1,0)%</f>
        <v>0.18</v>
      </c>
      <c r="K21" s="396">
        <f>VLOOKUP($B21,'[4]Data C 2,4'!$A$3:$S$189,K$1,0)%</f>
        <v>0.2</v>
      </c>
      <c r="L21" s="396">
        <f>VLOOKUP($B21,'[4]Data C 2,4'!$A$3:$S$189,L$1,0)%</f>
        <v>0.2</v>
      </c>
      <c r="M21" s="396">
        <f>VLOOKUP($B21,'[4]Data C 2,4'!$A$3:$S$189,M$1,0)%</f>
        <v>0.2</v>
      </c>
      <c r="N21" s="396">
        <f>VLOOKUP($B21,'[4]Data C 2,4'!$A$3:$S$189,N$1,0)%</f>
        <v>0.2</v>
      </c>
      <c r="O21" s="396">
        <f>VLOOKUP($B21,'[4]Data C 2,4'!$A$3:$S$189,O$1,0)%</f>
        <v>0.2</v>
      </c>
      <c r="P21" s="396">
        <f>VLOOKUP($B21,'[4]Data C 2,4'!$A$3:$S$189,P$1,0)%</f>
        <v>0.2</v>
      </c>
      <c r="Q21" s="396">
        <f>VLOOKUP($B21,'[4]Data C 2,4'!$A$3:$S$189,Q$1,0)%</f>
        <v>0.2</v>
      </c>
      <c r="R21" s="1364">
        <f>VLOOKUP($B21,'[4]Data C 2,4'!$A$3:$S$189,R$1,0)%</f>
        <v>0.2</v>
      </c>
    </row>
    <row r="22" spans="1:18" x14ac:dyDescent="0.35">
      <c r="B22" s="95" t="s">
        <v>19</v>
      </c>
      <c r="C22" s="1137">
        <f>VLOOKUP($B22,'[4]Data C 2,4'!$A$3:$S$189,C$1,0)%</f>
        <v>0.125</v>
      </c>
      <c r="D22" s="396">
        <f>VLOOKUP($B22,'[4]Data C 2,4'!$A$3:$S$189,D$1,0)%</f>
        <v>0.125</v>
      </c>
      <c r="E22" s="396">
        <f>VLOOKUP($B22,'[4]Data C 2,4'!$A$3:$S$189,E$1,0)%</f>
        <v>0.125</v>
      </c>
      <c r="F22" s="396">
        <f>VLOOKUP($B22,'[4]Data C 2,4'!$A$3:$S$189,F$1,0)%</f>
        <v>0.125</v>
      </c>
      <c r="G22" s="396">
        <f>VLOOKUP($B22,'[4]Data C 2,4'!$A$3:$S$189,G$1,0)%</f>
        <v>0.125</v>
      </c>
      <c r="H22" s="396">
        <f>VLOOKUP($B22,'[4]Data C 2,4'!$A$3:$S$189,H$1,0)%</f>
        <v>0.125</v>
      </c>
      <c r="I22" s="396">
        <f>VLOOKUP($B22,'[4]Data C 2,4'!$A$3:$S$189,I$1,0)%</f>
        <v>0.125</v>
      </c>
      <c r="J22" s="396">
        <f>VLOOKUP($B22,'[4]Data C 2,4'!$A$3:$S$189,J$1,0)%</f>
        <v>0.125</v>
      </c>
      <c r="K22" s="396">
        <f>VLOOKUP($B22,'[4]Data C 2,4'!$A$3:$S$189,K$1,0)%</f>
        <v>0.125</v>
      </c>
      <c r="L22" s="396">
        <f>VLOOKUP($B22,'[4]Data C 2,4'!$A$3:$S$189,L$1,0)%</f>
        <v>0.125</v>
      </c>
      <c r="M22" s="396">
        <f>VLOOKUP($B22,'[4]Data C 2,4'!$A$3:$S$189,M$1,0)%</f>
        <v>0.125</v>
      </c>
      <c r="N22" s="396">
        <f>VLOOKUP($B22,'[4]Data C 2,4'!$A$3:$S$189,N$1,0)%</f>
        <v>0.125</v>
      </c>
      <c r="O22" s="396">
        <f>VLOOKUP($B22,'[4]Data C 2,4'!$A$3:$S$189,O$1,0)%</f>
        <v>0.125</v>
      </c>
      <c r="P22" s="396">
        <f>VLOOKUP($B22,'[4]Data C 2,4'!$A$3:$S$189,P$1,0)%</f>
        <v>0.125</v>
      </c>
      <c r="Q22" s="396">
        <f>VLOOKUP($B22,'[4]Data C 2,4'!$A$3:$S$189,Q$1,0)%</f>
        <v>0.125</v>
      </c>
      <c r="R22" s="1364">
        <f>VLOOKUP($B22,'[4]Data C 2,4'!$A$3:$S$189,R$1,0)%</f>
        <v>0.125</v>
      </c>
    </row>
    <row r="23" spans="1:18" x14ac:dyDescent="0.35">
      <c r="B23" s="95" t="s">
        <v>95</v>
      </c>
      <c r="C23" s="1137">
        <f>VLOOKUP($B23,'[4]Data C 2,4'!$A$3:$S$189,C$1,0)%</f>
        <v>0.36</v>
      </c>
      <c r="D23" s="396">
        <f>VLOOKUP($B23,'[4]Data C 2,4'!$A$3:$S$189,D$1,0)%</f>
        <v>0.35</v>
      </c>
      <c r="E23" s="396">
        <f>VLOOKUP($B23,'[4]Data C 2,4'!$A$3:$S$189,E$1,0)%</f>
        <v>0.34</v>
      </c>
      <c r="F23" s="396">
        <f>VLOOKUP($B23,'[4]Data C 2,4'!$A$3:$S$189,F$1,0)%</f>
        <v>0.31</v>
      </c>
      <c r="G23" s="396">
        <f>VLOOKUP($B23,'[4]Data C 2,4'!$A$3:$S$189,G$1,0)%</f>
        <v>0.28999999999999998</v>
      </c>
      <c r="H23" s="396">
        <f>VLOOKUP($B23,'[4]Data C 2,4'!$A$3:$S$189,H$1,0)%</f>
        <v>0.27</v>
      </c>
      <c r="I23" s="396">
        <f>VLOOKUP($B23,'[4]Data C 2,4'!$A$3:$S$189,I$1,0)%</f>
        <v>0.26</v>
      </c>
      <c r="J23" s="396">
        <f>VLOOKUP($B23,'[4]Data C 2,4'!$A$3:$S$189,J$1,0)%</f>
        <v>0.25</v>
      </c>
      <c r="K23" s="396">
        <f>VLOOKUP($B23,'[4]Data C 2,4'!$A$3:$S$189,K$1,0)%</f>
        <v>0.24</v>
      </c>
      <c r="L23" s="396">
        <f>VLOOKUP($B23,'[4]Data C 2,4'!$A$3:$S$189,L$1,0)%</f>
        <v>0.25</v>
      </c>
      <c r="M23" s="396">
        <f>VLOOKUP($B23,'[4]Data C 2,4'!$A$3:$S$189,M$1,0)%</f>
        <v>0.25</v>
      </c>
      <c r="N23" s="396">
        <f>VLOOKUP($B23,'[4]Data C 2,4'!$A$3:$S$189,N$1,0)%</f>
        <v>0.26500000000000001</v>
      </c>
      <c r="O23" s="396">
        <f>VLOOKUP($B23,'[4]Data C 2,4'!$A$3:$S$189,O$1,0)%</f>
        <v>0.25</v>
      </c>
      <c r="P23" s="396">
        <f>VLOOKUP($B23,'[4]Data C 2,4'!$A$3:$S$189,P$1,0)%</f>
        <v>0.25</v>
      </c>
      <c r="Q23" s="396">
        <f>VLOOKUP($B23,'[4]Data C 2,4'!$A$3:$S$189,Q$1,0)%</f>
        <v>0.24</v>
      </c>
      <c r="R23" s="1364">
        <f>VLOOKUP($B23,'[4]Data C 2,4'!$A$3:$S$189,R$1,0)%</f>
        <v>0.23</v>
      </c>
    </row>
    <row r="24" spans="1:18" x14ac:dyDescent="0.35">
      <c r="B24" s="95" t="s">
        <v>66</v>
      </c>
      <c r="C24" s="1137">
        <f>VLOOKUP($B24,'[4]Data C 2,4'!$A$3:$S$189,C$1,0)%</f>
        <v>0.38250000000000001</v>
      </c>
      <c r="D24" s="396">
        <f>VLOOKUP($B24,'[4]Data C 2,4'!$A$3:$S$189,D$1,0)%</f>
        <v>0.3725</v>
      </c>
      <c r="E24" s="396">
        <f>VLOOKUP($B24,'[4]Data C 2,4'!$A$3:$S$189,E$1,0)%</f>
        <v>0.3725</v>
      </c>
      <c r="F24" s="396">
        <f>VLOOKUP($B24,'[4]Data C 2,4'!$A$3:$S$189,F$1,0)%</f>
        <v>0.3725</v>
      </c>
      <c r="G24" s="396">
        <f>VLOOKUP($B24,'[4]Data C 2,4'!$A$3:$S$189,G$1,0)%</f>
        <v>0.3725</v>
      </c>
      <c r="H24" s="396">
        <f>VLOOKUP($B24,'[4]Data C 2,4'!$A$3:$S$189,H$1,0)%</f>
        <v>0.314</v>
      </c>
      <c r="I24" s="396">
        <f>VLOOKUP($B24,'[4]Data C 2,4'!$A$3:$S$189,I$1,0)%</f>
        <v>0.314</v>
      </c>
      <c r="J24" s="396">
        <f>VLOOKUP($B24,'[4]Data C 2,4'!$A$3:$S$189,J$1,0)%</f>
        <v>0.314</v>
      </c>
      <c r="K24" s="396">
        <f>VLOOKUP($B24,'[4]Data C 2,4'!$A$3:$S$189,K$1,0)%</f>
        <v>0.314</v>
      </c>
      <c r="L24" s="396">
        <f>VLOOKUP($B24,'[4]Data C 2,4'!$A$3:$S$189,L$1,0)%</f>
        <v>0.314</v>
      </c>
      <c r="M24" s="396">
        <f>VLOOKUP($B24,'[4]Data C 2,4'!$A$3:$S$189,M$1,0)%</f>
        <v>0.314</v>
      </c>
      <c r="N24" s="396">
        <f>VLOOKUP($B24,'[4]Data C 2,4'!$A$3:$S$189,N$1,0)%</f>
        <v>0.314</v>
      </c>
      <c r="O24" s="396">
        <f>VLOOKUP($B24,'[4]Data C 2,4'!$A$3:$S$189,O$1,0)%</f>
        <v>0.314</v>
      </c>
      <c r="P24" s="396">
        <f>VLOOKUP($B24,'[4]Data C 2,4'!$A$3:$S$189,P$1,0)%</f>
        <v>0.314</v>
      </c>
      <c r="Q24" s="396">
        <f>VLOOKUP($B24,'[4]Data C 2,4'!$A$3:$S$189,Q$1,0)%</f>
        <v>0.24</v>
      </c>
      <c r="R24" s="1364">
        <f>VLOOKUP($B24,'[4]Data C 2,4'!$A$3:$S$189,R$1,0)%</f>
        <v>0.24</v>
      </c>
    </row>
    <row r="25" spans="1:18" x14ac:dyDescent="0.35">
      <c r="B25" s="95" t="s">
        <v>67</v>
      </c>
      <c r="C25" s="1137">
        <f>VLOOKUP($B25,'[4]Data C 2,4'!$A$3:$S$189,C$1,0)%</f>
        <v>0.42</v>
      </c>
      <c r="D25" s="396">
        <f>VLOOKUP($B25,'[4]Data C 2,4'!$A$3:$S$189,D$1,0)%</f>
        <v>0.42</v>
      </c>
      <c r="E25" s="396">
        <f>VLOOKUP($B25,'[4]Data C 2,4'!$A$3:$S$189,E$1,0)%</f>
        <v>0.40689999999999998</v>
      </c>
      <c r="F25" s="396">
        <f>VLOOKUP($B25,'[4]Data C 2,4'!$A$3:$S$189,F$1,0)%</f>
        <v>0.40689999999999998</v>
      </c>
      <c r="G25" s="396">
        <f>VLOOKUP($B25,'[4]Data C 2,4'!$A$3:$S$189,G$1,0)%</f>
        <v>0.40689999999999998</v>
      </c>
      <c r="H25" s="396">
        <f>VLOOKUP($B25,'[4]Data C 2,4'!$A$3:$S$189,H$1,0)%</f>
        <v>0.40689999999999998</v>
      </c>
      <c r="I25" s="396">
        <f>VLOOKUP($B25,'[4]Data C 2,4'!$A$3:$S$189,I$1,0)%</f>
        <v>0.40689999999999998</v>
      </c>
      <c r="J25" s="396">
        <f>VLOOKUP($B25,'[4]Data C 2,4'!$A$3:$S$189,J$1,0)%</f>
        <v>0.40689999999999998</v>
      </c>
      <c r="K25" s="396">
        <f>VLOOKUP($B25,'[4]Data C 2,4'!$A$3:$S$189,K$1,0)%</f>
        <v>0.40689999999999998</v>
      </c>
      <c r="L25" s="396">
        <f>VLOOKUP($B25,'[4]Data C 2,4'!$A$3:$S$189,L$1,0)%</f>
        <v>0.38009999999999999</v>
      </c>
      <c r="M25" s="396">
        <f>VLOOKUP($B25,'[4]Data C 2,4'!$A$3:$S$189,M$1,0)%</f>
        <v>0.38009999999999999</v>
      </c>
      <c r="N25" s="396">
        <f>VLOOKUP($B25,'[4]Data C 2,4'!$A$3:$S$189,N$1,0)%</f>
        <v>0.35639999999999999</v>
      </c>
      <c r="O25" s="396">
        <f>VLOOKUP($B25,'[4]Data C 2,4'!$A$3:$S$189,O$1,0)%</f>
        <v>0.33860000000000001</v>
      </c>
      <c r="P25" s="396">
        <f>VLOOKUP($B25,'[4]Data C 2,4'!$A$3:$S$189,P$1,0)%</f>
        <v>0.30859999999999999</v>
      </c>
      <c r="Q25" s="396">
        <f>VLOOKUP($B25,'[4]Data C 2,4'!$A$3:$S$189,Q$1,0)%</f>
        <v>0.30859999999999999</v>
      </c>
      <c r="R25" s="1364">
        <f>VLOOKUP($B25,'[4]Data C 2,4'!$A$3:$S$189,R$1,0)%</f>
        <v>0.30859999999999999</v>
      </c>
    </row>
    <row r="26" spans="1:18" x14ac:dyDescent="0.35">
      <c r="A26" t="s">
        <v>536</v>
      </c>
      <c r="B26" s="95" t="s">
        <v>68</v>
      </c>
      <c r="C26" s="1137">
        <f>VLOOKUP($A26,'[4]Data C 2,4'!$A$3:$S$189,C$1,0)%</f>
        <v>0.29699999999999999</v>
      </c>
      <c r="D26" s="396">
        <f>VLOOKUP($A26,'[4]Data C 2,4'!$A$3:$S$189,D$1,0)%</f>
        <v>0.29699999999999999</v>
      </c>
      <c r="E26" s="396">
        <f>VLOOKUP($A26,'[4]Data C 2,4'!$A$3:$S$189,E$1,0)%</f>
        <v>0.27500000000000002</v>
      </c>
      <c r="F26" s="396">
        <f>VLOOKUP($A26,'[4]Data C 2,4'!$A$3:$S$189,F$1,0)%</f>
        <v>0.27500000000000002</v>
      </c>
      <c r="G26" s="396">
        <f>VLOOKUP($A26,'[4]Data C 2,4'!$A$3:$S$189,G$1,0)%</f>
        <v>0.27500000000000002</v>
      </c>
      <c r="H26" s="396">
        <f>VLOOKUP($A26,'[4]Data C 2,4'!$A$3:$S$189,H$1,0)%</f>
        <v>0.27500000000000002</v>
      </c>
      <c r="I26" s="396">
        <f>VLOOKUP($A26,'[4]Data C 2,4'!$A$3:$S$189,I$1,0)%</f>
        <v>0.24199999999999999</v>
      </c>
      <c r="J26" s="396">
        <f>VLOOKUP($A26,'[4]Data C 2,4'!$A$3:$S$189,J$1,0)%</f>
        <v>0.24199999999999999</v>
      </c>
      <c r="K26" s="396">
        <f>VLOOKUP($A26,'[4]Data C 2,4'!$A$3:$S$189,K$1,0)%</f>
        <v>0.22</v>
      </c>
      <c r="L26" s="396">
        <f>VLOOKUP($A26,'[4]Data C 2,4'!$A$3:$S$189,L$1,0)%</f>
        <v>0.24199999999999999</v>
      </c>
      <c r="M26" s="396">
        <f>VLOOKUP($A26,'[4]Data C 2,4'!$A$3:$S$189,M$1,0)%</f>
        <v>0.24199999999999999</v>
      </c>
      <c r="N26" s="396">
        <f>VLOOKUP($A26,'[4]Data C 2,4'!$A$3:$S$189,N$1,0)%</f>
        <v>0.24199999999999999</v>
      </c>
      <c r="O26" s="396">
        <f>VLOOKUP($A26,'[4]Data C 2,4'!$A$3:$S$189,O$1,0)%</f>
        <v>0.24199999999999999</v>
      </c>
      <c r="P26" s="396">
        <f>VLOOKUP($A26,'[4]Data C 2,4'!$A$3:$S$189,P$1,0)%</f>
        <v>0.24199999999999999</v>
      </c>
      <c r="Q26" s="396">
        <f>VLOOKUP($A26,'[4]Data C 2,4'!$A$3:$S$189,Q$1,0)%</f>
        <v>0.22</v>
      </c>
      <c r="R26" s="1364">
        <f>VLOOKUP($A26,'[4]Data C 2,4'!$A$3:$S$189,R$1,0)%</f>
        <v>0.25</v>
      </c>
    </row>
    <row r="27" spans="1:18" x14ac:dyDescent="0.35">
      <c r="B27" s="13" t="s">
        <v>69</v>
      </c>
      <c r="C27" s="1137">
        <f>VLOOKUP($B27,'[4]Data C 2,4'!$A$3:$S$189,C$1,0)%</f>
        <v>0.19</v>
      </c>
      <c r="D27" s="396">
        <f>VLOOKUP($B27,'[4]Data C 2,4'!$A$3:$S$189,D$1,0)%</f>
        <v>0.15</v>
      </c>
      <c r="E27" s="396">
        <f>VLOOKUP($B27,'[4]Data C 2,4'!$A$3:$S$189,E$1,0)%</f>
        <v>0.15</v>
      </c>
      <c r="F27" s="396">
        <f>VLOOKUP($B27,'[4]Data C 2,4'!$A$3:$S$189,F$1,0)%</f>
        <v>0.15</v>
      </c>
      <c r="G27" s="396">
        <f>VLOOKUP($B27,'[4]Data C 2,4'!$A$3:$S$189,G$1,0)%</f>
        <v>0.15</v>
      </c>
      <c r="H27" s="396">
        <f>VLOOKUP($B27,'[4]Data C 2,4'!$A$3:$S$189,H$1,0)%</f>
        <v>0.15</v>
      </c>
      <c r="I27" s="396">
        <f>VLOOKUP($B27,'[4]Data C 2,4'!$A$3:$S$189,I$1,0)%</f>
        <v>0.15</v>
      </c>
      <c r="J27" s="396">
        <f>VLOOKUP($B27,'[4]Data C 2,4'!$A$3:$S$189,J$1,0)%</f>
        <v>0.15</v>
      </c>
      <c r="K27" s="396">
        <f>VLOOKUP($B27,'[4]Data C 2,4'!$A$3:$S$189,K$1,0)%</f>
        <v>0.15</v>
      </c>
      <c r="L27" s="396">
        <f>VLOOKUP($B27,'[4]Data C 2,4'!$A$3:$S$189,L$1,0)%</f>
        <v>0.15</v>
      </c>
      <c r="M27" s="396">
        <f>VLOOKUP($B27,'[4]Data C 2,4'!$A$3:$S$189,M$1,0)%</f>
        <v>0.15</v>
      </c>
      <c r="N27" s="396">
        <f>VLOOKUP($B27,'[4]Data C 2,4'!$A$3:$S$189,N$1,0)%</f>
        <v>0.15</v>
      </c>
      <c r="O27" s="396">
        <f>VLOOKUP($B27,'[4]Data C 2,4'!$A$3:$S$189,O$1,0)%</f>
        <v>0.15</v>
      </c>
      <c r="P27" s="396">
        <f>VLOOKUP($B27,'[4]Data C 2,4'!$A$3:$S$189,P$1,0)%</f>
        <v>0.15</v>
      </c>
      <c r="Q27" s="396">
        <f>VLOOKUP($B27,'[4]Data C 2,4'!$A$3:$S$189,Q$1,0)%</f>
        <v>0.15</v>
      </c>
      <c r="R27" s="1364">
        <f>VLOOKUP($B27,'[4]Data C 2,4'!$A$3:$S$189,R$1,0)%</f>
        <v>0.2</v>
      </c>
    </row>
    <row r="28" spans="1:18" x14ac:dyDescent="0.35">
      <c r="B28" s="13" t="s">
        <v>70</v>
      </c>
      <c r="C28" s="1137">
        <f>VLOOKUP($B28,'[4]Data C 2,4'!$A$3:$S$189,C$1,0)%</f>
        <v>0.30380000000000001</v>
      </c>
      <c r="D28" s="396">
        <f>VLOOKUP($B28,'[4]Data C 2,4'!$A$3:$S$189,D$1,0)%</f>
        <v>0.30380000000000001</v>
      </c>
      <c r="E28" s="396">
        <f>VLOOKUP($B28,'[4]Data C 2,4'!$A$3:$S$189,E$1,0)%</f>
        <v>0.30380000000000001</v>
      </c>
      <c r="F28" s="396">
        <f>VLOOKUP($B28,'[4]Data C 2,4'!$A$3:$S$189,F$1,0)%</f>
        <v>0.29630000000000001</v>
      </c>
      <c r="G28" s="396">
        <f>VLOOKUP($B28,'[4]Data C 2,4'!$A$3:$S$189,G$1,0)%</f>
        <v>0.29630000000000001</v>
      </c>
      <c r="H28" s="396">
        <f>VLOOKUP($B28,'[4]Data C 2,4'!$A$3:$S$189,H$1,0)%</f>
        <v>0.29630000000000001</v>
      </c>
      <c r="I28" s="396">
        <f>VLOOKUP($B28,'[4]Data C 2,4'!$A$3:$S$189,I$1,0)%</f>
        <v>0.28589999999999999</v>
      </c>
      <c r="J28" s="396">
        <f>VLOOKUP($B28,'[4]Data C 2,4'!$A$3:$S$189,J$1,0)%</f>
        <v>0.28589999999999999</v>
      </c>
      <c r="K28" s="396">
        <f>VLOOKUP($B28,'[4]Data C 2,4'!$A$3:$S$189,K$1,0)%</f>
        <v>0.28800000000000003</v>
      </c>
      <c r="L28" s="396">
        <f>VLOOKUP($B28,'[4]Data C 2,4'!$A$3:$S$189,L$1,0)%</f>
        <v>0.28800000000000003</v>
      </c>
      <c r="M28" s="396">
        <f>VLOOKUP($B28,'[4]Data C 2,4'!$A$3:$S$189,M$1,0)%</f>
        <v>0.29220000000000002</v>
      </c>
      <c r="N28" s="396">
        <f>VLOOKUP($B28,'[4]Data C 2,4'!$A$3:$S$189,N$1,0)%</f>
        <v>0.29220000000000002</v>
      </c>
      <c r="O28" s="396">
        <f>VLOOKUP($B28,'[4]Data C 2,4'!$A$3:$S$189,O$1,0)%</f>
        <v>0.29220000000000002</v>
      </c>
      <c r="P28" s="396">
        <f>VLOOKUP($B28,'[4]Data C 2,4'!$A$3:$S$189,P$1,0)%</f>
        <v>0.29220000000000002</v>
      </c>
      <c r="Q28" s="396">
        <f>VLOOKUP($B28,'[4]Data C 2,4'!$A$3:$S$189,Q$1,0)%</f>
        <v>0.27079999999999999</v>
      </c>
      <c r="R28" s="1364">
        <f>VLOOKUP($B28,'[4]Data C 2,4'!$A$3:$S$189,R$1,0)%</f>
        <v>0.2601</v>
      </c>
    </row>
    <row r="29" spans="1:18" x14ac:dyDescent="0.35">
      <c r="B29" s="13" t="s">
        <v>71</v>
      </c>
      <c r="C29" s="1137">
        <f>VLOOKUP($B29,'[4]Data C 2,4'!$A$3:$S$189,C$1,0)%</f>
        <v>0.34</v>
      </c>
      <c r="D29" s="396">
        <f>VLOOKUP($B29,'[4]Data C 2,4'!$A$3:$S$189,D$1,0)%</f>
        <v>0.33</v>
      </c>
      <c r="E29" s="396">
        <f>VLOOKUP($B29,'[4]Data C 2,4'!$A$3:$S$189,E$1,0)%</f>
        <v>0.3</v>
      </c>
      <c r="F29" s="396">
        <f>VLOOKUP($B29,'[4]Data C 2,4'!$A$3:$S$189,F$1,0)%</f>
        <v>0.28999999999999998</v>
      </c>
      <c r="G29" s="396">
        <f>VLOOKUP($B29,'[4]Data C 2,4'!$A$3:$S$189,G$1,0)%</f>
        <v>0.28000000000000003</v>
      </c>
      <c r="H29" s="396">
        <f>VLOOKUP($B29,'[4]Data C 2,4'!$A$3:$S$189,H$1,0)%</f>
        <v>0.28000000000000003</v>
      </c>
      <c r="I29" s="396">
        <f>VLOOKUP($B29,'[4]Data C 2,4'!$A$3:$S$189,I$1,0)%</f>
        <v>0.28000000000000003</v>
      </c>
      <c r="J29" s="396">
        <f>VLOOKUP($B29,'[4]Data C 2,4'!$A$3:$S$189,J$1,0)%</f>
        <v>0.3</v>
      </c>
      <c r="K29" s="396">
        <f>VLOOKUP($B29,'[4]Data C 2,4'!$A$3:$S$189,K$1,0)%</f>
        <v>0.3</v>
      </c>
      <c r="L29" s="396">
        <f>VLOOKUP($B29,'[4]Data C 2,4'!$A$3:$S$189,L$1,0)%</f>
        <v>0.3</v>
      </c>
      <c r="M29" s="396">
        <f>VLOOKUP($B29,'[4]Data C 2,4'!$A$3:$S$189,M$1,0)%</f>
        <v>0.3</v>
      </c>
      <c r="N29" s="396">
        <f>VLOOKUP($B29,'[4]Data C 2,4'!$A$3:$S$189,N$1,0)%</f>
        <v>0.3</v>
      </c>
      <c r="O29" s="396">
        <f>VLOOKUP($B29,'[4]Data C 2,4'!$A$3:$S$189,O$1,0)%</f>
        <v>0.3</v>
      </c>
      <c r="P29" s="396">
        <f>VLOOKUP($B29,'[4]Data C 2,4'!$A$3:$S$189,P$1,0)%</f>
        <v>0.3</v>
      </c>
      <c r="Q29" s="396">
        <f>VLOOKUP($B29,'[4]Data C 2,4'!$A$3:$S$189,Q$1,0)%</f>
        <v>0.3</v>
      </c>
      <c r="R29" s="1364">
        <f>VLOOKUP($B29,'[4]Data C 2,4'!$A$3:$S$189,R$1,0)%</f>
        <v>0.3</v>
      </c>
    </row>
    <row r="30" spans="1:18" x14ac:dyDescent="0.35">
      <c r="B30" s="13" t="s">
        <v>72</v>
      </c>
      <c r="C30" s="1137">
        <f>VLOOKUP($B30,'[4]Data C 2,4'!$A$3:$S$189,C$1,0)%</f>
        <v>0.33</v>
      </c>
      <c r="D30" s="396">
        <f>VLOOKUP($B30,'[4]Data C 2,4'!$A$3:$S$189,D$1,0)%</f>
        <v>0.34499999999999997</v>
      </c>
      <c r="E30" s="396">
        <f>VLOOKUP($B30,'[4]Data C 2,4'!$A$3:$S$189,E$1,0)%</f>
        <v>0.315</v>
      </c>
      <c r="F30" s="396">
        <f>VLOOKUP($B30,'[4]Data C 2,4'!$A$3:$S$189,F$1,0)%</f>
        <v>0.29600000000000004</v>
      </c>
      <c r="G30" s="396">
        <f>VLOOKUP($B30,'[4]Data C 2,4'!$A$3:$S$189,G$1,0)%</f>
        <v>0.255</v>
      </c>
      <c r="H30" s="396">
        <f>VLOOKUP($B30,'[4]Data C 2,4'!$A$3:$S$189,H$1,0)%</f>
        <v>0.255</v>
      </c>
      <c r="I30" s="396">
        <f>VLOOKUP($B30,'[4]Data C 2,4'!$A$3:$S$189,I$1,0)%</f>
        <v>0.255</v>
      </c>
      <c r="J30" s="396">
        <f>VLOOKUP($B30,'[4]Data C 2,4'!$A$3:$S$189,J$1,0)%</f>
        <v>0.255</v>
      </c>
      <c r="K30" s="396">
        <f>VLOOKUP($B30,'[4]Data C 2,4'!$A$3:$S$189,K$1,0)%</f>
        <v>0.25</v>
      </c>
      <c r="L30" s="396">
        <f>VLOOKUP($B30,'[4]Data C 2,4'!$A$3:$S$189,L$1,0)%</f>
        <v>0.25</v>
      </c>
      <c r="M30" s="396">
        <f>VLOOKUP($B30,'[4]Data C 2,4'!$A$3:$S$189,M$1,0)%</f>
        <v>0.25</v>
      </c>
      <c r="N30" s="396">
        <f>VLOOKUP($B30,'[4]Data C 2,4'!$A$3:$S$189,N$1,0)%</f>
        <v>0.25</v>
      </c>
      <c r="O30" s="396">
        <f>VLOOKUP($B30,'[4]Data C 2,4'!$A$3:$S$189,O$1,0)%</f>
        <v>0.25</v>
      </c>
      <c r="P30" s="396">
        <f>VLOOKUP($B30,'[4]Data C 2,4'!$A$3:$S$189,P$1,0)%</f>
        <v>0.25</v>
      </c>
      <c r="Q30" s="396">
        <f>VLOOKUP($B30,'[4]Data C 2,4'!$A$3:$S$189,Q$1,0)%</f>
        <v>0.25</v>
      </c>
      <c r="R30" s="1364">
        <f>VLOOKUP($B30,'[4]Data C 2,4'!$A$3:$S$189,R$1,0)%</f>
        <v>0.25</v>
      </c>
    </row>
    <row r="31" spans="1:18" x14ac:dyDescent="0.35">
      <c r="B31" s="13" t="s">
        <v>73</v>
      </c>
      <c r="C31" s="1137">
        <f>VLOOKUP($B31,'[4]Data C 2,4'!$A$3:$S$189,C$1,0)%</f>
        <v>0.33</v>
      </c>
      <c r="D31" s="396">
        <f>VLOOKUP($B31,'[4]Data C 2,4'!$A$3:$S$189,D$1,0)%</f>
        <v>0.33</v>
      </c>
      <c r="E31" s="396">
        <f>VLOOKUP($B31,'[4]Data C 2,4'!$A$3:$S$189,E$1,0)%</f>
        <v>0.33</v>
      </c>
      <c r="F31" s="396">
        <f>VLOOKUP($B31,'[4]Data C 2,4'!$A$3:$S$189,F$1,0)%</f>
        <v>0.33</v>
      </c>
      <c r="G31" s="396">
        <f>VLOOKUP($B31,'[4]Data C 2,4'!$A$3:$S$189,G$1,0)%</f>
        <v>0.33</v>
      </c>
      <c r="H31" s="396">
        <f>VLOOKUP($B31,'[4]Data C 2,4'!$A$3:$S$189,H$1,0)%</f>
        <v>0.3</v>
      </c>
      <c r="I31" s="396">
        <f>VLOOKUP($B31,'[4]Data C 2,4'!$A$3:$S$189,I$1,0)%</f>
        <v>0.3</v>
      </c>
      <c r="J31" s="396">
        <f>VLOOKUP($B31,'[4]Data C 2,4'!$A$3:$S$189,J$1,0)%</f>
        <v>0.3</v>
      </c>
      <c r="K31" s="396">
        <f>VLOOKUP($B31,'[4]Data C 2,4'!$A$3:$S$189,K$1,0)%</f>
        <v>0.28000000000000003</v>
      </c>
      <c r="L31" s="396">
        <f>VLOOKUP($B31,'[4]Data C 2,4'!$A$3:$S$189,L$1,0)%</f>
        <v>0.28000000000000003</v>
      </c>
      <c r="M31" s="396">
        <f>VLOOKUP($B31,'[4]Data C 2,4'!$A$3:$S$189,M$1,0)%</f>
        <v>0.28000000000000003</v>
      </c>
      <c r="N31" s="396">
        <f>VLOOKUP($B31,'[4]Data C 2,4'!$A$3:$S$189,N$1,0)%</f>
        <v>0.28000000000000003</v>
      </c>
      <c r="O31" s="396">
        <f>VLOOKUP($B31,'[4]Data C 2,4'!$A$3:$S$189,O$1,0)%</f>
        <v>0.28000000000000003</v>
      </c>
      <c r="P31" s="396">
        <f>VLOOKUP($B31,'[4]Data C 2,4'!$A$3:$S$189,P$1,0)%</f>
        <v>0.28000000000000003</v>
      </c>
      <c r="Q31" s="396">
        <f>VLOOKUP($B31,'[4]Data C 2,4'!$A$3:$S$189,Q$1,0)%</f>
        <v>0.28000000000000003</v>
      </c>
      <c r="R31" s="1364">
        <f>VLOOKUP($B31,'[4]Data C 2,4'!$A$3:$S$189,R$1,0)%</f>
        <v>0.28000000000000003</v>
      </c>
    </row>
    <row r="32" spans="1:18" x14ac:dyDescent="0.35">
      <c r="B32" s="13" t="s">
        <v>74</v>
      </c>
      <c r="C32" s="1137">
        <f>VLOOKUP($B32,'[4]Data C 2,4'!$A$3:$S$189,C$1,0)%</f>
        <v>0.28000000000000003</v>
      </c>
      <c r="D32" s="396">
        <f>VLOOKUP($B32,'[4]Data C 2,4'!$A$3:$S$189,D$1,0)%</f>
        <v>0.28000000000000003</v>
      </c>
      <c r="E32" s="396">
        <f>VLOOKUP($B32,'[4]Data C 2,4'!$A$3:$S$189,E$1,0)%</f>
        <v>0.28000000000000003</v>
      </c>
      <c r="F32" s="396">
        <f>VLOOKUP($B32,'[4]Data C 2,4'!$A$3:$S$189,F$1,0)%</f>
        <v>0.28000000000000003</v>
      </c>
      <c r="G32" s="396">
        <f>VLOOKUP($B32,'[4]Data C 2,4'!$A$3:$S$189,G$1,0)%</f>
        <v>0.28000000000000003</v>
      </c>
      <c r="H32" s="396">
        <f>VLOOKUP($B32,'[4]Data C 2,4'!$A$3:$S$189,H$1,0)%</f>
        <v>0.28000000000000003</v>
      </c>
      <c r="I32" s="396">
        <f>VLOOKUP($B32,'[4]Data C 2,4'!$A$3:$S$189,I$1,0)%</f>
        <v>0.28000000000000003</v>
      </c>
      <c r="J32" s="396">
        <f>VLOOKUP($B32,'[4]Data C 2,4'!$A$3:$S$189,J$1,0)%</f>
        <v>0.28000000000000003</v>
      </c>
      <c r="K32" s="396">
        <f>VLOOKUP($B32,'[4]Data C 2,4'!$A$3:$S$189,K$1,0)%</f>
        <v>0.28000000000000003</v>
      </c>
      <c r="L32" s="396">
        <f>VLOOKUP($B32,'[4]Data C 2,4'!$A$3:$S$189,L$1,0)%</f>
        <v>0.28000000000000003</v>
      </c>
      <c r="M32" s="396">
        <f>VLOOKUP($B32,'[4]Data C 2,4'!$A$3:$S$189,M$1,0)%</f>
        <v>0.28000000000000003</v>
      </c>
      <c r="N32" s="396">
        <f>VLOOKUP($B32,'[4]Data C 2,4'!$A$3:$S$189,N$1,0)%</f>
        <v>0.27</v>
      </c>
      <c r="O32" s="396">
        <f>VLOOKUP($B32,'[4]Data C 2,4'!$A$3:$S$189,O$1,0)%</f>
        <v>0.27</v>
      </c>
      <c r="P32" s="396">
        <f>VLOOKUP($B32,'[4]Data C 2,4'!$A$3:$S$189,P$1,0)%</f>
        <v>0.25</v>
      </c>
      <c r="Q32" s="396">
        <f>VLOOKUP($B32,'[4]Data C 2,4'!$A$3:$S$189,Q$1,0)%</f>
        <v>0.24</v>
      </c>
      <c r="R32" s="1364">
        <f>VLOOKUP($B32,'[4]Data C 2,4'!$A$3:$S$189,R$1,0)%</f>
        <v>0.23</v>
      </c>
    </row>
    <row r="33" spans="2:18" x14ac:dyDescent="0.35">
      <c r="B33" s="13" t="s">
        <v>75</v>
      </c>
      <c r="C33" s="1137">
        <f>VLOOKUP($B33,'[4]Data C 2,4'!$A$3:$S$189,C$1,0)%</f>
        <v>0.27</v>
      </c>
      <c r="D33" s="396">
        <f>VLOOKUP($B33,'[4]Data C 2,4'!$A$3:$S$189,D$1,0)%</f>
        <v>0.19</v>
      </c>
      <c r="E33" s="396">
        <f>VLOOKUP($B33,'[4]Data C 2,4'!$A$3:$S$189,E$1,0)%</f>
        <v>0.19</v>
      </c>
      <c r="F33" s="396">
        <f>VLOOKUP($B33,'[4]Data C 2,4'!$A$3:$S$189,F$1,0)%</f>
        <v>0.19</v>
      </c>
      <c r="G33" s="396">
        <f>VLOOKUP($B33,'[4]Data C 2,4'!$A$3:$S$189,G$1,0)%</f>
        <v>0.19</v>
      </c>
      <c r="H33" s="396">
        <f>VLOOKUP($B33,'[4]Data C 2,4'!$A$3:$S$189,H$1,0)%</f>
        <v>0.19</v>
      </c>
      <c r="I33" s="396">
        <f>VLOOKUP($B33,'[4]Data C 2,4'!$A$3:$S$189,I$1,0)%</f>
        <v>0.19</v>
      </c>
      <c r="J33" s="396">
        <f>VLOOKUP($B33,'[4]Data C 2,4'!$A$3:$S$189,J$1,0)%</f>
        <v>0.19</v>
      </c>
      <c r="K33" s="396">
        <f>VLOOKUP($B33,'[4]Data C 2,4'!$A$3:$S$189,K$1,0)%</f>
        <v>0.19</v>
      </c>
      <c r="L33" s="396">
        <f>VLOOKUP($B33,'[4]Data C 2,4'!$A$3:$S$189,L$1,0)%</f>
        <v>0.19</v>
      </c>
      <c r="M33" s="396">
        <f>VLOOKUP($B33,'[4]Data C 2,4'!$A$3:$S$189,M$1,0)%</f>
        <v>0.19</v>
      </c>
      <c r="N33" s="396">
        <f>VLOOKUP($B33,'[4]Data C 2,4'!$A$3:$S$189,N$1,0)%</f>
        <v>0.19</v>
      </c>
      <c r="O33" s="396">
        <f>VLOOKUP($B33,'[4]Data C 2,4'!$A$3:$S$189,O$1,0)%</f>
        <v>0.19</v>
      </c>
      <c r="P33" s="396">
        <f>VLOOKUP($B33,'[4]Data C 2,4'!$A$3:$S$189,P$1,0)%</f>
        <v>0.19</v>
      </c>
      <c r="Q33" s="396">
        <f>VLOOKUP($B33,'[4]Data C 2,4'!$A$3:$S$189,Q$1,0)%</f>
        <v>0.19</v>
      </c>
      <c r="R33" s="1364">
        <f>VLOOKUP($B33,'[4]Data C 2,4'!$A$3:$S$189,R$1,0)%</f>
        <v>0.19</v>
      </c>
    </row>
    <row r="34" spans="2:18" x14ac:dyDescent="0.35">
      <c r="B34" s="13" t="s">
        <v>76</v>
      </c>
      <c r="C34" s="1137">
        <f>VLOOKUP($B34,'[4]Data C 2,4'!$A$3:$S$189,C$1,0)%</f>
        <v>0.25</v>
      </c>
      <c r="D34" s="396">
        <f>VLOOKUP($B34,'[4]Data C 2,4'!$A$3:$S$189,D$1,0)%</f>
        <v>0.27500000000000002</v>
      </c>
      <c r="E34" s="396">
        <f>VLOOKUP($B34,'[4]Data C 2,4'!$A$3:$S$189,E$1,0)%</f>
        <v>0.27500000000000002</v>
      </c>
      <c r="F34" s="396">
        <f>VLOOKUP($B34,'[4]Data C 2,4'!$A$3:$S$189,F$1,0)%</f>
        <v>0.27500000000000002</v>
      </c>
      <c r="G34" s="396">
        <f>VLOOKUP($B34,'[4]Data C 2,4'!$A$3:$S$189,G$1,0)%</f>
        <v>0.25</v>
      </c>
      <c r="H34" s="396">
        <f>VLOOKUP($B34,'[4]Data C 2,4'!$A$3:$S$189,H$1,0)%</f>
        <v>0.25</v>
      </c>
      <c r="I34" s="396">
        <f>VLOOKUP($B34,'[4]Data C 2,4'!$A$3:$S$189,I$1,0)%</f>
        <v>0.25</v>
      </c>
      <c r="J34" s="396">
        <f>VLOOKUP($B34,'[4]Data C 2,4'!$A$3:$S$189,J$1,0)%</f>
        <v>0.25</v>
      </c>
      <c r="K34" s="396">
        <f>VLOOKUP($B34,'[4]Data C 2,4'!$A$3:$S$189,K$1,0)%</f>
        <v>0.25</v>
      </c>
      <c r="L34" s="396">
        <f>VLOOKUP($B34,'[4]Data C 2,4'!$A$3:$S$189,L$1,0)%</f>
        <v>0.25</v>
      </c>
      <c r="M34" s="396">
        <f>VLOOKUP($B34,'[4]Data C 2,4'!$A$3:$S$189,M$1,0)%</f>
        <v>0.25</v>
      </c>
      <c r="N34" s="396">
        <f>VLOOKUP($B34,'[4]Data C 2,4'!$A$3:$S$189,N$1,0)%</f>
        <v>0.23</v>
      </c>
      <c r="O34" s="396">
        <f>VLOOKUP($B34,'[4]Data C 2,4'!$A$3:$S$189,O$1,0)%</f>
        <v>0.21</v>
      </c>
      <c r="P34" s="396">
        <f>VLOOKUP($B34,'[4]Data C 2,4'!$A$3:$S$189,P$1,0)%</f>
        <v>0.21</v>
      </c>
      <c r="Q34" s="396">
        <f>VLOOKUP($B34,'[4]Data C 2,4'!$A$3:$S$189,Q$1,0)%</f>
        <v>0.21</v>
      </c>
      <c r="R34" s="1364">
        <f>VLOOKUP($B34,'[4]Data C 2,4'!$A$3:$S$189,R$1,0)%</f>
        <v>0.21</v>
      </c>
    </row>
    <row r="35" spans="2:18" x14ac:dyDescent="0.35">
      <c r="B35" s="13" t="s">
        <v>96</v>
      </c>
      <c r="C35" s="1137">
        <f>VLOOKUP($B35,'[4]Data C 2,4'!$A$3:$S$189,C$1,0)%</f>
        <v>0.25</v>
      </c>
      <c r="D35" s="396">
        <f>VLOOKUP($B35,'[4]Data C 2,4'!$A$3:$S$189,D$1,0)%</f>
        <v>0.19</v>
      </c>
      <c r="E35" s="396">
        <f>VLOOKUP($B35,'[4]Data C 2,4'!$A$3:$S$189,E$1,0)%</f>
        <v>0.19</v>
      </c>
      <c r="F35" s="396">
        <f>VLOOKUP($B35,'[4]Data C 2,4'!$A$3:$S$189,F$1,0)%</f>
        <v>0.19</v>
      </c>
      <c r="G35" s="396">
        <f>VLOOKUP($B35,'[4]Data C 2,4'!$A$3:$S$189,G$1,0)%</f>
        <v>0.19</v>
      </c>
      <c r="H35" s="396">
        <f>VLOOKUP($B35,'[4]Data C 2,4'!$A$3:$S$189,H$1,0)%</f>
        <v>0.19</v>
      </c>
      <c r="I35" s="396">
        <f>VLOOKUP($B35,'[4]Data C 2,4'!$A$3:$S$189,I$1,0)%</f>
        <v>0.19</v>
      </c>
      <c r="J35" s="396">
        <f>VLOOKUP($B35,'[4]Data C 2,4'!$A$3:$S$189,J$1,0)%</f>
        <v>0.19</v>
      </c>
      <c r="K35" s="396">
        <f>VLOOKUP($B35,'[4]Data C 2,4'!$A$3:$S$189,K$1,0)%</f>
        <v>0.19</v>
      </c>
      <c r="L35" s="396">
        <f>VLOOKUP($B35,'[4]Data C 2,4'!$A$3:$S$189,L$1,0)%</f>
        <v>0.19</v>
      </c>
      <c r="M35" s="396">
        <f>VLOOKUP($B35,'[4]Data C 2,4'!$A$3:$S$189,M$1,0)%</f>
        <v>0.23</v>
      </c>
      <c r="N35" s="396">
        <f>VLOOKUP($B35,'[4]Data C 2,4'!$A$3:$S$189,N$1,0)%</f>
        <v>0.22</v>
      </c>
      <c r="O35" s="396">
        <f>VLOOKUP($B35,'[4]Data C 2,4'!$A$3:$S$189,O$1,0)%</f>
        <v>0.22</v>
      </c>
      <c r="P35" s="396">
        <f>VLOOKUP($B35,'[4]Data C 2,4'!$A$3:$S$189,P$1,0)%</f>
        <v>0.22</v>
      </c>
      <c r="Q35" s="396">
        <f>VLOOKUP($B35,'[4]Data C 2,4'!$A$3:$S$189,Q$1,0)%</f>
        <v>0.21</v>
      </c>
      <c r="R35" s="1364">
        <f>VLOOKUP($B35,'[4]Data C 2,4'!$A$3:$S$189,R$1,0)%</f>
        <v>0.21</v>
      </c>
    </row>
    <row r="36" spans="2:18" x14ac:dyDescent="0.35">
      <c r="B36" s="13" t="s">
        <v>78</v>
      </c>
      <c r="C36" s="1137">
        <f>VLOOKUP($B36,'[4]Data C 2,4'!$A$3:$S$189,C$1,0)%</f>
        <v>0.35</v>
      </c>
      <c r="D36" s="396">
        <f>VLOOKUP($B36,'[4]Data C 2,4'!$A$3:$S$189,D$1,0)%</f>
        <v>0.25</v>
      </c>
      <c r="E36" s="396">
        <f>VLOOKUP($B36,'[4]Data C 2,4'!$A$3:$S$189,E$1,0)%</f>
        <v>0.25</v>
      </c>
      <c r="F36" s="396">
        <f>VLOOKUP($B36,'[4]Data C 2,4'!$A$3:$S$189,F$1,0)%</f>
        <v>0.25</v>
      </c>
      <c r="G36" s="396">
        <f>VLOOKUP($B36,'[4]Data C 2,4'!$A$3:$S$189,G$1,0)%</f>
        <v>0.23</v>
      </c>
      <c r="H36" s="396">
        <f>VLOOKUP($B36,'[4]Data C 2,4'!$A$3:$S$189,H$1,0)%</f>
        <v>0.22</v>
      </c>
      <c r="I36" s="396">
        <f>VLOOKUP($B36,'[4]Data C 2,4'!$A$3:$S$189,I$1,0)%</f>
        <v>0.21</v>
      </c>
      <c r="J36" s="396">
        <f>VLOOKUP($B36,'[4]Data C 2,4'!$A$3:$S$189,J$1,0)%</f>
        <v>0.2</v>
      </c>
      <c r="K36" s="396">
        <f>VLOOKUP($B36,'[4]Data C 2,4'!$A$3:$S$189,K$1,0)%</f>
        <v>0.2</v>
      </c>
      <c r="L36" s="396">
        <f>VLOOKUP($B36,'[4]Data C 2,4'!$A$3:$S$189,L$1,0)%</f>
        <v>0.18</v>
      </c>
      <c r="M36" s="396">
        <f>VLOOKUP($B36,'[4]Data C 2,4'!$A$3:$S$189,M$1,0)%</f>
        <v>0.17</v>
      </c>
      <c r="N36" s="396">
        <f>VLOOKUP($B36,'[4]Data C 2,4'!$A$3:$S$189,N$1,0)%</f>
        <v>0.17</v>
      </c>
      <c r="O36" s="396">
        <f>VLOOKUP($B36,'[4]Data C 2,4'!$A$3:$S$189,O$1,0)%</f>
        <v>0.17</v>
      </c>
      <c r="P36" s="396">
        <f>VLOOKUP($B36,'[4]Data C 2,4'!$A$3:$S$189,P$1,0)%</f>
        <v>0.17</v>
      </c>
      <c r="Q36" s="396">
        <f>VLOOKUP($B36,'[4]Data C 2,4'!$A$3:$S$189,Q$1,0)%</f>
        <v>0.19</v>
      </c>
      <c r="R36" s="1364">
        <f>VLOOKUP($B36,'[4]Data C 2,4'!$A$3:$S$189,R$1,0)%</f>
        <v>0.19</v>
      </c>
    </row>
    <row r="37" spans="2:18" x14ac:dyDescent="0.35">
      <c r="B37" s="13" t="s">
        <v>79</v>
      </c>
      <c r="C37" s="1137">
        <f>VLOOKUP($B37,'[4]Data C 2,4'!$A$3:$S$189,C$1,0)%</f>
        <v>0.35</v>
      </c>
      <c r="D37" s="396">
        <f>VLOOKUP($B37,'[4]Data C 2,4'!$A$3:$S$189,D$1,0)%</f>
        <v>0.35</v>
      </c>
      <c r="E37" s="396">
        <f>VLOOKUP($B37,'[4]Data C 2,4'!$A$3:$S$189,E$1,0)%</f>
        <v>0.35</v>
      </c>
      <c r="F37" s="396">
        <f>VLOOKUP($B37,'[4]Data C 2,4'!$A$3:$S$189,F$1,0)%</f>
        <v>0.35</v>
      </c>
      <c r="G37" s="396">
        <f>VLOOKUP($B37,'[4]Data C 2,4'!$A$3:$S$189,G$1,0)%</f>
        <v>0.32500000000000001</v>
      </c>
      <c r="H37" s="396">
        <f>VLOOKUP($B37,'[4]Data C 2,4'!$A$3:$S$189,H$1,0)%</f>
        <v>0.3</v>
      </c>
      <c r="I37" s="396">
        <f>VLOOKUP($B37,'[4]Data C 2,4'!$A$3:$S$189,I$1,0)%</f>
        <v>0.3</v>
      </c>
      <c r="J37" s="396">
        <f>VLOOKUP($B37,'[4]Data C 2,4'!$A$3:$S$189,J$1,0)%</f>
        <v>0.3</v>
      </c>
      <c r="K37" s="396">
        <f>VLOOKUP($B37,'[4]Data C 2,4'!$A$3:$S$189,K$1,0)%</f>
        <v>0.3</v>
      </c>
      <c r="L37" s="396">
        <f>VLOOKUP($B37,'[4]Data C 2,4'!$A$3:$S$189,L$1,0)%</f>
        <v>0.3</v>
      </c>
      <c r="M37" s="396">
        <f>VLOOKUP($B37,'[4]Data C 2,4'!$A$3:$S$189,M$1,0)%</f>
        <v>0.3</v>
      </c>
      <c r="N37" s="396">
        <f>VLOOKUP($B37,'[4]Data C 2,4'!$A$3:$S$189,N$1,0)%</f>
        <v>0.3</v>
      </c>
      <c r="O37" s="396">
        <f>VLOOKUP($B37,'[4]Data C 2,4'!$A$3:$S$189,O$1,0)%</f>
        <v>0.28000000000000003</v>
      </c>
      <c r="P37" s="396">
        <f>VLOOKUP($B37,'[4]Data C 2,4'!$A$3:$S$189,P$1,0)%</f>
        <v>0.25</v>
      </c>
      <c r="Q37" s="396">
        <f>VLOOKUP($B37,'[4]Data C 2,4'!$A$3:$S$189,Q$1,0)%</f>
        <v>0.25</v>
      </c>
      <c r="R37" s="1364">
        <f>VLOOKUP($B37,'[4]Data C 2,4'!$A$3:$S$189,R$1,0)%</f>
        <v>0.25</v>
      </c>
    </row>
    <row r="38" spans="2:18" x14ac:dyDescent="0.35">
      <c r="B38" s="15" t="s">
        <v>80</v>
      </c>
      <c r="C38" s="1137">
        <f>VLOOKUP($B38,'[4]Data C 2,4'!$A$3:$S$189,C$1,0)%</f>
        <v>0.28000000000000003</v>
      </c>
      <c r="D38" s="396">
        <f>VLOOKUP($B38,'[4]Data C 2,4'!$A$3:$S$189,D$1,0)%</f>
        <v>0.28000000000000003</v>
      </c>
      <c r="E38" s="396">
        <f>VLOOKUP($B38,'[4]Data C 2,4'!$A$3:$S$189,E$1,0)%</f>
        <v>0.28000000000000003</v>
      </c>
      <c r="F38" s="396">
        <f>VLOOKUP($B38,'[4]Data C 2,4'!$A$3:$S$189,F$1,0)%</f>
        <v>0.28000000000000003</v>
      </c>
      <c r="G38" s="396">
        <f>VLOOKUP($B38,'[4]Data C 2,4'!$A$3:$S$189,G$1,0)%</f>
        <v>0.28000000000000003</v>
      </c>
      <c r="H38" s="396">
        <f>VLOOKUP($B38,'[4]Data C 2,4'!$A$3:$S$189,H$1,0)%</f>
        <v>0.28000000000000003</v>
      </c>
      <c r="I38" s="396">
        <f>VLOOKUP($B38,'[4]Data C 2,4'!$A$3:$S$189,I$1,0)%</f>
        <v>0.26300000000000001</v>
      </c>
      <c r="J38" s="396">
        <f>VLOOKUP($B38,'[4]Data C 2,4'!$A$3:$S$189,J$1,0)%</f>
        <v>0.26300000000000001</v>
      </c>
      <c r="K38" s="396">
        <f>VLOOKUP($B38,'[4]Data C 2,4'!$A$3:$S$189,K$1,0)%</f>
        <v>0.26300000000000001</v>
      </c>
      <c r="L38" s="396">
        <f>VLOOKUP($B38,'[4]Data C 2,4'!$A$3:$S$189,L$1,0)%</f>
        <v>0.26300000000000001</v>
      </c>
      <c r="M38" s="396">
        <f>VLOOKUP($B38,'[4]Data C 2,4'!$A$3:$S$189,M$1,0)%</f>
        <v>0.22</v>
      </c>
      <c r="N38" s="396">
        <f>VLOOKUP($B38,'[4]Data C 2,4'!$A$3:$S$189,N$1,0)%</f>
        <v>0.22</v>
      </c>
      <c r="O38" s="396">
        <f>VLOOKUP($B38,'[4]Data C 2,4'!$A$3:$S$189,O$1,0)%</f>
        <v>0.22</v>
      </c>
      <c r="P38" s="396">
        <f>VLOOKUP($B38,'[4]Data C 2,4'!$A$3:$S$189,P$1,0)%</f>
        <v>0.22</v>
      </c>
      <c r="Q38" s="396">
        <f>VLOOKUP($B38,'[4]Data C 2,4'!$A$3:$S$189,Q$1,0)%</f>
        <v>0.22</v>
      </c>
      <c r="R38" s="1364">
        <f>VLOOKUP($B38,'[4]Data C 2,4'!$A$3:$S$189,R$1,0)%</f>
        <v>0.22</v>
      </c>
    </row>
    <row r="39" spans="2:18" x14ac:dyDescent="0.35">
      <c r="B39" s="13" t="s">
        <v>1</v>
      </c>
      <c r="C39" s="1137">
        <f>VLOOKUP($B39,'[4]Data C 2,4'!$A$3:$S$189,C$1,0)%</f>
        <v>0.25</v>
      </c>
      <c r="D39" s="396">
        <f>VLOOKUP($B39,'[4]Data C 2,4'!$A$3:$S$189,D$1,0)%</f>
        <v>0.24100000000000002</v>
      </c>
      <c r="E39" s="396">
        <f>VLOOKUP($B39,'[4]Data C 2,4'!$A$3:$S$189,E$1,0)%</f>
        <v>0.21989999999999998</v>
      </c>
      <c r="F39" s="396">
        <f>VLOOKUP($B39,'[4]Data C 2,4'!$A$3:$S$189,F$1,0)%</f>
        <v>0.21299999999999999</v>
      </c>
      <c r="G39" s="396">
        <f>VLOOKUP($B39,'[4]Data C 2,4'!$A$3:$S$189,G$1,0)%</f>
        <v>0.20629999999999998</v>
      </c>
      <c r="H39" s="396">
        <f>VLOOKUP($B39,'[4]Data C 2,4'!$A$3:$S$189,H$1,0)%</f>
        <v>0.192</v>
      </c>
      <c r="I39" s="396">
        <f>VLOOKUP($B39,'[4]Data C 2,4'!$A$3:$S$189,I$1,0)%</f>
        <v>0.18960000000000002</v>
      </c>
      <c r="J39" s="396">
        <f>VLOOKUP($B39,'[4]Data C 2,4'!$A$3:$S$189,J$1,0)%</f>
        <v>0.1875</v>
      </c>
      <c r="K39" s="396">
        <f>VLOOKUP($B39,'[4]Data C 2,4'!$A$3:$S$189,K$1,0)%</f>
        <v>0.18309999999999998</v>
      </c>
      <c r="L39" s="396">
        <f>VLOOKUP($B39,'[4]Data C 2,4'!$A$3:$S$189,L$1,0)%</f>
        <v>0.18059999999999998</v>
      </c>
      <c r="M39" s="396">
        <f>VLOOKUP($B39,'[4]Data C 2,4'!$A$3:$S$189,M$1,0)%</f>
        <v>0.18010000000000001</v>
      </c>
      <c r="N39" s="396">
        <f>VLOOKUP($B39,'[4]Data C 2,4'!$A$3:$S$189,N$1,0)%</f>
        <v>0.17920000000000003</v>
      </c>
      <c r="O39" s="396">
        <f>VLOOKUP($B39,'[4]Data C 2,4'!$A$3:$S$189,O$1,0)%</f>
        <v>0.17920000000000003</v>
      </c>
      <c r="P39" s="396">
        <f>VLOOKUP($B39,'[4]Data C 2,4'!$A$3:$S$189,P$1,0)%</f>
        <v>0.17920000000000003</v>
      </c>
      <c r="Q39" s="396">
        <f>VLOOKUP($B39,'[4]Data C 2,4'!$A$3:$S$189,Q$1,0)%</f>
        <v>0.1777</v>
      </c>
      <c r="R39" s="1364">
        <f>VLOOKUP($B39,'[4]Data C 2,4'!$A$3:$S$189,R$1,0)%</f>
        <v>0.18</v>
      </c>
    </row>
    <row r="40" spans="2:18" x14ac:dyDescent="0.35">
      <c r="B40" s="13" t="s">
        <v>81</v>
      </c>
      <c r="C40" s="1137">
        <f>VLOOKUP($B40,'[4]Data C 2,4'!$A$3:$S$189,C$1,0)%</f>
        <v>0.3</v>
      </c>
      <c r="D40" s="396">
        <f>VLOOKUP($B40,'[4]Data C 2,4'!$A$3:$S$189,D$1,0)%</f>
        <v>0.33</v>
      </c>
      <c r="E40" s="396">
        <f>VLOOKUP($B40,'[4]Data C 2,4'!$A$3:$S$189,E$1,0)%</f>
        <v>0.3</v>
      </c>
      <c r="F40" s="396">
        <f>VLOOKUP($B40,'[4]Data C 2,4'!$A$3:$S$189,F$1,0)%</f>
        <v>0.2</v>
      </c>
      <c r="G40" s="396">
        <f>VLOOKUP($B40,'[4]Data C 2,4'!$A$3:$S$189,G$1,0)%</f>
        <v>0.2</v>
      </c>
      <c r="H40" s="396">
        <f>VLOOKUP($B40,'[4]Data C 2,4'!$A$3:$S$189,H$1,0)%</f>
        <v>0.2</v>
      </c>
      <c r="I40" s="396">
        <f>VLOOKUP($B40,'[4]Data C 2,4'!$A$3:$S$189,I$1,0)%</f>
        <v>0.2</v>
      </c>
      <c r="J40" s="396">
        <f>VLOOKUP($B40,'[4]Data C 2,4'!$A$3:$S$189,J$1,0)%</f>
        <v>0.2</v>
      </c>
      <c r="K40" s="396">
        <f>VLOOKUP($B40,'[4]Data C 2,4'!$A$3:$S$189,K$1,0)%</f>
        <v>0.2</v>
      </c>
      <c r="L40" s="396">
        <f>VLOOKUP($B40,'[4]Data C 2,4'!$A$3:$S$189,L$1,0)%</f>
        <v>0.2</v>
      </c>
      <c r="M40" s="396">
        <f>VLOOKUP($B40,'[4]Data C 2,4'!$A$3:$S$189,M$1,0)%</f>
        <v>0.2</v>
      </c>
      <c r="N40" s="396">
        <f>VLOOKUP($B40,'[4]Data C 2,4'!$A$3:$S$189,N$1,0)%</f>
        <v>0.2</v>
      </c>
      <c r="O40" s="396">
        <f>VLOOKUP($B40,'[4]Data C 2,4'!$A$3:$S$189,O$1,0)%</f>
        <v>0.2</v>
      </c>
      <c r="P40" s="396">
        <f>VLOOKUP($B40,'[4]Data C 2,4'!$A$3:$S$189,P$1,0)%</f>
        <v>0.2</v>
      </c>
      <c r="Q40" s="396">
        <f>VLOOKUP($B40,'[4]Data C 2,4'!$A$3:$S$189,Q$1,0)%</f>
        <v>0.2</v>
      </c>
      <c r="R40" s="1364">
        <f>VLOOKUP($B40,'[4]Data C 2,4'!$A$3:$S$189,R$1,0)%</f>
        <v>0.22</v>
      </c>
    </row>
    <row r="41" spans="2:18" x14ac:dyDescent="0.35">
      <c r="B41" s="13" t="s">
        <v>82</v>
      </c>
      <c r="C41" s="1137">
        <f>VLOOKUP($B41,'[4]Data C 2,4'!$A$3:$S$189,C$1,0)%</f>
        <v>0.3</v>
      </c>
      <c r="D41" s="396">
        <f>VLOOKUP($B41,'[4]Data C 2,4'!$A$3:$S$189,D$1,0)%</f>
        <v>0.3</v>
      </c>
      <c r="E41" s="396">
        <f>VLOOKUP($B41,'[4]Data C 2,4'!$A$3:$S$189,E$1,0)%</f>
        <v>0.3</v>
      </c>
      <c r="F41" s="396">
        <f>VLOOKUP($B41,'[4]Data C 2,4'!$A$3:$S$189,F$1,0)%</f>
        <v>0.3</v>
      </c>
      <c r="G41" s="396">
        <f>VLOOKUP($B41,'[4]Data C 2,4'!$A$3:$S$189,G$1,0)%</f>
        <v>0.3</v>
      </c>
      <c r="H41" s="396">
        <f>VLOOKUP($B41,'[4]Data C 2,4'!$A$3:$S$189,H$1,0)%</f>
        <v>0.3</v>
      </c>
      <c r="I41" s="396">
        <f>VLOOKUP($B41,'[4]Data C 2,4'!$A$3:$S$189,I$1,0)%</f>
        <v>0.28000000000000003</v>
      </c>
      <c r="J41" s="396">
        <f>VLOOKUP($B41,'[4]Data C 2,4'!$A$3:$S$189,J$1,0)%</f>
        <v>0.28000000000000003</v>
      </c>
      <c r="K41" s="396">
        <f>VLOOKUP($B41,'[4]Data C 2,4'!$A$3:$S$189,K$1,0)%</f>
        <v>0.26</v>
      </c>
      <c r="L41" s="396">
        <f>VLOOKUP($B41,'[4]Data C 2,4'!$A$3:$S$189,L$1,0)%</f>
        <v>0.24</v>
      </c>
      <c r="M41" s="396">
        <f>VLOOKUP($B41,'[4]Data C 2,4'!$A$3:$S$189,M$1,0)%</f>
        <v>0.23</v>
      </c>
      <c r="N41" s="396">
        <f>VLOOKUP($B41,'[4]Data C 2,4'!$A$3:$S$189,N$1,0)%</f>
        <v>0.21</v>
      </c>
      <c r="O41" s="396">
        <f>VLOOKUP($B41,'[4]Data C 2,4'!$A$3:$S$189,O$1,0)%</f>
        <v>0.2</v>
      </c>
      <c r="P41" s="396">
        <f>VLOOKUP($B41,'[4]Data C 2,4'!$A$3:$S$189,P$1,0)%</f>
        <v>0.2</v>
      </c>
      <c r="Q41" s="396">
        <f>VLOOKUP($B41,'[4]Data C 2,4'!$A$3:$S$189,Q$1,0)%</f>
        <v>0.19</v>
      </c>
      <c r="R41" s="1364">
        <f>VLOOKUP($B41,'[4]Data C 2,4'!$A$3:$S$189,R$1,0)%</f>
        <v>0.19</v>
      </c>
    </row>
    <row r="42" spans="2:18" x14ac:dyDescent="0.35">
      <c r="B42" s="13" t="s">
        <v>0</v>
      </c>
      <c r="C42" s="1228">
        <f>+'[4]Data C 2,4'!B188%</f>
        <v>0.39322499999999999</v>
      </c>
      <c r="D42" s="1229">
        <f>+'[4]Data C 2,4'!C188%</f>
        <v>0.39316000000000001</v>
      </c>
      <c r="E42" s="1229">
        <f>+'[4]Data C 2,4'!D188%</f>
        <v>0.39289999999999997</v>
      </c>
      <c r="F42" s="1229">
        <f>+'[4]Data C 2,4'!E188%</f>
        <v>0.39302999999999999</v>
      </c>
      <c r="G42" s="1229">
        <f>+'[4]Data C 2,4'!F188%</f>
        <v>0.39270499999999997</v>
      </c>
      <c r="H42" s="1229">
        <f>+'[4]Data C 2,4'!G188%</f>
        <v>0.39250999999999997</v>
      </c>
      <c r="I42" s="1229">
        <f>+'[4]Data C 2,4'!H188%</f>
        <v>0.39159999999999995</v>
      </c>
      <c r="J42" s="1229">
        <f>+'[4]Data C 2,4'!I188%</f>
        <v>0.39205499999999999</v>
      </c>
      <c r="K42" s="1229">
        <f>+'[4]Data C 2,4'!J188%</f>
        <v>0.39192500000000002</v>
      </c>
      <c r="L42" s="1229">
        <f>+'[4]Data C 2,4'!K188%</f>
        <v>0.39134000000000002</v>
      </c>
      <c r="M42" s="1229">
        <f>+'[4]Data C 2,4'!L188%</f>
        <v>0.39049500000000004</v>
      </c>
      <c r="N42" s="1229">
        <f>+'[4]Data C 2,4'!M188%</f>
        <v>0.39075499999999996</v>
      </c>
      <c r="O42" s="1229">
        <f>+'[4]Data C 2,4'!N188%</f>
        <v>0.38997500000000002</v>
      </c>
      <c r="P42" s="1229">
        <f>+'[4]Data C 2,4'!O188%</f>
        <v>0.38923934000000004</v>
      </c>
      <c r="Q42" s="1229">
        <f>+'[4]Data C 2,4'!P188%</f>
        <v>0.38923934000000004</v>
      </c>
      <c r="R42" s="1364">
        <f>+'[4]Data C 2,4'!Q188%</f>
        <v>0.23923934000000002</v>
      </c>
    </row>
    <row r="43" spans="2:18" x14ac:dyDescent="0.35">
      <c r="B43" s="38" t="s">
        <v>99</v>
      </c>
      <c r="C43" s="1137"/>
      <c r="D43" s="396"/>
      <c r="E43" s="396"/>
      <c r="F43" s="396"/>
      <c r="G43" s="396"/>
      <c r="H43" s="396"/>
      <c r="I43" s="396"/>
      <c r="J43" s="396"/>
      <c r="K43" s="396"/>
      <c r="L43" s="396"/>
      <c r="M43" s="396"/>
      <c r="N43" s="396"/>
      <c r="O43" s="396"/>
      <c r="P43" s="396"/>
      <c r="Q43" s="396"/>
      <c r="R43" s="1364"/>
    </row>
    <row r="44" spans="2:18" x14ac:dyDescent="0.35">
      <c r="B44" s="95" t="s">
        <v>92</v>
      </c>
      <c r="C44" s="1137">
        <f>VLOOKUP($B44,'[4]Data C 2,4'!$A$3:$S$189,C$1,0)%</f>
        <v>0.34</v>
      </c>
      <c r="D44" s="396">
        <f>VLOOKUP($B44,'[4]Data C 2,4'!$A$3:$S$189,D$1,0)%</f>
        <v>0.34</v>
      </c>
      <c r="E44" s="396">
        <f>VLOOKUP($B44,'[4]Data C 2,4'!$A$3:$S$189,E$1,0)%</f>
        <v>0.34</v>
      </c>
      <c r="F44" s="396">
        <f>VLOOKUP($B44,'[4]Data C 2,4'!$A$3:$S$189,F$1,0)%</f>
        <v>0.34</v>
      </c>
      <c r="G44" s="396">
        <f>VLOOKUP($B44,'[4]Data C 2,4'!$A$3:$S$189,G$1,0)%</f>
        <v>0.34</v>
      </c>
      <c r="H44" s="396">
        <f>VLOOKUP($B44,'[4]Data C 2,4'!$A$3:$S$189,H$1,0)%</f>
        <v>0.34</v>
      </c>
      <c r="I44" s="396">
        <f>VLOOKUP($B44,'[4]Data C 2,4'!$A$3:$S$189,I$1,0)%</f>
        <v>0.34</v>
      </c>
      <c r="J44" s="396">
        <f>VLOOKUP($B44,'[4]Data C 2,4'!$A$3:$S$189,J$1,0)%</f>
        <v>0.34</v>
      </c>
      <c r="K44" s="396">
        <f>VLOOKUP($B44,'[4]Data C 2,4'!$A$3:$S$189,K$1,0)%</f>
        <v>0.34</v>
      </c>
      <c r="L44" s="396">
        <f>VLOOKUP($B44,'[4]Data C 2,4'!$A$3:$S$189,L$1,0)%</f>
        <v>0.34</v>
      </c>
      <c r="M44" s="396">
        <f>VLOOKUP($B44,'[4]Data C 2,4'!$A$3:$S$189,M$1,0)%</f>
        <v>0.34</v>
      </c>
      <c r="N44" s="396">
        <f>VLOOKUP($B44,'[4]Data C 2,4'!$A$3:$S$189,N$1,0)%</f>
        <v>0.34</v>
      </c>
      <c r="O44" s="396">
        <f>VLOOKUP($B44,'[4]Data C 2,4'!$A$3:$S$189,O$1,0)%</f>
        <v>0.34</v>
      </c>
      <c r="P44" s="396">
        <f>VLOOKUP($B44,'[4]Data C 2,4'!$A$3:$S$189,P$1,0)%</f>
        <v>0.34</v>
      </c>
      <c r="Q44" s="396">
        <f>VLOOKUP($B44,'[4]Data C 2,4'!$A$3:$S$189,Q$1,0)%</f>
        <v>0.34</v>
      </c>
      <c r="R44" s="1364">
        <f>VLOOKUP($B44,'[4]Data C 2,4'!$A$3:$S$189,R$1,0)%</f>
        <v>0.34</v>
      </c>
    </row>
    <row r="45" spans="2:18" x14ac:dyDescent="0.35">
      <c r="B45" s="31" t="s">
        <v>101</v>
      </c>
      <c r="C45" s="1137">
        <f>VLOOKUP($B45,'[4]Data C 2,4'!$A$3:$S$189,C$1,0)%</f>
        <v>0.33</v>
      </c>
      <c r="D45" s="396">
        <f>VLOOKUP($B45,'[4]Data C 2,4'!$A$3:$S$189,D$1,0)%</f>
        <v>0.33</v>
      </c>
      <c r="E45" s="396">
        <f>VLOOKUP($B45,'[4]Data C 2,4'!$A$3:$S$189,E$1,0)%</f>
        <v>0.33</v>
      </c>
      <c r="F45" s="396">
        <f>VLOOKUP($B45,'[4]Data C 2,4'!$A$3:$S$189,F$1,0)%</f>
        <v>0.33</v>
      </c>
      <c r="G45" s="396">
        <f>VLOOKUP($B45,'[4]Data C 2,4'!$A$3:$S$189,G$1,0)%</f>
        <v>0.33</v>
      </c>
      <c r="H45" s="396">
        <f>VLOOKUP($B45,'[4]Data C 2,4'!$A$3:$S$189,H$1,0)%</f>
        <v>0.25</v>
      </c>
      <c r="I45" s="396">
        <f>VLOOKUP($B45,'[4]Data C 2,4'!$A$3:$S$189,I$1,0)%</f>
        <v>0.25</v>
      </c>
      <c r="J45" s="396">
        <f>VLOOKUP($B45,'[4]Data C 2,4'!$A$3:$S$189,J$1,0)%</f>
        <v>0.25</v>
      </c>
      <c r="K45" s="396">
        <f>VLOOKUP($B45,'[4]Data C 2,4'!$A$3:$S$189,K$1,0)%</f>
        <v>0.25</v>
      </c>
      <c r="L45" s="396">
        <f>VLOOKUP($B45,'[4]Data C 2,4'!$A$3:$S$189,L$1,0)%</f>
        <v>0.25</v>
      </c>
      <c r="M45" s="396">
        <f>VLOOKUP($B45,'[4]Data C 2,4'!$A$3:$S$189,M$1,0)%</f>
        <v>0.25</v>
      </c>
      <c r="N45" s="396">
        <f>VLOOKUP($B45,'[4]Data C 2,4'!$A$3:$S$189,N$1,0)%</f>
        <v>0.25</v>
      </c>
      <c r="O45" s="396">
        <f>VLOOKUP($B45,'[4]Data C 2,4'!$A$3:$S$189,O$1,0)%</f>
        <v>0.25</v>
      </c>
      <c r="P45" s="396">
        <f>VLOOKUP($B45,'[4]Data C 2,4'!$A$3:$S$189,P$1,0)%</f>
        <v>0.25</v>
      </c>
      <c r="Q45" s="396">
        <f>VLOOKUP($B45,'[4]Data C 2,4'!$A$3:$S$189,Q$1,0)%</f>
        <v>0.25</v>
      </c>
      <c r="R45" s="1364">
        <f>VLOOKUP($B45,'[4]Data C 2,4'!$A$3:$S$189,R$1,0)%</f>
        <v>0.25</v>
      </c>
    </row>
    <row r="46" spans="2:18" x14ac:dyDescent="0.35">
      <c r="B46" s="31" t="s">
        <v>93</v>
      </c>
      <c r="C46" s="1137">
        <f>VLOOKUP($B46,'[4]Data C 2,4'!$A$3:$S$189,C$1,0)%</f>
        <v>0.35</v>
      </c>
      <c r="D46" s="396">
        <f>VLOOKUP($B46,'[4]Data C 2,4'!$A$3:$S$189,D$1,0)%</f>
        <v>0.35</v>
      </c>
      <c r="E46" s="396">
        <f>VLOOKUP($B46,'[4]Data C 2,4'!$A$3:$S$189,E$1,0)%</f>
        <v>0.35</v>
      </c>
      <c r="F46" s="396">
        <f>VLOOKUP($B46,'[4]Data C 2,4'!$A$3:$S$189,F$1,0)%</f>
        <v>0.35</v>
      </c>
      <c r="G46" s="396">
        <f>VLOOKUP($B46,'[4]Data C 2,4'!$A$3:$S$189,G$1,0)%</f>
        <v>0.34</v>
      </c>
      <c r="H46" s="396">
        <f>VLOOKUP($B46,'[4]Data C 2,4'!$A$3:$S$189,H$1,0)%</f>
        <v>0.33</v>
      </c>
      <c r="I46" s="396">
        <f>VLOOKUP($B46,'[4]Data C 2,4'!$A$3:$S$189,I$1,0)%</f>
        <v>0.33</v>
      </c>
      <c r="J46" s="396">
        <f>VLOOKUP($B46,'[4]Data C 2,4'!$A$3:$S$189,J$1,0)%</f>
        <v>0.33</v>
      </c>
      <c r="K46" s="396">
        <f>VLOOKUP($B46,'[4]Data C 2,4'!$A$3:$S$189,K$1,0)%</f>
        <v>0.33</v>
      </c>
      <c r="L46" s="396">
        <f>VLOOKUP($B46,'[4]Data C 2,4'!$A$3:$S$189,L$1,0)%</f>
        <v>0.33</v>
      </c>
      <c r="M46" s="396">
        <f>VLOOKUP($B46,'[4]Data C 2,4'!$A$3:$S$189,M$1,0)%</f>
        <v>0.25</v>
      </c>
      <c r="N46" s="396">
        <f>VLOOKUP($B46,'[4]Data C 2,4'!$A$3:$S$189,N$1,0)%</f>
        <v>0.25</v>
      </c>
      <c r="O46" s="396">
        <f>VLOOKUP($B46,'[4]Data C 2,4'!$A$3:$S$189,O$1,0)%</f>
        <v>0.25</v>
      </c>
      <c r="P46" s="396">
        <f>VLOOKUP($B46,'[4]Data C 2,4'!$A$3:$S$189,P$1,0)%</f>
        <v>0.25</v>
      </c>
      <c r="Q46" s="396">
        <f>VLOOKUP($B46,'[4]Data C 2,4'!$A$3:$S$189,Q$1,0)%</f>
        <v>0.34</v>
      </c>
      <c r="R46" s="1364">
        <f>VLOOKUP($B46,'[4]Data C 2,4'!$A$3:$S$189,R$1,0)%</f>
        <v>0.33</v>
      </c>
    </row>
    <row r="47" spans="2:18" x14ac:dyDescent="0.35">
      <c r="B47" s="31" t="s">
        <v>94</v>
      </c>
      <c r="C47" s="1137">
        <f>VLOOKUP($B47,'[4]Data C 2,4'!$A$3:$S$189,C$1,0)%</f>
        <v>0.36</v>
      </c>
      <c r="D47" s="396">
        <f>VLOOKUP($B47,'[4]Data C 2,4'!$A$3:$S$189,D$1,0)%</f>
        <v>0.3</v>
      </c>
      <c r="E47" s="396">
        <f>VLOOKUP($B47,'[4]Data C 2,4'!$A$3:$S$189,E$1,0)%</f>
        <v>0.3</v>
      </c>
      <c r="F47" s="396">
        <f>VLOOKUP($B47,'[4]Data C 2,4'!$A$3:$S$189,F$1,0)%</f>
        <v>0.3</v>
      </c>
      <c r="G47" s="396">
        <f>VLOOKUP($B47,'[4]Data C 2,4'!$A$3:$S$189,G$1,0)%</f>
        <v>0.3</v>
      </c>
      <c r="H47" s="396">
        <f>VLOOKUP($B47,'[4]Data C 2,4'!$A$3:$S$189,H$1,0)%</f>
        <v>0.3</v>
      </c>
      <c r="I47" s="396">
        <f>VLOOKUP($B47,'[4]Data C 2,4'!$A$3:$S$189,I$1,0)%</f>
        <v>0.3</v>
      </c>
      <c r="J47" s="396">
        <f>VLOOKUP($B47,'[4]Data C 2,4'!$A$3:$S$189,J$1,0)%</f>
        <v>0.3</v>
      </c>
      <c r="K47" s="396">
        <f>VLOOKUP($B47,'[4]Data C 2,4'!$A$3:$S$189,K$1,0)%</f>
        <v>0.3</v>
      </c>
      <c r="L47" s="396">
        <f>VLOOKUP($B47,'[4]Data C 2,4'!$A$3:$S$189,L$1,0)%</f>
        <v>0.3</v>
      </c>
      <c r="M47" s="396">
        <f>VLOOKUP($B47,'[4]Data C 2,4'!$A$3:$S$189,M$1,0)%</f>
        <v>0.3</v>
      </c>
      <c r="N47" s="396">
        <f>VLOOKUP($B47,'[4]Data C 2,4'!$A$3:$S$189,N$1,0)%</f>
        <v>0.3</v>
      </c>
      <c r="O47" s="396">
        <f>VLOOKUP($B47,'[4]Data C 2,4'!$A$3:$S$189,O$1,0)%</f>
        <v>0.3</v>
      </c>
      <c r="P47" s="396">
        <f>VLOOKUP($B47,'[4]Data C 2,4'!$A$3:$S$189,P$1,0)%</f>
        <v>0.3</v>
      </c>
      <c r="Q47" s="396">
        <f>VLOOKUP($B47,'[4]Data C 2,4'!$A$3:$S$189,Q$1,0)%</f>
        <v>0.3</v>
      </c>
      <c r="R47" s="1364">
        <f>VLOOKUP($B47,'[4]Data C 2,4'!$A$3:$S$189,R$1,0)%</f>
        <v>0.3</v>
      </c>
    </row>
    <row r="48" spans="2:18" x14ac:dyDescent="0.35">
      <c r="B48" s="31" t="s">
        <v>102</v>
      </c>
      <c r="C48" s="1137">
        <f>VLOOKUP($B48,'[4]Data C 2,4'!$A$3:$S$189,C$1,0)%</f>
        <v>0.36749999999999999</v>
      </c>
      <c r="D48" s="396">
        <f>VLOOKUP($B48,'[4]Data C 2,4'!$A$3:$S$189,D$1,0)%</f>
        <v>0.35880000000000001</v>
      </c>
      <c r="E48" s="396">
        <f>VLOOKUP($B48,'[4]Data C 2,4'!$A$3:$S$189,E$1,0)%</f>
        <v>0.36590000000000006</v>
      </c>
      <c r="F48" s="396">
        <f>VLOOKUP($B48,'[4]Data C 2,4'!$A$3:$S$189,F$1,0)%</f>
        <v>0.33659999999999995</v>
      </c>
      <c r="G48" s="396">
        <f>VLOOKUP($B48,'[4]Data C 2,4'!$A$3:$S$189,G$1,0)%</f>
        <v>0.33990000000000004</v>
      </c>
      <c r="H48" s="396">
        <f>VLOOKUP($B48,'[4]Data C 2,4'!$A$3:$S$189,H$1,0)%</f>
        <v>0.33990000000000004</v>
      </c>
      <c r="I48" s="396">
        <f>VLOOKUP($B48,'[4]Data C 2,4'!$A$3:$S$189,I$1,0)%</f>
        <v>0.33990000000000004</v>
      </c>
      <c r="J48" s="396">
        <f>VLOOKUP($B48,'[4]Data C 2,4'!$A$3:$S$189,J$1,0)%</f>
        <v>0.33990000000000004</v>
      </c>
      <c r="K48" s="396">
        <f>VLOOKUP($B48,'[4]Data C 2,4'!$A$3:$S$189,K$1,0)%</f>
        <v>0.32439999999999997</v>
      </c>
      <c r="L48" s="396">
        <f>VLOOKUP($B48,'[4]Data C 2,4'!$A$3:$S$189,L$1,0)%</f>
        <v>0.32450000000000001</v>
      </c>
      <c r="M48" s="396">
        <f>VLOOKUP($B48,'[4]Data C 2,4'!$A$3:$S$189,M$1,0)%</f>
        <v>0.33990000000000004</v>
      </c>
      <c r="N48" s="396">
        <f>VLOOKUP($B48,'[4]Data C 2,4'!$A$3:$S$189,N$1,0)%</f>
        <v>0.33990000000000004</v>
      </c>
      <c r="O48" s="396">
        <f>VLOOKUP($B48,'[4]Data C 2,4'!$A$3:$S$189,O$1,0)%</f>
        <v>0.34610000000000002</v>
      </c>
      <c r="P48" s="396">
        <f>VLOOKUP($B48,'[4]Data C 2,4'!$A$3:$S$189,P$1,0)%</f>
        <v>0.34610000000000002</v>
      </c>
      <c r="Q48" s="396">
        <f>VLOOKUP($B48,'[4]Data C 2,4'!$A$3:$S$189,Q$1,0)%</f>
        <v>0.34610000000000002</v>
      </c>
      <c r="R48" s="1364">
        <f>VLOOKUP($B48,'[4]Data C 2,4'!$A$3:$S$189,R$1,0)%</f>
        <v>0.35</v>
      </c>
    </row>
    <row r="49" spans="2:18" x14ac:dyDescent="0.35">
      <c r="B49" s="31" t="s">
        <v>103</v>
      </c>
      <c r="C49" s="1137">
        <f>VLOOKUP($B49,'[4]Data C 2,4'!$A$3:$S$189,C$1,0)%</f>
        <v>0.24</v>
      </c>
      <c r="D49" s="396">
        <f>VLOOKUP($B49,'[4]Data C 2,4'!$A$3:$S$189,D$1,0)%</f>
        <v>0.24</v>
      </c>
      <c r="E49" s="396">
        <f>VLOOKUP($B49,'[4]Data C 2,4'!$A$3:$S$189,E$1,0)%</f>
        <v>0.24</v>
      </c>
      <c r="F49" s="396">
        <f>VLOOKUP($B49,'[4]Data C 2,4'!$A$3:$S$189,F$1,0)%</f>
        <v>0.24</v>
      </c>
      <c r="G49" s="396">
        <f>VLOOKUP($B49,'[4]Data C 2,4'!$A$3:$S$189,G$1,0)%</f>
        <v>0.24</v>
      </c>
      <c r="H49" s="396">
        <f>VLOOKUP($B49,'[4]Data C 2,4'!$A$3:$S$189,H$1,0)%</f>
        <v>0.24</v>
      </c>
      <c r="I49" s="396">
        <f>VLOOKUP($B49,'[4]Data C 2,4'!$A$3:$S$189,I$1,0)%</f>
        <v>0.2</v>
      </c>
      <c r="J49" s="396">
        <f>VLOOKUP($B49,'[4]Data C 2,4'!$A$3:$S$189,J$1,0)%</f>
        <v>0.2</v>
      </c>
      <c r="K49" s="396">
        <f>VLOOKUP($B49,'[4]Data C 2,4'!$A$3:$S$189,K$1,0)%</f>
        <v>0.2</v>
      </c>
      <c r="L49" s="396">
        <f>VLOOKUP($B49,'[4]Data C 2,4'!$A$3:$S$189,L$1,0)%</f>
        <v>0.2</v>
      </c>
      <c r="M49" s="396">
        <f>VLOOKUP($B49,'[4]Data C 2,4'!$A$3:$S$189,M$1,0)%</f>
        <v>0.2</v>
      </c>
      <c r="N49" s="396">
        <f>VLOOKUP($B49,'[4]Data C 2,4'!$A$3:$S$189,N$1,0)%</f>
        <v>0.2</v>
      </c>
      <c r="O49" s="396">
        <f>VLOOKUP($B49,'[4]Data C 2,4'!$A$3:$S$189,O$1,0)%</f>
        <v>0.2</v>
      </c>
      <c r="P49" s="396">
        <f>VLOOKUP($B49,'[4]Data C 2,4'!$A$3:$S$189,P$1,0)%</f>
        <v>0.2</v>
      </c>
      <c r="Q49" s="396">
        <f>VLOOKUP($B49,'[4]Data C 2,4'!$A$3:$S$189,Q$1,0)%</f>
        <v>0.2</v>
      </c>
      <c r="R49" s="1364">
        <f>VLOOKUP($B49,'[4]Data C 2,4'!$A$3:$S$189,R$1,0)%</f>
        <v>0.2</v>
      </c>
    </row>
    <row r="50" spans="2:18" x14ac:dyDescent="0.35">
      <c r="B50" s="13" t="s">
        <v>97</v>
      </c>
      <c r="C50" s="1137">
        <f>VLOOKUP($B50,'[4]Data C 2,4'!$A$3:$S$189,C$1,0)%</f>
        <v>0.37780000000000002</v>
      </c>
      <c r="D50" s="396">
        <f>VLOOKUP($B50,'[4]Data C 2,4'!$A$3:$S$189,D$1,0)%</f>
        <v>0.37780000000000002</v>
      </c>
      <c r="E50" s="396">
        <f>VLOOKUP($B50,'[4]Data C 2,4'!$A$3:$S$189,E$1,0)%</f>
        <v>0.37780000000000002</v>
      </c>
      <c r="F50" s="396">
        <f>VLOOKUP($B50,'[4]Data C 2,4'!$A$3:$S$189,F$1,0)%</f>
        <v>0.36890000000000001</v>
      </c>
      <c r="G50" s="396">
        <f>VLOOKUP($B50,'[4]Data C 2,4'!$A$3:$S$189,G$1,0)%</f>
        <v>0.36890000000000001</v>
      </c>
      <c r="H50" s="396">
        <f>VLOOKUP($B50,'[4]Data C 2,4'!$A$3:$S$189,H$1,0)%</f>
        <v>0.34549999999999997</v>
      </c>
      <c r="I50" s="396">
        <f>VLOOKUP($B50,'[4]Data C 2,4'!$A$3:$S$189,I$1,0)%</f>
        <v>0.34549999999999997</v>
      </c>
      <c r="J50" s="396">
        <f>VLOOKUP($B50,'[4]Data C 2,4'!$A$3:$S$189,J$1,0)%</f>
        <v>0.34549999999999997</v>
      </c>
      <c r="K50" s="396">
        <f>VLOOKUP($B50,'[4]Data C 2,4'!$A$3:$S$189,K$1,0)%</f>
        <v>0.34549999999999997</v>
      </c>
      <c r="L50" s="396">
        <f>VLOOKUP($B50,'[4]Data C 2,4'!$A$3:$S$189,L$1,0)%</f>
        <v>0.34549999999999997</v>
      </c>
      <c r="M50" s="396">
        <f>VLOOKUP($B50,'[4]Data C 2,4'!$A$3:$S$189,M$1,0)%</f>
        <v>0.28000000000000003</v>
      </c>
      <c r="N50" s="396">
        <f>VLOOKUP($B50,'[4]Data C 2,4'!$A$3:$S$189,N$1,0)%</f>
        <v>0.28000000000000003</v>
      </c>
      <c r="O50" s="396">
        <f>VLOOKUP($B50,'[4]Data C 2,4'!$A$3:$S$189,O$1,0)%</f>
        <v>0.28000000000000003</v>
      </c>
      <c r="P50" s="396">
        <f>VLOOKUP($B50,'[4]Data C 2,4'!$A$3:$S$189,P$1,0)%</f>
        <v>0.28000000000000003</v>
      </c>
      <c r="Q50" s="396">
        <f>VLOOKUP($B50,'[4]Data C 2,4'!$A$3:$S$189,Q$1,0)%</f>
        <v>0.28000000000000003</v>
      </c>
      <c r="R50" s="1364">
        <f>VLOOKUP($B50,'[4]Data C 2,4'!$A$3:$S$189,R$1,0)%</f>
        <v>0.28000000000000003</v>
      </c>
    </row>
    <row r="51" spans="2:18" x14ac:dyDescent="0.35">
      <c r="B51" s="38" t="s">
        <v>100</v>
      </c>
      <c r="C51" s="1137"/>
      <c r="D51" s="396"/>
      <c r="E51" s="396"/>
      <c r="F51" s="396"/>
      <c r="G51" s="396"/>
      <c r="H51" s="396"/>
      <c r="I51" s="396"/>
      <c r="J51" s="396"/>
      <c r="K51" s="396"/>
      <c r="L51" s="396"/>
      <c r="M51" s="396"/>
      <c r="N51" s="396"/>
      <c r="O51" s="396"/>
      <c r="P51" s="396"/>
      <c r="Q51" s="396"/>
      <c r="R51" s="1364"/>
    </row>
    <row r="52" spans="2:18" x14ac:dyDescent="0.35">
      <c r="B52" s="264" t="s">
        <v>272</v>
      </c>
      <c r="C52" s="1137">
        <f>VLOOKUP($B52,'[4]Data C 2,4'!$A$3:$S$189,C$1,0)%</f>
        <v>0</v>
      </c>
      <c r="D52" s="396">
        <f>VLOOKUP($B52,'[4]Data C 2,4'!$A$3:$S$189,D$1,0)%</f>
        <v>0</v>
      </c>
      <c r="E52" s="396">
        <f>VLOOKUP($B52,'[4]Data C 2,4'!$A$3:$S$189,E$1,0)%</f>
        <v>0</v>
      </c>
      <c r="F52" s="396">
        <f>VLOOKUP($B52,'[4]Data C 2,4'!$A$3:$S$189,F$1,0)%</f>
        <v>0</v>
      </c>
      <c r="G52" s="396">
        <f>VLOOKUP($B52,'[4]Data C 2,4'!$A$3:$S$189,G$1,0)%</f>
        <v>0</v>
      </c>
      <c r="H52" s="396">
        <f>VLOOKUP($B52,'[4]Data C 2,4'!$A$3:$S$189,H$1,0)%</f>
        <v>0</v>
      </c>
      <c r="I52" s="396">
        <f>VLOOKUP($B52,'[4]Data C 2,4'!$A$3:$S$189,I$1,0)%</f>
        <v>0</v>
      </c>
      <c r="J52" s="396">
        <f>VLOOKUP($B52,'[4]Data C 2,4'!$A$3:$S$189,J$1,0)%</f>
        <v>0</v>
      </c>
      <c r="K52" s="396">
        <f>VLOOKUP($B52,'[4]Data C 2,4'!$A$3:$S$189,K$1,0)%</f>
        <v>0</v>
      </c>
      <c r="L52" s="396">
        <f>VLOOKUP($B52,'[4]Data C 2,4'!$A$3:$S$189,L$1,0)%</f>
        <v>0</v>
      </c>
      <c r="M52" s="396">
        <f>VLOOKUP($B52,'[4]Data C 2,4'!$A$3:$S$189,M$1,0)%</f>
        <v>0</v>
      </c>
      <c r="N52" s="396">
        <f>VLOOKUP($B52,'[4]Data C 2,4'!$A$3:$S$189,N$1,0)%</f>
        <v>0</v>
      </c>
      <c r="O52" s="396">
        <f>VLOOKUP($B52,'[4]Data C 2,4'!$A$3:$S$189,O$1,0)%</f>
        <v>0</v>
      </c>
      <c r="P52" s="396">
        <f>VLOOKUP($B52,'[4]Data C 2,4'!$A$3:$S$189,P$1,0)%</f>
        <v>0</v>
      </c>
      <c r="Q52" s="396">
        <f>VLOOKUP($B52,'[4]Data C 2,4'!$A$3:$S$189,Q$1,0)%</f>
        <v>0.1</v>
      </c>
      <c r="R52" s="1364">
        <f>VLOOKUP($B52,'[4]Data C 2,4'!$A$3:$S$189,R$1,0)%</f>
        <v>0.1</v>
      </c>
    </row>
    <row r="53" spans="2:18" x14ac:dyDescent="0.35">
      <c r="B53" s="264" t="s">
        <v>273</v>
      </c>
      <c r="C53" s="1137">
        <f>VLOOKUP($B53,'[4]Data C 2,4'!$A$3:$S$189,C$1,0)%</f>
        <v>0</v>
      </c>
      <c r="D53" s="396">
        <f>VLOOKUP($B53,'[4]Data C 2,4'!$A$3:$S$189,D$1,0)%</f>
        <v>0</v>
      </c>
      <c r="E53" s="396">
        <f>VLOOKUP($B53,'[4]Data C 2,4'!$A$3:$S$189,E$1,0)%</f>
        <v>0</v>
      </c>
      <c r="F53" s="396">
        <f>VLOOKUP($B53,'[4]Data C 2,4'!$A$3:$S$189,F$1,0)%</f>
        <v>0</v>
      </c>
      <c r="G53" s="396">
        <f>VLOOKUP($B53,'[4]Data C 2,4'!$A$3:$S$189,G$1,0)%</f>
        <v>0</v>
      </c>
      <c r="H53" s="396">
        <f>VLOOKUP($B53,'[4]Data C 2,4'!$A$3:$S$189,H$1,0)%</f>
        <v>0</v>
      </c>
      <c r="I53" s="396">
        <f>VLOOKUP($B53,'[4]Data C 2,4'!$A$3:$S$189,I$1,0)%</f>
        <v>0</v>
      </c>
      <c r="J53" s="396">
        <f>VLOOKUP($B53,'[4]Data C 2,4'!$A$3:$S$189,J$1,0)%</f>
        <v>0</v>
      </c>
      <c r="K53" s="396">
        <f>VLOOKUP($B53,'[4]Data C 2,4'!$A$3:$S$189,K$1,0)%</f>
        <v>0</v>
      </c>
      <c r="L53" s="396">
        <f>VLOOKUP($B53,'[4]Data C 2,4'!$A$3:$S$189,L$1,0)%</f>
        <v>0</v>
      </c>
      <c r="M53" s="396">
        <f>VLOOKUP($B53,'[4]Data C 2,4'!$A$3:$S$189,M$1,0)%</f>
        <v>0</v>
      </c>
      <c r="N53" s="396">
        <f>VLOOKUP($B53,'[4]Data C 2,4'!$A$3:$S$189,N$1,0)%</f>
        <v>0</v>
      </c>
      <c r="O53" s="396">
        <f>VLOOKUP($B53,'[4]Data C 2,4'!$A$3:$S$189,O$1,0)%</f>
        <v>0</v>
      </c>
      <c r="P53" s="396">
        <f>VLOOKUP($B53,'[4]Data C 2,4'!$A$3:$S$189,P$1,0)%</f>
        <v>0</v>
      </c>
      <c r="Q53" s="396">
        <f>VLOOKUP($B53,'[4]Data C 2,4'!$A$3:$S$189,Q$1,0)%</f>
        <v>0</v>
      </c>
      <c r="R53" s="1364">
        <f>VLOOKUP($B53,'[4]Data C 2,4'!$A$3:$S$189,R$1,0)%</f>
        <v>0</v>
      </c>
    </row>
    <row r="54" spans="2:18" x14ac:dyDescent="0.35">
      <c r="B54" s="289" t="s">
        <v>319</v>
      </c>
      <c r="C54" s="1137">
        <f>VLOOKUP($B54,'[4]Data C 2,4'!$A$3:$S$189,C$1,0)%</f>
        <v>0</v>
      </c>
      <c r="D54" s="396">
        <f>VLOOKUP($B54,'[4]Data C 2,4'!$A$3:$S$189,D$1,0)%</f>
        <v>0</v>
      </c>
      <c r="E54" s="396">
        <f>VLOOKUP($B54,'[4]Data C 2,4'!$A$3:$S$189,E$1,0)%</f>
        <v>0</v>
      </c>
      <c r="F54" s="396">
        <f>VLOOKUP($B54,'[4]Data C 2,4'!$A$3:$S$189,F$1,0)%</f>
        <v>0</v>
      </c>
      <c r="G54" s="396">
        <f>VLOOKUP($B54,'[4]Data C 2,4'!$A$3:$S$189,G$1,0)%</f>
        <v>0</v>
      </c>
      <c r="H54" s="396">
        <f>VLOOKUP($B54,'[4]Data C 2,4'!$A$3:$S$189,H$1,0)%</f>
        <v>0</v>
      </c>
      <c r="I54" s="396">
        <f>VLOOKUP($B54,'[4]Data C 2,4'!$A$3:$S$189,I$1,0)%</f>
        <v>0</v>
      </c>
      <c r="J54" s="396">
        <f>VLOOKUP($B54,'[4]Data C 2,4'!$A$3:$S$189,J$1,0)%</f>
        <v>0</v>
      </c>
      <c r="K54" s="396">
        <f>VLOOKUP($B54,'[4]Data C 2,4'!$A$3:$S$189,K$1,0)%</f>
        <v>0</v>
      </c>
      <c r="L54" s="396">
        <f>VLOOKUP($B54,'[4]Data C 2,4'!$A$3:$S$189,L$1,0)%</f>
        <v>0</v>
      </c>
      <c r="M54" s="396">
        <f>VLOOKUP($B54,'[4]Data C 2,4'!$A$3:$S$189,M$1,0)%</f>
        <v>0</v>
      </c>
      <c r="N54" s="396">
        <f>VLOOKUP($B54,'[4]Data C 2,4'!$A$3:$S$189,N$1,0)%</f>
        <v>0</v>
      </c>
      <c r="O54" s="396">
        <f>VLOOKUP($B54,'[4]Data C 2,4'!$A$3:$S$189,O$1,0)%</f>
        <v>0</v>
      </c>
      <c r="P54" s="396">
        <f>VLOOKUP($B54,'[4]Data C 2,4'!$A$3:$S$189,P$1,0)%</f>
        <v>0</v>
      </c>
      <c r="Q54" s="396">
        <f>VLOOKUP($B54,'[4]Data C 2,4'!$A$3:$S$189,Q$1,0)%</f>
        <v>0.25</v>
      </c>
      <c r="R54" s="1364">
        <f>VLOOKUP($B54,'[4]Data C 2,4'!$A$3:$S$189,R$1,0)%</f>
        <v>0.25</v>
      </c>
    </row>
    <row r="55" spans="2:18" x14ac:dyDescent="0.35">
      <c r="B55" s="264" t="s">
        <v>274</v>
      </c>
      <c r="C55" s="1137">
        <f>VLOOKUP($B55,'[4]Data C 2,4'!$A$3:$S$189,C$1,0)%</f>
        <v>0</v>
      </c>
      <c r="D55" s="396">
        <f>VLOOKUP($B55,'[4]Data C 2,4'!$A$3:$S$189,D$1,0)%</f>
        <v>0</v>
      </c>
      <c r="E55" s="396">
        <f>VLOOKUP($B55,'[4]Data C 2,4'!$A$3:$S$189,E$1,0)%</f>
        <v>0.35</v>
      </c>
      <c r="F55" s="396">
        <f>VLOOKUP($B55,'[4]Data C 2,4'!$A$3:$S$189,F$1,0)%</f>
        <v>0.35</v>
      </c>
      <c r="G55" s="396">
        <f>VLOOKUP($B55,'[4]Data C 2,4'!$A$3:$S$189,G$1,0)%</f>
        <v>0.28000000000000003</v>
      </c>
      <c r="H55" s="396">
        <f>VLOOKUP($B55,'[4]Data C 2,4'!$A$3:$S$189,H$1,0)%</f>
        <v>0.28000000000000003</v>
      </c>
      <c r="I55" s="396">
        <f>VLOOKUP($B55,'[4]Data C 2,4'!$A$3:$S$189,I$1,0)%</f>
        <v>0.28000000000000003</v>
      </c>
      <c r="J55" s="396">
        <f>VLOOKUP($B55,'[4]Data C 2,4'!$A$3:$S$189,J$1,0)%</f>
        <v>0.28000000000000003</v>
      </c>
      <c r="K55" s="396">
        <f>VLOOKUP($B55,'[4]Data C 2,4'!$A$3:$S$189,K$1,0)%</f>
        <v>0.28000000000000003</v>
      </c>
      <c r="L55" s="396">
        <f>VLOOKUP($B55,'[4]Data C 2,4'!$A$3:$S$189,L$1,0)%</f>
        <v>0.28000000000000003</v>
      </c>
      <c r="M55" s="396">
        <f>VLOOKUP($B55,'[4]Data C 2,4'!$A$3:$S$189,M$1,0)%</f>
        <v>0.28000000000000003</v>
      </c>
      <c r="N55" s="396">
        <f>VLOOKUP($B55,'[4]Data C 2,4'!$A$3:$S$189,N$1,0)%</f>
        <v>0.28000000000000003</v>
      </c>
      <c r="O55" s="396">
        <f>VLOOKUP($B55,'[4]Data C 2,4'!$A$3:$S$189,O$1,0)%</f>
        <v>0.25</v>
      </c>
      <c r="P55" s="396">
        <f>VLOOKUP($B55,'[4]Data C 2,4'!$A$3:$S$189,P$1,0)%</f>
        <v>0.25</v>
      </c>
      <c r="Q55" s="396">
        <f>VLOOKUP($B55,'[4]Data C 2,4'!$A$3:$S$189,Q$1,0)%</f>
        <v>0.25</v>
      </c>
      <c r="R55" s="1364">
        <f>VLOOKUP($B55,'[4]Data C 2,4'!$A$3:$S$189,R$1,0)%</f>
        <v>0.25</v>
      </c>
    </row>
    <row r="56" spans="2:18" x14ac:dyDescent="0.35">
      <c r="B56" s="264" t="s">
        <v>275</v>
      </c>
      <c r="C56" s="1137">
        <f>VLOOKUP($B56,'[4]Data C 2,4'!$A$3:$S$189,C$1,0)%</f>
        <v>0</v>
      </c>
      <c r="D56" s="396">
        <f>VLOOKUP($B56,'[4]Data C 2,4'!$A$3:$S$189,D$1,0)%</f>
        <v>0</v>
      </c>
      <c r="E56" s="396">
        <f>VLOOKUP($B56,'[4]Data C 2,4'!$A$3:$S$189,E$1,0)%</f>
        <v>0</v>
      </c>
      <c r="F56" s="396">
        <f>VLOOKUP($B56,'[4]Data C 2,4'!$A$3:$S$189,F$1,0)%</f>
        <v>0</v>
      </c>
      <c r="G56" s="396">
        <f>VLOOKUP($B56,'[4]Data C 2,4'!$A$3:$S$189,G$1,0)%</f>
        <v>0</v>
      </c>
      <c r="H56" s="396">
        <f>VLOOKUP($B56,'[4]Data C 2,4'!$A$3:$S$189,H$1,0)%</f>
        <v>0</v>
      </c>
      <c r="I56" s="396">
        <f>VLOOKUP($B56,'[4]Data C 2,4'!$A$3:$S$189,I$1,0)%</f>
        <v>0</v>
      </c>
      <c r="J56" s="396">
        <f>VLOOKUP($B56,'[4]Data C 2,4'!$A$3:$S$189,J$1,0)%</f>
        <v>0</v>
      </c>
      <c r="K56" s="396">
        <f>VLOOKUP($B56,'[4]Data C 2,4'!$A$3:$S$189,K$1,0)%</f>
        <v>0</v>
      </c>
      <c r="L56" s="396">
        <f>VLOOKUP($B56,'[4]Data C 2,4'!$A$3:$S$189,L$1,0)%</f>
        <v>0</v>
      </c>
      <c r="M56" s="396">
        <f>VLOOKUP($B56,'[4]Data C 2,4'!$A$3:$S$189,M$1,0)%</f>
        <v>0</v>
      </c>
      <c r="N56" s="396">
        <f>VLOOKUP($B56,'[4]Data C 2,4'!$A$3:$S$189,N$1,0)%</f>
        <v>0</v>
      </c>
      <c r="O56" s="396">
        <f>VLOOKUP($B56,'[4]Data C 2,4'!$A$3:$S$189,O$1,0)%</f>
        <v>0</v>
      </c>
      <c r="P56" s="396">
        <f>VLOOKUP($B56,'[4]Data C 2,4'!$A$3:$S$189,P$1,0)%</f>
        <v>0</v>
      </c>
      <c r="Q56" s="396">
        <f>VLOOKUP($B56,'[4]Data C 2,4'!$A$3:$S$189,Q$1,0)%</f>
        <v>0</v>
      </c>
      <c r="R56" s="1364">
        <f>VLOOKUP($B56,'[4]Data C 2,4'!$A$3:$S$189,R$1,0)%</f>
        <v>0</v>
      </c>
    </row>
    <row r="57" spans="2:18" x14ac:dyDescent="0.35">
      <c r="B57" s="264" t="s">
        <v>276</v>
      </c>
      <c r="C57" s="1137">
        <f>VLOOKUP($B57,'[4]Data C 2,4'!$A$3:$S$189,C$1,0)%</f>
        <v>0</v>
      </c>
      <c r="D57" s="396">
        <f>VLOOKUP($B57,'[4]Data C 2,4'!$A$3:$S$189,D$1,0)%</f>
        <v>0</v>
      </c>
      <c r="E57" s="396">
        <f>VLOOKUP($B57,'[4]Data C 2,4'!$A$3:$S$189,E$1,0)%</f>
        <v>0</v>
      </c>
      <c r="F57" s="396">
        <f>VLOOKUP($B57,'[4]Data C 2,4'!$A$3:$S$189,F$1,0)%</f>
        <v>0</v>
      </c>
      <c r="G57" s="396">
        <f>VLOOKUP($B57,'[4]Data C 2,4'!$A$3:$S$189,G$1,0)%</f>
        <v>0</v>
      </c>
      <c r="H57" s="396">
        <f>VLOOKUP($B57,'[4]Data C 2,4'!$A$3:$S$189,H$1,0)%</f>
        <v>0</v>
      </c>
      <c r="I57" s="396">
        <f>VLOOKUP($B57,'[4]Data C 2,4'!$A$3:$S$189,I$1,0)%</f>
        <v>0</v>
      </c>
      <c r="J57" s="396">
        <f>VLOOKUP($B57,'[4]Data C 2,4'!$A$3:$S$189,J$1,0)%</f>
        <v>0</v>
      </c>
      <c r="K57" s="396">
        <f>VLOOKUP($B57,'[4]Data C 2,4'!$A$3:$S$189,K$1,0)%</f>
        <v>0</v>
      </c>
      <c r="L57" s="396">
        <f>VLOOKUP($B57,'[4]Data C 2,4'!$A$3:$S$189,L$1,0)%</f>
        <v>0</v>
      </c>
      <c r="M57" s="396">
        <f>VLOOKUP($B57,'[4]Data C 2,4'!$A$3:$S$189,M$1,0)%</f>
        <v>0</v>
      </c>
      <c r="N57" s="396">
        <f>VLOOKUP($B57,'[4]Data C 2,4'!$A$3:$S$189,N$1,0)%</f>
        <v>0</v>
      </c>
      <c r="O57" s="396">
        <f>VLOOKUP($B57,'[4]Data C 2,4'!$A$3:$S$189,O$1,0)%</f>
        <v>0</v>
      </c>
      <c r="P57" s="396">
        <f>VLOOKUP($B57,'[4]Data C 2,4'!$A$3:$S$189,P$1,0)%</f>
        <v>0</v>
      </c>
      <c r="Q57" s="396">
        <f>VLOOKUP($B57,'[4]Data C 2,4'!$A$3:$S$189,Q$1,0)%</f>
        <v>0</v>
      </c>
      <c r="R57" s="1364">
        <f>VLOOKUP($B57,'[4]Data C 2,4'!$A$3:$S$189,R$1,0)%</f>
        <v>0</v>
      </c>
    </row>
    <row r="58" spans="2:18" x14ac:dyDescent="0.35">
      <c r="B58" s="289" t="s">
        <v>212</v>
      </c>
      <c r="C58" s="1137">
        <f>VLOOKUP($B58,'[4]Data C 2,4'!$A$3:$S$189,C$1,0)%</f>
        <v>0.36</v>
      </c>
      <c r="D58" s="396">
        <f>VLOOKUP($B58,'[4]Data C 2,4'!$A$3:$S$189,D$1,0)%</f>
        <v>0.33</v>
      </c>
      <c r="E58" s="396">
        <f>VLOOKUP($B58,'[4]Data C 2,4'!$A$3:$S$189,E$1,0)%</f>
        <v>0.3</v>
      </c>
      <c r="F58" s="396">
        <f>VLOOKUP($B58,'[4]Data C 2,4'!$A$3:$S$189,F$1,0)%</f>
        <v>0.25</v>
      </c>
      <c r="G58" s="396">
        <f>VLOOKUP($B58,'[4]Data C 2,4'!$A$3:$S$189,G$1,0)%</f>
        <v>0.25</v>
      </c>
      <c r="H58" s="396">
        <f>VLOOKUP($B58,'[4]Data C 2,4'!$A$3:$S$189,H$1,0)%</f>
        <v>0.25</v>
      </c>
      <c r="I58" s="396">
        <f>VLOOKUP($B58,'[4]Data C 2,4'!$A$3:$S$189,I$1,0)%</f>
        <v>0.25</v>
      </c>
      <c r="J58" s="396">
        <f>VLOOKUP($B58,'[4]Data C 2,4'!$A$3:$S$189,J$1,0)%</f>
        <v>0.25</v>
      </c>
      <c r="K58" s="396">
        <f>VLOOKUP($B58,'[4]Data C 2,4'!$A$3:$S$189,K$1,0)%</f>
        <v>0.25</v>
      </c>
      <c r="L58" s="396">
        <f>VLOOKUP($B58,'[4]Data C 2,4'!$A$3:$S$189,L$1,0)%</f>
        <v>0.25</v>
      </c>
      <c r="M58" s="396">
        <f>VLOOKUP($B58,'[4]Data C 2,4'!$A$3:$S$189,M$1,0)%</f>
        <v>0.25</v>
      </c>
      <c r="N58" s="396">
        <f>VLOOKUP($B58,'[4]Data C 2,4'!$A$3:$S$189,N$1,0)%</f>
        <v>0.25</v>
      </c>
      <c r="O58" s="396">
        <f>VLOOKUP($B58,'[4]Data C 2,4'!$A$3:$S$189,O$1,0)%</f>
        <v>0.25</v>
      </c>
      <c r="P58" s="396">
        <f>VLOOKUP($B58,'[4]Data C 2,4'!$A$3:$S$189,P$1,0)%</f>
        <v>0.25</v>
      </c>
      <c r="Q58" s="396">
        <f>VLOOKUP($B58,'[4]Data C 2,4'!$A$3:$S$189,Q$1,0)%</f>
        <v>0.25</v>
      </c>
      <c r="R58" s="1364">
        <f>VLOOKUP($B58,'[4]Data C 2,4'!$A$3:$S$189,R$1,0)%</f>
        <v>0.25</v>
      </c>
    </row>
    <row r="59" spans="2:18" x14ac:dyDescent="0.35">
      <c r="B59" s="264" t="s">
        <v>277</v>
      </c>
      <c r="C59" s="1137">
        <v>0</v>
      </c>
      <c r="D59" s="396">
        <v>0</v>
      </c>
      <c r="E59" s="396">
        <v>0</v>
      </c>
      <c r="F59" s="396">
        <v>0</v>
      </c>
      <c r="G59" s="396">
        <v>0</v>
      </c>
      <c r="H59" s="396">
        <v>0</v>
      </c>
      <c r="I59" s="396">
        <v>0</v>
      </c>
      <c r="J59" s="396">
        <v>0</v>
      </c>
      <c r="K59" s="396">
        <v>0</v>
      </c>
      <c r="L59" s="396">
        <v>0</v>
      </c>
      <c r="M59" s="396">
        <v>0</v>
      </c>
      <c r="N59" s="396">
        <v>0</v>
      </c>
      <c r="O59" s="396">
        <v>0</v>
      </c>
      <c r="P59" s="396">
        <v>0</v>
      </c>
      <c r="Q59" s="396">
        <v>0</v>
      </c>
      <c r="R59" s="1364">
        <v>0</v>
      </c>
    </row>
    <row r="60" spans="2:18" x14ac:dyDescent="0.35">
      <c r="B60" s="264" t="s">
        <v>213</v>
      </c>
      <c r="C60" s="1137">
        <f>VLOOKUP($B60,'[4]Data C 2,4'!$A$3:$S$189,C$1,0)%</f>
        <v>0</v>
      </c>
      <c r="D60" s="396">
        <f>VLOOKUP($B60,'[4]Data C 2,4'!$A$3:$S$189,D$1,0)%</f>
        <v>0</v>
      </c>
      <c r="E60" s="396">
        <f>VLOOKUP($B60,'[4]Data C 2,4'!$A$3:$S$189,E$1,0)%</f>
        <v>0</v>
      </c>
      <c r="F60" s="396">
        <f>VLOOKUP($B60,'[4]Data C 2,4'!$A$3:$S$189,F$1,0)%</f>
        <v>0</v>
      </c>
      <c r="G60" s="396">
        <f>VLOOKUP($B60,'[4]Data C 2,4'!$A$3:$S$189,G$1,0)%</f>
        <v>0</v>
      </c>
      <c r="H60" s="396">
        <f>VLOOKUP($B60,'[4]Data C 2,4'!$A$3:$S$189,H$1,0)%</f>
        <v>0</v>
      </c>
      <c r="I60" s="396">
        <f>VLOOKUP($B60,'[4]Data C 2,4'!$A$3:$S$189,I$1,0)%</f>
        <v>0</v>
      </c>
      <c r="J60" s="396">
        <f>VLOOKUP($B60,'[4]Data C 2,4'!$A$3:$S$189,J$1,0)%</f>
        <v>0</v>
      </c>
      <c r="K60" s="396">
        <f>VLOOKUP($B60,'[4]Data C 2,4'!$A$3:$S$189,K$1,0)%</f>
        <v>0</v>
      </c>
      <c r="L60" s="396">
        <f>VLOOKUP($B60,'[4]Data C 2,4'!$A$3:$S$189,L$1,0)%</f>
        <v>0</v>
      </c>
      <c r="M60" s="396">
        <f>VLOOKUP($B60,'[4]Data C 2,4'!$A$3:$S$189,M$1,0)%</f>
        <v>0</v>
      </c>
      <c r="N60" s="396">
        <f>VLOOKUP($B60,'[4]Data C 2,4'!$A$3:$S$189,N$1,0)%</f>
        <v>0</v>
      </c>
      <c r="O60" s="396">
        <f>VLOOKUP($B60,'[4]Data C 2,4'!$A$3:$S$189,O$1,0)%</f>
        <v>0</v>
      </c>
      <c r="P60" s="396">
        <f>VLOOKUP($B60,'[4]Data C 2,4'!$A$3:$S$189,P$1,0)%</f>
        <v>0</v>
      </c>
      <c r="Q60" s="396">
        <f>VLOOKUP($B60,'[4]Data C 2,4'!$A$3:$S$189,Q$1,0)%</f>
        <v>0</v>
      </c>
      <c r="R60" s="1364">
        <f>VLOOKUP($B60,'[4]Data C 2,4'!$A$3:$S$189,R$1,0)%</f>
        <v>0</v>
      </c>
    </row>
    <row r="61" spans="2:18" x14ac:dyDescent="0.35">
      <c r="B61" s="264" t="s">
        <v>278</v>
      </c>
      <c r="C61" s="1137">
        <v>0</v>
      </c>
      <c r="D61" s="396">
        <v>0</v>
      </c>
      <c r="E61" s="396">
        <v>0</v>
      </c>
      <c r="F61" s="396">
        <v>0</v>
      </c>
      <c r="G61" s="396">
        <v>0</v>
      </c>
      <c r="H61" s="396">
        <v>0</v>
      </c>
      <c r="I61" s="396">
        <v>0</v>
      </c>
      <c r="J61" s="396">
        <v>0</v>
      </c>
      <c r="K61" s="396">
        <v>0</v>
      </c>
      <c r="L61" s="396">
        <v>0</v>
      </c>
      <c r="M61" s="396">
        <v>0</v>
      </c>
      <c r="N61" s="396">
        <v>0</v>
      </c>
      <c r="O61" s="396">
        <v>0</v>
      </c>
      <c r="P61" s="396">
        <v>0</v>
      </c>
      <c r="Q61" s="396">
        <v>0</v>
      </c>
      <c r="R61" s="1364">
        <v>0</v>
      </c>
    </row>
    <row r="62" spans="2:18" x14ac:dyDescent="0.35">
      <c r="B62" s="264" t="s">
        <v>279</v>
      </c>
      <c r="C62" s="1137">
        <v>0</v>
      </c>
      <c r="D62" s="396">
        <v>0</v>
      </c>
      <c r="E62" s="396">
        <v>0</v>
      </c>
      <c r="F62" s="396">
        <v>0</v>
      </c>
      <c r="G62" s="396">
        <v>0</v>
      </c>
      <c r="H62" s="396">
        <v>0</v>
      </c>
      <c r="I62" s="396">
        <v>0</v>
      </c>
      <c r="J62" s="396">
        <v>0</v>
      </c>
      <c r="K62" s="396">
        <v>0</v>
      </c>
      <c r="L62" s="396">
        <v>0</v>
      </c>
      <c r="M62" s="396">
        <v>0</v>
      </c>
      <c r="N62" s="396">
        <v>0</v>
      </c>
      <c r="O62" s="396">
        <v>0</v>
      </c>
      <c r="P62" s="396">
        <v>0</v>
      </c>
      <c r="Q62" s="396">
        <v>0</v>
      </c>
      <c r="R62" s="1364">
        <v>0</v>
      </c>
    </row>
    <row r="63" spans="2:18" x14ac:dyDescent="0.35">
      <c r="B63" s="282" t="s">
        <v>291</v>
      </c>
      <c r="C63" s="1137">
        <f>VLOOKUP($B63,'[4]Data C 2,4'!$A$3:$S$189,C$1,0)%</f>
        <v>0</v>
      </c>
      <c r="D63" s="396">
        <f>VLOOKUP($B63,'[4]Data C 2,4'!$A$3:$S$189,D$1,0)%</f>
        <v>0</v>
      </c>
      <c r="E63" s="396">
        <f>VLOOKUP($B63,'[4]Data C 2,4'!$A$3:$S$189,E$1,0)%</f>
        <v>0</v>
      </c>
      <c r="F63" s="396">
        <f>VLOOKUP($B63,'[4]Data C 2,4'!$A$3:$S$189,F$1,0)%</f>
        <v>0</v>
      </c>
      <c r="G63" s="396">
        <f>VLOOKUP($B63,'[4]Data C 2,4'!$A$3:$S$189,G$1,0)%</f>
        <v>0</v>
      </c>
      <c r="H63" s="396">
        <f>VLOOKUP($B63,'[4]Data C 2,4'!$A$3:$S$189,H$1,0)%</f>
        <v>0</v>
      </c>
      <c r="I63" s="396">
        <f>VLOOKUP($B63,'[4]Data C 2,4'!$A$3:$S$189,I$1,0)%</f>
        <v>0</v>
      </c>
      <c r="J63" s="396">
        <f>VLOOKUP($B63,'[4]Data C 2,4'!$A$3:$S$189,J$1,0)%</f>
        <v>0</v>
      </c>
      <c r="K63" s="396">
        <f>VLOOKUP($B63,'[4]Data C 2,4'!$A$3:$S$189,K$1,0)%</f>
        <v>0</v>
      </c>
      <c r="L63" s="396">
        <f>VLOOKUP($B63,'[4]Data C 2,4'!$A$3:$S$189,L$1,0)%</f>
        <v>0</v>
      </c>
      <c r="M63" s="396">
        <f>VLOOKUP($B63,'[4]Data C 2,4'!$A$3:$S$189,M$1,0)%</f>
        <v>0</v>
      </c>
      <c r="N63" s="396">
        <f>VLOOKUP($B63,'[4]Data C 2,4'!$A$3:$S$189,N$1,0)%</f>
        <v>0</v>
      </c>
      <c r="O63" s="396">
        <f>VLOOKUP($B63,'[4]Data C 2,4'!$A$3:$S$189,O$1,0)%</f>
        <v>0</v>
      </c>
      <c r="P63" s="396">
        <f>VLOOKUP($B63,'[4]Data C 2,4'!$A$3:$S$189,P$1,0)%</f>
        <v>0</v>
      </c>
      <c r="Q63" s="396">
        <f>VLOOKUP($B63,'[4]Data C 2,4'!$A$3:$S$189,Q$1,0)%</f>
        <v>0</v>
      </c>
      <c r="R63" s="1364">
        <f>VLOOKUP($B63,'[4]Data C 2,4'!$A$3:$S$189,R$1,0)%</f>
        <v>0</v>
      </c>
    </row>
    <row r="64" spans="2:18" x14ac:dyDescent="0.35">
      <c r="B64" s="264" t="s">
        <v>280</v>
      </c>
      <c r="C64" s="1137">
        <f>VLOOKUP($B64,'[4]Data C 2,4'!$A$3:$S$189,C$1,0)%</f>
        <v>0</v>
      </c>
      <c r="D64" s="396">
        <f>VLOOKUP($B64,'[4]Data C 2,4'!$A$3:$S$189,D$1,0)%</f>
        <v>0</v>
      </c>
      <c r="E64" s="396">
        <f>VLOOKUP($B64,'[4]Data C 2,4'!$A$3:$S$189,E$1,0)%</f>
        <v>0</v>
      </c>
      <c r="F64" s="396">
        <f>VLOOKUP($B64,'[4]Data C 2,4'!$A$3:$S$189,F$1,0)%</f>
        <v>0</v>
      </c>
      <c r="G64" s="396">
        <f>VLOOKUP($B64,'[4]Data C 2,4'!$A$3:$S$189,G$1,0)%</f>
        <v>0</v>
      </c>
      <c r="H64" s="396">
        <f>VLOOKUP($B64,'[4]Data C 2,4'!$A$3:$S$189,H$1,0)%</f>
        <v>0</v>
      </c>
      <c r="I64" s="396">
        <f>VLOOKUP($B64,'[4]Data C 2,4'!$A$3:$S$189,I$1,0)%</f>
        <v>0</v>
      </c>
      <c r="J64" s="396">
        <f>VLOOKUP($B64,'[4]Data C 2,4'!$A$3:$S$189,J$1,0)%</f>
        <v>0</v>
      </c>
      <c r="K64" s="396">
        <f>VLOOKUP($B64,'[4]Data C 2,4'!$A$3:$S$189,K$1,0)%</f>
        <v>0.34499999999999997</v>
      </c>
      <c r="L64" s="396">
        <f>VLOOKUP($B64,'[4]Data C 2,4'!$A$3:$S$189,L$1,0)%</f>
        <v>0.27500000000000002</v>
      </c>
      <c r="M64" s="396">
        <f>VLOOKUP($B64,'[4]Data C 2,4'!$A$3:$S$189,M$1,0)%</f>
        <v>0.27500000000000002</v>
      </c>
      <c r="N64" s="396">
        <f>VLOOKUP($B64,'[4]Data C 2,4'!$A$3:$S$189,N$1,0)%</f>
        <v>0.27500000000000002</v>
      </c>
      <c r="O64" s="396">
        <f>VLOOKUP($B64,'[4]Data C 2,4'!$A$3:$S$189,O$1,0)%</f>
        <v>0.22</v>
      </c>
      <c r="P64" s="396">
        <f>VLOOKUP($B64,'[4]Data C 2,4'!$A$3:$S$189,P$1,0)%</f>
        <v>0.22</v>
      </c>
      <c r="Q64" s="396">
        <f>VLOOKUP($B64,'[4]Data C 2,4'!$A$3:$S$189,Q$1,0)%</f>
        <v>0.22</v>
      </c>
      <c r="R64" s="1364">
        <f>VLOOKUP($B64,'[4]Data C 2,4'!$A$3:$S$189,R$1,0)%</f>
        <v>0.22</v>
      </c>
    </row>
    <row r="65" spans="1:18" x14ac:dyDescent="0.35">
      <c r="B65" s="289" t="s">
        <v>116</v>
      </c>
      <c r="C65" s="1137">
        <f>VLOOKUP($B65,'[4]Data C 2,4'!$A$3:$S$189,C$1,0)%</f>
        <v>0.15</v>
      </c>
      <c r="D65" s="396">
        <f>VLOOKUP($B65,'[4]Data C 2,4'!$A$3:$S$189,D$1,0)%</f>
        <v>0.15</v>
      </c>
      <c r="E65" s="396">
        <f>VLOOKUP($B65,'[4]Data C 2,4'!$A$3:$S$189,E$1,0)%</f>
        <v>0.1</v>
      </c>
      <c r="F65" s="396">
        <f>VLOOKUP($B65,'[4]Data C 2,4'!$A$3:$S$189,F$1,0)%</f>
        <v>0.1</v>
      </c>
      <c r="G65" s="396">
        <f>VLOOKUP($B65,'[4]Data C 2,4'!$A$3:$S$189,G$1,0)%</f>
        <v>0.1</v>
      </c>
      <c r="H65" s="396">
        <f>VLOOKUP($B65,'[4]Data C 2,4'!$A$3:$S$189,H$1,0)%</f>
        <v>0.1</v>
      </c>
      <c r="I65" s="396">
        <f>VLOOKUP($B65,'[4]Data C 2,4'!$A$3:$S$189,I$1,0)%</f>
        <v>0.1</v>
      </c>
      <c r="J65" s="396">
        <f>VLOOKUP($B65,'[4]Data C 2,4'!$A$3:$S$189,J$1,0)%</f>
        <v>0.1</v>
      </c>
      <c r="K65" s="396">
        <f>VLOOKUP($B65,'[4]Data C 2,4'!$A$3:$S$189,K$1,0)%</f>
        <v>0.1</v>
      </c>
      <c r="L65" s="396">
        <f>VLOOKUP($B65,'[4]Data C 2,4'!$A$3:$S$189,L$1,0)%</f>
        <v>0.1</v>
      </c>
      <c r="M65" s="396">
        <f>VLOOKUP($B65,'[4]Data C 2,4'!$A$3:$S$189,M$1,0)%</f>
        <v>0.125</v>
      </c>
      <c r="N65" s="396">
        <f>VLOOKUP($B65,'[4]Data C 2,4'!$A$3:$S$189,N$1,0)%</f>
        <v>0.125</v>
      </c>
      <c r="O65" s="396">
        <f>VLOOKUP($B65,'[4]Data C 2,4'!$A$3:$S$189,O$1,0)%</f>
        <v>0.125</v>
      </c>
      <c r="P65" s="396">
        <f>VLOOKUP($B65,'[4]Data C 2,4'!$A$3:$S$189,P$1,0)%</f>
        <v>0.125</v>
      </c>
      <c r="Q65" s="396">
        <f>VLOOKUP($B65,'[4]Data C 2,4'!$A$3:$S$189,Q$1,0)%</f>
        <v>0.125</v>
      </c>
      <c r="R65" s="1364">
        <f>VLOOKUP($B65,'[4]Data C 2,4'!$A$3:$S$189,R$1,0)%</f>
        <v>0.125</v>
      </c>
    </row>
    <row r="66" spans="1:18" x14ac:dyDescent="0.35">
      <c r="B66" s="264" t="s">
        <v>281</v>
      </c>
      <c r="C66" s="1137">
        <f>VLOOKUP($B66,'[4]Data C 2,4'!$A$3:$S$189,C$1,0)%</f>
        <v>0</v>
      </c>
      <c r="D66" s="396">
        <f>VLOOKUP($B66,'[4]Data C 2,4'!$A$3:$S$189,D$1,0)%</f>
        <v>0</v>
      </c>
      <c r="E66" s="396">
        <f>VLOOKUP($B66,'[4]Data C 2,4'!$A$3:$S$189,E$1,0)%</f>
        <v>0</v>
      </c>
      <c r="F66" s="396">
        <f>VLOOKUP($B66,'[4]Data C 2,4'!$A$3:$S$189,F$1,0)%</f>
        <v>0</v>
      </c>
      <c r="G66" s="396">
        <f>VLOOKUP($B66,'[4]Data C 2,4'!$A$3:$S$189,G$1,0)%</f>
        <v>0</v>
      </c>
      <c r="H66" s="396">
        <f>VLOOKUP($B66,'[4]Data C 2,4'!$A$3:$S$189,H$1,0)%</f>
        <v>0</v>
      </c>
      <c r="I66" s="396">
        <f>VLOOKUP($B66,'[4]Data C 2,4'!$A$3:$S$189,I$1,0)%</f>
        <v>0</v>
      </c>
      <c r="J66" s="396">
        <f>VLOOKUP($B66,'[4]Data C 2,4'!$A$3:$S$189,J$1,0)%</f>
        <v>0</v>
      </c>
      <c r="K66" s="396">
        <f>VLOOKUP($B66,'[4]Data C 2,4'!$A$3:$S$189,K$1,0)%</f>
        <v>0</v>
      </c>
      <c r="L66" s="396">
        <f>VLOOKUP($B66,'[4]Data C 2,4'!$A$3:$S$189,L$1,0)%</f>
        <v>0</v>
      </c>
      <c r="M66" s="396">
        <f>VLOOKUP($B66,'[4]Data C 2,4'!$A$3:$S$189,M$1,0)%</f>
        <v>0</v>
      </c>
      <c r="N66" s="396">
        <f>VLOOKUP($B66,'[4]Data C 2,4'!$A$3:$S$189,N$1,0)%</f>
        <v>0</v>
      </c>
      <c r="O66" s="396">
        <f>VLOOKUP($B66,'[4]Data C 2,4'!$A$3:$S$189,O$1,0)%</f>
        <v>0.2</v>
      </c>
      <c r="P66" s="396">
        <f>VLOOKUP($B66,'[4]Data C 2,4'!$A$3:$S$189,P$1,0)%</f>
        <v>0.2</v>
      </c>
      <c r="Q66" s="396">
        <f>VLOOKUP($B66,'[4]Data C 2,4'!$A$3:$S$189,Q$1,0)%</f>
        <v>0.2</v>
      </c>
      <c r="R66" s="1364">
        <f>VLOOKUP($B66,'[4]Data C 2,4'!$A$3:$S$189,R$1,0)%</f>
        <v>0.2</v>
      </c>
    </row>
    <row r="67" spans="1:18" x14ac:dyDescent="0.35">
      <c r="B67" s="289" t="s">
        <v>294</v>
      </c>
      <c r="C67" s="1137">
        <f>VLOOKUP($B67,'[4]Data C 2,4'!$A$3:$S$189,C$1,0)%</f>
        <v>0</v>
      </c>
      <c r="D67" s="396">
        <f>VLOOKUP($B67,'[4]Data C 2,4'!$A$3:$S$189,D$1,0)%</f>
        <v>0</v>
      </c>
      <c r="E67" s="396">
        <f>VLOOKUP($B67,'[4]Data C 2,4'!$A$3:$S$189,E$1,0)%</f>
        <v>0</v>
      </c>
      <c r="F67" s="396">
        <f>VLOOKUP($B67,'[4]Data C 2,4'!$A$3:$S$189,F$1,0)%</f>
        <v>0</v>
      </c>
      <c r="G67" s="396">
        <f>VLOOKUP($B67,'[4]Data C 2,4'!$A$3:$S$189,G$1,0)%</f>
        <v>0</v>
      </c>
      <c r="H67" s="396">
        <f>VLOOKUP($B67,'[4]Data C 2,4'!$A$3:$S$189,H$1,0)%</f>
        <v>0</v>
      </c>
      <c r="I67" s="396">
        <f>VLOOKUP($B67,'[4]Data C 2,4'!$A$3:$S$189,I$1,0)%</f>
        <v>0</v>
      </c>
      <c r="J67" s="396">
        <f>VLOOKUP($B67,'[4]Data C 2,4'!$A$3:$S$189,J$1,0)%</f>
        <v>0</v>
      </c>
      <c r="K67" s="396">
        <f>VLOOKUP($B67,'[4]Data C 2,4'!$A$3:$S$189,K$1,0)%</f>
        <v>0</v>
      </c>
      <c r="L67" s="396">
        <f>VLOOKUP($B67,'[4]Data C 2,4'!$A$3:$S$189,L$1,0)%</f>
        <v>0</v>
      </c>
      <c r="M67" s="396">
        <f>VLOOKUP($B67,'[4]Data C 2,4'!$A$3:$S$189,M$1,0)%</f>
        <v>0</v>
      </c>
      <c r="N67" s="396">
        <f>VLOOKUP($B67,'[4]Data C 2,4'!$A$3:$S$189,N$1,0)%</f>
        <v>0</v>
      </c>
      <c r="O67" s="396">
        <f>VLOOKUP($B67,'[4]Data C 2,4'!$A$3:$S$189,O$1,0)%</f>
        <v>0</v>
      </c>
      <c r="P67" s="396">
        <f>VLOOKUP($B67,'[4]Data C 2,4'!$A$3:$S$189,P$1,0)%</f>
        <v>0</v>
      </c>
      <c r="Q67" s="396">
        <f>VLOOKUP($B67,'[4]Data C 2,4'!$A$3:$S$189,Q$1,0)%</f>
        <v>0.3</v>
      </c>
      <c r="R67" s="1364">
        <f>VLOOKUP($B67,'[4]Data C 2,4'!$A$3:$S$189,R$1,0)%</f>
        <v>0.3</v>
      </c>
    </row>
    <row r="68" spans="1:18" x14ac:dyDescent="0.35">
      <c r="B68" s="264" t="s">
        <v>282</v>
      </c>
      <c r="C68" s="1137">
        <f>VLOOKUP($B68,'[4]Data C 2,4'!$A$3:$S$189,C$1,0)%</f>
        <v>0</v>
      </c>
      <c r="D68" s="396">
        <f>VLOOKUP($B68,'[4]Data C 2,4'!$A$3:$S$189,D$1,0)%</f>
        <v>0</v>
      </c>
      <c r="E68" s="396">
        <f>VLOOKUP($B68,'[4]Data C 2,4'!$A$3:$S$189,E$1,0)%</f>
        <v>0</v>
      </c>
      <c r="F68" s="396">
        <f>VLOOKUP($B68,'[4]Data C 2,4'!$A$3:$S$189,F$1,0)%</f>
        <v>0</v>
      </c>
      <c r="G68" s="396">
        <f>VLOOKUP($B68,'[4]Data C 2,4'!$A$3:$S$189,G$1,0)%</f>
        <v>0</v>
      </c>
      <c r="H68" s="396">
        <f>VLOOKUP($B68,'[4]Data C 2,4'!$A$3:$S$189,H$1,0)%</f>
        <v>0</v>
      </c>
      <c r="I68" s="396">
        <f>VLOOKUP($B68,'[4]Data C 2,4'!$A$3:$S$189,I$1,0)%</f>
        <v>0</v>
      </c>
      <c r="J68" s="396">
        <f>VLOOKUP($B68,'[4]Data C 2,4'!$A$3:$S$189,J$1,0)%</f>
        <v>0</v>
      </c>
      <c r="K68" s="396">
        <f>VLOOKUP($B68,'[4]Data C 2,4'!$A$3:$S$189,K$1,0)%</f>
        <v>0</v>
      </c>
      <c r="L68" s="396">
        <f>VLOOKUP($B68,'[4]Data C 2,4'!$A$3:$S$189,L$1,0)%</f>
        <v>0</v>
      </c>
      <c r="M68" s="396">
        <f>VLOOKUP($B68,'[4]Data C 2,4'!$A$3:$S$189,M$1,0)%</f>
        <v>0</v>
      </c>
      <c r="N68" s="396">
        <f>VLOOKUP($B68,'[4]Data C 2,4'!$A$3:$S$189,N$1,0)%</f>
        <v>0</v>
      </c>
      <c r="O68" s="396">
        <f>VLOOKUP($B68,'[4]Data C 2,4'!$A$3:$S$189,O$1,0)%</f>
        <v>0</v>
      </c>
      <c r="P68" s="396">
        <f>VLOOKUP($B68,'[4]Data C 2,4'!$A$3:$S$189,P$1,0)%</f>
        <v>0</v>
      </c>
      <c r="Q68" s="396">
        <f>VLOOKUP($B68,'[4]Data C 2,4'!$A$3:$S$189,Q$1,0)%</f>
        <v>0</v>
      </c>
      <c r="R68" s="1364">
        <f>VLOOKUP($B68,'[4]Data C 2,4'!$A$3:$S$189,R$1,0)%</f>
        <v>0</v>
      </c>
    </row>
    <row r="69" spans="1:18" x14ac:dyDescent="0.35">
      <c r="B69" s="1045" t="s">
        <v>295</v>
      </c>
      <c r="C69" s="1137">
        <f>VLOOKUP($B69,'[4]Data C 2,4'!$A$3:$S$189,C$1,0)%</f>
        <v>0.35</v>
      </c>
      <c r="D69" s="396">
        <f>VLOOKUP($B69,'[4]Data C 2,4'!$A$3:$S$189,D$1,0)%</f>
        <v>0.35</v>
      </c>
      <c r="E69" s="396">
        <f>VLOOKUP($B69,'[4]Data C 2,4'!$A$3:$S$189,E$1,0)%</f>
        <v>0.35</v>
      </c>
      <c r="F69" s="396">
        <f>VLOOKUP($B69,'[4]Data C 2,4'!$A$3:$S$189,F$1,0)%</f>
        <v>0.35</v>
      </c>
      <c r="G69" s="396">
        <f>VLOOKUP($B69,'[4]Data C 2,4'!$A$3:$S$189,G$1,0)%</f>
        <v>0.35</v>
      </c>
      <c r="H69" s="396">
        <f>VLOOKUP($B69,'[4]Data C 2,4'!$A$3:$S$189,H$1,0)%</f>
        <v>0.33</v>
      </c>
      <c r="I69" s="396">
        <f>VLOOKUP($B69,'[4]Data C 2,4'!$A$3:$S$189,I$1,0)%</f>
        <v>0.27</v>
      </c>
      <c r="J69" s="396">
        <f>VLOOKUP($B69,'[4]Data C 2,4'!$A$3:$S$189,J$1,0)%</f>
        <v>0.22</v>
      </c>
      <c r="K69" s="396">
        <f>VLOOKUP($B69,'[4]Data C 2,4'!$A$3:$S$189,K$1,0)%</f>
        <v>0.1</v>
      </c>
      <c r="L69" s="396">
        <f>VLOOKUP($B69,'[4]Data C 2,4'!$A$3:$S$189,L$1,0)%</f>
        <v>0.1</v>
      </c>
      <c r="M69" s="396">
        <f>VLOOKUP($B69,'[4]Data C 2,4'!$A$3:$S$189,M$1,0)%</f>
        <v>0.1</v>
      </c>
      <c r="N69" s="396">
        <f>VLOOKUP($B69,'[4]Data C 2,4'!$A$3:$S$189,N$1,0)%</f>
        <v>0.1</v>
      </c>
      <c r="O69" s="396">
        <f>VLOOKUP($B69,'[4]Data C 2,4'!$A$3:$S$189,O$1,0)%</f>
        <v>0.1</v>
      </c>
      <c r="P69" s="396">
        <f>VLOOKUP($B69,'[4]Data C 2,4'!$A$3:$S$189,P$1,0)%</f>
        <v>0.1</v>
      </c>
      <c r="Q69" s="396">
        <f>VLOOKUP($B69,'[4]Data C 2,4'!$A$3:$S$189,Q$1,0)%</f>
        <v>0.1</v>
      </c>
      <c r="R69" s="1364">
        <f>VLOOKUP($B69,'[4]Data C 2,4'!$A$3:$S$189,R$1,0)%</f>
        <v>0.1</v>
      </c>
    </row>
    <row r="70" spans="1:18" x14ac:dyDescent="0.35">
      <c r="A70" t="s">
        <v>681</v>
      </c>
      <c r="B70" s="264" t="s">
        <v>220</v>
      </c>
      <c r="C70" s="1137">
        <f>VLOOKUP($A70,'[4]Data C 2,4'!$A$3:$S$189,C$1,0)%</f>
        <v>0.16</v>
      </c>
      <c r="D70" s="396">
        <f>VLOOKUP($A70,'[4]Data C 2,4'!$A$3:$S$189,D$1,0)%</f>
        <v>0.17499999999999999</v>
      </c>
      <c r="E70" s="396">
        <f>VLOOKUP($A70,'[4]Data C 2,4'!$A$3:$S$189,E$1,0)%</f>
        <v>0.17499999999999999</v>
      </c>
      <c r="F70" s="396">
        <f>VLOOKUP($A70,'[4]Data C 2,4'!$A$3:$S$189,F$1,0)%</f>
        <v>0.17499999999999999</v>
      </c>
      <c r="G70" s="396">
        <f>VLOOKUP($A70,'[4]Data C 2,4'!$A$3:$S$189,G$1,0)%</f>
        <v>0.17499999999999999</v>
      </c>
      <c r="H70" s="396">
        <f>VLOOKUP($A70,'[4]Data C 2,4'!$A$3:$S$189,H$1,0)%</f>
        <v>0.16500000000000001</v>
      </c>
      <c r="I70" s="396">
        <f>VLOOKUP($A70,'[4]Data C 2,4'!$A$3:$S$189,I$1,0)%</f>
        <v>0.16500000000000001</v>
      </c>
      <c r="J70" s="396">
        <f>VLOOKUP($A70,'[4]Data C 2,4'!$A$3:$S$189,J$1,0)%</f>
        <v>0.16500000000000001</v>
      </c>
      <c r="K70" s="396">
        <f>VLOOKUP($A70,'[4]Data C 2,4'!$A$3:$S$189,K$1,0)%</f>
        <v>0.16500000000000001</v>
      </c>
      <c r="L70" s="396">
        <f>VLOOKUP($A70,'[4]Data C 2,4'!$A$3:$S$189,L$1,0)%</f>
        <v>0.16500000000000001</v>
      </c>
      <c r="M70" s="396">
        <f>VLOOKUP($A70,'[4]Data C 2,4'!$A$3:$S$189,M$1,0)%</f>
        <v>0.16500000000000001</v>
      </c>
      <c r="N70" s="396">
        <f>VLOOKUP($A70,'[4]Data C 2,4'!$A$3:$S$189,N$1,0)%</f>
        <v>0.16500000000000001</v>
      </c>
      <c r="O70" s="396">
        <f>VLOOKUP($A70,'[4]Data C 2,4'!$A$3:$S$189,O$1,0)%</f>
        <v>0.16500000000000001</v>
      </c>
      <c r="P70" s="396">
        <f>VLOOKUP($A70,'[4]Data C 2,4'!$A$3:$S$189,P$1,0)%</f>
        <v>0.16500000000000001</v>
      </c>
      <c r="Q70" s="396">
        <f>VLOOKUP($A70,'[4]Data C 2,4'!$A$3:$S$189,Q$1,0)%</f>
        <v>0.16500000000000001</v>
      </c>
      <c r="R70" s="1364">
        <f>VLOOKUP($A70,'[4]Data C 2,4'!$A$3:$S$189,R$1,0)%</f>
        <v>0.16500000000000001</v>
      </c>
    </row>
    <row r="71" spans="1:18" x14ac:dyDescent="0.35">
      <c r="B71" s="264" t="s">
        <v>284</v>
      </c>
      <c r="C71" s="1137">
        <f>VLOOKUP($B71,'[4]Data C 2,4'!$A$3:$S$189,C$1,0)%</f>
        <v>0</v>
      </c>
      <c r="D71" s="396">
        <f>VLOOKUP($B71,'[4]Data C 2,4'!$A$3:$S$189,D$1,0)%</f>
        <v>0</v>
      </c>
      <c r="E71" s="396">
        <f>VLOOKUP($B71,'[4]Data C 2,4'!$A$3:$S$189,E$1,0)%</f>
        <v>0</v>
      </c>
      <c r="F71" s="396">
        <f>VLOOKUP($B71,'[4]Data C 2,4'!$A$3:$S$189,F$1,0)%</f>
        <v>0</v>
      </c>
      <c r="G71" s="396">
        <f>VLOOKUP($B71,'[4]Data C 2,4'!$A$3:$S$189,G$1,0)%</f>
        <v>0</v>
      </c>
      <c r="H71" s="396">
        <f>VLOOKUP($B71,'[4]Data C 2,4'!$A$3:$S$189,H$1,0)%</f>
        <v>0</v>
      </c>
      <c r="I71" s="396">
        <f>VLOOKUP($B71,'[4]Data C 2,4'!$A$3:$S$189,I$1,0)%</f>
        <v>0</v>
      </c>
      <c r="J71" s="396">
        <f>VLOOKUP($B71,'[4]Data C 2,4'!$A$3:$S$189,J$1,0)%</f>
        <v>0</v>
      </c>
      <c r="K71" s="396">
        <f>VLOOKUP($B71,'[4]Data C 2,4'!$A$3:$S$189,K$1,0)%</f>
        <v>0</v>
      </c>
      <c r="L71" s="396">
        <f>VLOOKUP($B71,'[4]Data C 2,4'!$A$3:$S$189,L$1,0)%</f>
        <v>0</v>
      </c>
      <c r="M71" s="396">
        <f>VLOOKUP($B71,'[4]Data C 2,4'!$A$3:$S$189,M$1,0)%</f>
        <v>0</v>
      </c>
      <c r="N71" s="396">
        <f>VLOOKUP($B71,'[4]Data C 2,4'!$A$3:$S$189,N$1,0)%</f>
        <v>0</v>
      </c>
      <c r="O71" s="396">
        <f>VLOOKUP($B71,'[4]Data C 2,4'!$A$3:$S$189,O$1,0)%</f>
        <v>0</v>
      </c>
      <c r="P71" s="396">
        <f>VLOOKUP($B71,'[4]Data C 2,4'!$A$3:$S$189,P$1,0)%</f>
        <v>0</v>
      </c>
      <c r="Q71" s="396">
        <f>VLOOKUP($B71,'[4]Data C 2,4'!$A$3:$S$189,Q$1,0)%</f>
        <v>0</v>
      </c>
      <c r="R71" s="1364">
        <f>VLOOKUP($B71,'[4]Data C 2,4'!$A$3:$S$189,R$1,0)%</f>
        <v>0</v>
      </c>
    </row>
    <row r="72" spans="1:18" x14ac:dyDescent="0.35">
      <c r="B72" s="264" t="s">
        <v>285</v>
      </c>
      <c r="C72" s="1137">
        <f>VLOOKUP($B72,'[4]Data C 2,4'!$A$3:$S$189,C$1,0)%</f>
        <v>0</v>
      </c>
      <c r="D72" s="396">
        <f>VLOOKUP($B72,'[4]Data C 2,4'!$A$3:$S$189,D$1,0)%</f>
        <v>0</v>
      </c>
      <c r="E72" s="396">
        <f>VLOOKUP($B72,'[4]Data C 2,4'!$A$3:$S$189,E$1,0)%</f>
        <v>0</v>
      </c>
      <c r="F72" s="396">
        <f>VLOOKUP($B72,'[4]Data C 2,4'!$A$3:$S$189,F$1,0)%</f>
        <v>0</v>
      </c>
      <c r="G72" s="396">
        <f>VLOOKUP($B72,'[4]Data C 2,4'!$A$3:$S$189,G$1,0)%</f>
        <v>0</v>
      </c>
      <c r="H72" s="396">
        <f>VLOOKUP($B72,'[4]Data C 2,4'!$A$3:$S$189,H$1,0)%</f>
        <v>0</v>
      </c>
      <c r="I72" s="396">
        <f>VLOOKUP($B72,'[4]Data C 2,4'!$A$3:$S$189,I$1,0)%</f>
        <v>0</v>
      </c>
      <c r="J72" s="396">
        <f>VLOOKUP($B72,'[4]Data C 2,4'!$A$3:$S$189,J$1,0)%</f>
        <v>0</v>
      </c>
      <c r="K72" s="396">
        <f>VLOOKUP($B72,'[4]Data C 2,4'!$A$3:$S$189,K$1,0)%</f>
        <v>0</v>
      </c>
      <c r="L72" s="396">
        <f>VLOOKUP($B72,'[4]Data C 2,4'!$A$3:$S$189,L$1,0)%</f>
        <v>0</v>
      </c>
      <c r="M72" s="396">
        <f>VLOOKUP($B72,'[4]Data C 2,4'!$A$3:$S$189,M$1,0)%</f>
        <v>0.15</v>
      </c>
      <c r="N72" s="396">
        <f>VLOOKUP($B72,'[4]Data C 2,4'!$A$3:$S$189,N$1,0)%</f>
        <v>0.15</v>
      </c>
      <c r="O72" s="396">
        <f>VLOOKUP($B72,'[4]Data C 2,4'!$A$3:$S$189,O$1,0)%</f>
        <v>0.15</v>
      </c>
      <c r="P72" s="396">
        <f>VLOOKUP($B72,'[4]Data C 2,4'!$A$3:$S$189,P$1,0)%</f>
        <v>0.15</v>
      </c>
      <c r="Q72" s="396">
        <f>VLOOKUP($B72,'[4]Data C 2,4'!$A$3:$S$189,Q$1,0)%</f>
        <v>0.15</v>
      </c>
      <c r="R72" s="1364">
        <f>VLOOKUP($B72,'[4]Data C 2,4'!$A$3:$S$189,R$1,0)%</f>
        <v>0.15</v>
      </c>
    </row>
    <row r="73" spans="1:18" x14ac:dyDescent="0.35">
      <c r="B73" s="264" t="s">
        <v>286</v>
      </c>
      <c r="C73" s="1137">
        <f>VLOOKUP($B73,'[4]Data C 2,4'!$A$3:$S$189,C$1,0)%</f>
        <v>0</v>
      </c>
      <c r="D73" s="396">
        <f>VLOOKUP($B73,'[4]Data C 2,4'!$A$3:$S$189,D$1,0)%</f>
        <v>0</v>
      </c>
      <c r="E73" s="396">
        <f>VLOOKUP($B73,'[4]Data C 2,4'!$A$3:$S$189,E$1,0)%</f>
        <v>0</v>
      </c>
      <c r="F73" s="396">
        <f>VLOOKUP($B73,'[4]Data C 2,4'!$A$3:$S$189,F$1,0)%</f>
        <v>0</v>
      </c>
      <c r="G73" s="396">
        <f>VLOOKUP($B73,'[4]Data C 2,4'!$A$3:$S$189,G$1,0)%</f>
        <v>0</v>
      </c>
      <c r="H73" s="396">
        <f>VLOOKUP($B73,'[4]Data C 2,4'!$A$3:$S$189,H$1,0)%</f>
        <v>0</v>
      </c>
      <c r="I73" s="396">
        <f>VLOOKUP($B73,'[4]Data C 2,4'!$A$3:$S$189,I$1,0)%</f>
        <v>0</v>
      </c>
      <c r="J73" s="396">
        <f>VLOOKUP($B73,'[4]Data C 2,4'!$A$3:$S$189,J$1,0)%</f>
        <v>0</v>
      </c>
      <c r="K73" s="396">
        <f>VLOOKUP($B73,'[4]Data C 2,4'!$A$3:$S$189,K$1,0)%</f>
        <v>0.125</v>
      </c>
      <c r="L73" s="396">
        <f>VLOOKUP($B73,'[4]Data C 2,4'!$A$3:$S$189,L$1,0)%</f>
        <v>0.125</v>
      </c>
      <c r="M73" s="396">
        <f>VLOOKUP($B73,'[4]Data C 2,4'!$A$3:$S$189,M$1,0)%</f>
        <v>0.125</v>
      </c>
      <c r="N73" s="396">
        <f>VLOOKUP($B73,'[4]Data C 2,4'!$A$3:$S$189,N$1,0)%</f>
        <v>0.125</v>
      </c>
      <c r="O73" s="396">
        <f>VLOOKUP($B73,'[4]Data C 2,4'!$A$3:$S$189,O$1,0)%</f>
        <v>0.125</v>
      </c>
      <c r="P73" s="396">
        <f>VLOOKUP($B73,'[4]Data C 2,4'!$A$3:$S$189,P$1,0)%</f>
        <v>0.125</v>
      </c>
      <c r="Q73" s="396">
        <f>VLOOKUP($B73,'[4]Data C 2,4'!$A$3:$S$189,Q$1,0)%</f>
        <v>0.125</v>
      </c>
      <c r="R73" s="1364">
        <f>VLOOKUP($B73,'[4]Data C 2,4'!$A$3:$S$189,R$1,0)%</f>
        <v>0.125</v>
      </c>
    </row>
    <row r="74" spans="1:18" x14ac:dyDescent="0.35">
      <c r="B74" s="264" t="s">
        <v>287</v>
      </c>
      <c r="C74" s="1137">
        <f>VLOOKUP($B74,'[4]Data C 2,4'!$A$3:$S$189,C$1,0)%</f>
        <v>0.15</v>
      </c>
      <c r="D74" s="396">
        <f>VLOOKUP($B74,'[4]Data C 2,4'!$A$3:$S$189,D$1,0)%</f>
        <v>0.12</v>
      </c>
      <c r="E74" s="396">
        <f>VLOOKUP($B74,'[4]Data C 2,4'!$A$3:$S$189,E$1,0)%</f>
        <v>0.12</v>
      </c>
      <c r="F74" s="396">
        <f>VLOOKUP($B74,'[4]Data C 2,4'!$A$3:$S$189,F$1,0)%</f>
        <v>0.12</v>
      </c>
      <c r="G74" s="396">
        <f>VLOOKUP($B74,'[4]Data C 2,4'!$A$3:$S$189,G$1,0)%</f>
        <v>0.12</v>
      </c>
      <c r="H74" s="396">
        <f>VLOOKUP($B74,'[4]Data C 2,4'!$A$3:$S$189,H$1,0)%</f>
        <v>0.12</v>
      </c>
      <c r="I74" s="396">
        <f>VLOOKUP($B74,'[4]Data C 2,4'!$A$3:$S$189,I$1,0)%</f>
        <v>0.12</v>
      </c>
      <c r="J74" s="396">
        <f>VLOOKUP($B74,'[4]Data C 2,4'!$A$3:$S$189,J$1,0)%</f>
        <v>0.12</v>
      </c>
      <c r="K74" s="396">
        <f>VLOOKUP($B74,'[4]Data C 2,4'!$A$3:$S$189,K$1,0)%</f>
        <v>0.12</v>
      </c>
      <c r="L74" s="396">
        <f>VLOOKUP($B74,'[4]Data C 2,4'!$A$3:$S$189,L$1,0)%</f>
        <v>0.12</v>
      </c>
      <c r="M74" s="396">
        <f>VLOOKUP($B74,'[4]Data C 2,4'!$A$3:$S$189,M$1,0)%</f>
        <v>0.12</v>
      </c>
      <c r="N74" s="396">
        <f>VLOOKUP($B74,'[4]Data C 2,4'!$A$3:$S$189,N$1,0)%</f>
        <v>0.12</v>
      </c>
      <c r="O74" s="396">
        <f>VLOOKUP($B74,'[4]Data C 2,4'!$A$3:$S$189,O$1,0)%</f>
        <v>0.12</v>
      </c>
      <c r="P74" s="396">
        <f>VLOOKUP($B74,'[4]Data C 2,4'!$A$3:$S$189,P$1,0)%</f>
        <v>0.12</v>
      </c>
      <c r="Q74" s="396">
        <f>VLOOKUP($B74,'[4]Data C 2,4'!$A$3:$S$189,Q$1,0)%</f>
        <v>0.12</v>
      </c>
      <c r="R74" s="1364">
        <f>VLOOKUP($B74,'[4]Data C 2,4'!$A$3:$S$189,R$1,0)%</f>
        <v>0.12</v>
      </c>
    </row>
    <row r="75" spans="1:18" x14ac:dyDescent="0.35">
      <c r="B75" s="289" t="s">
        <v>301</v>
      </c>
      <c r="C75" s="1137">
        <f>VLOOKUP($B75,'[4]Data C 2,4'!$A$3:$S$189,C$1,0)%</f>
        <v>0.35</v>
      </c>
      <c r="D75" s="396">
        <f>VLOOKUP($B75,'[4]Data C 2,4'!$A$3:$S$189,D$1,0)%</f>
        <v>0.35</v>
      </c>
      <c r="E75" s="396">
        <f>VLOOKUP($B75,'[4]Data C 2,4'!$A$3:$S$189,E$1,0)%</f>
        <v>0.35</v>
      </c>
      <c r="F75" s="396">
        <f>VLOOKUP($B75,'[4]Data C 2,4'!$A$3:$S$189,F$1,0)%</f>
        <v>0.35</v>
      </c>
      <c r="G75" s="396">
        <f>VLOOKUP($B75,'[4]Data C 2,4'!$A$3:$S$189,G$1,0)%</f>
        <v>0.35</v>
      </c>
      <c r="H75" s="396">
        <f>VLOOKUP($B75,'[4]Data C 2,4'!$A$3:$S$189,H$1,0)%</f>
        <v>0.35</v>
      </c>
      <c r="I75" s="396">
        <f>VLOOKUP($B75,'[4]Data C 2,4'!$A$3:$S$189,I$1,0)%</f>
        <v>0.35</v>
      </c>
      <c r="J75" s="396">
        <f>VLOOKUP($B75,'[4]Data C 2,4'!$A$3:$S$189,J$1,0)%</f>
        <v>0.35</v>
      </c>
      <c r="K75" s="396">
        <f>VLOOKUP($B75,'[4]Data C 2,4'!$A$3:$S$189,K$1,0)%</f>
        <v>0.35</v>
      </c>
      <c r="L75" s="396">
        <f>VLOOKUP($B75,'[4]Data C 2,4'!$A$3:$S$189,L$1,0)%</f>
        <v>0.35</v>
      </c>
      <c r="M75" s="396">
        <f>VLOOKUP($B75,'[4]Data C 2,4'!$A$3:$S$189,M$1,0)%</f>
        <v>0.35</v>
      </c>
      <c r="N75" s="396">
        <f>VLOOKUP($B75,'[4]Data C 2,4'!$A$3:$S$189,N$1,0)%</f>
        <v>0.35</v>
      </c>
      <c r="O75" s="396">
        <f>VLOOKUP($B75,'[4]Data C 2,4'!$A$3:$S$189,O$1,0)%</f>
        <v>0.35</v>
      </c>
      <c r="P75" s="396">
        <f>VLOOKUP($B75,'[4]Data C 2,4'!$A$3:$S$189,P$1,0)%</f>
        <v>0.35</v>
      </c>
      <c r="Q75" s="396">
        <f>VLOOKUP($B75,'[4]Data C 2,4'!$A$3:$S$189,Q$1,0)%</f>
        <v>0.35</v>
      </c>
      <c r="R75" s="1364">
        <f>VLOOKUP($B75,'[4]Data C 2,4'!$A$3:$S$189,R$1,0)%</f>
        <v>0.35</v>
      </c>
    </row>
    <row r="76" spans="1:18" x14ac:dyDescent="0.35">
      <c r="B76" s="289" t="s">
        <v>302</v>
      </c>
      <c r="C76" s="1137">
        <v>0</v>
      </c>
      <c r="D76" s="396">
        <v>0</v>
      </c>
      <c r="E76" s="396">
        <v>0</v>
      </c>
      <c r="F76" s="396">
        <v>0</v>
      </c>
      <c r="G76" s="396">
        <v>0</v>
      </c>
      <c r="H76" s="396">
        <v>0</v>
      </c>
      <c r="I76" s="396">
        <v>0</v>
      </c>
      <c r="J76" s="396">
        <v>0</v>
      </c>
      <c r="K76" s="396">
        <v>0</v>
      </c>
      <c r="L76" s="396">
        <v>0</v>
      </c>
      <c r="M76" s="396">
        <v>0</v>
      </c>
      <c r="N76" s="396">
        <v>0</v>
      </c>
      <c r="O76" s="396">
        <v>0</v>
      </c>
      <c r="P76" s="396">
        <v>0</v>
      </c>
      <c r="Q76" s="396">
        <v>0</v>
      </c>
      <c r="R76" s="1364">
        <v>0</v>
      </c>
    </row>
    <row r="77" spans="1:18" x14ac:dyDescent="0.35">
      <c r="B77" s="289" t="s">
        <v>296</v>
      </c>
      <c r="C77" s="1137">
        <f>VLOOKUP($B77,'[4]Data C 2,4'!$A$3:$S$189,C$1,0)%</f>
        <v>0</v>
      </c>
      <c r="D77" s="396">
        <f>VLOOKUP($B77,'[4]Data C 2,4'!$A$3:$S$189,D$1,0)%</f>
        <v>0</v>
      </c>
      <c r="E77" s="396">
        <f>VLOOKUP($B77,'[4]Data C 2,4'!$A$3:$S$189,E$1,0)%</f>
        <v>0</v>
      </c>
      <c r="F77" s="396">
        <f>VLOOKUP($B77,'[4]Data C 2,4'!$A$3:$S$189,F$1,0)%</f>
        <v>0</v>
      </c>
      <c r="G77" s="396">
        <f>VLOOKUP($B77,'[4]Data C 2,4'!$A$3:$S$189,G$1,0)%</f>
        <v>0</v>
      </c>
      <c r="H77" s="396">
        <f>VLOOKUP($B77,'[4]Data C 2,4'!$A$3:$S$189,H$1,0)%</f>
        <v>0</v>
      </c>
      <c r="I77" s="396">
        <f>VLOOKUP($B77,'[4]Data C 2,4'!$A$3:$S$189,I$1,0)%</f>
        <v>0</v>
      </c>
      <c r="J77" s="396">
        <f>VLOOKUP($B77,'[4]Data C 2,4'!$A$3:$S$189,J$1,0)%</f>
        <v>0</v>
      </c>
      <c r="K77" s="396">
        <f>VLOOKUP($B77,'[4]Data C 2,4'!$A$3:$S$189,K$1,0)%</f>
        <v>0</v>
      </c>
      <c r="L77" s="396">
        <f>VLOOKUP($B77,'[4]Data C 2,4'!$A$3:$S$189,L$1,0)%</f>
        <v>0</v>
      </c>
      <c r="M77" s="396">
        <f>VLOOKUP($B77,'[4]Data C 2,4'!$A$3:$S$189,M$1,0)%</f>
        <v>0</v>
      </c>
      <c r="N77" s="396">
        <f>VLOOKUP($B77,'[4]Data C 2,4'!$A$3:$S$189,N$1,0)%</f>
        <v>0</v>
      </c>
      <c r="O77" s="396">
        <f>VLOOKUP($B77,'[4]Data C 2,4'!$A$3:$S$189,O$1,0)%</f>
        <v>0</v>
      </c>
      <c r="P77" s="396">
        <f>VLOOKUP($B77,'[4]Data C 2,4'!$A$3:$S$189,P$1,0)%</f>
        <v>0</v>
      </c>
      <c r="Q77" s="396">
        <f>VLOOKUP($B77,'[4]Data C 2,4'!$A$3:$S$189,Q$1,0)%</f>
        <v>0.33329999999999999</v>
      </c>
      <c r="R77" s="1364">
        <f>VLOOKUP($B77,'[4]Data C 2,4'!$A$3:$S$189,R$1,0)%</f>
        <v>0.33</v>
      </c>
    </row>
    <row r="78" spans="1:18" x14ac:dyDescent="0.35">
      <c r="A78" t="s">
        <v>682</v>
      </c>
      <c r="B78" s="264" t="s">
        <v>288</v>
      </c>
      <c r="C78" s="1137"/>
      <c r="D78" s="396"/>
      <c r="E78" s="396"/>
      <c r="F78" s="396"/>
      <c r="G78" s="396"/>
      <c r="H78" s="396"/>
      <c r="I78" s="396"/>
      <c r="J78" s="396"/>
      <c r="K78" s="396"/>
      <c r="L78" s="396"/>
      <c r="M78" s="396"/>
      <c r="N78" s="396"/>
      <c r="O78" s="396"/>
      <c r="P78" s="396"/>
      <c r="Q78" s="396"/>
      <c r="R78" s="1364"/>
    </row>
    <row r="79" spans="1:18" x14ac:dyDescent="0.35">
      <c r="B79" s="264" t="s">
        <v>289</v>
      </c>
      <c r="C79" s="1137">
        <f>VLOOKUP($B79,'[4]Data C 2,4'!$A$3:$S$189,C$1,0)%</f>
        <v>0.25</v>
      </c>
      <c r="D79" s="396">
        <f>VLOOKUP($B79,'[4]Data C 2,4'!$A$3:$S$189,D$1,0)%</f>
        <v>0.25</v>
      </c>
      <c r="E79" s="396">
        <f>VLOOKUP($B79,'[4]Data C 2,4'!$A$3:$S$189,E$1,0)%</f>
        <v>0.25</v>
      </c>
      <c r="F79" s="396">
        <f>VLOOKUP($B79,'[4]Data C 2,4'!$A$3:$S$189,F$1,0)%</f>
        <v>0.25</v>
      </c>
      <c r="G79" s="396">
        <f>VLOOKUP($B79,'[4]Data C 2,4'!$A$3:$S$189,G$1,0)%</f>
        <v>0.22500000000000001</v>
      </c>
      <c r="H79" s="396">
        <f>VLOOKUP($B79,'[4]Data C 2,4'!$A$3:$S$189,H$1,0)%</f>
        <v>0.15</v>
      </c>
      <c r="I79" s="396">
        <f>VLOOKUP($B79,'[4]Data C 2,4'!$A$3:$S$189,I$1,0)%</f>
        <v>0.15</v>
      </c>
      <c r="J79" s="396">
        <f>VLOOKUP($B79,'[4]Data C 2,4'!$A$3:$S$189,J$1,0)%</f>
        <v>0.15</v>
      </c>
      <c r="K79" s="396">
        <f>VLOOKUP($B79,'[4]Data C 2,4'!$A$3:$S$189,K$1,0)%</f>
        <v>0.15</v>
      </c>
      <c r="L79" s="396">
        <f>VLOOKUP($B79,'[4]Data C 2,4'!$A$3:$S$189,L$1,0)%</f>
        <v>0.15</v>
      </c>
      <c r="M79" s="396">
        <f>VLOOKUP($B79,'[4]Data C 2,4'!$A$3:$S$189,M$1,0)%</f>
        <v>0.15</v>
      </c>
      <c r="N79" s="396">
        <f>VLOOKUP($B79,'[4]Data C 2,4'!$A$3:$S$189,N$1,0)%</f>
        <v>0.15</v>
      </c>
      <c r="O79" s="396">
        <f>VLOOKUP($B79,'[4]Data C 2,4'!$A$3:$S$189,O$1,0)%</f>
        <v>0.15</v>
      </c>
      <c r="P79" s="396">
        <f>VLOOKUP($B79,'[4]Data C 2,4'!$A$3:$S$189,P$1,0)%</f>
        <v>0.15</v>
      </c>
      <c r="Q79" s="396">
        <f>VLOOKUP($B79,'[4]Data C 2,4'!$A$3:$S$189,Q$1,0)%</f>
        <v>0.15</v>
      </c>
      <c r="R79" s="1364">
        <f>VLOOKUP($B79,'[4]Data C 2,4'!$A$3:$S$189,R$1,0)%</f>
        <v>0.15</v>
      </c>
    </row>
    <row r="80" spans="1:18" x14ac:dyDescent="0.35">
      <c r="B80" s="289" t="s">
        <v>297</v>
      </c>
      <c r="C80" s="1137"/>
      <c r="D80" s="396"/>
      <c r="E80" s="396"/>
      <c r="F80" s="396"/>
      <c r="G80" s="396"/>
      <c r="H80" s="396"/>
      <c r="I80" s="396"/>
      <c r="J80" s="396"/>
      <c r="K80" s="396"/>
      <c r="L80" s="396"/>
      <c r="M80" s="396"/>
      <c r="N80" s="396"/>
      <c r="O80" s="396"/>
      <c r="P80" s="396"/>
      <c r="Q80" s="396"/>
      <c r="R80" s="1364"/>
    </row>
    <row r="81" spans="2:18" x14ac:dyDescent="0.35">
      <c r="B81" s="264" t="s">
        <v>225</v>
      </c>
      <c r="C81" s="1137">
        <f>VLOOKUP($B81,'[4]Data C 2,4'!$A$3:$S$189,C$1,0)%</f>
        <v>0.22</v>
      </c>
      <c r="D81" s="396">
        <f>VLOOKUP($B81,'[4]Data C 2,4'!$A$3:$S$189,D$1,0)%</f>
        <v>0.22</v>
      </c>
      <c r="E81" s="396">
        <f>VLOOKUP($B81,'[4]Data C 2,4'!$A$3:$S$189,E$1,0)%</f>
        <v>0.2</v>
      </c>
      <c r="F81" s="396">
        <f>VLOOKUP($B81,'[4]Data C 2,4'!$A$3:$S$189,F$1,0)%</f>
        <v>0.2</v>
      </c>
      <c r="G81" s="396">
        <f>VLOOKUP($B81,'[4]Data C 2,4'!$A$3:$S$189,G$1,0)%</f>
        <v>0.2</v>
      </c>
      <c r="H81" s="396">
        <f>VLOOKUP($B81,'[4]Data C 2,4'!$A$3:$S$189,H$1,0)%</f>
        <v>0.18</v>
      </c>
      <c r="I81" s="396">
        <f>VLOOKUP($B81,'[4]Data C 2,4'!$A$3:$S$189,I$1,0)%</f>
        <v>0.18</v>
      </c>
      <c r="J81" s="396">
        <f>VLOOKUP($B81,'[4]Data C 2,4'!$A$3:$S$189,J$1,0)%</f>
        <v>0.17</v>
      </c>
      <c r="K81" s="396">
        <f>VLOOKUP($B81,'[4]Data C 2,4'!$A$3:$S$189,K$1,0)%</f>
        <v>0.17</v>
      </c>
      <c r="L81" s="396">
        <f>VLOOKUP($B81,'[4]Data C 2,4'!$A$3:$S$189,L$1,0)%</f>
        <v>0.17</v>
      </c>
      <c r="M81" s="396">
        <f>VLOOKUP($B81,'[4]Data C 2,4'!$A$3:$S$189,M$1,0)%</f>
        <v>0.17</v>
      </c>
      <c r="N81" s="396">
        <f>VLOOKUP($B81,'[4]Data C 2,4'!$A$3:$S$189,N$1,0)%</f>
        <v>0.17</v>
      </c>
      <c r="O81" s="396">
        <f>VLOOKUP($B81,'[4]Data C 2,4'!$A$3:$S$189,O$1,0)%</f>
        <v>0.17</v>
      </c>
      <c r="P81" s="396">
        <f>VLOOKUP($B81,'[4]Data C 2,4'!$A$3:$S$189,P$1,0)%</f>
        <v>0.17</v>
      </c>
      <c r="Q81" s="396">
        <f>VLOOKUP($B81,'[4]Data C 2,4'!$A$3:$S$189,Q$1,0)%</f>
        <v>0.17</v>
      </c>
      <c r="R81" s="1364">
        <f>VLOOKUP($B81,'[4]Data C 2,4'!$A$3:$S$189,R$1,0)%</f>
        <v>0.17</v>
      </c>
    </row>
    <row r="82" spans="2:18" x14ac:dyDescent="0.35">
      <c r="B82" s="289" t="s">
        <v>298</v>
      </c>
      <c r="C82" s="1137"/>
      <c r="D82" s="396"/>
      <c r="E82" s="396"/>
      <c r="F82" s="396"/>
      <c r="G82" s="396"/>
      <c r="H82" s="396"/>
      <c r="I82" s="396"/>
      <c r="J82" s="396"/>
      <c r="K82" s="396"/>
      <c r="L82" s="396"/>
      <c r="M82" s="396"/>
      <c r="N82" s="396"/>
      <c r="O82" s="396"/>
      <c r="P82" s="396"/>
      <c r="Q82" s="396"/>
      <c r="R82" s="1364"/>
    </row>
    <row r="83" spans="2:18" x14ac:dyDescent="0.35">
      <c r="B83" s="289" t="s">
        <v>299</v>
      </c>
      <c r="C83" s="1137"/>
      <c r="D83" s="396"/>
      <c r="E83" s="396"/>
      <c r="F83" s="396"/>
      <c r="G83" s="396"/>
      <c r="H83" s="396"/>
      <c r="I83" s="396"/>
      <c r="J83" s="396"/>
      <c r="K83" s="396"/>
      <c r="L83" s="396"/>
      <c r="M83" s="396"/>
      <c r="N83" s="396"/>
      <c r="O83" s="396"/>
      <c r="P83" s="396"/>
      <c r="Q83" s="396"/>
      <c r="R83" s="1364"/>
    </row>
    <row r="84" spans="2:18" x14ac:dyDescent="0.35">
      <c r="B84" s="289" t="s">
        <v>322</v>
      </c>
      <c r="C84" s="1137"/>
      <c r="D84" s="396"/>
      <c r="E84" s="396"/>
      <c r="F84" s="396"/>
      <c r="G84" s="396"/>
      <c r="H84" s="396"/>
      <c r="I84" s="396"/>
      <c r="J84" s="396"/>
      <c r="K84" s="396"/>
      <c r="L84" s="396"/>
      <c r="M84" s="396"/>
      <c r="N84" s="396"/>
      <c r="O84" s="396"/>
      <c r="P84" s="396"/>
      <c r="Q84" s="396"/>
      <c r="R84" s="1364"/>
    </row>
    <row r="85" spans="2:18" x14ac:dyDescent="0.35">
      <c r="B85" s="289" t="s">
        <v>300</v>
      </c>
      <c r="C85" s="1137">
        <v>0</v>
      </c>
      <c r="D85" s="396">
        <v>0</v>
      </c>
      <c r="E85" s="396">
        <v>0</v>
      </c>
      <c r="F85" s="396">
        <v>0</v>
      </c>
      <c r="G85" s="396">
        <v>0</v>
      </c>
      <c r="H85" s="396">
        <v>0</v>
      </c>
      <c r="I85" s="396">
        <v>0</v>
      </c>
      <c r="J85" s="396">
        <v>0</v>
      </c>
      <c r="K85" s="396">
        <v>0</v>
      </c>
      <c r="L85" s="396">
        <v>0</v>
      </c>
      <c r="M85" s="396">
        <v>0</v>
      </c>
      <c r="N85" s="396">
        <v>0</v>
      </c>
      <c r="O85" s="396">
        <v>0</v>
      </c>
      <c r="P85" s="396">
        <v>0</v>
      </c>
      <c r="Q85" s="396">
        <v>0</v>
      </c>
      <c r="R85" s="1364">
        <v>0</v>
      </c>
    </row>
    <row r="86" spans="2:18" x14ac:dyDescent="0.35">
      <c r="B86" s="289" t="s">
        <v>210</v>
      </c>
      <c r="C86" s="1137">
        <f>VLOOKUP($B86,'[4]Data C 2,4'!$A$3:$S$189,C$1,0)%</f>
        <v>0.3</v>
      </c>
      <c r="D86" s="396">
        <f>VLOOKUP($B86,'[4]Data C 2,4'!$A$3:$S$189,D$1,0)%</f>
        <v>0.3</v>
      </c>
      <c r="E86" s="396">
        <f>VLOOKUP($B86,'[4]Data C 2,4'!$A$3:$S$189,E$1,0)%</f>
        <v>0.3</v>
      </c>
      <c r="F86" s="396">
        <f>VLOOKUP($B86,'[4]Data C 2,4'!$A$3:$S$189,F$1,0)%</f>
        <v>0.3</v>
      </c>
      <c r="G86" s="396">
        <f>VLOOKUP($B86,'[4]Data C 2,4'!$A$3:$S$189,G$1,0)%</f>
        <v>0.3</v>
      </c>
      <c r="H86" s="396">
        <f>VLOOKUP($B86,'[4]Data C 2,4'!$A$3:$S$189,H$1,0)%</f>
        <v>0.3</v>
      </c>
      <c r="I86" s="396">
        <f>VLOOKUP($B86,'[4]Data C 2,4'!$A$3:$S$189,I$1,0)%</f>
        <v>0.3</v>
      </c>
      <c r="J86" s="396">
        <f>VLOOKUP($B86,'[4]Data C 2,4'!$A$3:$S$189,J$1,0)%</f>
        <v>0.27500000000000002</v>
      </c>
      <c r="K86" s="396">
        <f>VLOOKUP($B86,'[4]Data C 2,4'!$A$3:$S$189,K$1,0)%</f>
        <v>0.25</v>
      </c>
      <c r="L86" s="396">
        <f>VLOOKUP($B86,'[4]Data C 2,4'!$A$3:$S$189,L$1,0)%</f>
        <v>0.25</v>
      </c>
      <c r="M86" s="396">
        <f>VLOOKUP($B86,'[4]Data C 2,4'!$A$3:$S$189,M$1,0)%</f>
        <v>0.25</v>
      </c>
      <c r="N86" s="396">
        <f>VLOOKUP($B86,'[4]Data C 2,4'!$A$3:$S$189,N$1,0)%</f>
        <v>0.25</v>
      </c>
      <c r="O86" s="396">
        <f>VLOOKUP($B86,'[4]Data C 2,4'!$A$3:$S$189,O$1,0)%</f>
        <v>0.25</v>
      </c>
      <c r="P86" s="396">
        <f>VLOOKUP($B86,'[4]Data C 2,4'!$A$3:$S$189,P$1,0)%</f>
        <v>0.25</v>
      </c>
      <c r="Q86" s="396">
        <f>VLOOKUP($B86,'[4]Data C 2,4'!$A$3:$S$189,Q$1,0)%</f>
        <v>0.25</v>
      </c>
      <c r="R86" s="1364">
        <f>VLOOKUP($B86,'[4]Data C 2,4'!$A$3:$S$189,R$1,0)%</f>
        <v>0.25</v>
      </c>
    </row>
    <row r="87" spans="2:18" x14ac:dyDescent="0.35">
      <c r="B87" s="264" t="s">
        <v>290</v>
      </c>
      <c r="C87" s="1140"/>
      <c r="D87" s="1136"/>
      <c r="E87" s="1136"/>
      <c r="F87" s="1136"/>
      <c r="G87" s="1136"/>
      <c r="H87" s="1136"/>
      <c r="I87" s="1136"/>
      <c r="J87" s="1136"/>
      <c r="K87" s="1136"/>
      <c r="L87" s="1136"/>
      <c r="M87" s="1136"/>
      <c r="N87" s="1136"/>
      <c r="O87" s="1136"/>
      <c r="P87" s="1136"/>
      <c r="Q87" s="1136"/>
      <c r="R87" s="1559"/>
    </row>
    <row r="88" spans="2:18" x14ac:dyDescent="0.35">
      <c r="B88" s="264"/>
      <c r="C88" s="1140"/>
      <c r="D88" s="1136"/>
      <c r="E88" s="1136"/>
      <c r="F88" s="1136"/>
      <c r="G88" s="1136"/>
      <c r="H88" s="1136"/>
      <c r="I88" s="1136"/>
      <c r="J88" s="1136"/>
      <c r="K88" s="1136"/>
      <c r="L88" s="1136"/>
      <c r="M88" s="1136"/>
      <c r="N88" s="1136"/>
      <c r="O88" s="1136"/>
      <c r="P88" s="1136"/>
      <c r="Q88" s="1136"/>
      <c r="R88" s="1559"/>
    </row>
    <row r="89" spans="2:18" x14ac:dyDescent="0.35">
      <c r="B89" s="1045" t="s">
        <v>700</v>
      </c>
      <c r="C89" s="1137">
        <f>+'[4]Data C 2,4'!B178%</f>
        <v>0.26719999999999999</v>
      </c>
      <c r="D89" s="396">
        <f>+'[4]Data C 2,4'!C178%</f>
        <v>0.25600000000000001</v>
      </c>
      <c r="E89" s="396">
        <f>+'[4]Data C 2,4'!D178%</f>
        <v>0.24030000000000001</v>
      </c>
      <c r="F89" s="396">
        <f>+'[4]Data C 2,4'!E178%</f>
        <v>0.23699999999999999</v>
      </c>
      <c r="G89" s="396">
        <f>+'[4]Data C 2,4'!F178%</f>
        <v>0.22989999999999999</v>
      </c>
      <c r="H89" s="396">
        <f>+'[4]Data C 2,4'!G178%</f>
        <v>0.2195</v>
      </c>
      <c r="I89" s="396">
        <f>+'[4]Data C 2,4'!H178%</f>
        <v>0.21640000000000001</v>
      </c>
      <c r="J89" s="396">
        <f>+'[4]Data C 2,4'!I178%</f>
        <v>0.21460000000000001</v>
      </c>
      <c r="K89" s="396">
        <f>+'[4]Data C 2,4'!J178%</f>
        <v>0.20829999999999999</v>
      </c>
      <c r="L89" s="396">
        <f>+'[4]Data C 2,4'!K178%</f>
        <v>0.20440000000000003</v>
      </c>
      <c r="M89" s="396">
        <f>+'[4]Data C 2,4'!L178%</f>
        <v>0.20600000000000002</v>
      </c>
      <c r="N89" s="396">
        <f>+'[4]Data C 2,4'!M178%</f>
        <v>0.20420000000000002</v>
      </c>
      <c r="O89" s="396">
        <f>+'[4]Data C 2,4'!N178%</f>
        <v>0.20050000000000001</v>
      </c>
      <c r="P89" s="396">
        <f>+'[4]Data C 2,4'!O178%</f>
        <v>0.19969999999999999</v>
      </c>
      <c r="Q89" s="396">
        <f>+'[4]Data C 2,4'!P178%</f>
        <v>0.1953</v>
      </c>
      <c r="R89" s="1364">
        <f>+'[4]Data C 2,4'!Q178%</f>
        <v>0.1948</v>
      </c>
    </row>
    <row r="90" spans="2:18" x14ac:dyDescent="0.35">
      <c r="B90" s="1045" t="s">
        <v>701</v>
      </c>
      <c r="C90" s="1137">
        <f>+'[4]Data C 2,4'!B176%</f>
        <v>0.3019</v>
      </c>
      <c r="D90" s="396">
        <f>+'[4]Data C 2,4'!C176%</f>
        <v>0.30349999999999999</v>
      </c>
      <c r="E90" s="396">
        <f>+'[4]Data C 2,4'!D176%</f>
        <v>0.2979</v>
      </c>
      <c r="F90" s="396">
        <f>+'[4]Data C 2,4'!E176%</f>
        <v>0.28989999999999999</v>
      </c>
      <c r="G90" s="396">
        <f>+'[4]Data C 2,4'!F176%</f>
        <v>0.28339999999999999</v>
      </c>
      <c r="H90" s="396">
        <f>+'[4]Data C 2,4'!G176%</f>
        <v>0.26239999999999997</v>
      </c>
      <c r="I90" s="396">
        <f>+'[4]Data C 2,4'!H176%</f>
        <v>0.25370000000000004</v>
      </c>
      <c r="J90" s="396">
        <f>+'[4]Data C 2,4'!I176%</f>
        <v>0.23719999999999999</v>
      </c>
      <c r="K90" s="396">
        <f>+'[4]Data C 2,4'!J176%</f>
        <v>0.2291</v>
      </c>
      <c r="L90" s="396">
        <f>+'[4]Data C 2,4'!K176%</f>
        <v>0.22719999999999999</v>
      </c>
      <c r="M90" s="396">
        <f>+'[4]Data C 2,4'!L176%</f>
        <v>0.2213</v>
      </c>
      <c r="N90" s="396">
        <f>+'[4]Data C 2,4'!M176%</f>
        <v>0.22</v>
      </c>
      <c r="O90" s="396">
        <f>+'[4]Data C 2,4'!N176%</f>
        <v>0.2198</v>
      </c>
      <c r="P90" s="396">
        <f>+'[4]Data C 2,4'!O176%</f>
        <v>0.21410000000000001</v>
      </c>
      <c r="Q90" s="396">
        <f>+'[4]Data C 2,4'!P176%</f>
        <v>0.2104</v>
      </c>
      <c r="R90" s="1364">
        <f>+'[4]Data C 2,4'!Q176%</f>
        <v>0.21210000000000001</v>
      </c>
    </row>
    <row r="91" spans="2:18" x14ac:dyDescent="0.35">
      <c r="B91" s="1045" t="s">
        <v>702</v>
      </c>
      <c r="C91" s="1137">
        <f>+'[4]Data C 2,4'!B174%</f>
        <v>0.3236</v>
      </c>
      <c r="D91" s="396">
        <f>+'[4]Data C 2,4'!C174%</f>
        <v>0.3236</v>
      </c>
      <c r="E91" s="396">
        <f>+'[4]Data C 2,4'!D174%</f>
        <v>0.30790000000000001</v>
      </c>
      <c r="F91" s="396">
        <f>+'[4]Data C 2,4'!E174%</f>
        <v>0.30730000000000002</v>
      </c>
      <c r="G91" s="396">
        <f>+'[4]Data C 2,4'!F174%</f>
        <v>0.30519999999999997</v>
      </c>
      <c r="H91" s="396">
        <f>+'[4]Data C 2,4'!G174%</f>
        <v>0.28749999999999998</v>
      </c>
      <c r="I91" s="396">
        <f>+'[4]Data C 2,4'!H174%</f>
        <v>0.2883</v>
      </c>
      <c r="J91" s="396">
        <f>+'[4]Data C 2,4'!I174%</f>
        <v>0.28489999999999999</v>
      </c>
      <c r="K91" s="396">
        <f>+'[4]Data C 2,4'!J174%</f>
        <v>0.28639999999999999</v>
      </c>
      <c r="L91" s="396">
        <f>+'[4]Data C 2,4'!K174%</f>
        <v>0.29070000000000001</v>
      </c>
      <c r="M91" s="396">
        <f>+'[4]Data C 2,4'!L174%</f>
        <v>0.28370000000000001</v>
      </c>
      <c r="N91" s="396">
        <f>+'[4]Data C 2,4'!M174%</f>
        <v>0.27850000000000003</v>
      </c>
      <c r="O91" s="396">
        <f>+'[4]Data C 2,4'!N174%</f>
        <v>0.28170000000000001</v>
      </c>
      <c r="P91" s="396">
        <f>+'[4]Data C 2,4'!O174%</f>
        <v>0.28059999999999996</v>
      </c>
      <c r="Q91" s="396">
        <f>+'[4]Data C 2,4'!P174%</f>
        <v>0.28210000000000002</v>
      </c>
      <c r="R91" s="1364">
        <f>+'[4]Data C 2,4'!Q174%</f>
        <v>0.28260000000000002</v>
      </c>
    </row>
    <row r="92" spans="2:18" x14ac:dyDescent="0.35">
      <c r="B92" s="1045" t="s">
        <v>703</v>
      </c>
      <c r="C92" s="1137">
        <f>+'[4]Data C 2,4'!B180%</f>
        <v>0.30809999999999998</v>
      </c>
      <c r="D92" s="396">
        <f>+'[4]Data C 2,4'!C180%</f>
        <v>0.30020000000000002</v>
      </c>
      <c r="E92" s="396">
        <f>+'[4]Data C 2,4'!D180%</f>
        <v>0.29680000000000001</v>
      </c>
      <c r="F92" s="396">
        <f>+'[4]Data C 2,4'!E180%</f>
        <v>0.29070000000000001</v>
      </c>
      <c r="G92" s="396">
        <f>+'[4]Data C 2,4'!F180%</f>
        <v>0.28300000000000003</v>
      </c>
      <c r="H92" s="396">
        <f>+'[4]Data C 2,4'!G180%</f>
        <v>0.27960000000000002</v>
      </c>
      <c r="I92" s="396">
        <f>+'[4]Data C 2,4'!H180%</f>
        <v>0.27960000000000002</v>
      </c>
      <c r="J92" s="396">
        <f>+'[4]Data C 2,4'!I180%</f>
        <v>0.2752</v>
      </c>
      <c r="K92" s="396">
        <f>+'[4]Data C 2,4'!J180%</f>
        <v>0.2888</v>
      </c>
      <c r="L92" s="396">
        <f>+'[4]Data C 2,4'!K180%</f>
        <v>0.28300000000000003</v>
      </c>
      <c r="M92" s="396">
        <f>+'[4]Data C 2,4'!L180%</f>
        <v>0.27960000000000002</v>
      </c>
      <c r="N92" s="396">
        <f>+'[4]Data C 2,4'!M180%</f>
        <v>0.27310000000000001</v>
      </c>
      <c r="O92" s="396">
        <f>+'[4]Data C 2,4'!N180%</f>
        <v>0.27160000000000001</v>
      </c>
      <c r="P92" s="396">
        <f>+'[4]Data C 2,4'!O180%</f>
        <v>0.27379999999999999</v>
      </c>
      <c r="Q92" s="396">
        <f>+'[4]Data C 2,4'!P180%</f>
        <v>0.27979999999999999</v>
      </c>
      <c r="R92" s="1364">
        <f>+'[4]Data C 2,4'!Q180%</f>
        <v>0.27949999999999997</v>
      </c>
    </row>
    <row r="93" spans="2:18" ht="16" thickBot="1" x14ac:dyDescent="0.4">
      <c r="B93" s="1560" t="s">
        <v>680</v>
      </c>
      <c r="C93" s="619">
        <f>+'[4]Data C 2,4'!B179%</f>
        <v>0.29420000000000002</v>
      </c>
      <c r="D93" s="620">
        <f>+'[4]Data C 2,4'!C179%</f>
        <v>0.28949999999999998</v>
      </c>
      <c r="E93" s="620">
        <f>+'[4]Data C 2,4'!D179%</f>
        <v>0.28000000000000003</v>
      </c>
      <c r="F93" s="620">
        <f>+'[4]Data C 2,4'!E179%</f>
        <v>0.27550000000000002</v>
      </c>
      <c r="G93" s="620">
        <f>+'[4]Data C 2,4'!F179%</f>
        <v>0.26960000000000001</v>
      </c>
      <c r="H93" s="620">
        <f>+'[4]Data C 2,4'!G179%</f>
        <v>0.25659999999999999</v>
      </c>
      <c r="I93" s="620">
        <f>+'[4]Data C 2,4'!H179%</f>
        <v>0.25319999999999998</v>
      </c>
      <c r="J93" s="620">
        <f>+'[4]Data C 2,4'!I179%</f>
        <v>0.2465</v>
      </c>
      <c r="K93" s="620">
        <f>+'[4]Data C 2,4'!J179%</f>
        <v>0.2452</v>
      </c>
      <c r="L93" s="620">
        <f>+'[4]Data C 2,4'!K179%</f>
        <v>0.24379999999999999</v>
      </c>
      <c r="M93" s="620">
        <f>+'[4]Data C 2,4'!L179%</f>
        <v>0.24149999999999999</v>
      </c>
      <c r="N93" s="620">
        <f>+'[4]Data C 2,4'!M179%</f>
        <v>0.23850000000000002</v>
      </c>
      <c r="O93" s="620">
        <f>+'[4]Data C 2,4'!N179%</f>
        <v>0.23739999999999997</v>
      </c>
      <c r="P93" s="1706">
        <f>+'[4]Data C 2,4'!O179%</f>
        <v>0.23579999999999998</v>
      </c>
      <c r="Q93" s="620">
        <f>+'[4]Data C 2,4'!P179%</f>
        <v>0.2404</v>
      </c>
      <c r="R93" s="1561">
        <f>+'[4]Data C 2,4'!Q179%</f>
        <v>0.24</v>
      </c>
    </row>
    <row r="94" spans="2:18" ht="32.25" customHeight="1" thickTop="1" x14ac:dyDescent="0.35"/>
  </sheetData>
  <mergeCells count="1">
    <mergeCell ref="B3:R3"/>
  </mergeCells>
  <phoneticPr fontId="62" type="noConversion"/>
  <pageMargins left="0.7" right="0.7" top="0.75" bottom="0.75" header="0.3" footer="0.3"/>
  <pageSetup paperSize="9" scale="47" fitToHeight="0" orientation="portrait"/>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AP89"/>
  <sheetViews>
    <sheetView topLeftCell="B1" workbookViewId="0">
      <pane xSplit="1" ySplit="6" topLeftCell="L33" activePane="bottomRight" state="frozen"/>
      <selection activeCell="H9" sqref="H9"/>
      <selection pane="topRight" activeCell="H9" sqref="H9"/>
      <selection pane="bottomLeft" activeCell="H9" sqref="H9"/>
      <selection pane="bottomRight" activeCell="B3" sqref="B3:AN44"/>
    </sheetView>
  </sheetViews>
  <sheetFormatPr baseColWidth="10" defaultColWidth="8.81640625" defaultRowHeight="15.5" x14ac:dyDescent="0.35"/>
  <cols>
    <col min="1" max="1" width="9" hidden="1" customWidth="1"/>
    <col min="2" max="2" width="30.36328125" bestFit="1" customWidth="1"/>
  </cols>
  <sheetData>
    <row r="1" spans="2:42" hidden="1" x14ac:dyDescent="0.3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15</v>
      </c>
      <c r="AM1">
        <v>16</v>
      </c>
      <c r="AN1">
        <v>17</v>
      </c>
    </row>
    <row r="2" spans="2:42" ht="16" thickBot="1" x14ac:dyDescent="0.4"/>
    <row r="3" spans="2:42" ht="40" customHeight="1" thickTop="1" x14ac:dyDescent="0.35">
      <c r="B3" s="2048" t="s">
        <v>709</v>
      </c>
      <c r="C3" s="2049"/>
      <c r="D3" s="2049"/>
      <c r="E3" s="2049"/>
      <c r="F3" s="2049"/>
      <c r="G3" s="2049"/>
      <c r="H3" s="2049"/>
      <c r="I3" s="2049"/>
      <c r="J3" s="2049"/>
      <c r="K3" s="2049"/>
      <c r="L3" s="2049"/>
      <c r="M3" s="2049"/>
      <c r="N3" s="2049"/>
      <c r="O3" s="2049"/>
      <c r="P3" s="2049"/>
      <c r="Q3" s="2049"/>
      <c r="R3" s="2049"/>
      <c r="S3" s="2049"/>
      <c r="T3" s="2049"/>
      <c r="U3" s="2049"/>
      <c r="V3" s="2049"/>
      <c r="W3" s="2049"/>
      <c r="X3" s="2049"/>
      <c r="Y3" s="2049"/>
      <c r="Z3" s="2049"/>
      <c r="AA3" s="2049"/>
      <c r="AB3" s="2049"/>
      <c r="AC3" s="2049"/>
      <c r="AD3" s="2049"/>
      <c r="AE3" s="2049"/>
      <c r="AF3" s="2049"/>
      <c r="AG3" s="2049"/>
      <c r="AH3" s="2049"/>
      <c r="AI3" s="2049"/>
      <c r="AJ3" s="2049"/>
      <c r="AK3" s="2049"/>
      <c r="AL3" s="2049"/>
      <c r="AM3" s="2049"/>
      <c r="AN3" s="2050"/>
      <c r="AP3" t="s">
        <v>837</v>
      </c>
    </row>
    <row r="4" spans="2:42" ht="20" x14ac:dyDescent="0.35">
      <c r="B4" s="11"/>
      <c r="C4" s="1312"/>
      <c r="D4" s="1312"/>
      <c r="E4" s="1312"/>
      <c r="F4" s="1312"/>
      <c r="G4" s="1312"/>
      <c r="H4" s="1312"/>
      <c r="I4" s="1145"/>
      <c r="J4" s="1145"/>
      <c r="K4" s="1145"/>
      <c r="L4" s="1145"/>
      <c r="M4" s="1145"/>
      <c r="N4" s="1145"/>
      <c r="O4" s="1145"/>
      <c r="P4" s="1312"/>
      <c r="Q4" s="1312"/>
      <c r="R4" s="1312"/>
      <c r="S4" s="1312"/>
      <c r="T4" s="1312"/>
      <c r="U4" s="1312"/>
      <c r="V4" s="1145"/>
      <c r="W4" s="1145"/>
      <c r="X4" s="1145"/>
      <c r="Y4" s="1145"/>
      <c r="Z4" s="1145"/>
      <c r="AA4" s="1145"/>
      <c r="AB4" s="1145"/>
      <c r="AC4" s="1145"/>
      <c r="AD4" s="1145"/>
      <c r="AE4" s="1145"/>
      <c r="AF4" s="1145"/>
      <c r="AG4" s="1145"/>
      <c r="AH4" s="1145"/>
      <c r="AI4" s="1145"/>
      <c r="AJ4" s="1145"/>
      <c r="AK4" s="1145"/>
      <c r="AL4" s="1145"/>
      <c r="AM4" s="1145"/>
      <c r="AN4" s="1555"/>
      <c r="AO4" s="1145"/>
    </row>
    <row r="5" spans="2:42" ht="20.5" thickBot="1" x14ac:dyDescent="0.4">
      <c r="B5" s="11"/>
      <c r="C5" s="409" t="s">
        <v>20</v>
      </c>
      <c r="D5" s="409" t="s">
        <v>21</v>
      </c>
      <c r="E5" s="409" t="s">
        <v>22</v>
      </c>
      <c r="F5" s="409" t="s">
        <v>23</v>
      </c>
      <c r="G5" s="409" t="s">
        <v>24</v>
      </c>
      <c r="H5" s="409" t="s">
        <v>25</v>
      </c>
      <c r="I5" s="409" t="s">
        <v>26</v>
      </c>
      <c r="J5" s="409" t="s">
        <v>33</v>
      </c>
      <c r="K5" s="409" t="s">
        <v>34</v>
      </c>
      <c r="L5" s="409" t="s">
        <v>37</v>
      </c>
      <c r="M5" s="409" t="s">
        <v>105</v>
      </c>
      <c r="N5" s="409" t="s">
        <v>138</v>
      </c>
      <c r="O5" s="409" t="s">
        <v>139</v>
      </c>
      <c r="P5" s="409" t="s">
        <v>140</v>
      </c>
      <c r="Q5" s="409" t="s">
        <v>141</v>
      </c>
      <c r="R5" s="409" t="s">
        <v>255</v>
      </c>
      <c r="S5" s="409" t="s">
        <v>655</v>
      </c>
      <c r="T5" s="409" t="s">
        <v>656</v>
      </c>
      <c r="U5" s="409" t="s">
        <v>657</v>
      </c>
      <c r="V5" s="409" t="s">
        <v>658</v>
      </c>
      <c r="W5" s="409" t="s">
        <v>659</v>
      </c>
      <c r="X5" s="409" t="s">
        <v>660</v>
      </c>
      <c r="Y5" s="409" t="s">
        <v>683</v>
      </c>
      <c r="Z5" s="409" t="s">
        <v>684</v>
      </c>
      <c r="AA5" s="409" t="s">
        <v>685</v>
      </c>
      <c r="AB5" s="409" t="s">
        <v>686</v>
      </c>
      <c r="AC5" s="409" t="s">
        <v>687</v>
      </c>
      <c r="AD5" s="409" t="s">
        <v>688</v>
      </c>
      <c r="AE5" s="409" t="s">
        <v>689</v>
      </c>
      <c r="AF5" s="409" t="s">
        <v>690</v>
      </c>
      <c r="AG5" s="409" t="s">
        <v>691</v>
      </c>
      <c r="AH5" s="409" t="s">
        <v>692</v>
      </c>
      <c r="AI5" s="409" t="s">
        <v>693</v>
      </c>
      <c r="AJ5" s="409" t="s">
        <v>694</v>
      </c>
      <c r="AK5" s="409" t="s">
        <v>695</v>
      </c>
      <c r="AL5" s="409" t="s">
        <v>696</v>
      </c>
      <c r="AM5" s="409" t="s">
        <v>704</v>
      </c>
      <c r="AN5" s="826" t="s">
        <v>705</v>
      </c>
      <c r="AO5" s="1145"/>
    </row>
    <row r="6" spans="2:42" ht="20" x14ac:dyDescent="0.35">
      <c r="B6" s="1556"/>
      <c r="C6" s="1210">
        <v>1981</v>
      </c>
      <c r="D6" s="1211">
        <f>+C6+1</f>
        <v>1982</v>
      </c>
      <c r="E6" s="1211">
        <f t="shared" ref="E6:AK6" si="0">+D6+1</f>
        <v>1983</v>
      </c>
      <c r="F6" s="1211">
        <f t="shared" si="0"/>
        <v>1984</v>
      </c>
      <c r="G6" s="1211">
        <f t="shared" si="0"/>
        <v>1985</v>
      </c>
      <c r="H6" s="1211">
        <f t="shared" si="0"/>
        <v>1986</v>
      </c>
      <c r="I6" s="1211">
        <f t="shared" si="0"/>
        <v>1987</v>
      </c>
      <c r="J6" s="1211">
        <f t="shared" si="0"/>
        <v>1988</v>
      </c>
      <c r="K6" s="1211">
        <f t="shared" si="0"/>
        <v>1989</v>
      </c>
      <c r="L6" s="1211">
        <f t="shared" si="0"/>
        <v>1990</v>
      </c>
      <c r="M6" s="1211">
        <f t="shared" si="0"/>
        <v>1991</v>
      </c>
      <c r="N6" s="1211">
        <f t="shared" si="0"/>
        <v>1992</v>
      </c>
      <c r="O6" s="1211">
        <f t="shared" si="0"/>
        <v>1993</v>
      </c>
      <c r="P6" s="1211">
        <f t="shared" si="0"/>
        <v>1994</v>
      </c>
      <c r="Q6" s="1211">
        <f t="shared" si="0"/>
        <v>1995</v>
      </c>
      <c r="R6" s="1211">
        <f t="shared" si="0"/>
        <v>1996</v>
      </c>
      <c r="S6" s="1211">
        <f t="shared" si="0"/>
        <v>1997</v>
      </c>
      <c r="T6" s="1211">
        <f t="shared" si="0"/>
        <v>1998</v>
      </c>
      <c r="U6" s="1211">
        <f t="shared" si="0"/>
        <v>1999</v>
      </c>
      <c r="V6" s="1211">
        <f t="shared" si="0"/>
        <v>2000</v>
      </c>
      <c r="W6" s="1211">
        <f t="shared" si="0"/>
        <v>2001</v>
      </c>
      <c r="X6" s="1211">
        <f t="shared" si="0"/>
        <v>2002</v>
      </c>
      <c r="Y6" s="1211">
        <f t="shared" si="0"/>
        <v>2003</v>
      </c>
      <c r="Z6" s="1211">
        <f t="shared" si="0"/>
        <v>2004</v>
      </c>
      <c r="AA6" s="1211">
        <f t="shared" si="0"/>
        <v>2005</v>
      </c>
      <c r="AB6" s="1211">
        <f t="shared" si="0"/>
        <v>2006</v>
      </c>
      <c r="AC6" s="1211">
        <f t="shared" si="0"/>
        <v>2007</v>
      </c>
      <c r="AD6" s="1211">
        <f t="shared" si="0"/>
        <v>2008</v>
      </c>
      <c r="AE6" s="1211">
        <f t="shared" si="0"/>
        <v>2009</v>
      </c>
      <c r="AF6" s="1211">
        <f t="shared" si="0"/>
        <v>2010</v>
      </c>
      <c r="AG6" s="1211">
        <f t="shared" si="0"/>
        <v>2011</v>
      </c>
      <c r="AH6" s="1211">
        <f t="shared" si="0"/>
        <v>2012</v>
      </c>
      <c r="AI6" s="1211">
        <f t="shared" si="0"/>
        <v>2013</v>
      </c>
      <c r="AJ6" s="1211">
        <f t="shared" si="0"/>
        <v>2014</v>
      </c>
      <c r="AK6" s="1211">
        <f t="shared" si="0"/>
        <v>2015</v>
      </c>
      <c r="AL6" s="1211">
        <v>2016</v>
      </c>
      <c r="AM6" s="1211">
        <v>2017</v>
      </c>
      <c r="AN6" s="1557">
        <v>2018</v>
      </c>
      <c r="AO6" s="1145"/>
    </row>
    <row r="7" spans="2:42" x14ac:dyDescent="0.35">
      <c r="B7" s="1318" t="s">
        <v>98</v>
      </c>
      <c r="C7" s="1128"/>
      <c r="D7" s="1122"/>
      <c r="E7" s="1122"/>
      <c r="F7" s="40"/>
      <c r="G7" s="1121"/>
      <c r="H7" s="559"/>
      <c r="I7" s="1145"/>
      <c r="J7" s="1145"/>
      <c r="K7" s="1145"/>
      <c r="L7" s="1145"/>
      <c r="M7" s="1145"/>
      <c r="N7" s="1145"/>
      <c r="O7" s="1145"/>
      <c r="P7" s="1121"/>
      <c r="Q7" s="1122"/>
      <c r="R7" s="1122"/>
      <c r="S7" s="40"/>
      <c r="T7" s="1121"/>
      <c r="U7" s="559"/>
      <c r="V7" s="1145"/>
      <c r="W7" s="1145"/>
      <c r="X7" s="1145"/>
      <c r="Y7" s="1145"/>
      <c r="Z7" s="1145"/>
      <c r="AA7" s="1145"/>
      <c r="AB7" s="1145"/>
      <c r="AC7" s="1145"/>
      <c r="AD7" s="1145"/>
      <c r="AE7" s="1145"/>
      <c r="AF7" s="1145"/>
      <c r="AG7" s="1145"/>
      <c r="AH7" s="1145"/>
      <c r="AI7" s="1145"/>
      <c r="AJ7" s="1145"/>
      <c r="AK7" s="1145"/>
      <c r="AL7" s="1145"/>
      <c r="AM7" s="1145"/>
      <c r="AN7" s="1555"/>
      <c r="AO7" s="1145"/>
    </row>
    <row r="8" spans="2:42" x14ac:dyDescent="0.35">
      <c r="B8" s="95" t="s">
        <v>54</v>
      </c>
      <c r="C8" s="1137">
        <f>VLOOKUP($B8,'[4]Data C 2,4'!$Z$3:$BL$41,C$1,0)</f>
        <v>0.46</v>
      </c>
      <c r="D8" s="396">
        <f>VLOOKUP($B8,'[4]Data C 2,4'!$Z$3:$BL$41,D$1,0)</f>
        <v>0.46</v>
      </c>
      <c r="E8" s="396">
        <f>VLOOKUP($B8,'[4]Data C 2,4'!$Z$3:$BL$41,E$1,0)</f>
        <v>0.46</v>
      </c>
      <c r="F8" s="396">
        <f>VLOOKUP($B8,'[4]Data C 2,4'!$Z$3:$BL$41,F$1,0)</f>
        <v>0.46</v>
      </c>
      <c r="G8" s="396">
        <f>VLOOKUP($B8,'[4]Data C 2,4'!$Z$3:$BL$41,G$1,0)</f>
        <v>0.46</v>
      </c>
      <c r="H8" s="396">
        <f>VLOOKUP($B8,'[4]Data C 2,4'!$Z$3:$BL$41,H$1,0)</f>
        <v>0.49</v>
      </c>
      <c r="I8" s="396">
        <f>VLOOKUP($B8,'[4]Data C 2,4'!$Z$3:$BL$41,I$1,0)</f>
        <v>0.49</v>
      </c>
      <c r="J8" s="396">
        <f>VLOOKUP($B8,'[4]Data C 2,4'!$Z$3:$BL$41,J$1,0)</f>
        <v>0.39</v>
      </c>
      <c r="K8" s="396">
        <f>VLOOKUP($B8,'[4]Data C 2,4'!$Z$3:$BL$41,K$1,0)</f>
        <v>0.39</v>
      </c>
      <c r="L8" s="396">
        <f>VLOOKUP($B8,'[4]Data C 2,4'!$Z$3:$BL$41,L$1,0)</f>
        <v>0.39</v>
      </c>
      <c r="M8" s="396">
        <f>VLOOKUP($B8,'[4]Data C 2,4'!$Z$3:$BL$41,M$1,0)</f>
        <v>0.39</v>
      </c>
      <c r="N8" s="396">
        <f>VLOOKUP($B8,'[4]Data C 2,4'!$Z$3:$BL$41,N$1,0)</f>
        <v>0.39</v>
      </c>
      <c r="O8" s="396">
        <f>VLOOKUP($B8,'[4]Data C 2,4'!$Z$3:$BL$41,O$1,0)</f>
        <v>0.33</v>
      </c>
      <c r="P8" s="396">
        <f>VLOOKUP($B8,'[4]Data C 2,4'!$Z$3:$BL$41,P$1,0)</f>
        <v>0.33</v>
      </c>
      <c r="Q8" s="396">
        <f>VLOOKUP($B8,'[4]Data C 2,4'!$Z$3:$BL$41,Q$1,0)</f>
        <v>0.36</v>
      </c>
      <c r="R8" s="396">
        <f>VLOOKUP($B8,'[4]Data C 2,4'!$Z$3:$BL$41,R$1,0)</f>
        <v>0.36</v>
      </c>
      <c r="S8" s="396">
        <f>VLOOKUP($B8,'[4]Data C 2,4'!$Z$3:$BL$41,S$1,0)</f>
        <v>0.36</v>
      </c>
      <c r="T8" s="396">
        <f>VLOOKUP($B8,'[4]Data C 2,4'!$Z$3:$BL$41,T$1,0)</f>
        <v>0.36</v>
      </c>
      <c r="U8" s="396">
        <f>VLOOKUP($B8,'[4]Data C 2,4'!$Z$3:$BL$41,U$1,0)</f>
        <v>0.36</v>
      </c>
      <c r="V8" s="396">
        <f>VLOOKUP($B8,'[4]Data C 2,4'!$Z$3:$BL$41,V$1,0)</f>
        <v>0.34</v>
      </c>
      <c r="W8" s="396">
        <f>VLOOKUP($B8,'[4]Data C 2,4'!$Z$3:$BL$41,W$1,0)</f>
        <v>0.3</v>
      </c>
      <c r="X8" s="396">
        <f>VLOOKUP($B8,'[4]Data C 2,4'!$Z$3:$BL$41,X$1,0)</f>
        <v>0.3</v>
      </c>
      <c r="Y8" s="396">
        <f>VLOOKUP($B8,'[4]Data C 2,4'!$Z$3:$BL$41,Y$1,0)</f>
        <v>0.3</v>
      </c>
      <c r="Z8" s="396">
        <f>VLOOKUP($B8,'[4]Data C 2,4'!$Z$3:$BL$41,Z$1,0)</f>
        <v>0.3</v>
      </c>
      <c r="AA8" s="396">
        <f>VLOOKUP($B8,'[4]Data C 2,4'!$Z$3:$BL$41,AA$1,0)</f>
        <v>0.3</v>
      </c>
      <c r="AB8" s="396">
        <f>VLOOKUP($B8,'[4]Data C 2,4'!$Z$3:$BL$41,AB$1,0)</f>
        <v>0.3</v>
      </c>
      <c r="AC8" s="396">
        <f>VLOOKUP($B8,'[4]Data C 2,4'!$Z$3:$BL$41,AC$1,0)</f>
        <v>0.3</v>
      </c>
      <c r="AD8" s="396">
        <f>VLOOKUP($B8,'[4]Data C 2,4'!$Z$3:$BL$41,AD$1,0)</f>
        <v>0.3</v>
      </c>
      <c r="AE8" s="396">
        <f>VLOOKUP($B8,'[4]Data C 2,4'!$Z$3:$BL$41,AE$1,0)</f>
        <v>0.3</v>
      </c>
      <c r="AF8" s="396">
        <f>VLOOKUP($B8,'[4]Data C 2,4'!$Z$3:$BL$41,AF$1,0)</f>
        <v>0.3</v>
      </c>
      <c r="AG8" s="396">
        <f>VLOOKUP($B8,'[4]Data C 2,4'!$Z$3:$BL$41,AG$1,0)</f>
        <v>0.3</v>
      </c>
      <c r="AH8" s="396">
        <f>VLOOKUP($B8,'[4]Data C 2,4'!$Z$3:$BL$41,AH$1,0)</f>
        <v>0.3</v>
      </c>
      <c r="AI8" s="396">
        <f>VLOOKUP($B8,'[4]Data C 2,4'!$Z$3:$BL$41,AI$1,0)</f>
        <v>0.3</v>
      </c>
      <c r="AJ8" s="396">
        <f>VLOOKUP($B8,'[4]Data C 2,4'!$Z$3:$BL$41,AJ$1,0)</f>
        <v>0.3</v>
      </c>
      <c r="AK8" s="396">
        <f>VLOOKUP($B8,'[4]Data C 2,4'!$Z$3:$BL$41,AK$1,0)</f>
        <v>0.3</v>
      </c>
      <c r="AL8" s="396">
        <f>VLOOKUP($B8,TableF1a!$B$8:$R$42,AL$1,0)</f>
        <v>0.3</v>
      </c>
      <c r="AM8" s="396">
        <f>VLOOKUP($B8,TableF1a!$B$8:$R$42,AM$1,0)</f>
        <v>0.3</v>
      </c>
      <c r="AN8" s="1364">
        <f>VLOOKUP($B8,TableF1a!$B$8:$R$42,AN$1,0)</f>
        <v>0.3</v>
      </c>
      <c r="AO8" s="1145"/>
      <c r="AP8" s="1712">
        <f>AL8-V8</f>
        <v>-4.0000000000000036E-2</v>
      </c>
    </row>
    <row r="9" spans="2:42" x14ac:dyDescent="0.35">
      <c r="B9" s="95" t="s">
        <v>55</v>
      </c>
      <c r="C9" s="1137">
        <f>VLOOKUP($B9,'[4]Data C 2,4'!$Z$3:$BL$41,C$1,0)</f>
        <v>0.55000000000000004</v>
      </c>
      <c r="D9" s="396">
        <f>VLOOKUP($B9,'[4]Data C 2,4'!$Z$3:$BL$41,D$1,0)</f>
        <v>0.55000000000000004</v>
      </c>
      <c r="E9" s="396">
        <f>VLOOKUP($B9,'[4]Data C 2,4'!$Z$3:$BL$41,E$1,0)</f>
        <v>0.55000000000000004</v>
      </c>
      <c r="F9" s="396">
        <f>VLOOKUP($B9,'[4]Data C 2,4'!$Z$3:$BL$41,F$1,0)</f>
        <v>0.55000000000000004</v>
      </c>
      <c r="G9" s="396">
        <f>VLOOKUP($B9,'[4]Data C 2,4'!$Z$3:$BL$41,G$1,0)</f>
        <v>0.55000000000000004</v>
      </c>
      <c r="H9" s="396">
        <f>VLOOKUP($B9,'[4]Data C 2,4'!$Z$3:$BL$41,H$1,0)</f>
        <v>0.55000000000000004</v>
      </c>
      <c r="I9" s="396">
        <f>VLOOKUP($B9,'[4]Data C 2,4'!$Z$3:$BL$41,I$1,0)</f>
        <v>0.55000000000000004</v>
      </c>
      <c r="J9" s="396">
        <f>VLOOKUP($B9,'[4]Data C 2,4'!$Z$3:$BL$41,J$1,0)</f>
        <v>0.55000000000000004</v>
      </c>
      <c r="K9" s="396">
        <f>VLOOKUP($B9,'[4]Data C 2,4'!$Z$3:$BL$41,K$1,0)</f>
        <v>0.3</v>
      </c>
      <c r="L9" s="396">
        <f>VLOOKUP($B9,'[4]Data C 2,4'!$Z$3:$BL$41,L$1,0)</f>
        <v>0.3</v>
      </c>
      <c r="M9" s="396">
        <f>VLOOKUP($B9,'[4]Data C 2,4'!$Z$3:$BL$41,M$1,0)</f>
        <v>0.3</v>
      </c>
      <c r="N9" s="396">
        <f>VLOOKUP($B9,'[4]Data C 2,4'!$Z$3:$BL$41,N$1,0)</f>
        <v>0.3</v>
      </c>
      <c r="O9" s="396">
        <f>VLOOKUP($B9,'[4]Data C 2,4'!$Z$3:$BL$41,O$1,0)</f>
        <v>0.3</v>
      </c>
      <c r="P9" s="396">
        <f>VLOOKUP($B9,'[4]Data C 2,4'!$Z$3:$BL$41,P$1,0)</f>
        <v>0.34</v>
      </c>
      <c r="Q9" s="396">
        <f>VLOOKUP($B9,'[4]Data C 2,4'!$Z$3:$BL$41,Q$1,0)</f>
        <v>0.34</v>
      </c>
      <c r="R9" s="396">
        <f>VLOOKUP($B9,'[4]Data C 2,4'!$Z$3:$BL$41,R$1,0)</f>
        <v>0.34</v>
      </c>
      <c r="S9" s="396">
        <f>VLOOKUP($B9,'[4]Data C 2,4'!$Z$3:$BL$41,S$1,0)</f>
        <v>0.34</v>
      </c>
      <c r="T9" s="396">
        <f>VLOOKUP($B9,'[4]Data C 2,4'!$Z$3:$BL$41,T$1,0)</f>
        <v>0.34</v>
      </c>
      <c r="U9" s="396">
        <f>VLOOKUP($B9,'[4]Data C 2,4'!$Z$3:$BL$41,U$1,0)</f>
        <v>0.34</v>
      </c>
      <c r="V9" s="396">
        <f>VLOOKUP($B9,'[4]Data C 2,4'!$Z$3:$BL$41,V$1,0)</f>
        <v>0.34</v>
      </c>
      <c r="W9" s="396">
        <f>VLOOKUP($B9,'[4]Data C 2,4'!$Z$3:$BL$41,W$1,0)</f>
        <v>0.34</v>
      </c>
      <c r="X9" s="396">
        <f>VLOOKUP($B9,'[4]Data C 2,4'!$Z$3:$BL$41,X$1,0)</f>
        <v>0.34</v>
      </c>
      <c r="Y9" s="396">
        <f>VLOOKUP($B9,'[4]Data C 2,4'!$Z$3:$BL$41,Y$1,0)</f>
        <v>0.34</v>
      </c>
      <c r="Z9" s="396">
        <f>VLOOKUP($B9,'[4]Data C 2,4'!$Z$3:$BL$41,Z$1,0)</f>
        <v>0.34</v>
      </c>
      <c r="AA9" s="396">
        <f>VLOOKUP($B9,'[4]Data C 2,4'!$Z$3:$BL$41,AA$1,0)</f>
        <v>0.25</v>
      </c>
      <c r="AB9" s="396">
        <f>VLOOKUP($B9,'[4]Data C 2,4'!$Z$3:$BL$41,AB$1,0)</f>
        <v>0.25</v>
      </c>
      <c r="AC9" s="396">
        <f>VLOOKUP($B9,'[4]Data C 2,4'!$Z$3:$BL$41,AC$1,0)</f>
        <v>0.25</v>
      </c>
      <c r="AD9" s="396">
        <f>VLOOKUP($B9,'[4]Data C 2,4'!$Z$3:$BL$41,AD$1,0)</f>
        <v>0.25</v>
      </c>
      <c r="AE9" s="396">
        <f>VLOOKUP($B9,'[4]Data C 2,4'!$Z$3:$BL$41,AE$1,0)</f>
        <v>0.25</v>
      </c>
      <c r="AF9" s="396">
        <f>VLOOKUP($B9,'[4]Data C 2,4'!$Z$3:$BL$41,AF$1,0)</f>
        <v>0.25</v>
      </c>
      <c r="AG9" s="396">
        <f>VLOOKUP($B9,'[4]Data C 2,4'!$Z$3:$BL$41,AG$1,0)</f>
        <v>0.25</v>
      </c>
      <c r="AH9" s="396">
        <f>VLOOKUP($B9,'[4]Data C 2,4'!$Z$3:$BL$41,AH$1,0)</f>
        <v>0.25</v>
      </c>
      <c r="AI9" s="396">
        <f>VLOOKUP($B9,'[4]Data C 2,4'!$Z$3:$BL$41,AI$1,0)</f>
        <v>0.25</v>
      </c>
      <c r="AJ9" s="396">
        <f>VLOOKUP($B9,'[4]Data C 2,4'!$Z$3:$BL$41,AJ$1,0)</f>
        <v>0.25</v>
      </c>
      <c r="AK9" s="396">
        <f>VLOOKUP($B9,'[4]Data C 2,4'!$Z$3:$BL$41,AK$1,0)</f>
        <v>0.25</v>
      </c>
      <c r="AL9" s="396">
        <f>VLOOKUP($B9,TableF1a!$B$8:$R$42,AL$1,0)</f>
        <v>0.25</v>
      </c>
      <c r="AM9" s="396">
        <f>VLOOKUP($B9,TableF1a!$B$8:$R$42,AM$1,0)</f>
        <v>0.25</v>
      </c>
      <c r="AN9" s="1364">
        <f>VLOOKUP($B9,TableF1a!$B$8:$R$42,AN$1,0)</f>
        <v>0.25</v>
      </c>
      <c r="AO9" s="1145"/>
      <c r="AP9" s="1712">
        <f t="shared" ref="AP9:AP44" si="1">AL9-V9</f>
        <v>-9.0000000000000024E-2</v>
      </c>
    </row>
    <row r="10" spans="2:42" x14ac:dyDescent="0.35">
      <c r="B10" s="95" t="s">
        <v>2</v>
      </c>
      <c r="C10" s="1137">
        <f>VLOOKUP($B10,'[4]Data C 2,4'!$Z$3:$BL$41,C$1,0)</f>
        <v>0.48</v>
      </c>
      <c r="D10" s="396">
        <f>VLOOKUP($B10,'[4]Data C 2,4'!$Z$3:$BL$41,D$1,0)</f>
        <v>0.48</v>
      </c>
      <c r="E10" s="396">
        <f>VLOOKUP($B10,'[4]Data C 2,4'!$Z$3:$BL$41,E$1,0)</f>
        <v>0.45</v>
      </c>
      <c r="F10" s="396">
        <f>VLOOKUP($B10,'[4]Data C 2,4'!$Z$3:$BL$41,F$1,0)</f>
        <v>0.45</v>
      </c>
      <c r="G10" s="396">
        <f>VLOOKUP($B10,'[4]Data C 2,4'!$Z$3:$BL$41,G$1,0)</f>
        <v>0.45</v>
      </c>
      <c r="H10" s="396">
        <f>VLOOKUP($B10,'[4]Data C 2,4'!$Z$3:$BL$41,H$1,0)</f>
        <v>0.45</v>
      </c>
      <c r="I10" s="396">
        <f>VLOOKUP($B10,'[4]Data C 2,4'!$Z$3:$BL$41,I$1,0)</f>
        <v>0.43</v>
      </c>
      <c r="J10" s="396">
        <f>VLOOKUP($B10,'[4]Data C 2,4'!$Z$3:$BL$41,J$1,0)</f>
        <v>0.43</v>
      </c>
      <c r="K10" s="396">
        <f>VLOOKUP($B10,'[4]Data C 2,4'!$Z$3:$BL$41,K$1,0)</f>
        <v>0.43</v>
      </c>
      <c r="L10" s="396">
        <f>VLOOKUP($B10,'[4]Data C 2,4'!$Z$3:$BL$41,L$1,0)</f>
        <v>0.41</v>
      </c>
      <c r="M10" s="396">
        <f>VLOOKUP($B10,'[4]Data C 2,4'!$Z$3:$BL$41,M$1,0)</f>
        <v>0.39</v>
      </c>
      <c r="N10" s="396">
        <f>VLOOKUP($B10,'[4]Data C 2,4'!$Z$3:$BL$41,N$1,0)</f>
        <v>0.39</v>
      </c>
      <c r="O10" s="396">
        <f>VLOOKUP($B10,'[4]Data C 2,4'!$Z$3:$BL$41,O$1,0)</f>
        <v>0.4017</v>
      </c>
      <c r="P10" s="396">
        <f>VLOOKUP($B10,'[4]Data C 2,4'!$Z$3:$BL$41,P$1,0)</f>
        <v>0.4017</v>
      </c>
      <c r="Q10" s="396">
        <f>VLOOKUP($B10,'[4]Data C 2,4'!$Z$3:$BL$41,Q$1,0)</f>
        <v>0.4017</v>
      </c>
      <c r="R10" s="396">
        <f>VLOOKUP($B10,'[4]Data C 2,4'!$Z$3:$BL$41,R$1,0)</f>
        <v>0.4017</v>
      </c>
      <c r="S10" s="396">
        <f>VLOOKUP($B10,'[4]Data C 2,4'!$Z$3:$BL$41,S$1,0)</f>
        <v>0.4017</v>
      </c>
      <c r="T10" s="396">
        <f>VLOOKUP($B10,'[4]Data C 2,4'!$Z$3:$BL$41,T$1,0)</f>
        <v>0.4017</v>
      </c>
      <c r="U10" s="396">
        <f>VLOOKUP($B10,'[4]Data C 2,4'!$Z$3:$BL$41,U$1,0)</f>
        <v>0.4017</v>
      </c>
      <c r="V10" s="396">
        <f>VLOOKUP($B10,'[4]Data C 2,4'!$Z$3:$BL$41,V$1,0)</f>
        <v>0.40200000000000002</v>
      </c>
      <c r="W10" s="396">
        <f>VLOOKUP($B10,'[4]Data C 2,4'!$Z$3:$BL$41,W$1,0)</f>
        <v>0.40200000000000002</v>
      </c>
      <c r="X10" s="396">
        <f>VLOOKUP($B10,'[4]Data C 2,4'!$Z$3:$BL$41,X$1,0)</f>
        <v>0.4017</v>
      </c>
      <c r="Y10" s="396">
        <f>VLOOKUP($B10,'[4]Data C 2,4'!$Z$3:$BL$41,Y$1,0)</f>
        <v>0.33989999999999998</v>
      </c>
      <c r="Z10" s="396">
        <f>VLOOKUP($B10,'[4]Data C 2,4'!$Z$3:$BL$41,Z$1,0)</f>
        <v>0.33989999999999998</v>
      </c>
      <c r="AA10" s="396">
        <f>VLOOKUP($B10,'[4]Data C 2,4'!$Z$3:$BL$41,AA$1,0)</f>
        <v>0.33989999999999998</v>
      </c>
      <c r="AB10" s="396">
        <f>VLOOKUP($B10,'[4]Data C 2,4'!$Z$3:$BL$41,AB$1,0)</f>
        <v>0.33989999999999998</v>
      </c>
      <c r="AC10" s="396">
        <f>VLOOKUP($B10,'[4]Data C 2,4'!$Z$3:$BL$41,AC$1,0)</f>
        <v>0.33989999999999998</v>
      </c>
      <c r="AD10" s="396">
        <f>VLOOKUP($B10,'[4]Data C 2,4'!$Z$3:$BL$41,AD$1,0)</f>
        <v>0.33989999999999998</v>
      </c>
      <c r="AE10" s="396">
        <f>VLOOKUP($B10,'[4]Data C 2,4'!$Z$3:$BL$41,AE$1,0)</f>
        <v>0.33989999999999998</v>
      </c>
      <c r="AF10" s="396">
        <f>VLOOKUP($B10,'[4]Data C 2,4'!$Z$3:$BL$41,AF$1,0)</f>
        <v>0.33989999999999998</v>
      </c>
      <c r="AG10" s="396">
        <f>VLOOKUP($B10,'[4]Data C 2,4'!$Z$3:$BL$41,AG$1,0)</f>
        <v>0.33989999999999998</v>
      </c>
      <c r="AH10" s="396">
        <f>VLOOKUP($B10,'[4]Data C 2,4'!$Z$3:$BL$41,AH$1,0)</f>
        <v>0.33989999999999998</v>
      </c>
      <c r="AI10" s="396">
        <f>VLOOKUP($B10,'[4]Data C 2,4'!$Z$3:$BL$41,AI$1,0)</f>
        <v>0.33989999999999998</v>
      </c>
      <c r="AJ10" s="396">
        <f>VLOOKUP($B10,'[4]Data C 2,4'!$Z$3:$BL$41,AJ$1,0)</f>
        <v>0.33989999999999998</v>
      </c>
      <c r="AK10" s="396">
        <f>VLOOKUP($B10,'[4]Data C 2,4'!$Z$3:$BL$41,AK$1,0)</f>
        <v>0.33989999999999998</v>
      </c>
      <c r="AL10" s="396">
        <f>VLOOKUP($B10,TableF1a!$B$8:$R$42,AL$1,0)</f>
        <v>0.33990000000000004</v>
      </c>
      <c r="AM10" s="396">
        <f>VLOOKUP($B10,TableF1a!$B$8:$R$42,AM$1,0)</f>
        <v>0.33990000000000004</v>
      </c>
      <c r="AN10" s="1364">
        <f>VLOOKUP($B10,TableF1a!$B$8:$R$42,AN$1,0)</f>
        <v>0.28999999999999998</v>
      </c>
      <c r="AP10" s="1712">
        <f t="shared" si="1"/>
        <v>-6.2099999999999989E-2</v>
      </c>
    </row>
    <row r="11" spans="2:42" x14ac:dyDescent="0.35">
      <c r="B11" s="95" t="s">
        <v>56</v>
      </c>
      <c r="C11" s="1137">
        <f>VLOOKUP($B11,'[4]Data C 2,4'!$Z$3:$BL$41,C$1,0)</f>
        <v>0.50919999999999999</v>
      </c>
      <c r="D11" s="396">
        <f>VLOOKUP($B11,'[4]Data C 2,4'!$Z$3:$BL$41,D$1,0)</f>
        <v>0.49530000000000002</v>
      </c>
      <c r="E11" s="396">
        <f>VLOOKUP($B11,'[4]Data C 2,4'!$Z$3:$BL$41,E$1,0)</f>
        <v>0.48270000000000002</v>
      </c>
      <c r="F11" s="396">
        <f>VLOOKUP($B11,'[4]Data C 2,4'!$Z$3:$BL$41,F$1,0)</f>
        <v>0.4763</v>
      </c>
      <c r="G11" s="396">
        <f>VLOOKUP($B11,'[4]Data C 2,4'!$Z$3:$BL$41,G$1,0)</f>
        <v>0.49430000000000002</v>
      </c>
      <c r="H11" s="396">
        <f>VLOOKUP($B11,'[4]Data C 2,4'!$Z$3:$BL$41,H$1,0)</f>
        <v>0.49759999999999999</v>
      </c>
      <c r="I11" s="396">
        <f>VLOOKUP($B11,'[4]Data C 2,4'!$Z$3:$BL$41,I$1,0)</f>
        <v>0.48580000000000001</v>
      </c>
      <c r="J11" s="396">
        <f>VLOOKUP($B11,'[4]Data C 2,4'!$Z$3:$BL$41,J$1,0)</f>
        <v>0.41289999999999999</v>
      </c>
      <c r="K11" s="396">
        <f>VLOOKUP($B11,'[4]Data C 2,4'!$Z$3:$BL$41,K$1,0)</f>
        <v>0.41339999999999999</v>
      </c>
      <c r="L11" s="396">
        <f>VLOOKUP($B11,'[4]Data C 2,4'!$Z$3:$BL$41,L$1,0)</f>
        <v>0.41449999999999998</v>
      </c>
      <c r="M11" s="396">
        <f>VLOOKUP($B11,'[4]Data C 2,4'!$Z$3:$BL$41,M$1,0)</f>
        <v>0.41810000000000003</v>
      </c>
      <c r="N11" s="396">
        <f>VLOOKUP($B11,'[4]Data C 2,4'!$Z$3:$BL$41,N$1,0)</f>
        <v>0.42520000000000002</v>
      </c>
      <c r="O11" s="396">
        <f>VLOOKUP($B11,'[4]Data C 2,4'!$Z$3:$BL$41,O$1,0)</f>
        <v>0.42559999999999998</v>
      </c>
      <c r="P11" s="396">
        <f>VLOOKUP($B11,'[4]Data C 2,4'!$Z$3:$BL$41,P$1,0)</f>
        <v>0.42580000000000001</v>
      </c>
      <c r="Q11" s="396">
        <f>VLOOKUP($B11,'[4]Data C 2,4'!$Z$3:$BL$41,Q$1,0)</f>
        <v>0.42859999999999998</v>
      </c>
      <c r="R11" s="396">
        <f>VLOOKUP($B11,'[4]Data C 2,4'!$Z$3:$BL$41,R$1,0)</f>
        <v>0.4294</v>
      </c>
      <c r="S11" s="396">
        <f>VLOOKUP($B11,'[4]Data C 2,4'!$Z$3:$BL$41,S$1,0)</f>
        <v>0.4294</v>
      </c>
      <c r="T11" s="396">
        <f>VLOOKUP($B11,'[4]Data C 2,4'!$Z$3:$BL$41,T$1,0)</f>
        <v>0.4294</v>
      </c>
      <c r="U11" s="396">
        <f>VLOOKUP($B11,'[4]Data C 2,4'!$Z$3:$BL$41,U$1,0)</f>
        <v>0.42870000000000003</v>
      </c>
      <c r="V11" s="396">
        <f>VLOOKUP($B11,'[4]Data C 2,4'!$Z$3:$BL$41,V$1,0)</f>
        <v>0.42430000000000001</v>
      </c>
      <c r="W11" s="396">
        <f>VLOOKUP($B11,'[4]Data C 2,4'!$Z$3:$BL$41,W$1,0)</f>
        <v>0.40479999999999999</v>
      </c>
      <c r="X11" s="396">
        <f>VLOOKUP($B11,'[4]Data C 2,4'!$Z$3:$BL$41,X$1,0)</f>
        <v>0.38019999999999998</v>
      </c>
      <c r="Y11" s="396">
        <f>VLOOKUP($B11,'[4]Data C 2,4'!$Z$3:$BL$41,Y$1,0)</f>
        <v>0.35870000000000002</v>
      </c>
      <c r="Z11" s="396">
        <f>VLOOKUP($B11,'[4]Data C 2,4'!$Z$3:$BL$41,Z$1,0)</f>
        <v>0.34379999999999999</v>
      </c>
      <c r="AA11" s="396">
        <f>VLOOKUP($B11,'[4]Data C 2,4'!$Z$3:$BL$41,AA$1,0)</f>
        <v>0.34179999999999999</v>
      </c>
      <c r="AB11" s="396">
        <f>VLOOKUP($B11,'[4]Data C 2,4'!$Z$3:$BL$41,AB$1,0)</f>
        <v>0.33929999999999999</v>
      </c>
      <c r="AC11" s="396">
        <f>VLOOKUP($B11,'[4]Data C 2,4'!$Z$3:$BL$41,AC$1,0)</f>
        <v>0.33950000000000002</v>
      </c>
      <c r="AD11" s="396">
        <f>VLOOKUP($B11,'[4]Data C 2,4'!$Z$3:$BL$41,AD$1,0)</f>
        <v>0.31430000000000002</v>
      </c>
      <c r="AE11" s="396">
        <f>VLOOKUP($B11,'[4]Data C 2,4'!$Z$3:$BL$41,AE$1,0)</f>
        <v>0.31019999999999998</v>
      </c>
      <c r="AF11" s="396">
        <f>VLOOKUP($B11,'[4]Data C 2,4'!$Z$3:$BL$41,AF$1,0)</f>
        <v>0.29360000000000003</v>
      </c>
      <c r="AG11" s="396">
        <f>VLOOKUP($B11,'[4]Data C 2,4'!$Z$3:$BL$41,AG$1,0)</f>
        <v>0.27639999999999998</v>
      </c>
      <c r="AH11" s="396">
        <f>VLOOKUP($B11,'[4]Data C 2,4'!$Z$3:$BL$41,AH$1,0)</f>
        <v>0.26140000000000002</v>
      </c>
      <c r="AI11" s="396">
        <f>VLOOKUP($B11,'[4]Data C 2,4'!$Z$3:$BL$41,AI$1,0)</f>
        <v>0.26140000000000002</v>
      </c>
      <c r="AJ11" s="396">
        <f>VLOOKUP($B11,'[4]Data C 2,4'!$Z$3:$BL$41,AJ$1,0)</f>
        <v>0.26300000000000001</v>
      </c>
      <c r="AK11" s="396">
        <f>VLOOKUP($B11,'[4]Data C 2,4'!$Z$3:$BL$41,AK$1,0)</f>
        <v>0.26300000000000001</v>
      </c>
      <c r="AL11" s="396">
        <f>VLOOKUP($B11,TableF1a!$B$8:$R$42,AL$1,0)</f>
        <v>0.26500000000000001</v>
      </c>
      <c r="AM11" s="396">
        <f>VLOOKUP($B11,TableF1a!$B$8:$R$42,AM$1,0)</f>
        <v>0.26500000000000001</v>
      </c>
      <c r="AN11" s="1364">
        <f>VLOOKUP($B11,TableF1a!$B$8:$R$42,AN$1,0)</f>
        <v>0.26500000000000001</v>
      </c>
      <c r="AP11" s="1712">
        <f t="shared" si="1"/>
        <v>-0.1593</v>
      </c>
    </row>
    <row r="12" spans="2:42" x14ac:dyDescent="0.35">
      <c r="B12" s="95" t="s">
        <v>57</v>
      </c>
      <c r="C12" s="1137">
        <f>VLOOKUP($B12,'[4]Data C 2,4'!$Z$3:$BL$41,C$1,0)</f>
        <v>0</v>
      </c>
      <c r="D12" s="396">
        <f>VLOOKUP($B12,'[4]Data C 2,4'!$Z$3:$BL$41,D$1,0)</f>
        <v>0</v>
      </c>
      <c r="E12" s="396">
        <f>VLOOKUP($B12,'[4]Data C 2,4'!$Z$3:$BL$41,E$1,0)</f>
        <v>0</v>
      </c>
      <c r="F12" s="396">
        <f>VLOOKUP($B12,'[4]Data C 2,4'!$Z$3:$BL$41,F$1,0)</f>
        <v>0</v>
      </c>
      <c r="G12" s="396">
        <f>VLOOKUP($B12,'[4]Data C 2,4'!$Z$3:$BL$41,G$1,0)</f>
        <v>0</v>
      </c>
      <c r="H12" s="396">
        <f>VLOOKUP($B12,'[4]Data C 2,4'!$Z$3:$BL$41,H$1,0)</f>
        <v>0</v>
      </c>
      <c r="I12" s="396">
        <f>VLOOKUP($B12,'[4]Data C 2,4'!$Z$3:$BL$41,I$1,0)</f>
        <v>0</v>
      </c>
      <c r="J12" s="396">
        <f>VLOOKUP($B12,'[4]Data C 2,4'!$Z$3:$BL$41,J$1,0)</f>
        <v>0</v>
      </c>
      <c r="K12" s="396">
        <f>VLOOKUP($B12,'[4]Data C 2,4'!$Z$3:$BL$41,K$1,0)</f>
        <v>0</v>
      </c>
      <c r="L12" s="396">
        <f>VLOOKUP($B12,'[4]Data C 2,4'!$Z$3:$BL$41,L$1,0)</f>
        <v>0</v>
      </c>
      <c r="M12" s="396">
        <f>VLOOKUP($B12,'[4]Data C 2,4'!$Z$3:$BL$41,M$1,0)</f>
        <v>0</v>
      </c>
      <c r="N12" s="396">
        <f>VLOOKUP($B12,'[4]Data C 2,4'!$Z$3:$BL$41,N$1,0)</f>
        <v>0</v>
      </c>
      <c r="O12" s="396">
        <f>VLOOKUP($B12,'[4]Data C 2,4'!$Z$3:$BL$41,O$1,0)</f>
        <v>0</v>
      </c>
      <c r="P12" s="396">
        <f>VLOOKUP($B12,'[4]Data C 2,4'!$Z$3:$BL$41,P$1,0)</f>
        <v>0</v>
      </c>
      <c r="Q12" s="396">
        <f>VLOOKUP($B12,'[4]Data C 2,4'!$Z$3:$BL$41,Q$1,0)</f>
        <v>0</v>
      </c>
      <c r="R12" s="396">
        <f>VLOOKUP($B12,'[4]Data C 2,4'!$Z$3:$BL$41,R$1,0)</f>
        <v>0</v>
      </c>
      <c r="S12" s="396">
        <f>VLOOKUP($B12,'[4]Data C 2,4'!$Z$3:$BL$41,S$1,0)</f>
        <v>0</v>
      </c>
      <c r="T12" s="396">
        <f>VLOOKUP($B12,'[4]Data C 2,4'!$Z$3:$BL$41,T$1,0)</f>
        <v>0</v>
      </c>
      <c r="U12" s="396">
        <f>VLOOKUP($B12,'[4]Data C 2,4'!$Z$3:$BL$41,U$1,0)</f>
        <v>0</v>
      </c>
      <c r="V12" s="396">
        <f>VLOOKUP($B12,'[4]Data C 2,4'!$Z$3:$BL$41,V$1,0)</f>
        <v>0.15</v>
      </c>
      <c r="W12" s="396">
        <f>VLOOKUP($B12,'[4]Data C 2,4'!$Z$3:$BL$41,W$1,0)</f>
        <v>0.15</v>
      </c>
      <c r="X12" s="396">
        <f>VLOOKUP($B12,'[4]Data C 2,4'!$Z$3:$BL$41,X$1,0)</f>
        <v>0.15</v>
      </c>
      <c r="Y12" s="396">
        <f>VLOOKUP($B12,'[4]Data C 2,4'!$Z$3:$BL$41,Y$1,0)</f>
        <v>0.16</v>
      </c>
      <c r="Z12" s="396">
        <f>VLOOKUP($B12,'[4]Data C 2,4'!$Z$3:$BL$41,Z$1,0)</f>
        <v>0.16500000000000001</v>
      </c>
      <c r="AA12" s="396">
        <f>VLOOKUP($B12,'[4]Data C 2,4'!$Z$3:$BL$41,AA$1,0)</f>
        <v>0.17</v>
      </c>
      <c r="AB12" s="396">
        <f>VLOOKUP($B12,'[4]Data C 2,4'!$Z$3:$BL$41,AB$1,0)</f>
        <v>0.17</v>
      </c>
      <c r="AC12" s="396">
        <f>VLOOKUP($B12,'[4]Data C 2,4'!$Z$3:$BL$41,AC$1,0)</f>
        <v>0.17</v>
      </c>
      <c r="AD12" s="396">
        <f>VLOOKUP($B12,'[4]Data C 2,4'!$Z$3:$BL$41,AD$1,0)</f>
        <v>0.17</v>
      </c>
      <c r="AE12" s="396">
        <f>VLOOKUP($B12,'[4]Data C 2,4'!$Z$3:$BL$41,AE$1,0)</f>
        <v>0.17</v>
      </c>
      <c r="AF12" s="396">
        <f>VLOOKUP($B12,'[4]Data C 2,4'!$Z$3:$BL$41,AF$1,0)</f>
        <v>0.17</v>
      </c>
      <c r="AG12" s="396">
        <f>VLOOKUP($B12,'[4]Data C 2,4'!$Z$3:$BL$41,AG$1,0)</f>
        <v>0.2</v>
      </c>
      <c r="AH12" s="396">
        <f>VLOOKUP($B12,'[4]Data C 2,4'!$Z$3:$BL$41,AH$1,0)</f>
        <v>0.17</v>
      </c>
      <c r="AI12" s="396">
        <f>VLOOKUP($B12,'[4]Data C 2,4'!$Z$3:$BL$41,AI$1,0)</f>
        <v>0.2</v>
      </c>
      <c r="AJ12" s="396">
        <f>VLOOKUP($B12,'[4]Data C 2,4'!$Z$3:$BL$41,AJ$1,0)</f>
        <v>0.21</v>
      </c>
      <c r="AK12" s="396">
        <f>VLOOKUP($B12,'[4]Data C 2,4'!$Z$3:$BL$41,AK$1,0)</f>
        <v>0.22500000000000001</v>
      </c>
      <c r="AL12" s="396">
        <f>VLOOKUP($B12,TableF1a!$B$8:$R$42,AL$1,0)</f>
        <v>0.24</v>
      </c>
      <c r="AM12" s="396">
        <f>VLOOKUP($B12,TableF1a!$B$8:$R$42,AM$1,0)</f>
        <v>0.255</v>
      </c>
      <c r="AN12" s="1364">
        <f>VLOOKUP($B12,TableF1a!$B$8:$R$42,AN$1,0)</f>
        <v>0.26</v>
      </c>
      <c r="AP12" s="1712">
        <f t="shared" si="1"/>
        <v>0.09</v>
      </c>
    </row>
    <row r="13" spans="2:42" x14ac:dyDescent="0.35">
      <c r="B13" s="95" t="s">
        <v>58</v>
      </c>
      <c r="C13" s="1137">
        <f>VLOOKUP($B13,'[4]Data C 2,4'!$Z$3:$BL$41,C$1,0)</f>
        <v>0</v>
      </c>
      <c r="D13" s="396">
        <f>VLOOKUP($B13,'[4]Data C 2,4'!$Z$3:$BL$41,D$1,0)</f>
        <v>0</v>
      </c>
      <c r="E13" s="396">
        <f>VLOOKUP($B13,'[4]Data C 2,4'!$Z$3:$BL$41,E$1,0)</f>
        <v>0</v>
      </c>
      <c r="F13" s="396">
        <f>VLOOKUP($B13,'[4]Data C 2,4'!$Z$3:$BL$41,F$1,0)</f>
        <v>0</v>
      </c>
      <c r="G13" s="396">
        <f>VLOOKUP($B13,'[4]Data C 2,4'!$Z$3:$BL$41,G$1,0)</f>
        <v>0</v>
      </c>
      <c r="H13" s="396">
        <f>VLOOKUP($B13,'[4]Data C 2,4'!$Z$3:$BL$41,H$1,0)</f>
        <v>0</v>
      </c>
      <c r="I13" s="396">
        <f>VLOOKUP($B13,'[4]Data C 2,4'!$Z$3:$BL$41,I$1,0)</f>
        <v>0</v>
      </c>
      <c r="J13" s="396">
        <f>VLOOKUP($B13,'[4]Data C 2,4'!$Z$3:$BL$41,J$1,0)</f>
        <v>0</v>
      </c>
      <c r="K13" s="396">
        <f>VLOOKUP($B13,'[4]Data C 2,4'!$Z$3:$BL$41,K$1,0)</f>
        <v>0</v>
      </c>
      <c r="L13" s="396">
        <f>VLOOKUP($B13,'[4]Data C 2,4'!$Z$3:$BL$41,L$1,0)</f>
        <v>0</v>
      </c>
      <c r="M13" s="396">
        <f>VLOOKUP($B13,'[4]Data C 2,4'!$Z$3:$BL$41,M$1,0)</f>
        <v>0</v>
      </c>
      <c r="N13" s="396">
        <f>VLOOKUP($B13,'[4]Data C 2,4'!$Z$3:$BL$41,N$1,0)</f>
        <v>0</v>
      </c>
      <c r="O13" s="396">
        <f>VLOOKUP($B13,'[4]Data C 2,4'!$Z$3:$BL$41,O$1,0)</f>
        <v>0.45</v>
      </c>
      <c r="P13" s="396">
        <f>VLOOKUP($B13,'[4]Data C 2,4'!$Z$3:$BL$41,P$1,0)</f>
        <v>0.42</v>
      </c>
      <c r="Q13" s="396">
        <f>VLOOKUP($B13,'[4]Data C 2,4'!$Z$3:$BL$41,Q$1,0)</f>
        <v>0.41</v>
      </c>
      <c r="R13" s="396">
        <f>VLOOKUP($B13,'[4]Data C 2,4'!$Z$3:$BL$41,R$1,0)</f>
        <v>0.39</v>
      </c>
      <c r="S13" s="396">
        <f>VLOOKUP($B13,'[4]Data C 2,4'!$Z$3:$BL$41,S$1,0)</f>
        <v>0.39</v>
      </c>
      <c r="T13" s="396">
        <f>VLOOKUP($B13,'[4]Data C 2,4'!$Z$3:$BL$41,T$1,0)</f>
        <v>0.35</v>
      </c>
      <c r="U13" s="396">
        <f>VLOOKUP($B13,'[4]Data C 2,4'!$Z$3:$BL$41,U$1,0)</f>
        <v>0.35</v>
      </c>
      <c r="V13" s="396">
        <f>VLOOKUP($B13,'[4]Data C 2,4'!$Z$3:$BL$41,V$1,0)</f>
        <v>0.31</v>
      </c>
      <c r="W13" s="396">
        <f>VLOOKUP($B13,'[4]Data C 2,4'!$Z$3:$BL$41,W$1,0)</f>
        <v>0.31</v>
      </c>
      <c r="X13" s="396">
        <f>VLOOKUP($B13,'[4]Data C 2,4'!$Z$3:$BL$41,X$1,0)</f>
        <v>0.31</v>
      </c>
      <c r="Y13" s="396">
        <f>VLOOKUP($B13,'[4]Data C 2,4'!$Z$3:$BL$41,Y$1,0)</f>
        <v>0.31</v>
      </c>
      <c r="Z13" s="396">
        <f>VLOOKUP($B13,'[4]Data C 2,4'!$Z$3:$BL$41,Z$1,0)</f>
        <v>0.28000000000000003</v>
      </c>
      <c r="AA13" s="396">
        <f>VLOOKUP($B13,'[4]Data C 2,4'!$Z$3:$BL$41,AA$1,0)</f>
        <v>0.26</v>
      </c>
      <c r="AB13" s="396">
        <f>VLOOKUP($B13,'[4]Data C 2,4'!$Z$3:$BL$41,AB$1,0)</f>
        <v>0.24</v>
      </c>
      <c r="AC13" s="396">
        <f>VLOOKUP($B13,'[4]Data C 2,4'!$Z$3:$BL$41,AC$1,0)</f>
        <v>0.24</v>
      </c>
      <c r="AD13" s="396">
        <f>VLOOKUP($B13,'[4]Data C 2,4'!$Z$3:$BL$41,AD$1,0)</f>
        <v>0.21</v>
      </c>
      <c r="AE13" s="396">
        <f>VLOOKUP($B13,'[4]Data C 2,4'!$Z$3:$BL$41,AE$1,0)</f>
        <v>0.2</v>
      </c>
      <c r="AF13" s="396">
        <f>VLOOKUP($B13,'[4]Data C 2,4'!$Z$3:$BL$41,AF$1,0)</f>
        <v>0.19</v>
      </c>
      <c r="AG13" s="396">
        <f>VLOOKUP($B13,'[4]Data C 2,4'!$Z$3:$BL$41,AG$1,0)</f>
        <v>0.19</v>
      </c>
      <c r="AH13" s="396">
        <f>VLOOKUP($B13,'[4]Data C 2,4'!$Z$3:$BL$41,AH$1,0)</f>
        <v>0.19</v>
      </c>
      <c r="AI13" s="396">
        <f>VLOOKUP($B13,'[4]Data C 2,4'!$Z$3:$BL$41,AI$1,0)</f>
        <v>0.19</v>
      </c>
      <c r="AJ13" s="396">
        <f>VLOOKUP($B13,'[4]Data C 2,4'!$Z$3:$BL$41,AJ$1,0)</f>
        <v>0.19</v>
      </c>
      <c r="AK13" s="396">
        <f>VLOOKUP($B13,'[4]Data C 2,4'!$Z$3:$BL$41,AK$1,0)</f>
        <v>0.19</v>
      </c>
      <c r="AL13" s="396">
        <f>VLOOKUP($B13,TableF1a!$B$8:$R$42,AL$1,0)</f>
        <v>0.19</v>
      </c>
      <c r="AM13" s="396">
        <f>VLOOKUP($B13,TableF1a!$B$8:$R$42,AM$1,0)</f>
        <v>0.19</v>
      </c>
      <c r="AN13" s="1364">
        <f>VLOOKUP($B13,TableF1a!$B$8:$R$42,AN$1,0)</f>
        <v>0.19</v>
      </c>
      <c r="AP13" s="1712">
        <f t="shared" si="1"/>
        <v>-0.12</v>
      </c>
    </row>
    <row r="14" spans="2:42" x14ac:dyDescent="0.35">
      <c r="B14" s="95" t="s">
        <v>59</v>
      </c>
      <c r="C14" s="1137">
        <f>VLOOKUP($B14,'[4]Data C 2,4'!$Z$3:$BL$41,C$1,0)</f>
        <v>0.4</v>
      </c>
      <c r="D14" s="396">
        <f>VLOOKUP($B14,'[4]Data C 2,4'!$Z$3:$BL$41,D$1,0)</f>
        <v>0.4</v>
      </c>
      <c r="E14" s="396">
        <f>VLOOKUP($B14,'[4]Data C 2,4'!$Z$3:$BL$41,E$1,0)</f>
        <v>0.4</v>
      </c>
      <c r="F14" s="396">
        <f>VLOOKUP($B14,'[4]Data C 2,4'!$Z$3:$BL$41,F$1,0)</f>
        <v>0.4</v>
      </c>
      <c r="G14" s="396">
        <f>VLOOKUP($B14,'[4]Data C 2,4'!$Z$3:$BL$41,G$1,0)</f>
        <v>0.5</v>
      </c>
      <c r="H14" s="396">
        <f>VLOOKUP($B14,'[4]Data C 2,4'!$Z$3:$BL$41,H$1,0)</f>
        <v>0.5</v>
      </c>
      <c r="I14" s="396">
        <f>VLOOKUP($B14,'[4]Data C 2,4'!$Z$3:$BL$41,I$1,0)</f>
        <v>0.5</v>
      </c>
      <c r="J14" s="396">
        <f>VLOOKUP($B14,'[4]Data C 2,4'!$Z$3:$BL$41,J$1,0)</f>
        <v>0.5</v>
      </c>
      <c r="K14" s="396">
        <f>VLOOKUP($B14,'[4]Data C 2,4'!$Z$3:$BL$41,K$1,0)</f>
        <v>0.5</v>
      </c>
      <c r="L14" s="396">
        <f>VLOOKUP($B14,'[4]Data C 2,4'!$Z$3:$BL$41,L$1,0)</f>
        <v>0.4</v>
      </c>
      <c r="M14" s="396">
        <f>VLOOKUP($B14,'[4]Data C 2,4'!$Z$3:$BL$41,M$1,0)</f>
        <v>0.38</v>
      </c>
      <c r="N14" s="396">
        <f>VLOOKUP($B14,'[4]Data C 2,4'!$Z$3:$BL$41,N$1,0)</f>
        <v>0.34</v>
      </c>
      <c r="O14" s="396">
        <f>VLOOKUP($B14,'[4]Data C 2,4'!$Z$3:$BL$41,O$1,0)</f>
        <v>0.34</v>
      </c>
      <c r="P14" s="396">
        <f>VLOOKUP($B14,'[4]Data C 2,4'!$Z$3:$BL$41,P$1,0)</f>
        <v>0.34</v>
      </c>
      <c r="Q14" s="396">
        <f>VLOOKUP($B14,'[4]Data C 2,4'!$Z$3:$BL$41,Q$1,0)</f>
        <v>0.34</v>
      </c>
      <c r="R14" s="396">
        <f>VLOOKUP($B14,'[4]Data C 2,4'!$Z$3:$BL$41,R$1,0)</f>
        <v>0.34</v>
      </c>
      <c r="S14" s="396">
        <f>VLOOKUP($B14,'[4]Data C 2,4'!$Z$3:$BL$41,S$1,0)</f>
        <v>0.34</v>
      </c>
      <c r="T14" s="396">
        <f>VLOOKUP($B14,'[4]Data C 2,4'!$Z$3:$BL$41,T$1,0)</f>
        <v>0.34</v>
      </c>
      <c r="U14" s="396">
        <f>VLOOKUP($B14,'[4]Data C 2,4'!$Z$3:$BL$41,U$1,0)</f>
        <v>0.32</v>
      </c>
      <c r="V14" s="396">
        <f>VLOOKUP($B14,'[4]Data C 2,4'!$Z$3:$BL$41,V$1,0)</f>
        <v>0.32</v>
      </c>
      <c r="W14" s="396">
        <f>VLOOKUP($B14,'[4]Data C 2,4'!$Z$3:$BL$41,W$1,0)</f>
        <v>0.3</v>
      </c>
      <c r="X14" s="396">
        <f>VLOOKUP($B14,'[4]Data C 2,4'!$Z$3:$BL$41,X$1,0)</f>
        <v>0.3</v>
      </c>
      <c r="Y14" s="396">
        <f>VLOOKUP($B14,'[4]Data C 2,4'!$Z$3:$BL$41,Y$1,0)</f>
        <v>0.3</v>
      </c>
      <c r="Z14" s="396">
        <f>VLOOKUP($B14,'[4]Data C 2,4'!$Z$3:$BL$41,Z$1,0)</f>
        <v>0.3</v>
      </c>
      <c r="AA14" s="396">
        <f>VLOOKUP($B14,'[4]Data C 2,4'!$Z$3:$BL$41,AA$1,0)</f>
        <v>0.28000000000000003</v>
      </c>
      <c r="AB14" s="396">
        <f>VLOOKUP($B14,'[4]Data C 2,4'!$Z$3:$BL$41,AB$1,0)</f>
        <v>0.28000000000000003</v>
      </c>
      <c r="AC14" s="396">
        <f>VLOOKUP($B14,'[4]Data C 2,4'!$Z$3:$BL$41,AC$1,0)</f>
        <v>0.25</v>
      </c>
      <c r="AD14" s="396">
        <f>VLOOKUP($B14,'[4]Data C 2,4'!$Z$3:$BL$41,AD$1,0)</f>
        <v>0.25</v>
      </c>
      <c r="AE14" s="396">
        <f>VLOOKUP($B14,'[4]Data C 2,4'!$Z$3:$BL$41,AE$1,0)</f>
        <v>0.25</v>
      </c>
      <c r="AF14" s="396">
        <f>VLOOKUP($B14,'[4]Data C 2,4'!$Z$3:$BL$41,AF$1,0)</f>
        <v>0.25</v>
      </c>
      <c r="AG14" s="396">
        <f>VLOOKUP($B14,'[4]Data C 2,4'!$Z$3:$BL$41,AG$1,0)</f>
        <v>0.25</v>
      </c>
      <c r="AH14" s="396">
        <f>VLOOKUP($B14,'[4]Data C 2,4'!$Z$3:$BL$41,AH$1,0)</f>
        <v>0.25</v>
      </c>
      <c r="AI14" s="396">
        <f>VLOOKUP($B14,'[4]Data C 2,4'!$Z$3:$BL$41,AI$1,0)</f>
        <v>0.25</v>
      </c>
      <c r="AJ14" s="396">
        <f>VLOOKUP($B14,'[4]Data C 2,4'!$Z$3:$BL$41,AJ$1,0)</f>
        <v>0.245</v>
      </c>
      <c r="AK14" s="396">
        <f>VLOOKUP($B14,'[4]Data C 2,4'!$Z$3:$BL$41,AK$1,0)</f>
        <v>0.23499999999999999</v>
      </c>
      <c r="AL14" s="396">
        <f>VLOOKUP($B14,TableF1a!$B$8:$R$42,AL$1,0)</f>
        <v>0.22</v>
      </c>
      <c r="AM14" s="396">
        <f>VLOOKUP($B14,TableF1a!$B$8:$R$42,AM$1,0)</f>
        <v>0.22</v>
      </c>
      <c r="AN14" s="1364">
        <f>VLOOKUP($B14,TableF1a!$B$8:$R$42,AN$1,0)</f>
        <v>0.22</v>
      </c>
      <c r="AP14" s="1712">
        <f t="shared" si="1"/>
        <v>-0.1</v>
      </c>
    </row>
    <row r="15" spans="2:42" x14ac:dyDescent="0.35">
      <c r="B15" s="455" t="s">
        <v>60</v>
      </c>
      <c r="C15" s="1137">
        <f>VLOOKUP($B15,'[4]Data C 2,4'!$Z$3:$BL$41,C$1,0)</f>
        <v>0</v>
      </c>
      <c r="D15" s="396">
        <f>VLOOKUP($B15,'[4]Data C 2,4'!$Z$3:$BL$41,D$1,0)</f>
        <v>0</v>
      </c>
      <c r="E15" s="396">
        <f>VLOOKUP($B15,'[4]Data C 2,4'!$Z$3:$BL$41,E$1,0)</f>
        <v>0</v>
      </c>
      <c r="F15" s="396">
        <f>VLOOKUP($B15,'[4]Data C 2,4'!$Z$3:$BL$41,F$1,0)</f>
        <v>0</v>
      </c>
      <c r="G15" s="396">
        <f>VLOOKUP($B15,'[4]Data C 2,4'!$Z$3:$BL$41,G$1,0)</f>
        <v>0</v>
      </c>
      <c r="H15" s="396">
        <f>VLOOKUP($B15,'[4]Data C 2,4'!$Z$3:$BL$41,H$1,0)</f>
        <v>0</v>
      </c>
      <c r="I15" s="396">
        <f>VLOOKUP($B15,'[4]Data C 2,4'!$Z$3:$BL$41,I$1,0)</f>
        <v>0</v>
      </c>
      <c r="J15" s="396">
        <f>VLOOKUP($B15,'[4]Data C 2,4'!$Z$3:$BL$41,J$1,0)</f>
        <v>0</v>
      </c>
      <c r="K15" s="396">
        <f>VLOOKUP($B15,'[4]Data C 2,4'!$Z$3:$BL$41,K$1,0)</f>
        <v>0</v>
      </c>
      <c r="L15" s="396">
        <f>VLOOKUP($B15,'[4]Data C 2,4'!$Z$3:$BL$41,L$1,0)</f>
        <v>0</v>
      </c>
      <c r="M15" s="396">
        <f>VLOOKUP($B15,'[4]Data C 2,4'!$Z$3:$BL$41,M$1,0)</f>
        <v>0</v>
      </c>
      <c r="N15" s="396">
        <f>VLOOKUP($B15,'[4]Data C 2,4'!$Z$3:$BL$41,N$1,0)</f>
        <v>0</v>
      </c>
      <c r="O15" s="396">
        <f>VLOOKUP($B15,'[4]Data C 2,4'!$Z$3:$BL$41,O$1,0)</f>
        <v>0</v>
      </c>
      <c r="P15" s="396">
        <f>VLOOKUP($B15,'[4]Data C 2,4'!$Z$3:$BL$41,P$1,0)</f>
        <v>0</v>
      </c>
      <c r="Q15" s="396">
        <f>VLOOKUP($B15,'[4]Data C 2,4'!$Z$3:$BL$41,Q$1,0)</f>
        <v>0</v>
      </c>
      <c r="R15" s="396">
        <f>VLOOKUP($B15,'[4]Data C 2,4'!$Z$3:$BL$41,R$1,0)</f>
        <v>0</v>
      </c>
      <c r="S15" s="396">
        <f>VLOOKUP($B15,'[4]Data C 2,4'!$Z$3:$BL$41,S$1,0)</f>
        <v>0</v>
      </c>
      <c r="T15" s="396">
        <f>VLOOKUP($B15,'[4]Data C 2,4'!$Z$3:$BL$41,T$1,0)</f>
        <v>0</v>
      </c>
      <c r="U15" s="396">
        <f>VLOOKUP($B15,'[4]Data C 2,4'!$Z$3:$BL$41,U$1,0)</f>
        <v>0</v>
      </c>
      <c r="V15" s="396">
        <f>VLOOKUP($B15,'[4]Data C 2,4'!$Z$3:$BL$41,V$1,0)</f>
        <v>0.26</v>
      </c>
      <c r="W15" s="396">
        <f>VLOOKUP($B15,'[4]Data C 2,4'!$Z$3:$BL$41,W$1,0)</f>
        <v>0.26</v>
      </c>
      <c r="X15" s="396">
        <f>VLOOKUP($B15,'[4]Data C 2,4'!$Z$3:$BL$41,X$1,0)</f>
        <v>0.26</v>
      </c>
      <c r="Y15" s="396">
        <f>VLOOKUP($B15,'[4]Data C 2,4'!$Z$3:$BL$41,Y$1,0)</f>
        <v>0.26</v>
      </c>
      <c r="Z15" s="396">
        <f>VLOOKUP($B15,'[4]Data C 2,4'!$Z$3:$BL$41,Z$1,0)</f>
        <v>0.26</v>
      </c>
      <c r="AA15" s="396">
        <f>VLOOKUP($B15,'[4]Data C 2,4'!$Z$3:$BL$41,AA$1,0)</f>
        <v>0.24</v>
      </c>
      <c r="AB15" s="396">
        <f>VLOOKUP($B15,'[4]Data C 2,4'!$Z$3:$BL$41,AB$1,0)</f>
        <v>0.23</v>
      </c>
      <c r="AC15" s="396">
        <f>VLOOKUP($B15,'[4]Data C 2,4'!$Z$3:$BL$41,AC$1,0)</f>
        <v>0.22</v>
      </c>
      <c r="AD15" s="396">
        <f>VLOOKUP($B15,'[4]Data C 2,4'!$Z$3:$BL$41,AD$1,0)</f>
        <v>0.21</v>
      </c>
      <c r="AE15" s="396">
        <f>VLOOKUP($B15,'[4]Data C 2,4'!$Z$3:$BL$41,AE$1,0)</f>
        <v>0.21</v>
      </c>
      <c r="AF15" s="396">
        <f>VLOOKUP($B15,'[4]Data C 2,4'!$Z$3:$BL$41,AF$1,0)</f>
        <v>0.21</v>
      </c>
      <c r="AG15" s="396">
        <f>VLOOKUP($B15,'[4]Data C 2,4'!$Z$3:$BL$41,AG$1,0)</f>
        <v>0.21</v>
      </c>
      <c r="AH15" s="396">
        <f>VLOOKUP($B15,'[4]Data C 2,4'!$Z$3:$BL$41,AH$1,0)</f>
        <v>0.21</v>
      </c>
      <c r="AI15" s="396">
        <f>VLOOKUP($B15,'[4]Data C 2,4'!$Z$3:$BL$41,AI$1,0)</f>
        <v>0.21</v>
      </c>
      <c r="AJ15" s="396">
        <f>VLOOKUP($B15,'[4]Data C 2,4'!$Z$3:$BL$41,AJ$1,0)</f>
        <v>0.21</v>
      </c>
      <c r="AK15" s="396">
        <f>VLOOKUP($B15,'[4]Data C 2,4'!$Z$3:$BL$41,AK$1,0)</f>
        <v>0.2</v>
      </c>
      <c r="AL15" s="396">
        <f>VLOOKUP($B15,TableF1a!$B$8:$R$42,AL$1,0)</f>
        <v>0.2</v>
      </c>
      <c r="AM15" s="396">
        <f>VLOOKUP($B15,TableF1a!$B$8:$R$42,AM$1,0)</f>
        <v>0.2</v>
      </c>
      <c r="AN15" s="1364">
        <f>VLOOKUP($B15,TableF1a!$B$8:$R$42,AN$1,0)</f>
        <v>0.2</v>
      </c>
      <c r="AP15" s="1712">
        <f t="shared" si="1"/>
        <v>-0.06</v>
      </c>
    </row>
    <row r="16" spans="2:42" x14ac:dyDescent="0.35">
      <c r="B16" s="95" t="s">
        <v>61</v>
      </c>
      <c r="C16" s="1137">
        <f>VLOOKUP($B16,'[4]Data C 2,4'!$Z$3:$BL$41,C$1,0)</f>
        <v>0.61499999999999999</v>
      </c>
      <c r="D16" s="396">
        <f>VLOOKUP($B16,'[4]Data C 2,4'!$Z$3:$BL$41,D$1,0)</f>
        <v>0.61750000000000005</v>
      </c>
      <c r="E16" s="396">
        <f>VLOOKUP($B16,'[4]Data C 2,4'!$Z$3:$BL$41,E$1,0)</f>
        <v>0.61499999999999999</v>
      </c>
      <c r="F16" s="396">
        <f>VLOOKUP($B16,'[4]Data C 2,4'!$Z$3:$BL$41,F$1,0)</f>
        <v>0.61750000000000005</v>
      </c>
      <c r="G16" s="396">
        <f>VLOOKUP($B16,'[4]Data C 2,4'!$Z$3:$BL$41,G$1,0)</f>
        <v>0.61750000000000005</v>
      </c>
      <c r="H16" s="396">
        <f>VLOOKUP($B16,'[4]Data C 2,4'!$Z$3:$BL$41,H$1,0)</f>
        <v>0.51500000000000001</v>
      </c>
      <c r="I16" s="396">
        <f>VLOOKUP($B16,'[4]Data C 2,4'!$Z$3:$BL$41,I$1,0)</f>
        <v>0.51500000000000001</v>
      </c>
      <c r="J16" s="396">
        <f>VLOOKUP($B16,'[4]Data C 2,4'!$Z$3:$BL$41,J$1,0)</f>
        <v>0.51500000000000001</v>
      </c>
      <c r="K16" s="396">
        <f>VLOOKUP($B16,'[4]Data C 2,4'!$Z$3:$BL$41,K$1,0)</f>
        <v>0.52500000000000002</v>
      </c>
      <c r="L16" s="396">
        <f>VLOOKUP($B16,'[4]Data C 2,4'!$Z$3:$BL$41,L$1,0)</f>
        <v>0.44500000000000001</v>
      </c>
      <c r="M16" s="396">
        <f>VLOOKUP($B16,'[4]Data C 2,4'!$Z$3:$BL$41,M$1,0)</f>
        <v>0.42</v>
      </c>
      <c r="N16" s="396">
        <f>VLOOKUP($B16,'[4]Data C 2,4'!$Z$3:$BL$41,N$1,0)</f>
        <v>0.39</v>
      </c>
      <c r="O16" s="396">
        <f>VLOOKUP($B16,'[4]Data C 2,4'!$Z$3:$BL$41,O$1,0)</f>
        <v>0.25</v>
      </c>
      <c r="P16" s="396">
        <f>VLOOKUP($B16,'[4]Data C 2,4'!$Z$3:$BL$41,P$1,0)</f>
        <v>0.25</v>
      </c>
      <c r="Q16" s="396">
        <f>VLOOKUP($B16,'[4]Data C 2,4'!$Z$3:$BL$41,Q$1,0)</f>
        <v>0.25</v>
      </c>
      <c r="R16" s="396">
        <f>VLOOKUP($B16,'[4]Data C 2,4'!$Z$3:$BL$41,R$1,0)</f>
        <v>0.28000000000000003</v>
      </c>
      <c r="S16" s="396">
        <f>VLOOKUP($B16,'[4]Data C 2,4'!$Z$3:$BL$41,S$1,0)</f>
        <v>0.28000000000000003</v>
      </c>
      <c r="T16" s="396">
        <f>VLOOKUP($B16,'[4]Data C 2,4'!$Z$3:$BL$41,T$1,0)</f>
        <v>0.28000000000000003</v>
      </c>
      <c r="U16" s="396">
        <f>VLOOKUP($B16,'[4]Data C 2,4'!$Z$3:$BL$41,U$1,0)</f>
        <v>0.28000000000000003</v>
      </c>
      <c r="V16" s="396">
        <f>VLOOKUP($B16,'[4]Data C 2,4'!$Z$3:$BL$41,V$1,0)</f>
        <v>0.28999999999999998</v>
      </c>
      <c r="W16" s="396">
        <f>VLOOKUP($B16,'[4]Data C 2,4'!$Z$3:$BL$41,W$1,0)</f>
        <v>0.28999999999999998</v>
      </c>
      <c r="X16" s="396">
        <f>VLOOKUP($B16,'[4]Data C 2,4'!$Z$3:$BL$41,X$1,0)</f>
        <v>0.28999999999999998</v>
      </c>
      <c r="Y16" s="396">
        <f>VLOOKUP($B16,'[4]Data C 2,4'!$Z$3:$BL$41,Y$1,0)</f>
        <v>0.28999999999999998</v>
      </c>
      <c r="Z16" s="396">
        <f>VLOOKUP($B16,'[4]Data C 2,4'!$Z$3:$BL$41,Z$1,0)</f>
        <v>0.28999999999999998</v>
      </c>
      <c r="AA16" s="396">
        <f>VLOOKUP($B16,'[4]Data C 2,4'!$Z$3:$BL$41,AA$1,0)</f>
        <v>0.26</v>
      </c>
      <c r="AB16" s="396">
        <f>VLOOKUP($B16,'[4]Data C 2,4'!$Z$3:$BL$41,AB$1,0)</f>
        <v>0.26</v>
      </c>
      <c r="AC16" s="396">
        <f>VLOOKUP($B16,'[4]Data C 2,4'!$Z$3:$BL$41,AC$1,0)</f>
        <v>0.26</v>
      </c>
      <c r="AD16" s="396">
        <f>VLOOKUP($B16,'[4]Data C 2,4'!$Z$3:$BL$41,AD$1,0)</f>
        <v>0.26</v>
      </c>
      <c r="AE16" s="396">
        <f>VLOOKUP($B16,'[4]Data C 2,4'!$Z$3:$BL$41,AE$1,0)</f>
        <v>0.26</v>
      </c>
      <c r="AF16" s="396">
        <f>VLOOKUP($B16,'[4]Data C 2,4'!$Z$3:$BL$41,AF$1,0)</f>
        <v>0.26</v>
      </c>
      <c r="AG16" s="396">
        <f>VLOOKUP($B16,'[4]Data C 2,4'!$Z$3:$BL$41,AG$1,0)</f>
        <v>0.26</v>
      </c>
      <c r="AH16" s="396">
        <f>VLOOKUP($B16,'[4]Data C 2,4'!$Z$3:$BL$41,AH$1,0)</f>
        <v>0.245</v>
      </c>
      <c r="AI16" s="396">
        <f>VLOOKUP($B16,'[4]Data C 2,4'!$Z$3:$BL$41,AI$1,0)</f>
        <v>0.245</v>
      </c>
      <c r="AJ16" s="396">
        <f>VLOOKUP($B16,'[4]Data C 2,4'!$Z$3:$BL$41,AJ$1,0)</f>
        <v>0.2</v>
      </c>
      <c r="AK16" s="396">
        <f>VLOOKUP($B16,'[4]Data C 2,4'!$Z$3:$BL$41,AK$1,0)</f>
        <v>0.2</v>
      </c>
      <c r="AL16" s="396">
        <f>VLOOKUP($B16,TableF1a!$B$8:$R$42,AL$1,0)</f>
        <v>0.2</v>
      </c>
      <c r="AM16" s="396">
        <f>VLOOKUP($B16,TableF1a!$B$8:$R$42,AM$1,0)</f>
        <v>0.2</v>
      </c>
      <c r="AN16" s="1364">
        <f>VLOOKUP($B16,TableF1a!$B$8:$R$42,AN$1,0)</f>
        <v>0.2</v>
      </c>
      <c r="AP16" s="1712">
        <f t="shared" si="1"/>
        <v>-8.9999999999999969E-2</v>
      </c>
    </row>
    <row r="17" spans="1:42" x14ac:dyDescent="0.35">
      <c r="B17" s="455" t="s">
        <v>48</v>
      </c>
      <c r="C17" s="1137">
        <f>VLOOKUP($B17,'[4]Data C 2,4'!$Z$3:$BL$41,C$1,0)</f>
        <v>0.5</v>
      </c>
      <c r="D17" s="396">
        <f>VLOOKUP($B17,'[4]Data C 2,4'!$Z$3:$BL$41,D$1,0)</f>
        <v>0.5</v>
      </c>
      <c r="E17" s="396">
        <f>VLOOKUP($B17,'[4]Data C 2,4'!$Z$3:$BL$41,E$1,0)</f>
        <v>0.5</v>
      </c>
      <c r="F17" s="396">
        <f>VLOOKUP($B17,'[4]Data C 2,4'!$Z$3:$BL$41,F$1,0)</f>
        <v>0.5</v>
      </c>
      <c r="G17" s="396">
        <f>VLOOKUP($B17,'[4]Data C 2,4'!$Z$3:$BL$41,G$1,0)</f>
        <v>0.5</v>
      </c>
      <c r="H17" s="396">
        <f>VLOOKUP($B17,'[4]Data C 2,4'!$Z$3:$BL$41,H$1,0)</f>
        <v>0.45</v>
      </c>
      <c r="I17" s="396">
        <f>VLOOKUP($B17,'[4]Data C 2,4'!$Z$3:$BL$41,I$1,0)</f>
        <v>0.45</v>
      </c>
      <c r="J17" s="396">
        <f>VLOOKUP($B17,'[4]Data C 2,4'!$Z$3:$BL$41,J$1,0)</f>
        <v>0.42</v>
      </c>
      <c r="K17" s="396">
        <f>VLOOKUP($B17,'[4]Data C 2,4'!$Z$3:$BL$41,K$1,0)</f>
        <v>0.42</v>
      </c>
      <c r="L17" s="396">
        <f>VLOOKUP($B17,'[4]Data C 2,4'!$Z$3:$BL$41,L$1,0)</f>
        <v>0.42</v>
      </c>
      <c r="M17" s="396">
        <f>VLOOKUP($B17,'[4]Data C 2,4'!$Z$3:$BL$41,M$1,0)</f>
        <v>0.42</v>
      </c>
      <c r="N17" s="396">
        <f>VLOOKUP($B17,'[4]Data C 2,4'!$Z$3:$BL$41,N$1,0)</f>
        <v>0.34</v>
      </c>
      <c r="O17" s="396">
        <f>VLOOKUP($B17,'[4]Data C 2,4'!$Z$3:$BL$41,O$1,0)</f>
        <v>0.33329999999999999</v>
      </c>
      <c r="P17" s="396">
        <f>VLOOKUP($B17,'[4]Data C 2,4'!$Z$3:$BL$41,P$1,0)</f>
        <v>0.33329999999999999</v>
      </c>
      <c r="Q17" s="396">
        <f>VLOOKUP($B17,'[4]Data C 2,4'!$Z$3:$BL$41,Q$1,0)</f>
        <v>0.36659999999999998</v>
      </c>
      <c r="R17" s="396">
        <f>VLOOKUP($B17,'[4]Data C 2,4'!$Z$3:$BL$41,R$1,0)</f>
        <v>0.36659999999999998</v>
      </c>
      <c r="S17" s="396">
        <f>VLOOKUP($B17,'[4]Data C 2,4'!$Z$3:$BL$41,S$1,0)</f>
        <v>0.41660000000000003</v>
      </c>
      <c r="T17" s="396">
        <f>VLOOKUP($B17,'[4]Data C 2,4'!$Z$3:$BL$41,T$1,0)</f>
        <v>0.41660000000000003</v>
      </c>
      <c r="U17" s="396">
        <f>VLOOKUP($B17,'[4]Data C 2,4'!$Z$3:$BL$41,U$1,0)</f>
        <v>0.4</v>
      </c>
      <c r="V17" s="396">
        <f>VLOOKUP($B17,'[4]Data C 2,4'!$Z$3:$BL$41,V$1,0)</f>
        <v>0.37759999999999999</v>
      </c>
      <c r="W17" s="396">
        <f>VLOOKUP($B17,'[4]Data C 2,4'!$Z$3:$BL$41,W$1,0)</f>
        <v>0.36430000000000001</v>
      </c>
      <c r="X17" s="396">
        <f>VLOOKUP($B17,'[4]Data C 2,4'!$Z$3:$BL$41,X$1,0)</f>
        <v>0.3543</v>
      </c>
      <c r="Y17" s="396">
        <f>VLOOKUP($B17,'[4]Data C 2,4'!$Z$3:$BL$41,Y$1,0)</f>
        <v>0.3543</v>
      </c>
      <c r="Z17" s="396">
        <f>VLOOKUP($B17,'[4]Data C 2,4'!$Z$3:$BL$41,Z$1,0)</f>
        <v>0.3543</v>
      </c>
      <c r="AA17" s="396">
        <f>VLOOKUP($B17,'[4]Data C 2,4'!$Z$3:$BL$41,AA$1,0)</f>
        <v>0.34949999999999998</v>
      </c>
      <c r="AB17" s="396">
        <f>VLOOKUP($B17,'[4]Data C 2,4'!$Z$3:$BL$41,AB$1,0)</f>
        <v>0.34429999999999999</v>
      </c>
      <c r="AC17" s="396">
        <f>VLOOKUP($B17,'[4]Data C 2,4'!$Z$3:$BL$41,AC$1,0)</f>
        <v>0.34429999999999999</v>
      </c>
      <c r="AD17" s="396">
        <f>VLOOKUP($B17,'[4]Data C 2,4'!$Z$3:$BL$41,AD$1,0)</f>
        <v>0.34429999999999999</v>
      </c>
      <c r="AE17" s="396">
        <f>VLOOKUP($B17,'[4]Data C 2,4'!$Z$3:$BL$41,AE$1,0)</f>
        <v>0.34429999999999999</v>
      </c>
      <c r="AF17" s="396">
        <f>VLOOKUP($B17,'[4]Data C 2,4'!$Z$3:$BL$41,AF$1,0)</f>
        <v>0.34429999999999999</v>
      </c>
      <c r="AG17" s="396">
        <f>VLOOKUP($B17,'[4]Data C 2,4'!$Z$3:$BL$41,AG$1,0)</f>
        <v>0.34429999999999999</v>
      </c>
      <c r="AH17" s="396">
        <f>VLOOKUP($B17,'[4]Data C 2,4'!$Z$3:$BL$41,AH$1,0)</f>
        <v>0.34429999999999999</v>
      </c>
      <c r="AI17" s="396">
        <f>VLOOKUP($B17,'[4]Data C 2,4'!$Z$3:$BL$41,AI$1,0)</f>
        <v>0.34429999999999999</v>
      </c>
      <c r="AJ17" s="396">
        <f>VLOOKUP($B17,'[4]Data C 2,4'!$Z$3:$BL$41,AJ$1,0)</f>
        <v>0.34429999999999999</v>
      </c>
      <c r="AK17" s="396">
        <f>VLOOKUP($B17,'[4]Data C 2,4'!$Z$3:$BL$41,AK$1,0)</f>
        <v>0.34429999999999999</v>
      </c>
      <c r="AL17" s="396">
        <f>VLOOKUP($B17,TableF1a!$B$8:$R$42,AL$1,0)</f>
        <v>0.33299999999999996</v>
      </c>
      <c r="AM17" s="396">
        <f>VLOOKUP($B17,TableF1a!$B$8:$R$42,AM$1,0)</f>
        <v>0.33329999999999999</v>
      </c>
      <c r="AN17" s="1364">
        <f>VLOOKUP($B17,TableF1a!$B$8:$R$42,AN$1,0)</f>
        <v>0.33</v>
      </c>
      <c r="AP17" s="1712">
        <f t="shared" si="1"/>
        <v>-4.4600000000000029E-2</v>
      </c>
    </row>
    <row r="18" spans="1:42" x14ac:dyDescent="0.35">
      <c r="B18" s="95" t="s">
        <v>62</v>
      </c>
      <c r="C18" s="1137">
        <f>VLOOKUP($B18,'[4]Data C 2,4'!$Z$3:$BL$41,C$1,0)</f>
        <v>0.6</v>
      </c>
      <c r="D18" s="396">
        <f>VLOOKUP($B18,'[4]Data C 2,4'!$Z$3:$BL$41,D$1,0)</f>
        <v>0.6</v>
      </c>
      <c r="E18" s="396">
        <f>VLOOKUP($B18,'[4]Data C 2,4'!$Z$3:$BL$41,E$1,0)</f>
        <v>0.6</v>
      </c>
      <c r="F18" s="396">
        <f>VLOOKUP($B18,'[4]Data C 2,4'!$Z$3:$BL$41,F$1,0)</f>
        <v>0.6</v>
      </c>
      <c r="G18" s="396">
        <f>VLOOKUP($B18,'[4]Data C 2,4'!$Z$3:$BL$41,G$1,0)</f>
        <v>0.6</v>
      </c>
      <c r="H18" s="396">
        <f>VLOOKUP($B18,'[4]Data C 2,4'!$Z$3:$BL$41,H$1,0)</f>
        <v>0.6</v>
      </c>
      <c r="I18" s="396">
        <f>VLOOKUP($B18,'[4]Data C 2,4'!$Z$3:$BL$41,I$1,0)</f>
        <v>0.6</v>
      </c>
      <c r="J18" s="396">
        <f>VLOOKUP($B18,'[4]Data C 2,4'!$Z$3:$BL$41,J$1,0)</f>
        <v>0.6</v>
      </c>
      <c r="K18" s="396">
        <f>VLOOKUP($B18,'[4]Data C 2,4'!$Z$3:$BL$41,K$1,0)</f>
        <v>0.6</v>
      </c>
      <c r="L18" s="396">
        <f>VLOOKUP($B18,'[4]Data C 2,4'!$Z$3:$BL$41,L$1,0)</f>
        <v>0.54545454500000001</v>
      </c>
      <c r="M18" s="396">
        <f>VLOOKUP($B18,'[4]Data C 2,4'!$Z$3:$BL$41,M$1,0)</f>
        <v>0.5625</v>
      </c>
      <c r="N18" s="396">
        <f>VLOOKUP($B18,'[4]Data C 2,4'!$Z$3:$BL$41,N$1,0)</f>
        <v>0.58152173900000004</v>
      </c>
      <c r="O18" s="396">
        <f>VLOOKUP($B18,'[4]Data C 2,4'!$Z$3:$BL$41,O$1,0)</f>
        <v>0.56521739100000001</v>
      </c>
      <c r="P18" s="396">
        <f>VLOOKUP($B18,'[4]Data C 2,4'!$Z$3:$BL$41,P$1,0)</f>
        <v>0.52173913000000005</v>
      </c>
      <c r="Q18" s="396">
        <f>VLOOKUP($B18,'[4]Data C 2,4'!$Z$3:$BL$41,Q$1,0)</f>
        <v>0.55108695699999999</v>
      </c>
      <c r="R18" s="396">
        <f>VLOOKUP($B18,'[4]Data C 2,4'!$Z$3:$BL$41,R$1,0)</f>
        <v>0.55876068400000001</v>
      </c>
      <c r="S18" s="396">
        <f>VLOOKUP($B18,'[4]Data C 2,4'!$Z$3:$BL$41,S$1,0)</f>
        <v>0.56799163200000002</v>
      </c>
      <c r="T18" s="396">
        <f>VLOOKUP($B18,'[4]Data C 2,4'!$Z$3:$BL$41,T$1,0)</f>
        <v>0.56046025099999996</v>
      </c>
      <c r="U18" s="396">
        <f>VLOOKUP($B18,'[4]Data C 2,4'!$Z$3:$BL$41,U$1,0)</f>
        <v>0.52033194999999999</v>
      </c>
      <c r="V18" s="396">
        <f>VLOOKUP($B18,'[4]Data C 2,4'!$Z$3:$BL$41,V$1,0)</f>
        <v>0.52033194999999999</v>
      </c>
      <c r="W18" s="396">
        <f>VLOOKUP($B18,'[4]Data C 2,4'!$Z$3:$BL$41,W$1,0)</f>
        <v>0.38901249999999998</v>
      </c>
      <c r="X18" s="396">
        <f>VLOOKUP($B18,'[4]Data C 2,4'!$Z$3:$BL$41,X$1,0)</f>
        <v>0.38900414900000002</v>
      </c>
      <c r="Y18" s="396">
        <f>VLOOKUP($B18,'[4]Data C 2,4'!$Z$3:$BL$41,Y$1,0)</f>
        <v>0.40215767600000002</v>
      </c>
      <c r="Z18" s="396">
        <f>VLOOKUP($B18,'[4]Data C 2,4'!$Z$3:$BL$41,Z$1,0)</f>
        <v>0.38900414900000002</v>
      </c>
      <c r="AA18" s="396">
        <f>VLOOKUP($B18,'[4]Data C 2,4'!$Z$3:$BL$41,AA$1,0)</f>
        <v>0.38900414900000002</v>
      </c>
      <c r="AB18" s="396">
        <f>VLOOKUP($B18,'[4]Data C 2,4'!$Z$3:$BL$41,AB$1,0)</f>
        <v>0.38900414900000002</v>
      </c>
      <c r="AC18" s="396">
        <f>VLOOKUP($B18,'[4]Data C 2,4'!$Z$3:$BL$41,AC$1,0)</f>
        <v>0.38900414900000002</v>
      </c>
      <c r="AD18" s="396">
        <f>VLOOKUP($B18,'[4]Data C 2,4'!$Z$3:$BL$41,AD$1,0)</f>
        <v>0.30175000000000002</v>
      </c>
      <c r="AE18" s="396">
        <f>VLOOKUP($B18,'[4]Data C 2,4'!$Z$3:$BL$41,AE$1,0)</f>
        <v>0.30175000000000002</v>
      </c>
      <c r="AF18" s="396">
        <f>VLOOKUP($B18,'[4]Data C 2,4'!$Z$3:$BL$41,AF$1,0)</f>
        <v>0.30175000000000002</v>
      </c>
      <c r="AG18" s="396">
        <f>VLOOKUP($B18,'[4]Data C 2,4'!$Z$3:$BL$41,AG$1,0)</f>
        <v>0.30175000000000002</v>
      </c>
      <c r="AH18" s="396">
        <f>VLOOKUP($B18,'[4]Data C 2,4'!$Z$3:$BL$41,AH$1,0)</f>
        <v>0.30175000000000002</v>
      </c>
      <c r="AI18" s="396">
        <f>VLOOKUP($B18,'[4]Data C 2,4'!$Z$3:$BL$41,AI$1,0)</f>
        <v>0.30175000000000002</v>
      </c>
      <c r="AJ18" s="396">
        <f>VLOOKUP($B18,'[4]Data C 2,4'!$Z$3:$BL$41,AJ$1,0)</f>
        <v>0.30180000000000001</v>
      </c>
      <c r="AK18" s="396">
        <f>VLOOKUP($B18,'[4]Data C 2,4'!$Z$3:$BL$41,AK$1,0)</f>
        <v>0.30180000000000001</v>
      </c>
      <c r="AL18" s="396">
        <f>VLOOKUP($B18,TableF1a!$B$8:$R$42,AL$1,0)</f>
        <v>0.29719999999999996</v>
      </c>
      <c r="AM18" s="396">
        <f>VLOOKUP($B18,TableF1a!$B$8:$R$42,AM$1,0)</f>
        <v>0.2979</v>
      </c>
      <c r="AN18" s="1364">
        <f>VLOOKUP($B18,TableF1a!$B$8:$R$42,AN$1,0)</f>
        <v>0.3</v>
      </c>
      <c r="AP18" s="1712">
        <f t="shared" si="1"/>
        <v>-0.22313195000000002</v>
      </c>
    </row>
    <row r="19" spans="1:42" x14ac:dyDescent="0.35">
      <c r="B19" s="95" t="s">
        <v>63</v>
      </c>
      <c r="C19" s="1137">
        <f>VLOOKUP($B19,'[4]Data C 2,4'!$Z$3:$BL$41,C$1,0)</f>
        <v>0.45</v>
      </c>
      <c r="D19" s="396">
        <f>VLOOKUP($B19,'[4]Data C 2,4'!$Z$3:$BL$41,D$1,0)</f>
        <v>0.45</v>
      </c>
      <c r="E19" s="396">
        <f>VLOOKUP($B19,'[4]Data C 2,4'!$Z$3:$BL$41,E$1,0)</f>
        <v>0.45</v>
      </c>
      <c r="F19" s="396">
        <f>VLOOKUP($B19,'[4]Data C 2,4'!$Z$3:$BL$41,F$1,0)</f>
        <v>0.45</v>
      </c>
      <c r="G19" s="396">
        <f>VLOOKUP($B19,'[4]Data C 2,4'!$Z$3:$BL$41,G$1,0)</f>
        <v>0.49</v>
      </c>
      <c r="H19" s="396">
        <f>VLOOKUP($B19,'[4]Data C 2,4'!$Z$3:$BL$41,H$1,0)</f>
        <v>0.49</v>
      </c>
      <c r="I19" s="396">
        <f>VLOOKUP($B19,'[4]Data C 2,4'!$Z$3:$BL$41,I$1,0)</f>
        <v>0.49</v>
      </c>
      <c r="J19" s="396">
        <f>VLOOKUP($B19,'[4]Data C 2,4'!$Z$3:$BL$41,J$1,0)</f>
        <v>0.49</v>
      </c>
      <c r="K19" s="396">
        <f>VLOOKUP($B19,'[4]Data C 2,4'!$Z$3:$BL$41,K$1,0)</f>
        <v>0.46</v>
      </c>
      <c r="L19" s="396">
        <f>VLOOKUP($B19,'[4]Data C 2,4'!$Z$3:$BL$41,L$1,0)</f>
        <v>0.46</v>
      </c>
      <c r="M19" s="396">
        <f>VLOOKUP($B19,'[4]Data C 2,4'!$Z$3:$BL$41,M$1,0)</f>
        <v>0.46</v>
      </c>
      <c r="N19" s="396">
        <f>VLOOKUP($B19,'[4]Data C 2,4'!$Z$3:$BL$41,N$1,0)</f>
        <v>0.40500000000000003</v>
      </c>
      <c r="O19" s="396">
        <f>VLOOKUP($B19,'[4]Data C 2,4'!$Z$3:$BL$41,O$1,0)</f>
        <v>0.35</v>
      </c>
      <c r="P19" s="396">
        <f>VLOOKUP($B19,'[4]Data C 2,4'!$Z$3:$BL$41,P$1,0)</f>
        <v>0.35</v>
      </c>
      <c r="Q19" s="396">
        <f>VLOOKUP($B19,'[4]Data C 2,4'!$Z$3:$BL$41,Q$1,0)</f>
        <v>0.35</v>
      </c>
      <c r="R19" s="396">
        <f>VLOOKUP($B19,'[4]Data C 2,4'!$Z$3:$BL$41,R$1,0)</f>
        <v>0.35</v>
      </c>
      <c r="S19" s="396">
        <f>VLOOKUP($B19,'[4]Data C 2,4'!$Z$3:$BL$41,S$1,0)</f>
        <v>0.35</v>
      </c>
      <c r="T19" s="396">
        <f>VLOOKUP($B19,'[4]Data C 2,4'!$Z$3:$BL$41,T$1,0)</f>
        <v>0.4</v>
      </c>
      <c r="U19" s="396">
        <f>VLOOKUP($B19,'[4]Data C 2,4'!$Z$3:$BL$41,U$1,0)</f>
        <v>0.4</v>
      </c>
      <c r="V19" s="396">
        <f>VLOOKUP($B19,'[4]Data C 2,4'!$Z$3:$BL$41,V$1,0)</f>
        <v>0.4</v>
      </c>
      <c r="W19" s="396">
        <f>VLOOKUP($B19,'[4]Data C 2,4'!$Z$3:$BL$41,W$1,0)</f>
        <v>0.375</v>
      </c>
      <c r="X19" s="396">
        <f>VLOOKUP($B19,'[4]Data C 2,4'!$Z$3:$BL$41,X$1,0)</f>
        <v>0.35</v>
      </c>
      <c r="Y19" s="396">
        <f>VLOOKUP($B19,'[4]Data C 2,4'!$Z$3:$BL$41,Y$1,0)</f>
        <v>0.35</v>
      </c>
      <c r="Z19" s="396">
        <f>VLOOKUP($B19,'[4]Data C 2,4'!$Z$3:$BL$41,Z$1,0)</f>
        <v>0.35</v>
      </c>
      <c r="AA19" s="396">
        <f>VLOOKUP($B19,'[4]Data C 2,4'!$Z$3:$BL$41,AA$1,0)</f>
        <v>0.32</v>
      </c>
      <c r="AB19" s="396">
        <f>VLOOKUP($B19,'[4]Data C 2,4'!$Z$3:$BL$41,AB$1,0)</f>
        <v>0.28999999999999998</v>
      </c>
      <c r="AC19" s="396">
        <f>VLOOKUP($B19,'[4]Data C 2,4'!$Z$3:$BL$41,AC$1,0)</f>
        <v>0.25</v>
      </c>
      <c r="AD19" s="396">
        <f>VLOOKUP($B19,'[4]Data C 2,4'!$Z$3:$BL$41,AD$1,0)</f>
        <v>0.25</v>
      </c>
      <c r="AE19" s="396">
        <f>VLOOKUP($B19,'[4]Data C 2,4'!$Z$3:$BL$41,AE$1,0)</f>
        <v>0.25</v>
      </c>
      <c r="AF19" s="396">
        <f>VLOOKUP($B19,'[4]Data C 2,4'!$Z$3:$BL$41,AF$1,0)</f>
        <v>0.24</v>
      </c>
      <c r="AG19" s="396">
        <f>VLOOKUP($B19,'[4]Data C 2,4'!$Z$3:$BL$41,AG$1,0)</f>
        <v>0.2</v>
      </c>
      <c r="AH19" s="396">
        <f>VLOOKUP($B19,'[4]Data C 2,4'!$Z$3:$BL$41,AH$1,0)</f>
        <v>0.2</v>
      </c>
      <c r="AI19" s="396">
        <f>VLOOKUP($B19,'[4]Data C 2,4'!$Z$3:$BL$41,AI$1,0)</f>
        <v>0.26</v>
      </c>
      <c r="AJ19" s="396">
        <f>VLOOKUP($B19,'[4]Data C 2,4'!$Z$3:$BL$41,AJ$1,0)</f>
        <v>0.26</v>
      </c>
      <c r="AK19" s="396">
        <f>VLOOKUP($B19,'[4]Data C 2,4'!$Z$3:$BL$41,AK$1,0)</f>
        <v>0.26</v>
      </c>
      <c r="AL19" s="396">
        <f>VLOOKUP($B19,TableF1a!$B$8:$R$42,AL$1,0)</f>
        <v>0.28999999999999998</v>
      </c>
      <c r="AM19" s="396">
        <f>VLOOKUP($B19,TableF1a!$B$8:$R$42,AM$1,0)</f>
        <v>0.28999999999999998</v>
      </c>
      <c r="AN19" s="1364">
        <f>VLOOKUP($B19,TableF1a!$B$8:$R$42,AN$1,0)</f>
        <v>0.28999999999999998</v>
      </c>
      <c r="AP19" s="1712">
        <f t="shared" si="1"/>
        <v>-0.11000000000000004</v>
      </c>
    </row>
    <row r="20" spans="1:42" x14ac:dyDescent="0.35">
      <c r="B20" s="95" t="s">
        <v>64</v>
      </c>
      <c r="C20" s="1137">
        <f>VLOOKUP($B20,'[4]Data C 2,4'!$Z$3:$BL$41,C$1,0)</f>
        <v>0</v>
      </c>
      <c r="D20" s="396">
        <f>VLOOKUP($B20,'[4]Data C 2,4'!$Z$3:$BL$41,D$1,0)</f>
        <v>0</v>
      </c>
      <c r="E20" s="396">
        <f>VLOOKUP($B20,'[4]Data C 2,4'!$Z$3:$BL$41,E$1,0)</f>
        <v>0</v>
      </c>
      <c r="F20" s="396">
        <f>VLOOKUP($B20,'[4]Data C 2,4'!$Z$3:$BL$41,F$1,0)</f>
        <v>0</v>
      </c>
      <c r="G20" s="396">
        <f>VLOOKUP($B20,'[4]Data C 2,4'!$Z$3:$BL$41,G$1,0)</f>
        <v>0</v>
      </c>
      <c r="H20" s="396">
        <f>VLOOKUP($B20,'[4]Data C 2,4'!$Z$3:$BL$41,H$1,0)</f>
        <v>0</v>
      </c>
      <c r="I20" s="396">
        <f>VLOOKUP($B20,'[4]Data C 2,4'!$Z$3:$BL$41,I$1,0)</f>
        <v>0</v>
      </c>
      <c r="J20" s="396">
        <f>VLOOKUP($B20,'[4]Data C 2,4'!$Z$3:$BL$41,J$1,0)</f>
        <v>0</v>
      </c>
      <c r="K20" s="396">
        <f>VLOOKUP($B20,'[4]Data C 2,4'!$Z$3:$BL$41,K$1,0)</f>
        <v>0.5</v>
      </c>
      <c r="L20" s="396">
        <f>VLOOKUP($B20,'[4]Data C 2,4'!$Z$3:$BL$41,L$1,0)</f>
        <v>0.4</v>
      </c>
      <c r="M20" s="396">
        <f>VLOOKUP($B20,'[4]Data C 2,4'!$Z$3:$BL$41,M$1,0)</f>
        <v>0.4</v>
      </c>
      <c r="N20" s="396">
        <f>VLOOKUP($B20,'[4]Data C 2,4'!$Z$3:$BL$41,N$1,0)</f>
        <v>0.4</v>
      </c>
      <c r="O20" s="396">
        <f>VLOOKUP($B20,'[4]Data C 2,4'!$Z$3:$BL$41,O$1,0)</f>
        <v>0.4</v>
      </c>
      <c r="P20" s="396">
        <f>VLOOKUP($B20,'[4]Data C 2,4'!$Z$3:$BL$41,P$1,0)</f>
        <v>0.36</v>
      </c>
      <c r="Q20" s="396">
        <f>VLOOKUP($B20,'[4]Data C 2,4'!$Z$3:$BL$41,Q$1,0)</f>
        <v>0.18</v>
      </c>
      <c r="R20" s="396">
        <f>VLOOKUP($B20,'[4]Data C 2,4'!$Z$3:$BL$41,R$1,0)</f>
        <v>0.18</v>
      </c>
      <c r="S20" s="396">
        <f>VLOOKUP($B20,'[4]Data C 2,4'!$Z$3:$BL$41,S$1,0)</f>
        <v>0.18</v>
      </c>
      <c r="T20" s="396">
        <f>VLOOKUP($B20,'[4]Data C 2,4'!$Z$3:$BL$41,T$1,0)</f>
        <v>0.18</v>
      </c>
      <c r="U20" s="396">
        <f>VLOOKUP($B20,'[4]Data C 2,4'!$Z$3:$BL$41,U$1,0)</f>
        <v>0.18</v>
      </c>
      <c r="V20" s="396">
        <f>VLOOKUP($B20,'[4]Data C 2,4'!$Z$3:$BL$41,V$1,0)</f>
        <v>0.18</v>
      </c>
      <c r="W20" s="396">
        <f>VLOOKUP($B20,'[4]Data C 2,4'!$Z$3:$BL$41,W$1,0)</f>
        <v>0.18</v>
      </c>
      <c r="X20" s="396">
        <f>VLOOKUP($B20,'[4]Data C 2,4'!$Z$3:$BL$41,X$1,0)</f>
        <v>0.18</v>
      </c>
      <c r="Y20" s="396">
        <f>VLOOKUP($B20,'[4]Data C 2,4'!$Z$3:$BL$41,Y$1,0)</f>
        <v>0.18</v>
      </c>
      <c r="Z20" s="396">
        <f>VLOOKUP($B20,'[4]Data C 2,4'!$Z$3:$BL$41,Z$1,0)</f>
        <v>0.16</v>
      </c>
      <c r="AA20" s="396">
        <f>VLOOKUP($B20,'[4]Data C 2,4'!$Z$3:$BL$41,AA$1,0)</f>
        <v>0.16</v>
      </c>
      <c r="AB20" s="396">
        <f>VLOOKUP($B20,'[4]Data C 2,4'!$Z$3:$BL$41,AB$1,0)</f>
        <v>0.17330000000000001</v>
      </c>
      <c r="AC20" s="396">
        <f>VLOOKUP($B20,'[4]Data C 2,4'!$Z$3:$BL$41,AC$1,0)</f>
        <v>0.2</v>
      </c>
      <c r="AD20" s="396">
        <f>VLOOKUP($B20,'[4]Data C 2,4'!$Z$3:$BL$41,AD$1,0)</f>
        <v>0.2</v>
      </c>
      <c r="AE20" s="396">
        <f>VLOOKUP($B20,'[4]Data C 2,4'!$Z$3:$BL$41,AE$1,0)</f>
        <v>0.2</v>
      </c>
      <c r="AF20" s="396">
        <f>VLOOKUP($B20,'[4]Data C 2,4'!$Z$3:$BL$41,AF$1,0)</f>
        <v>0.19</v>
      </c>
      <c r="AG20" s="396">
        <f>VLOOKUP($B20,'[4]Data C 2,4'!$Z$3:$BL$41,AG$1,0)</f>
        <v>0.19</v>
      </c>
      <c r="AH20" s="396">
        <f>VLOOKUP($B20,'[4]Data C 2,4'!$Z$3:$BL$41,AH$1,0)</f>
        <v>0.19</v>
      </c>
      <c r="AI20" s="396">
        <f>VLOOKUP($B20,'[4]Data C 2,4'!$Z$3:$BL$41,AI$1,0)</f>
        <v>0.19</v>
      </c>
      <c r="AJ20" s="396">
        <f>VLOOKUP($B20,'[4]Data C 2,4'!$Z$3:$BL$41,AJ$1,0)</f>
        <v>0.19</v>
      </c>
      <c r="AK20" s="396">
        <f>VLOOKUP($B20,'[4]Data C 2,4'!$Z$3:$BL$41,AK$1,0)</f>
        <v>0.19</v>
      </c>
      <c r="AL20" s="396">
        <f>VLOOKUP($B20,TableF1a!$B$8:$R$42,AL$1,0)</f>
        <v>0.19</v>
      </c>
      <c r="AM20" s="396">
        <f>VLOOKUP($B20,TableF1a!$B$8:$R$42,AM$1,0)</f>
        <v>0.09</v>
      </c>
      <c r="AN20" s="1364">
        <f>VLOOKUP($B20,TableF1a!$B$8:$R$42,AN$1,0)</f>
        <v>0.09</v>
      </c>
      <c r="AP20" s="1712">
        <f t="shared" si="1"/>
        <v>1.0000000000000009E-2</v>
      </c>
    </row>
    <row r="21" spans="1:42" x14ac:dyDescent="0.35">
      <c r="B21" s="95" t="s">
        <v>65</v>
      </c>
      <c r="C21" s="1137">
        <f>VLOOKUP($B21,'[4]Data C 2,4'!$Z$3:$BL$41,C$1,0)</f>
        <v>0</v>
      </c>
      <c r="D21" s="396">
        <f>VLOOKUP($B21,'[4]Data C 2,4'!$Z$3:$BL$41,D$1,0)</f>
        <v>0</v>
      </c>
      <c r="E21" s="396">
        <f>VLOOKUP($B21,'[4]Data C 2,4'!$Z$3:$BL$41,E$1,0)</f>
        <v>0</v>
      </c>
      <c r="F21" s="396">
        <f>VLOOKUP($B21,'[4]Data C 2,4'!$Z$3:$BL$41,F$1,0)</f>
        <v>0</v>
      </c>
      <c r="G21" s="396">
        <f>VLOOKUP($B21,'[4]Data C 2,4'!$Z$3:$BL$41,G$1,0)</f>
        <v>0</v>
      </c>
      <c r="H21" s="396">
        <f>VLOOKUP($B21,'[4]Data C 2,4'!$Z$3:$BL$41,H$1,0)</f>
        <v>0</v>
      </c>
      <c r="I21" s="396">
        <f>VLOOKUP($B21,'[4]Data C 2,4'!$Z$3:$BL$41,I$1,0)</f>
        <v>0</v>
      </c>
      <c r="J21" s="396">
        <f>VLOOKUP($B21,'[4]Data C 2,4'!$Z$3:$BL$41,J$1,0)</f>
        <v>0</v>
      </c>
      <c r="K21" s="396">
        <f>VLOOKUP($B21,'[4]Data C 2,4'!$Z$3:$BL$41,K$1,0)</f>
        <v>0</v>
      </c>
      <c r="L21" s="396">
        <f>VLOOKUP($B21,'[4]Data C 2,4'!$Z$3:$BL$41,L$1,0)</f>
        <v>0</v>
      </c>
      <c r="M21" s="396">
        <f>VLOOKUP($B21,'[4]Data C 2,4'!$Z$3:$BL$41,M$1,0)</f>
        <v>0</v>
      </c>
      <c r="N21" s="396">
        <f>VLOOKUP($B21,'[4]Data C 2,4'!$Z$3:$BL$41,N$1,0)</f>
        <v>0</v>
      </c>
      <c r="O21" s="396">
        <f>VLOOKUP($B21,'[4]Data C 2,4'!$Z$3:$BL$41,O$1,0)</f>
        <v>0</v>
      </c>
      <c r="P21" s="396">
        <f>VLOOKUP($B21,'[4]Data C 2,4'!$Z$3:$BL$41,P$1,0)</f>
        <v>0</v>
      </c>
      <c r="Q21" s="396">
        <f>VLOOKUP($B21,'[4]Data C 2,4'!$Z$3:$BL$41,Q$1,0)</f>
        <v>0</v>
      </c>
      <c r="R21" s="396">
        <f>VLOOKUP($B21,'[4]Data C 2,4'!$Z$3:$BL$41,R$1,0)</f>
        <v>0</v>
      </c>
      <c r="S21" s="396">
        <f>VLOOKUP($B21,'[4]Data C 2,4'!$Z$3:$BL$41,S$1,0)</f>
        <v>0</v>
      </c>
      <c r="T21" s="396">
        <f>VLOOKUP($B21,'[4]Data C 2,4'!$Z$3:$BL$41,T$1,0)</f>
        <v>0</v>
      </c>
      <c r="U21" s="396">
        <f>VLOOKUP($B21,'[4]Data C 2,4'!$Z$3:$BL$41,U$1,0)</f>
        <v>0</v>
      </c>
      <c r="V21" s="396">
        <f>VLOOKUP($B21,'[4]Data C 2,4'!$Z$3:$BL$41,V$1,0)</f>
        <v>0.3</v>
      </c>
      <c r="W21" s="396">
        <f>VLOOKUP($B21,'[4]Data C 2,4'!$Z$3:$BL$41,W$1,0)</f>
        <v>0.3</v>
      </c>
      <c r="X21" s="396">
        <f>VLOOKUP($B21,'[4]Data C 2,4'!$Z$3:$BL$41,X$1,0)</f>
        <v>0.18</v>
      </c>
      <c r="Y21" s="396">
        <f>VLOOKUP($B21,'[4]Data C 2,4'!$Z$3:$BL$41,Y$1,0)</f>
        <v>0.18</v>
      </c>
      <c r="Z21" s="396">
        <f>VLOOKUP($B21,'[4]Data C 2,4'!$Z$3:$BL$41,Z$1,0)</f>
        <v>0.18</v>
      </c>
      <c r="AA21" s="396">
        <f>VLOOKUP($B21,'[4]Data C 2,4'!$Z$3:$BL$41,AA$1,0)</f>
        <v>0.18</v>
      </c>
      <c r="AB21" s="396">
        <f>VLOOKUP($B21,'[4]Data C 2,4'!$Z$3:$BL$41,AB$1,0)</f>
        <v>0.18</v>
      </c>
      <c r="AC21" s="396">
        <f>VLOOKUP($B21,'[4]Data C 2,4'!$Z$3:$BL$41,AC$1,0)</f>
        <v>0.18</v>
      </c>
      <c r="AD21" s="396">
        <f>VLOOKUP($B21,'[4]Data C 2,4'!$Z$3:$BL$41,AD$1,0)</f>
        <v>0.15</v>
      </c>
      <c r="AE21" s="396">
        <f>VLOOKUP($B21,'[4]Data C 2,4'!$Z$3:$BL$41,AE$1,0)</f>
        <v>0.15</v>
      </c>
      <c r="AF21" s="396">
        <f>VLOOKUP($B21,'[4]Data C 2,4'!$Z$3:$BL$41,AF$1,0)</f>
        <v>0.18</v>
      </c>
      <c r="AG21" s="396">
        <f>VLOOKUP($B21,'[4]Data C 2,4'!$Z$3:$BL$41,AG$1,0)</f>
        <v>0.2</v>
      </c>
      <c r="AH21" s="396">
        <f>VLOOKUP($B21,'[4]Data C 2,4'!$Z$3:$BL$41,AH$1,0)</f>
        <v>0.2</v>
      </c>
      <c r="AI21" s="396">
        <f>VLOOKUP($B21,'[4]Data C 2,4'!$Z$3:$BL$41,AI$1,0)</f>
        <v>0.2</v>
      </c>
      <c r="AJ21" s="396">
        <f>VLOOKUP($B21,'[4]Data C 2,4'!$Z$3:$BL$41,AJ$1,0)</f>
        <v>0.2</v>
      </c>
      <c r="AK21" s="396">
        <f>VLOOKUP($B21,'[4]Data C 2,4'!$Z$3:$BL$41,AK$1,0)</f>
        <v>0.2</v>
      </c>
      <c r="AL21" s="396">
        <f>VLOOKUP($B21,TableF1a!$B$8:$R$42,AL$1,0)</f>
        <v>0.2</v>
      </c>
      <c r="AM21" s="396">
        <f>VLOOKUP($B21,TableF1a!$B$8:$R$42,AM$1,0)</f>
        <v>0.2</v>
      </c>
      <c r="AN21" s="1364">
        <f>VLOOKUP($B21,TableF1a!$B$8:$R$42,AN$1,0)</f>
        <v>0.2</v>
      </c>
      <c r="AP21" s="1712">
        <f t="shared" si="1"/>
        <v>-9.9999999999999978E-2</v>
      </c>
    </row>
    <row r="22" spans="1:42" x14ac:dyDescent="0.35">
      <c r="B22" s="95" t="s">
        <v>19</v>
      </c>
      <c r="C22" s="1137">
        <f>VLOOKUP($B22,'[4]Data C 2,4'!$Z$3:$BL$41,C$1,0)</f>
        <v>0.45</v>
      </c>
      <c r="D22" s="396">
        <f>VLOOKUP($B22,'[4]Data C 2,4'!$Z$3:$BL$41,D$1,0)</f>
        <v>0.5</v>
      </c>
      <c r="E22" s="396">
        <f>VLOOKUP($B22,'[4]Data C 2,4'!$Z$3:$BL$41,E$1,0)</f>
        <v>0.5</v>
      </c>
      <c r="F22" s="396">
        <f>VLOOKUP($B22,'[4]Data C 2,4'!$Z$3:$BL$41,F$1,0)</f>
        <v>0.5</v>
      </c>
      <c r="G22" s="396">
        <f>VLOOKUP($B22,'[4]Data C 2,4'!$Z$3:$BL$41,G$1,0)</f>
        <v>0.5</v>
      </c>
      <c r="H22" s="396">
        <f>VLOOKUP($B22,'[4]Data C 2,4'!$Z$3:$BL$41,H$1,0)</f>
        <v>0.5</v>
      </c>
      <c r="I22" s="396">
        <f>VLOOKUP($B22,'[4]Data C 2,4'!$Z$3:$BL$41,I$1,0)</f>
        <v>0.5</v>
      </c>
      <c r="J22" s="396">
        <f>VLOOKUP($B22,'[4]Data C 2,4'!$Z$3:$BL$41,J$1,0)</f>
        <v>0.47</v>
      </c>
      <c r="K22" s="396">
        <f>VLOOKUP($B22,'[4]Data C 2,4'!$Z$3:$BL$41,K$1,0)</f>
        <v>0.43</v>
      </c>
      <c r="L22" s="396">
        <f>VLOOKUP($B22,'[4]Data C 2,4'!$Z$3:$BL$41,L$1,0)</f>
        <v>0.43</v>
      </c>
      <c r="M22" s="396">
        <f>VLOOKUP($B22,'[4]Data C 2,4'!$Z$3:$BL$41,M$1,0)</f>
        <v>0.4</v>
      </c>
      <c r="N22" s="396">
        <f>VLOOKUP($B22,'[4]Data C 2,4'!$Z$3:$BL$41,N$1,0)</f>
        <v>0.4</v>
      </c>
      <c r="O22" s="396">
        <f>VLOOKUP($B22,'[4]Data C 2,4'!$Z$3:$BL$41,O$1,0)</f>
        <v>0.4</v>
      </c>
      <c r="P22" s="396">
        <f>VLOOKUP($B22,'[4]Data C 2,4'!$Z$3:$BL$41,P$1,0)</f>
        <v>0.4</v>
      </c>
      <c r="Q22" s="396">
        <f>VLOOKUP($B22,'[4]Data C 2,4'!$Z$3:$BL$41,Q$1,0)</f>
        <v>0.38</v>
      </c>
      <c r="R22" s="396">
        <f>VLOOKUP($B22,'[4]Data C 2,4'!$Z$3:$BL$41,R$1,0)</f>
        <v>0.36</v>
      </c>
      <c r="S22" s="396">
        <f>VLOOKUP($B22,'[4]Data C 2,4'!$Z$3:$BL$41,S$1,0)</f>
        <v>0.36</v>
      </c>
      <c r="T22" s="396">
        <f>VLOOKUP($B22,'[4]Data C 2,4'!$Z$3:$BL$41,T$1,0)</f>
        <v>0.32</v>
      </c>
      <c r="U22" s="396">
        <f>VLOOKUP($B22,'[4]Data C 2,4'!$Z$3:$BL$41,U$1,0)</f>
        <v>0.28000000000000003</v>
      </c>
      <c r="V22" s="396">
        <f>VLOOKUP($B22,'[4]Data C 2,4'!$Z$3:$BL$41,V$1,0)</f>
        <v>0.24</v>
      </c>
      <c r="W22" s="396">
        <f>VLOOKUP($B22,'[4]Data C 2,4'!$Z$3:$BL$41,W$1,0)</f>
        <v>0.2</v>
      </c>
      <c r="X22" s="396">
        <f>VLOOKUP($B22,'[4]Data C 2,4'!$Z$3:$BL$41,X$1,0)</f>
        <v>0.16</v>
      </c>
      <c r="Y22" s="396">
        <f>VLOOKUP($B22,'[4]Data C 2,4'!$Z$3:$BL$41,Y$1,0)</f>
        <v>0.125</v>
      </c>
      <c r="Z22" s="396">
        <f>VLOOKUP($B22,'[4]Data C 2,4'!$Z$3:$BL$41,Z$1,0)</f>
        <v>0.125</v>
      </c>
      <c r="AA22" s="396">
        <f>VLOOKUP($B22,'[4]Data C 2,4'!$Z$3:$BL$41,AA$1,0)</f>
        <v>0.125</v>
      </c>
      <c r="AB22" s="396">
        <f>VLOOKUP($B22,'[4]Data C 2,4'!$Z$3:$BL$41,AB$1,0)</f>
        <v>0.125</v>
      </c>
      <c r="AC22" s="396">
        <f>VLOOKUP($B22,'[4]Data C 2,4'!$Z$3:$BL$41,AC$1,0)</f>
        <v>0.125</v>
      </c>
      <c r="AD22" s="396">
        <f>VLOOKUP($B22,'[4]Data C 2,4'!$Z$3:$BL$41,AD$1,0)</f>
        <v>0.125</v>
      </c>
      <c r="AE22" s="396">
        <f>VLOOKUP($B22,'[4]Data C 2,4'!$Z$3:$BL$41,AE$1,0)</f>
        <v>0.125</v>
      </c>
      <c r="AF22" s="396">
        <f>VLOOKUP($B22,'[4]Data C 2,4'!$Z$3:$BL$41,AF$1,0)</f>
        <v>0.125</v>
      </c>
      <c r="AG22" s="396">
        <f>VLOOKUP($B22,'[4]Data C 2,4'!$Z$3:$BL$41,AG$1,0)</f>
        <v>0.125</v>
      </c>
      <c r="AH22" s="396">
        <f>VLOOKUP($B22,'[4]Data C 2,4'!$Z$3:$BL$41,AH$1,0)</f>
        <v>0.125</v>
      </c>
      <c r="AI22" s="396">
        <f>VLOOKUP($B22,'[4]Data C 2,4'!$Z$3:$BL$41,AI$1,0)</f>
        <v>0.125</v>
      </c>
      <c r="AJ22" s="396">
        <f>VLOOKUP($B22,'[4]Data C 2,4'!$Z$3:$BL$41,AJ$1,0)</f>
        <v>0.125</v>
      </c>
      <c r="AK22" s="396">
        <f>VLOOKUP($B22,'[4]Data C 2,4'!$Z$3:$BL$41,AK$1,0)</f>
        <v>0.125</v>
      </c>
      <c r="AL22" s="396">
        <f>VLOOKUP($B22,TableF1a!$B$8:$R$42,AL$1,0)</f>
        <v>0.125</v>
      </c>
      <c r="AM22" s="396">
        <f>VLOOKUP($B22,TableF1a!$B$8:$R$42,AM$1,0)</f>
        <v>0.125</v>
      </c>
      <c r="AN22" s="1364">
        <f>VLOOKUP($B22,TableF1a!$B$8:$R$42,AN$1,0)</f>
        <v>0.125</v>
      </c>
      <c r="AP22" s="1712">
        <f t="shared" si="1"/>
        <v>-0.11499999999999999</v>
      </c>
    </row>
    <row r="23" spans="1:42" x14ac:dyDescent="0.35">
      <c r="B23" s="95" t="s">
        <v>95</v>
      </c>
      <c r="C23" s="1137">
        <f>VLOOKUP($B23,'[4]Data C 2,4'!$Z$3:$BL$41,C$1,0)</f>
        <v>0</v>
      </c>
      <c r="D23" s="396">
        <f>VLOOKUP($B23,'[4]Data C 2,4'!$Z$3:$BL$41,D$1,0)</f>
        <v>0</v>
      </c>
      <c r="E23" s="396">
        <f>VLOOKUP($B23,'[4]Data C 2,4'!$Z$3:$BL$41,E$1,0)</f>
        <v>0</v>
      </c>
      <c r="F23" s="396">
        <f>VLOOKUP($B23,'[4]Data C 2,4'!$Z$3:$BL$41,F$1,0)</f>
        <v>0</v>
      </c>
      <c r="G23" s="396">
        <f>VLOOKUP($B23,'[4]Data C 2,4'!$Z$3:$BL$41,G$1,0)</f>
        <v>0</v>
      </c>
      <c r="H23" s="396">
        <f>VLOOKUP($B23,'[4]Data C 2,4'!$Z$3:$BL$41,H$1,0)</f>
        <v>0</v>
      </c>
      <c r="I23" s="396">
        <f>VLOOKUP($B23,'[4]Data C 2,4'!$Z$3:$BL$41,I$1,0)</f>
        <v>0</v>
      </c>
      <c r="J23" s="396">
        <f>VLOOKUP($B23,'[4]Data C 2,4'!$Z$3:$BL$41,J$1,0)</f>
        <v>0</v>
      </c>
      <c r="K23" s="396">
        <f>VLOOKUP($B23,'[4]Data C 2,4'!$Z$3:$BL$41,K$1,0)</f>
        <v>0</v>
      </c>
      <c r="L23" s="396">
        <f>VLOOKUP($B23,'[4]Data C 2,4'!$Z$3:$BL$41,L$1,0)</f>
        <v>0</v>
      </c>
      <c r="M23" s="396">
        <f>VLOOKUP($B23,'[4]Data C 2,4'!$Z$3:$BL$41,M$1,0)</f>
        <v>0</v>
      </c>
      <c r="N23" s="396">
        <f>VLOOKUP($B23,'[4]Data C 2,4'!$Z$3:$BL$41,N$1,0)</f>
        <v>0</v>
      </c>
      <c r="O23" s="396">
        <f>VLOOKUP($B23,'[4]Data C 2,4'!$Z$3:$BL$41,O$1,0)</f>
        <v>0</v>
      </c>
      <c r="P23" s="396">
        <f>VLOOKUP($B23,'[4]Data C 2,4'!$Z$3:$BL$41,P$1,0)</f>
        <v>0</v>
      </c>
      <c r="Q23" s="396">
        <f>VLOOKUP($B23,'[4]Data C 2,4'!$Z$3:$BL$41,Q$1,0)</f>
        <v>0</v>
      </c>
      <c r="R23" s="396">
        <f>VLOOKUP($B23,'[4]Data C 2,4'!$Z$3:$BL$41,R$1,0)</f>
        <v>0</v>
      </c>
      <c r="S23" s="396">
        <f>VLOOKUP($B23,'[4]Data C 2,4'!$Z$3:$BL$41,S$1,0)</f>
        <v>0</v>
      </c>
      <c r="T23" s="396">
        <f>VLOOKUP($B23,'[4]Data C 2,4'!$Z$3:$BL$41,T$1,0)</f>
        <v>0</v>
      </c>
      <c r="U23" s="396">
        <f>VLOOKUP($B23,'[4]Data C 2,4'!$Z$3:$BL$41,U$1,0)</f>
        <v>0</v>
      </c>
      <c r="V23" s="396">
        <f>VLOOKUP($B23,'[4]Data C 2,4'!$Z$3:$BL$41,V$1,0)</f>
        <v>0.36</v>
      </c>
      <c r="W23" s="396">
        <f>VLOOKUP($B23,'[4]Data C 2,4'!$Z$3:$BL$41,W$1,0)</f>
        <v>0.36</v>
      </c>
      <c r="X23" s="396">
        <f>VLOOKUP($B23,'[4]Data C 2,4'!$Z$3:$BL$41,X$1,0)</f>
        <v>0.36</v>
      </c>
      <c r="Y23" s="396">
        <f>VLOOKUP($B23,'[4]Data C 2,4'!$Z$3:$BL$41,Y$1,0)</f>
        <v>0.36</v>
      </c>
      <c r="Z23" s="396">
        <f>VLOOKUP($B23,'[4]Data C 2,4'!$Z$3:$BL$41,Z$1,0)</f>
        <v>0.35</v>
      </c>
      <c r="AA23" s="396">
        <f>VLOOKUP($B23,'[4]Data C 2,4'!$Z$3:$BL$41,AA$1,0)</f>
        <v>0.34</v>
      </c>
      <c r="AB23" s="396">
        <f>VLOOKUP($B23,'[4]Data C 2,4'!$Z$3:$BL$41,AB$1,0)</f>
        <v>0.31</v>
      </c>
      <c r="AC23" s="396">
        <f>VLOOKUP($B23,'[4]Data C 2,4'!$Z$3:$BL$41,AC$1,0)</f>
        <v>0.28999999999999998</v>
      </c>
      <c r="AD23" s="396">
        <f>VLOOKUP($B23,'[4]Data C 2,4'!$Z$3:$BL$41,AD$1,0)</f>
        <v>0.27</v>
      </c>
      <c r="AE23" s="396">
        <f>VLOOKUP($B23,'[4]Data C 2,4'!$Z$3:$BL$41,AE$1,0)</f>
        <v>0.26</v>
      </c>
      <c r="AF23" s="396">
        <f>VLOOKUP($B23,'[4]Data C 2,4'!$Z$3:$BL$41,AF$1,0)</f>
        <v>0.25</v>
      </c>
      <c r="AG23" s="396">
        <f>VLOOKUP($B23,'[4]Data C 2,4'!$Z$3:$BL$41,AG$1,0)</f>
        <v>0.24</v>
      </c>
      <c r="AH23" s="396">
        <f>VLOOKUP($B23,'[4]Data C 2,4'!$Z$3:$BL$41,AH$1,0)</f>
        <v>0.25</v>
      </c>
      <c r="AI23" s="396">
        <f>VLOOKUP($B23,'[4]Data C 2,4'!$Z$3:$BL$41,AI$1,0)</f>
        <v>0.25</v>
      </c>
      <c r="AJ23" s="396">
        <f>VLOOKUP($B23,'[4]Data C 2,4'!$Z$3:$BL$41,AJ$1,0)</f>
        <v>0.26500000000000001</v>
      </c>
      <c r="AK23" s="396">
        <f>VLOOKUP($B23,'[4]Data C 2,4'!$Z$3:$BL$41,AK$1,0)</f>
        <v>0.26500000000000001</v>
      </c>
      <c r="AL23" s="396">
        <f>VLOOKUP($B23,TableF1a!$B$8:$R$42,AL$1,0)</f>
        <v>0.25</v>
      </c>
      <c r="AM23" s="396">
        <f>VLOOKUP($B23,TableF1a!$B$8:$R$42,AM$1,0)</f>
        <v>0.24</v>
      </c>
      <c r="AN23" s="1364">
        <f>VLOOKUP($B23,TableF1a!$B$8:$R$42,AN$1,0)</f>
        <v>0.23</v>
      </c>
      <c r="AP23" s="1712">
        <f t="shared" si="1"/>
        <v>-0.10999999999999999</v>
      </c>
    </row>
    <row r="24" spans="1:42" x14ac:dyDescent="0.35">
      <c r="B24" s="95" t="s">
        <v>66</v>
      </c>
      <c r="C24" s="1137">
        <f>VLOOKUP($B24,'[4]Data C 2,4'!$Z$3:$BL$41,C$1,0)</f>
        <v>0.36249999999999999</v>
      </c>
      <c r="D24" s="396">
        <f>VLOOKUP($B24,'[4]Data C 2,4'!$Z$3:$BL$41,D$1,0)</f>
        <v>0.41339999999999999</v>
      </c>
      <c r="E24" s="396">
        <f>VLOOKUP($B24,'[4]Data C 2,4'!$Z$3:$BL$41,E$1,0)</f>
        <v>0.46400000000000002</v>
      </c>
      <c r="F24" s="396">
        <f>VLOOKUP($B24,'[4]Data C 2,4'!$Z$3:$BL$41,F$1,0)</f>
        <v>0.46400000000000002</v>
      </c>
      <c r="G24" s="396">
        <f>VLOOKUP($B24,'[4]Data C 2,4'!$Z$3:$BL$41,G$1,0)</f>
        <v>0.46400000000000002</v>
      </c>
      <c r="H24" s="396">
        <f>VLOOKUP($B24,'[4]Data C 2,4'!$Z$3:$BL$41,H$1,0)</f>
        <v>0.46400000000000002</v>
      </c>
      <c r="I24" s="396">
        <f>VLOOKUP($B24,'[4]Data C 2,4'!$Z$3:$BL$41,I$1,0)</f>
        <v>0.46400000000000002</v>
      </c>
      <c r="J24" s="396">
        <f>VLOOKUP($B24,'[4]Data C 2,4'!$Z$3:$BL$41,J$1,0)</f>
        <v>0.46400000000000002</v>
      </c>
      <c r="K24" s="396">
        <f>VLOOKUP($B24,'[4]Data C 2,4'!$Z$3:$BL$41,K$1,0)</f>
        <v>0.46400000000000002</v>
      </c>
      <c r="L24" s="396">
        <f>VLOOKUP($B24,'[4]Data C 2,4'!$Z$3:$BL$41,L$1,0)</f>
        <v>0.46400000000000002</v>
      </c>
      <c r="M24" s="396">
        <f>VLOOKUP($B24,'[4]Data C 2,4'!$Z$3:$BL$41,M$1,0)</f>
        <v>0.47799999999999998</v>
      </c>
      <c r="N24" s="396">
        <f>VLOOKUP($B24,'[4]Data C 2,4'!$Z$3:$BL$41,N$1,0)</f>
        <v>0.52200000000000002</v>
      </c>
      <c r="O24" s="396">
        <f>VLOOKUP($B24,'[4]Data C 2,4'!$Z$3:$BL$41,O$1,0)</f>
        <v>0.52200000000000002</v>
      </c>
      <c r="P24" s="396">
        <f>VLOOKUP($B24,'[4]Data C 2,4'!$Z$3:$BL$41,P$1,0)</f>
        <v>0.53200000000000003</v>
      </c>
      <c r="Q24" s="396">
        <f>VLOOKUP($B24,'[4]Data C 2,4'!$Z$3:$BL$41,Q$1,0)</f>
        <v>0.53200000000000003</v>
      </c>
      <c r="R24" s="396">
        <f>VLOOKUP($B24,'[4]Data C 2,4'!$Z$3:$BL$41,R$1,0)</f>
        <v>0.53200000000000003</v>
      </c>
      <c r="S24" s="396">
        <f>VLOOKUP($B24,'[4]Data C 2,4'!$Z$3:$BL$41,S$1,0)</f>
        <v>0.53200000000000003</v>
      </c>
      <c r="T24" s="396">
        <f>VLOOKUP($B24,'[4]Data C 2,4'!$Z$3:$BL$41,T$1,0)</f>
        <v>0.37</v>
      </c>
      <c r="U24" s="396">
        <f>VLOOKUP($B24,'[4]Data C 2,4'!$Z$3:$BL$41,U$1,0)</f>
        <v>0.37</v>
      </c>
      <c r="V24" s="396">
        <f>VLOOKUP($B24,'[4]Data C 2,4'!$Z$3:$BL$41,V$1,0)</f>
        <v>0.37</v>
      </c>
      <c r="W24" s="396">
        <f>VLOOKUP($B24,'[4]Data C 2,4'!$Z$3:$BL$41,W$1,0)</f>
        <v>0.36</v>
      </c>
      <c r="X24" s="396">
        <f>VLOOKUP($B24,'[4]Data C 2,4'!$Z$3:$BL$41,X$1,0)</f>
        <v>0.36</v>
      </c>
      <c r="Y24" s="396">
        <f>VLOOKUP($B24,'[4]Data C 2,4'!$Z$3:$BL$41,Y$1,0)</f>
        <v>0.34</v>
      </c>
      <c r="Z24" s="396">
        <f>VLOOKUP($B24,'[4]Data C 2,4'!$Z$3:$BL$41,Z$1,0)</f>
        <v>0.33</v>
      </c>
      <c r="AA24" s="396">
        <f>VLOOKUP($B24,'[4]Data C 2,4'!$Z$3:$BL$41,AA$1,0)</f>
        <v>0.33</v>
      </c>
      <c r="AB24" s="396">
        <f>VLOOKUP($B24,'[4]Data C 2,4'!$Z$3:$BL$41,AB$1,0)</f>
        <v>0.33</v>
      </c>
      <c r="AC24" s="396">
        <f>VLOOKUP($B24,'[4]Data C 2,4'!$Z$3:$BL$41,AC$1,0)</f>
        <v>0.33</v>
      </c>
      <c r="AD24" s="396">
        <f>VLOOKUP($B24,'[4]Data C 2,4'!$Z$3:$BL$41,AD$1,0)</f>
        <v>0.27500000000000002</v>
      </c>
      <c r="AE24" s="396">
        <f>VLOOKUP($B24,'[4]Data C 2,4'!$Z$3:$BL$41,AE$1,0)</f>
        <v>0.27500000000000002</v>
      </c>
      <c r="AF24" s="396">
        <f>VLOOKUP($B24,'[4]Data C 2,4'!$Z$3:$BL$41,AF$1,0)</f>
        <v>0.27500000000000002</v>
      </c>
      <c r="AG24" s="396">
        <f>VLOOKUP($B24,'[4]Data C 2,4'!$Z$3:$BL$41,AG$1,0)</f>
        <v>0.27500000000000002</v>
      </c>
      <c r="AH24" s="396">
        <f>VLOOKUP($B24,'[4]Data C 2,4'!$Z$3:$BL$41,AH$1,0)</f>
        <v>0.27500000000000002</v>
      </c>
      <c r="AI24" s="396">
        <f>VLOOKUP($B24,'[4]Data C 2,4'!$Z$3:$BL$41,AI$1,0)</f>
        <v>0.27500000000000002</v>
      </c>
      <c r="AJ24" s="396">
        <f>VLOOKUP($B24,'[4]Data C 2,4'!$Z$3:$BL$41,AJ$1,0)</f>
        <v>0.27500000000000002</v>
      </c>
      <c r="AK24" s="396">
        <f>VLOOKUP($B24,'[4]Data C 2,4'!$Z$3:$BL$41,AK$1,0)</f>
        <v>0.27500000000000002</v>
      </c>
      <c r="AL24" s="396">
        <f>VLOOKUP($B24,TableF1a!$B$8:$R$42,AL$1,0)</f>
        <v>0.314</v>
      </c>
      <c r="AM24" s="396">
        <f>VLOOKUP($B24,TableF1a!$B$8:$R$42,AM$1,0)</f>
        <v>0.24</v>
      </c>
      <c r="AN24" s="1364">
        <f>VLOOKUP($B24,TableF1a!$B$8:$R$42,AN$1,0)</f>
        <v>0.24</v>
      </c>
      <c r="AP24" s="1712">
        <f t="shared" si="1"/>
        <v>-5.5999999999999994E-2</v>
      </c>
    </row>
    <row r="25" spans="1:42" x14ac:dyDescent="0.35">
      <c r="B25" s="95" t="s">
        <v>67</v>
      </c>
      <c r="C25" s="1137">
        <f>VLOOKUP($B25,'[4]Data C 2,4'!$Z$3:$BL$41,C$1,0)</f>
        <v>0</v>
      </c>
      <c r="D25" s="396">
        <f>VLOOKUP($B25,'[4]Data C 2,4'!$Z$3:$BL$41,D$1,0)</f>
        <v>0</v>
      </c>
      <c r="E25" s="396">
        <f>VLOOKUP($B25,'[4]Data C 2,4'!$Z$3:$BL$41,E$1,0)</f>
        <v>0</v>
      </c>
      <c r="F25" s="396">
        <f>VLOOKUP($B25,'[4]Data C 2,4'!$Z$3:$BL$41,F$1,0)</f>
        <v>0</v>
      </c>
      <c r="G25" s="396">
        <f>VLOOKUP($B25,'[4]Data C 2,4'!$Z$3:$BL$41,G$1,0)</f>
        <v>0</v>
      </c>
      <c r="H25" s="396">
        <f>VLOOKUP($B25,'[4]Data C 2,4'!$Z$3:$BL$41,H$1,0)</f>
        <v>0</v>
      </c>
      <c r="I25" s="396">
        <f>VLOOKUP($B25,'[4]Data C 2,4'!$Z$3:$BL$41,I$1,0)</f>
        <v>0</v>
      </c>
      <c r="J25" s="396">
        <f>VLOOKUP($B25,'[4]Data C 2,4'!$Z$3:$BL$41,J$1,0)</f>
        <v>0</v>
      </c>
      <c r="K25" s="396">
        <f>VLOOKUP($B25,'[4]Data C 2,4'!$Z$3:$BL$41,K$1,0)</f>
        <v>0</v>
      </c>
      <c r="L25" s="396">
        <f>VLOOKUP($B25,'[4]Data C 2,4'!$Z$3:$BL$41,L$1,0)</f>
        <v>0.49980000000000002</v>
      </c>
      <c r="M25" s="396">
        <f>VLOOKUP($B25,'[4]Data C 2,4'!$Z$3:$BL$41,M$1,0)</f>
        <v>0.49980000000000002</v>
      </c>
      <c r="N25" s="396">
        <f>VLOOKUP($B25,'[4]Data C 2,4'!$Z$3:$BL$41,N$1,0)</f>
        <v>0.49980000000000002</v>
      </c>
      <c r="O25" s="396">
        <f>VLOOKUP($B25,'[4]Data C 2,4'!$Z$3:$BL$41,O$1,0)</f>
        <v>0.49980000000000002</v>
      </c>
      <c r="P25" s="396">
        <f>VLOOKUP($B25,'[4]Data C 2,4'!$Z$3:$BL$41,P$1,0)</f>
        <v>0.49980000000000002</v>
      </c>
      <c r="Q25" s="396">
        <f>VLOOKUP($B25,'[4]Data C 2,4'!$Z$3:$BL$41,Q$1,0)</f>
        <v>0.49980000000000002</v>
      </c>
      <c r="R25" s="396">
        <f>VLOOKUP($B25,'[4]Data C 2,4'!$Z$3:$BL$41,R$1,0)</f>
        <v>0.49980000000000002</v>
      </c>
      <c r="S25" s="396">
        <f>VLOOKUP($B25,'[4]Data C 2,4'!$Z$3:$BL$41,S$1,0)</f>
        <v>0.49980000000000002</v>
      </c>
      <c r="T25" s="396">
        <f>VLOOKUP($B25,'[4]Data C 2,4'!$Z$3:$BL$41,T$1,0)</f>
        <v>0.46360000000000001</v>
      </c>
      <c r="U25" s="396">
        <f>VLOOKUP($B25,'[4]Data C 2,4'!$Z$3:$BL$41,U$1,0)</f>
        <v>0.40870000000000001</v>
      </c>
      <c r="V25" s="396">
        <f>VLOOKUP($B25,'[4]Data C 2,4'!$Z$3:$BL$41,V$1,0)</f>
        <v>0.40870000000000001</v>
      </c>
      <c r="W25" s="396">
        <f>VLOOKUP($B25,'[4]Data C 2,4'!$Z$3:$BL$41,W$1,0)</f>
        <v>0.40870000000000001</v>
      </c>
      <c r="X25" s="396">
        <f>VLOOKUP($B25,'[4]Data C 2,4'!$Z$3:$BL$41,X$1,0)</f>
        <v>0.40870000000000001</v>
      </c>
      <c r="Y25" s="396">
        <f>VLOOKUP($B25,'[4]Data C 2,4'!$Z$3:$BL$41,Y$1,0)</f>
        <v>0.40870000000000001</v>
      </c>
      <c r="Z25" s="396">
        <f>VLOOKUP($B25,'[4]Data C 2,4'!$Z$3:$BL$41,Z$1,0)</f>
        <v>0.39539999999999997</v>
      </c>
      <c r="AA25" s="396">
        <f>VLOOKUP($B25,'[4]Data C 2,4'!$Z$3:$BL$41,AA$1,0)</f>
        <v>0.39539999999999997</v>
      </c>
      <c r="AB25" s="396">
        <f>VLOOKUP($B25,'[4]Data C 2,4'!$Z$3:$BL$41,AB$1,0)</f>
        <v>0.39539999999999997</v>
      </c>
      <c r="AC25" s="396">
        <f>VLOOKUP($B25,'[4]Data C 2,4'!$Z$3:$BL$41,AC$1,0)</f>
        <v>0.39539999999999997</v>
      </c>
      <c r="AD25" s="396">
        <f>VLOOKUP($B25,'[4]Data C 2,4'!$Z$3:$BL$41,AD$1,0)</f>
        <v>0.39539999999999997</v>
      </c>
      <c r="AE25" s="396">
        <f>VLOOKUP($B25,'[4]Data C 2,4'!$Z$3:$BL$41,AE$1,0)</f>
        <v>0.39539999999999997</v>
      </c>
      <c r="AF25" s="396">
        <f>VLOOKUP($B25,'[4]Data C 2,4'!$Z$3:$BL$41,AF$1,0)</f>
        <v>0.39539999999999997</v>
      </c>
      <c r="AG25" s="396">
        <f>VLOOKUP($B25,'[4]Data C 2,4'!$Z$3:$BL$41,AG$1,0)</f>
        <v>0.39539999999999997</v>
      </c>
      <c r="AH25" s="396">
        <f>VLOOKUP($B25,'[4]Data C 2,4'!$Z$3:$BL$41,AH$1,0)</f>
        <v>0.39539999999999997</v>
      </c>
      <c r="AI25" s="396">
        <f>VLOOKUP($B25,'[4]Data C 2,4'!$Z$3:$BL$41,AI$1,0)</f>
        <v>0.37</v>
      </c>
      <c r="AJ25" s="396">
        <f>VLOOKUP($B25,'[4]Data C 2,4'!$Z$3:$BL$41,AJ$1,0)</f>
        <v>0.36990000000000001</v>
      </c>
      <c r="AK25" s="396">
        <f>VLOOKUP($B25,'[4]Data C 2,4'!$Z$3:$BL$41,AK$1,0)</f>
        <v>0.3211</v>
      </c>
      <c r="AL25" s="396">
        <f>VLOOKUP($B25,TableF1a!$B$8:$R$42,AL$1,0)</f>
        <v>0.30859999999999999</v>
      </c>
      <c r="AM25" s="396">
        <f>VLOOKUP($B25,TableF1a!$B$8:$R$42,AM$1,0)</f>
        <v>0.30859999999999999</v>
      </c>
      <c r="AN25" s="1364">
        <f>VLOOKUP($B25,TableF1a!$B$8:$R$42,AN$1,0)</f>
        <v>0.30859999999999999</v>
      </c>
      <c r="AP25" s="1712">
        <f t="shared" si="1"/>
        <v>-0.10010000000000002</v>
      </c>
    </row>
    <row r="26" spans="1:42" x14ac:dyDescent="0.35">
      <c r="A26" t="s">
        <v>536</v>
      </c>
      <c r="B26" s="95" t="s">
        <v>68</v>
      </c>
      <c r="C26" s="1137">
        <f>VLOOKUP($B26,'[4]Data C 2,4'!$Z$3:$BL$41,C$1,0)</f>
        <v>0</v>
      </c>
      <c r="D26" s="396">
        <f>VLOOKUP($B26,'[4]Data C 2,4'!$Z$3:$BL$41,D$1,0)</f>
        <v>0</v>
      </c>
      <c r="E26" s="396">
        <f>VLOOKUP($B26,'[4]Data C 2,4'!$Z$3:$BL$41,E$1,0)</f>
        <v>0</v>
      </c>
      <c r="F26" s="396">
        <f>VLOOKUP($B26,'[4]Data C 2,4'!$Z$3:$BL$41,F$1,0)</f>
        <v>0</v>
      </c>
      <c r="G26" s="396">
        <f>VLOOKUP($B26,'[4]Data C 2,4'!$Z$3:$BL$41,G$1,0)</f>
        <v>0</v>
      </c>
      <c r="H26" s="396">
        <f>VLOOKUP($B26,'[4]Data C 2,4'!$Z$3:$BL$41,H$1,0)</f>
        <v>0</v>
      </c>
      <c r="I26" s="396">
        <f>VLOOKUP($B26,'[4]Data C 2,4'!$Z$3:$BL$41,I$1,0)</f>
        <v>0</v>
      </c>
      <c r="J26" s="396">
        <f>VLOOKUP($B26,'[4]Data C 2,4'!$Z$3:$BL$41,J$1,0)</f>
        <v>0</v>
      </c>
      <c r="K26" s="396">
        <f>VLOOKUP($B26,'[4]Data C 2,4'!$Z$3:$BL$41,K$1,0)</f>
        <v>0</v>
      </c>
      <c r="L26" s="396">
        <f>VLOOKUP($B26,'[4]Data C 2,4'!$Z$3:$BL$41,L$1,0)</f>
        <v>0</v>
      </c>
      <c r="M26" s="396">
        <f>VLOOKUP($B26,'[4]Data C 2,4'!$Z$3:$BL$41,M$1,0)</f>
        <v>0</v>
      </c>
      <c r="N26" s="396">
        <f>VLOOKUP($B26,'[4]Data C 2,4'!$Z$3:$BL$41,N$1,0)</f>
        <v>0</v>
      </c>
      <c r="O26" s="396">
        <f>VLOOKUP($B26,'[4]Data C 2,4'!$Z$3:$BL$41,O$1,0)</f>
        <v>0</v>
      </c>
      <c r="P26" s="396">
        <f>VLOOKUP($B26,'[4]Data C 2,4'!$Z$3:$BL$41,P$1,0)</f>
        <v>0</v>
      </c>
      <c r="Q26" s="396">
        <f>VLOOKUP($B26,'[4]Data C 2,4'!$Z$3:$BL$41,Q$1,0)</f>
        <v>0</v>
      </c>
      <c r="R26" s="396">
        <f>VLOOKUP($B26,'[4]Data C 2,4'!$Z$3:$BL$41,R$1,0)</f>
        <v>0</v>
      </c>
      <c r="S26" s="396">
        <f>VLOOKUP($B26,'[4]Data C 2,4'!$Z$3:$BL$41,S$1,0)</f>
        <v>0</v>
      </c>
      <c r="T26" s="396">
        <f>VLOOKUP($B26,'[4]Data C 2,4'!$Z$3:$BL$41,T$1,0)</f>
        <v>0</v>
      </c>
      <c r="U26" s="396">
        <f>VLOOKUP($B26,'[4]Data C 2,4'!$Z$3:$BL$41,U$1,0)</f>
        <v>0</v>
      </c>
      <c r="V26" s="396">
        <f>VLOOKUP($B26,'[4]Data C 2,4'!$Z$3:$BL$41,V$1,0)</f>
        <v>0.308</v>
      </c>
      <c r="W26" s="396">
        <f>VLOOKUP($B26,'[4]Data C 2,4'!$Z$3:$BL$41,W$1,0)</f>
        <v>0.308</v>
      </c>
      <c r="X26" s="396">
        <f>VLOOKUP($B26,'[4]Data C 2,4'!$Z$3:$BL$41,X$1,0)</f>
        <v>0.29699999999999999</v>
      </c>
      <c r="Y26" s="396">
        <f>VLOOKUP($B26,'[4]Data C 2,4'!$Z$3:$BL$41,Y$1,0)</f>
        <v>0.29699999999999999</v>
      </c>
      <c r="Z26" s="396">
        <f>VLOOKUP($B26,'[4]Data C 2,4'!$Z$3:$BL$41,Z$1,0)</f>
        <v>0.29699999999999999</v>
      </c>
      <c r="AA26" s="396">
        <f>VLOOKUP($B26,'[4]Data C 2,4'!$Z$3:$BL$41,AA$1,0)</f>
        <v>0.27500000000000002</v>
      </c>
      <c r="AB26" s="396">
        <f>VLOOKUP($B26,'[4]Data C 2,4'!$Z$3:$BL$41,AB$1,0)</f>
        <v>0.27500000000000002</v>
      </c>
      <c r="AC26" s="396">
        <f>VLOOKUP($B26,'[4]Data C 2,4'!$Z$3:$BL$41,AC$1,0)</f>
        <v>0.27500000000000002</v>
      </c>
      <c r="AD26" s="396">
        <f>VLOOKUP($B26,'[4]Data C 2,4'!$Z$3:$BL$41,AD$1,0)</f>
        <v>0.27500000000000002</v>
      </c>
      <c r="AE26" s="396">
        <f>VLOOKUP($B26,'[4]Data C 2,4'!$Z$3:$BL$41,AE$1,0)</f>
        <v>0.24199999999999999</v>
      </c>
      <c r="AF26" s="396">
        <f>VLOOKUP($B26,'[4]Data C 2,4'!$Z$3:$BL$41,AF$1,0)</f>
        <v>0.24199999999999999</v>
      </c>
      <c r="AG26" s="396">
        <f>VLOOKUP($B26,'[4]Data C 2,4'!$Z$3:$BL$41,AG$1,0)</f>
        <v>0.24199999999999999</v>
      </c>
      <c r="AH26" s="396">
        <f>VLOOKUP($B26,'[4]Data C 2,4'!$Z$3:$BL$41,AH$1,0)</f>
        <v>0.24199999999999999</v>
      </c>
      <c r="AI26" s="396">
        <f>VLOOKUP($B26,'[4]Data C 2,4'!$Z$3:$BL$41,AI$1,0)</f>
        <v>0.24199999999999999</v>
      </c>
      <c r="AJ26" s="396">
        <f>VLOOKUP($B26,'[4]Data C 2,4'!$Z$3:$BL$41,AJ$1,0)</f>
        <v>0.24199999999999999</v>
      </c>
      <c r="AK26" s="396">
        <f>VLOOKUP($B26,'[4]Data C 2,4'!$Z$3:$BL$41,AK$1,0)</f>
        <v>0.24199999999999999</v>
      </c>
      <c r="AL26" s="396">
        <f>VLOOKUP($B26,TableF1a!$B$8:$R$42,AL$1,0)</f>
        <v>0.24199999999999999</v>
      </c>
      <c r="AM26" s="396">
        <f>VLOOKUP($B26,TableF1a!$B$8:$R$42,AM$1,0)</f>
        <v>0.22</v>
      </c>
      <c r="AN26" s="1364">
        <f>VLOOKUP($B26,TableF1a!$B$8:$R$42,AN$1,0)</f>
        <v>0.25</v>
      </c>
      <c r="AP26" s="1712">
        <f t="shared" si="1"/>
        <v>-6.6000000000000003E-2</v>
      </c>
    </row>
    <row r="27" spans="1:42" x14ac:dyDescent="0.35">
      <c r="B27" s="13" t="s">
        <v>69</v>
      </c>
      <c r="C27" s="1137"/>
      <c r="D27" s="396"/>
      <c r="E27" s="396"/>
      <c r="F27" s="396"/>
      <c r="G27" s="396"/>
      <c r="H27" s="396"/>
      <c r="I27" s="396"/>
      <c r="J27" s="396"/>
      <c r="K27" s="396"/>
      <c r="L27" s="396"/>
      <c r="M27" s="396"/>
      <c r="N27" s="396"/>
      <c r="O27" s="396"/>
      <c r="P27" s="396"/>
      <c r="Q27" s="396"/>
      <c r="R27" s="396"/>
      <c r="S27" s="396"/>
      <c r="T27" s="396"/>
      <c r="U27" s="396"/>
      <c r="V27" s="396"/>
      <c r="W27" s="396"/>
      <c r="X27" s="396"/>
      <c r="Y27" s="396">
        <f>+TableF1a!C27</f>
        <v>0.19</v>
      </c>
      <c r="Z27" s="396">
        <f>+TableF1a!D27</f>
        <v>0.15</v>
      </c>
      <c r="AA27" s="396">
        <f>+TableF1a!E27</f>
        <v>0.15</v>
      </c>
      <c r="AB27" s="396">
        <f>+TableF1a!F27</f>
        <v>0.15</v>
      </c>
      <c r="AC27" s="396">
        <f>+TableF1a!G27</f>
        <v>0.15</v>
      </c>
      <c r="AD27" s="396">
        <f>+TableF1a!H27</f>
        <v>0.15</v>
      </c>
      <c r="AE27" s="396">
        <f>+TableF1a!I27</f>
        <v>0.15</v>
      </c>
      <c r="AF27" s="396">
        <f>+TableF1a!J27</f>
        <v>0.15</v>
      </c>
      <c r="AG27" s="396">
        <f>+TableF1a!K27</f>
        <v>0.15</v>
      </c>
      <c r="AH27" s="396">
        <f>+TableF1a!L27</f>
        <v>0.15</v>
      </c>
      <c r="AI27" s="396">
        <f>+TableF1a!M27</f>
        <v>0.15</v>
      </c>
      <c r="AJ27" s="396">
        <f>+TableF1a!N27</f>
        <v>0.15</v>
      </c>
      <c r="AK27" s="396">
        <f>+TableF1a!O27</f>
        <v>0.15</v>
      </c>
      <c r="AL27" s="396">
        <f>VLOOKUP($B27,TableF1a!$B$8:$R$42,AL$1,0)</f>
        <v>0.15</v>
      </c>
      <c r="AM27" s="396">
        <f>VLOOKUP($B27,TableF1a!$B$8:$R$42,AM$1,0)</f>
        <v>0.15</v>
      </c>
      <c r="AN27" s="1364">
        <f>VLOOKUP($B27,TableF1a!$B$8:$R$42,AN$1,0)</f>
        <v>0.2</v>
      </c>
      <c r="AP27" s="1712">
        <f t="shared" si="1"/>
        <v>0.15</v>
      </c>
    </row>
    <row r="28" spans="1:42" x14ac:dyDescent="0.35">
      <c r="B28" s="13" t="s">
        <v>70</v>
      </c>
      <c r="C28" s="1137">
        <f>VLOOKUP($B28,'[4]Data C 2,4'!$Z$3:$BL$41,C$1,0)</f>
        <v>0</v>
      </c>
      <c r="D28" s="396">
        <f>VLOOKUP($B28,'[4]Data C 2,4'!$Z$3:$BL$41,D$1,0)</f>
        <v>0</v>
      </c>
      <c r="E28" s="396">
        <f>VLOOKUP($B28,'[4]Data C 2,4'!$Z$3:$BL$41,E$1,0)</f>
        <v>0</v>
      </c>
      <c r="F28" s="396">
        <f>VLOOKUP($B28,'[4]Data C 2,4'!$Z$3:$BL$41,F$1,0)</f>
        <v>0</v>
      </c>
      <c r="G28" s="396">
        <f>VLOOKUP($B28,'[4]Data C 2,4'!$Z$3:$BL$41,G$1,0)</f>
        <v>0</v>
      </c>
      <c r="H28" s="396">
        <f>VLOOKUP($B28,'[4]Data C 2,4'!$Z$3:$BL$41,H$1,0)</f>
        <v>0</v>
      </c>
      <c r="I28" s="396">
        <f>VLOOKUP($B28,'[4]Data C 2,4'!$Z$3:$BL$41,I$1,0)</f>
        <v>0</v>
      </c>
      <c r="J28" s="396">
        <f>VLOOKUP($B28,'[4]Data C 2,4'!$Z$3:$BL$41,J$1,0)</f>
        <v>0</v>
      </c>
      <c r="K28" s="396">
        <f>VLOOKUP($B28,'[4]Data C 2,4'!$Z$3:$BL$41,K$1,0)</f>
        <v>0</v>
      </c>
      <c r="L28" s="396">
        <f>VLOOKUP($B28,'[4]Data C 2,4'!$Z$3:$BL$41,L$1,0)</f>
        <v>0</v>
      </c>
      <c r="M28" s="396">
        <f>VLOOKUP($B28,'[4]Data C 2,4'!$Z$3:$BL$41,M$1,0)</f>
        <v>0</v>
      </c>
      <c r="N28" s="396">
        <f>VLOOKUP($B28,'[4]Data C 2,4'!$Z$3:$BL$41,N$1,0)</f>
        <v>0</v>
      </c>
      <c r="O28" s="396">
        <f>VLOOKUP($B28,'[4]Data C 2,4'!$Z$3:$BL$41,O$1,0)</f>
        <v>0</v>
      </c>
      <c r="P28" s="396">
        <f>VLOOKUP($B28,'[4]Data C 2,4'!$Z$3:$BL$41,P$1,0)</f>
        <v>0</v>
      </c>
      <c r="Q28" s="396">
        <f>VLOOKUP($B28,'[4]Data C 2,4'!$Z$3:$BL$41,Q$1,0)</f>
        <v>0</v>
      </c>
      <c r="R28" s="396">
        <f>VLOOKUP($B28,'[4]Data C 2,4'!$Z$3:$BL$41,R$1,0)</f>
        <v>0</v>
      </c>
      <c r="S28" s="396">
        <f>VLOOKUP($B28,'[4]Data C 2,4'!$Z$3:$BL$41,S$1,0)</f>
        <v>0</v>
      </c>
      <c r="T28" s="396">
        <f>VLOOKUP($B28,'[4]Data C 2,4'!$Z$3:$BL$41,T$1,0)</f>
        <v>0</v>
      </c>
      <c r="U28" s="396">
        <f>VLOOKUP($B28,'[4]Data C 2,4'!$Z$3:$BL$41,U$1,0)</f>
        <v>0</v>
      </c>
      <c r="V28" s="396">
        <f>VLOOKUP($B28,'[4]Data C 2,4'!$Z$3:$BL$41,V$1,0)</f>
        <v>0.3745</v>
      </c>
      <c r="W28" s="396">
        <f>VLOOKUP($B28,'[4]Data C 2,4'!$Z$3:$BL$41,W$1,0)</f>
        <v>0.3745</v>
      </c>
      <c r="X28" s="396">
        <f>VLOOKUP($B28,'[4]Data C 2,4'!$Z$3:$BL$41,X$1,0)</f>
        <v>0.30380000000000001</v>
      </c>
      <c r="Y28" s="396">
        <f>VLOOKUP($B28,'[4]Data C 2,4'!$Z$3:$BL$41,Y$1,0)</f>
        <v>0.30380000000000001</v>
      </c>
      <c r="Z28" s="396">
        <f>VLOOKUP($B28,'[4]Data C 2,4'!$Z$3:$BL$41,Z$1,0)</f>
        <v>0.30380000000000001</v>
      </c>
      <c r="AA28" s="396">
        <f>VLOOKUP($B28,'[4]Data C 2,4'!$Z$3:$BL$41,AA$1,0)</f>
        <v>0.30380000000000001</v>
      </c>
      <c r="AB28" s="396">
        <f>VLOOKUP($B28,'[4]Data C 2,4'!$Z$3:$BL$41,AB$1,0)</f>
        <v>0.29630000000000001</v>
      </c>
      <c r="AC28" s="396">
        <f>VLOOKUP($B28,'[4]Data C 2,4'!$Z$3:$BL$41,AC$1,0)</f>
        <v>0.29630000000000001</v>
      </c>
      <c r="AD28" s="396">
        <f>VLOOKUP($B28,'[4]Data C 2,4'!$Z$3:$BL$41,AD$1,0)</f>
        <v>0.29630000000000001</v>
      </c>
      <c r="AE28" s="396">
        <f>VLOOKUP($B28,'[4]Data C 2,4'!$Z$3:$BL$41,AE$1,0)</f>
        <v>0.28589999999999999</v>
      </c>
      <c r="AF28" s="396">
        <f>VLOOKUP($B28,'[4]Data C 2,4'!$Z$3:$BL$41,AF$1,0)</f>
        <v>0.28589999999999999</v>
      </c>
      <c r="AG28" s="396">
        <f>VLOOKUP($B28,'[4]Data C 2,4'!$Z$3:$BL$41,AG$1,0)</f>
        <v>0.28799999999999998</v>
      </c>
      <c r="AH28" s="396">
        <f>VLOOKUP($B28,'[4]Data C 2,4'!$Z$3:$BL$41,AH$1,0)</f>
        <v>0.28799999999999998</v>
      </c>
      <c r="AI28" s="396">
        <f>VLOOKUP($B28,'[4]Data C 2,4'!$Z$3:$BL$41,AI$1,0)</f>
        <v>0.29220000000000002</v>
      </c>
      <c r="AJ28" s="396">
        <f>VLOOKUP($B28,'[4]Data C 2,4'!$Z$3:$BL$41,AJ$1,0)</f>
        <v>0.29220000000000002</v>
      </c>
      <c r="AK28" s="396">
        <f>VLOOKUP($B28,'[4]Data C 2,4'!$Z$3:$BL$41,AK$1,0)</f>
        <v>0.29220000000000002</v>
      </c>
      <c r="AL28" s="396">
        <f>VLOOKUP($B28,TableF1a!$B$8:$R$42,AL$1,0)</f>
        <v>0.29220000000000002</v>
      </c>
      <c r="AM28" s="396">
        <f>VLOOKUP($B28,TableF1a!$B$8:$R$42,AM$1,0)</f>
        <v>0.27079999999999999</v>
      </c>
      <c r="AN28" s="1364">
        <f>VLOOKUP($B28,TableF1a!$B$8:$R$42,AN$1,0)</f>
        <v>0.2601</v>
      </c>
      <c r="AP28" s="1712">
        <f t="shared" si="1"/>
        <v>-8.2299999999999984E-2</v>
      </c>
    </row>
    <row r="29" spans="1:42" x14ac:dyDescent="0.35">
      <c r="B29" s="13" t="s">
        <v>71</v>
      </c>
      <c r="C29" s="1137">
        <f>VLOOKUP($B29,'[4]Data C 2,4'!$Z$3:$BL$41,C$1,0)</f>
        <v>0.42</v>
      </c>
      <c r="D29" s="396">
        <f>VLOOKUP($B29,'[4]Data C 2,4'!$Z$3:$BL$41,D$1,0)</f>
        <v>0.42</v>
      </c>
      <c r="E29" s="396">
        <f>VLOOKUP($B29,'[4]Data C 2,4'!$Z$3:$BL$41,E$1,0)</f>
        <v>0.42</v>
      </c>
      <c r="F29" s="396">
        <f>VLOOKUP($B29,'[4]Data C 2,4'!$Z$3:$BL$41,F$1,0)</f>
        <v>0.42</v>
      </c>
      <c r="G29" s="396">
        <f>VLOOKUP($B29,'[4]Data C 2,4'!$Z$3:$BL$41,G$1,0)</f>
        <v>0.42</v>
      </c>
      <c r="H29" s="396">
        <f>VLOOKUP($B29,'[4]Data C 2,4'!$Z$3:$BL$41,H$1,0)</f>
        <v>0.42</v>
      </c>
      <c r="I29" s="396">
        <f>VLOOKUP($B29,'[4]Data C 2,4'!$Z$3:$BL$41,I$1,0)</f>
        <v>0.40600000000000003</v>
      </c>
      <c r="J29" s="396">
        <f>VLOOKUP($B29,'[4]Data C 2,4'!$Z$3:$BL$41,J$1,0)</f>
        <v>0.39200000000000002</v>
      </c>
      <c r="K29" s="396">
        <f>VLOOKUP($B29,'[4]Data C 2,4'!$Z$3:$BL$41,K$1,0)</f>
        <v>0.37</v>
      </c>
      <c r="L29" s="396">
        <f>VLOOKUP($B29,'[4]Data C 2,4'!$Z$3:$BL$41,L$1,0)</f>
        <v>0.36</v>
      </c>
      <c r="M29" s="396">
        <f>VLOOKUP($B29,'[4]Data C 2,4'!$Z$3:$BL$41,M$1,0)</f>
        <v>0.35</v>
      </c>
      <c r="N29" s="396">
        <f>VLOOKUP($B29,'[4]Data C 2,4'!$Z$3:$BL$41,N$1,0)</f>
        <v>0.35</v>
      </c>
      <c r="O29" s="396">
        <f>VLOOKUP($B29,'[4]Data C 2,4'!$Z$3:$BL$41,O$1,0)</f>
        <v>0.34799999999999998</v>
      </c>
      <c r="P29" s="396">
        <f>VLOOKUP($B29,'[4]Data C 2,4'!$Z$3:$BL$41,P$1,0)</f>
        <v>0.34</v>
      </c>
      <c r="Q29" s="396">
        <f>VLOOKUP($B29,'[4]Data C 2,4'!$Z$3:$BL$41,Q$1,0)</f>
        <v>0.34</v>
      </c>
      <c r="R29" s="396">
        <f>VLOOKUP($B29,'[4]Data C 2,4'!$Z$3:$BL$41,R$1,0)</f>
        <v>0.34</v>
      </c>
      <c r="S29" s="396">
        <f>VLOOKUP($B29,'[4]Data C 2,4'!$Z$3:$BL$41,S$1,0)</f>
        <v>0.34</v>
      </c>
      <c r="T29" s="396">
        <f>VLOOKUP($B29,'[4]Data C 2,4'!$Z$3:$BL$41,T$1,0)</f>
        <v>0.34</v>
      </c>
      <c r="U29" s="396">
        <f>VLOOKUP($B29,'[4]Data C 2,4'!$Z$3:$BL$41,U$1,0)</f>
        <v>0.35</v>
      </c>
      <c r="V29" s="396">
        <f>VLOOKUP($B29,'[4]Data C 2,4'!$Z$3:$BL$41,V$1,0)</f>
        <v>0.35</v>
      </c>
      <c r="W29" s="396">
        <f>VLOOKUP($B29,'[4]Data C 2,4'!$Z$3:$BL$41,W$1,0)</f>
        <v>0.35</v>
      </c>
      <c r="X29" s="396">
        <f>VLOOKUP($B29,'[4]Data C 2,4'!$Z$3:$BL$41,X$1,0)</f>
        <v>0.35</v>
      </c>
      <c r="Y29" s="396">
        <f>VLOOKUP($B29,'[4]Data C 2,4'!$Z$3:$BL$41,Y$1,0)</f>
        <v>0.34</v>
      </c>
      <c r="Z29" s="396">
        <f>VLOOKUP($B29,'[4]Data C 2,4'!$Z$3:$BL$41,Z$1,0)</f>
        <v>0.33</v>
      </c>
      <c r="AA29" s="396">
        <f>VLOOKUP($B29,'[4]Data C 2,4'!$Z$3:$BL$41,AA$1,0)</f>
        <v>0.3</v>
      </c>
      <c r="AB29" s="396">
        <f>VLOOKUP($B29,'[4]Data C 2,4'!$Z$3:$BL$41,AB$1,0)</f>
        <v>0.28999999999999998</v>
      </c>
      <c r="AC29" s="396">
        <f>VLOOKUP($B29,'[4]Data C 2,4'!$Z$3:$BL$41,AC$1,0)</f>
        <v>0.28000000000000003</v>
      </c>
      <c r="AD29" s="396">
        <f>VLOOKUP($B29,'[4]Data C 2,4'!$Z$3:$BL$41,AD$1,0)</f>
        <v>0.28000000000000003</v>
      </c>
      <c r="AE29" s="396">
        <f>VLOOKUP($B29,'[4]Data C 2,4'!$Z$3:$BL$41,AE$1,0)</f>
        <v>0.28000000000000003</v>
      </c>
      <c r="AF29" s="396">
        <f>VLOOKUP($B29,'[4]Data C 2,4'!$Z$3:$BL$41,AF$1,0)</f>
        <v>0.3</v>
      </c>
      <c r="AG29" s="396">
        <f>VLOOKUP($B29,'[4]Data C 2,4'!$Z$3:$BL$41,AG$1,0)</f>
        <v>0.3</v>
      </c>
      <c r="AH29" s="396">
        <f>VLOOKUP($B29,'[4]Data C 2,4'!$Z$3:$BL$41,AH$1,0)</f>
        <v>0.3</v>
      </c>
      <c r="AI29" s="396">
        <f>VLOOKUP($B29,'[4]Data C 2,4'!$Z$3:$BL$41,AI$1,0)</f>
        <v>0.3</v>
      </c>
      <c r="AJ29" s="396">
        <f>VLOOKUP($B29,'[4]Data C 2,4'!$Z$3:$BL$41,AJ$1,0)</f>
        <v>0.3</v>
      </c>
      <c r="AK29" s="396">
        <f>VLOOKUP($B29,'[4]Data C 2,4'!$Z$3:$BL$41,AK$1,0)</f>
        <v>0.3</v>
      </c>
      <c r="AL29" s="396">
        <f>VLOOKUP($B29,TableF1a!$B$8:$R$42,AL$1,0)</f>
        <v>0.3</v>
      </c>
      <c r="AM29" s="396">
        <f>VLOOKUP($B29,TableF1a!$B$8:$R$42,AM$1,0)</f>
        <v>0.3</v>
      </c>
      <c r="AN29" s="1364">
        <f>VLOOKUP($B29,TableF1a!$B$8:$R$42,AN$1,0)</f>
        <v>0.3</v>
      </c>
      <c r="AP29" s="1712">
        <f t="shared" si="1"/>
        <v>-4.9999999999999989E-2</v>
      </c>
    </row>
    <row r="30" spans="1:42" x14ac:dyDescent="0.35">
      <c r="B30" s="13" t="s">
        <v>72</v>
      </c>
      <c r="C30" s="1137">
        <f>VLOOKUP($B30,'[4]Data C 2,4'!$Z$3:$BL$41,C$1,0)</f>
        <v>0.48</v>
      </c>
      <c r="D30" s="396">
        <f>VLOOKUP($B30,'[4]Data C 2,4'!$Z$3:$BL$41,D$1,0)</f>
        <v>0.48</v>
      </c>
      <c r="E30" s="396">
        <f>VLOOKUP($B30,'[4]Data C 2,4'!$Z$3:$BL$41,E$1,0)</f>
        <v>0.48</v>
      </c>
      <c r="F30" s="396">
        <f>VLOOKUP($B30,'[4]Data C 2,4'!$Z$3:$BL$41,F$1,0)</f>
        <v>0.43</v>
      </c>
      <c r="G30" s="396">
        <f>VLOOKUP($B30,'[4]Data C 2,4'!$Z$3:$BL$41,G$1,0)</f>
        <v>0.43</v>
      </c>
      <c r="H30" s="396">
        <f>VLOOKUP($B30,'[4]Data C 2,4'!$Z$3:$BL$41,H$1,0)</f>
        <v>0.42</v>
      </c>
      <c r="I30" s="396">
        <f>VLOOKUP($B30,'[4]Data C 2,4'!$Z$3:$BL$41,I$1,0)</f>
        <v>0.42</v>
      </c>
      <c r="J30" s="396">
        <f>VLOOKUP($B30,'[4]Data C 2,4'!$Z$3:$BL$41,J$1,0)</f>
        <v>0.42</v>
      </c>
      <c r="K30" s="396">
        <f>VLOOKUP($B30,'[4]Data C 2,4'!$Z$3:$BL$41,K$1,0)</f>
        <v>0.35</v>
      </c>
      <c r="L30" s="396">
        <f>VLOOKUP($B30,'[4]Data C 2,4'!$Z$3:$BL$41,L$1,0)</f>
        <v>0.35</v>
      </c>
      <c r="M30" s="396">
        <f>VLOOKUP($B30,'[4]Data C 2,4'!$Z$3:$BL$41,M$1,0)</f>
        <v>0.35</v>
      </c>
      <c r="N30" s="396">
        <f>VLOOKUP($B30,'[4]Data C 2,4'!$Z$3:$BL$41,N$1,0)</f>
        <v>0.35</v>
      </c>
      <c r="O30" s="396">
        <f>VLOOKUP($B30,'[4]Data C 2,4'!$Z$3:$BL$41,O$1,0)</f>
        <v>0.35</v>
      </c>
      <c r="P30" s="396">
        <f>VLOOKUP($B30,'[4]Data C 2,4'!$Z$3:$BL$41,P$1,0)</f>
        <v>0.35</v>
      </c>
      <c r="Q30" s="396">
        <f>VLOOKUP($B30,'[4]Data C 2,4'!$Z$3:$BL$41,Q$1,0)</f>
        <v>0.35</v>
      </c>
      <c r="R30" s="396">
        <f>VLOOKUP($B30,'[4]Data C 2,4'!$Z$3:$BL$41,R$1,0)</f>
        <v>0.35</v>
      </c>
      <c r="S30" s="396">
        <f>VLOOKUP($B30,'[4]Data C 2,4'!$Z$3:$BL$41,S$1,0)</f>
        <v>0.35</v>
      </c>
      <c r="T30" s="396">
        <f>VLOOKUP($B30,'[4]Data C 2,4'!$Z$3:$BL$41,T$1,0)</f>
        <v>0.35</v>
      </c>
      <c r="U30" s="396">
        <f>VLOOKUP($B30,'[4]Data C 2,4'!$Z$3:$BL$41,U$1,0)</f>
        <v>0.35</v>
      </c>
      <c r="V30" s="396">
        <f>VLOOKUP($B30,'[4]Data C 2,4'!$Z$3:$BL$41,V$1,0)</f>
        <v>0.35</v>
      </c>
      <c r="W30" s="396">
        <f>VLOOKUP($B30,'[4]Data C 2,4'!$Z$3:$BL$41,W$1,0)</f>
        <v>0.35</v>
      </c>
      <c r="X30" s="396">
        <f>VLOOKUP($B30,'[4]Data C 2,4'!$Z$3:$BL$41,X$1,0)</f>
        <v>0.34499999999999997</v>
      </c>
      <c r="Y30" s="396">
        <f>VLOOKUP($B30,'[4]Data C 2,4'!$Z$3:$BL$41,Y$1,0)</f>
        <v>0.34499999999999997</v>
      </c>
      <c r="Z30" s="396">
        <f>VLOOKUP($B30,'[4]Data C 2,4'!$Z$3:$BL$41,Z$1,0)</f>
        <v>0.34499999999999997</v>
      </c>
      <c r="AA30" s="396">
        <f>VLOOKUP($B30,'[4]Data C 2,4'!$Z$3:$BL$41,AA$1,0)</f>
        <v>0.315</v>
      </c>
      <c r="AB30" s="396">
        <f>VLOOKUP($B30,'[4]Data C 2,4'!$Z$3:$BL$41,AB$1,0)</f>
        <v>0.29599999999999999</v>
      </c>
      <c r="AC30" s="396">
        <f>VLOOKUP($B30,'[4]Data C 2,4'!$Z$3:$BL$41,AC$1,0)</f>
        <v>0.255</v>
      </c>
      <c r="AD30" s="396">
        <f>VLOOKUP($B30,'[4]Data C 2,4'!$Z$3:$BL$41,AD$1,0)</f>
        <v>0.255</v>
      </c>
      <c r="AE30" s="396">
        <f>VLOOKUP($B30,'[4]Data C 2,4'!$Z$3:$BL$41,AE$1,0)</f>
        <v>0.255</v>
      </c>
      <c r="AF30" s="396">
        <f>VLOOKUP($B30,'[4]Data C 2,4'!$Z$3:$BL$41,AF$1,0)</f>
        <v>0.255</v>
      </c>
      <c r="AG30" s="396">
        <f>VLOOKUP($B30,'[4]Data C 2,4'!$Z$3:$BL$41,AG$1,0)</f>
        <v>0.25</v>
      </c>
      <c r="AH30" s="396">
        <f>VLOOKUP($B30,'[4]Data C 2,4'!$Z$3:$BL$41,AH$1,0)</f>
        <v>0.25</v>
      </c>
      <c r="AI30" s="396">
        <f>VLOOKUP($B30,'[4]Data C 2,4'!$Z$3:$BL$41,AI$1,0)</f>
        <v>0.25</v>
      </c>
      <c r="AJ30" s="396">
        <f>VLOOKUP($B30,'[4]Data C 2,4'!$Z$3:$BL$41,AJ$1,0)</f>
        <v>0.25</v>
      </c>
      <c r="AK30" s="396">
        <f>VLOOKUP($B30,'[4]Data C 2,4'!$Z$3:$BL$41,AK$1,0)</f>
        <v>0.25</v>
      </c>
      <c r="AL30" s="396">
        <f>VLOOKUP($B30,TableF1a!$B$8:$R$42,AL$1,0)</f>
        <v>0.25</v>
      </c>
      <c r="AM30" s="396">
        <f>VLOOKUP($B30,TableF1a!$B$8:$R$42,AM$1,0)</f>
        <v>0.25</v>
      </c>
      <c r="AN30" s="1364">
        <f>VLOOKUP($B30,TableF1a!$B$8:$R$42,AN$1,0)</f>
        <v>0.25</v>
      </c>
      <c r="AP30" s="1712">
        <f t="shared" si="1"/>
        <v>-9.9999999999999978E-2</v>
      </c>
    </row>
    <row r="31" spans="1:42" x14ac:dyDescent="0.35">
      <c r="B31" s="13" t="s">
        <v>73</v>
      </c>
      <c r="C31" s="1137">
        <f>VLOOKUP($B31,'[4]Data C 2,4'!$Z$3:$BL$41,C$1,0)</f>
        <v>0.45</v>
      </c>
      <c r="D31" s="396">
        <f>VLOOKUP($B31,'[4]Data C 2,4'!$Z$3:$BL$41,D$1,0)</f>
        <v>0.45</v>
      </c>
      <c r="E31" s="396">
        <f>VLOOKUP($B31,'[4]Data C 2,4'!$Z$3:$BL$41,E$1,0)</f>
        <v>0.45</v>
      </c>
      <c r="F31" s="396">
        <f>VLOOKUP($B31,'[4]Data C 2,4'!$Z$3:$BL$41,F$1,0)</f>
        <v>0.45</v>
      </c>
      <c r="G31" s="396">
        <f>VLOOKUP($B31,'[4]Data C 2,4'!$Z$3:$BL$41,G$1,0)</f>
        <v>0.45</v>
      </c>
      <c r="H31" s="396">
        <f>VLOOKUP($B31,'[4]Data C 2,4'!$Z$3:$BL$41,H$1,0)</f>
        <v>0.48</v>
      </c>
      <c r="I31" s="396">
        <f>VLOOKUP($B31,'[4]Data C 2,4'!$Z$3:$BL$41,I$1,0)</f>
        <v>0.48</v>
      </c>
      <c r="J31" s="396">
        <f>VLOOKUP($B31,'[4]Data C 2,4'!$Z$3:$BL$41,J$1,0)</f>
        <v>0.28000000000000003</v>
      </c>
      <c r="K31" s="396">
        <f>VLOOKUP($B31,'[4]Data C 2,4'!$Z$3:$BL$41,K$1,0)</f>
        <v>0.33</v>
      </c>
      <c r="L31" s="396">
        <f>VLOOKUP($B31,'[4]Data C 2,4'!$Z$3:$BL$41,L$1,0)</f>
        <v>0.33</v>
      </c>
      <c r="M31" s="396">
        <f>VLOOKUP($B31,'[4]Data C 2,4'!$Z$3:$BL$41,M$1,0)</f>
        <v>0.33</v>
      </c>
      <c r="N31" s="396">
        <f>VLOOKUP($B31,'[4]Data C 2,4'!$Z$3:$BL$41,N$1,0)</f>
        <v>0.33</v>
      </c>
      <c r="O31" s="396">
        <f>VLOOKUP($B31,'[4]Data C 2,4'!$Z$3:$BL$41,O$1,0)</f>
        <v>0.33</v>
      </c>
      <c r="P31" s="396">
        <f>VLOOKUP($B31,'[4]Data C 2,4'!$Z$3:$BL$41,P$1,0)</f>
        <v>0.33</v>
      </c>
      <c r="Q31" s="396">
        <f>VLOOKUP($B31,'[4]Data C 2,4'!$Z$3:$BL$41,Q$1,0)</f>
        <v>0.33</v>
      </c>
      <c r="R31" s="396">
        <f>VLOOKUP($B31,'[4]Data C 2,4'!$Z$3:$BL$41,R$1,0)</f>
        <v>0.33</v>
      </c>
      <c r="S31" s="396">
        <f>VLOOKUP($B31,'[4]Data C 2,4'!$Z$3:$BL$41,S$1,0)</f>
        <v>0.33</v>
      </c>
      <c r="T31" s="396">
        <f>VLOOKUP($B31,'[4]Data C 2,4'!$Z$3:$BL$41,T$1,0)</f>
        <v>0.33</v>
      </c>
      <c r="U31" s="396">
        <f>VLOOKUP($B31,'[4]Data C 2,4'!$Z$3:$BL$41,U$1,0)</f>
        <v>0.33</v>
      </c>
      <c r="V31" s="396">
        <f>VLOOKUP($B31,'[4]Data C 2,4'!$Z$3:$BL$41,V$1,0)</f>
        <v>0.33</v>
      </c>
      <c r="W31" s="396">
        <f>VLOOKUP($B31,'[4]Data C 2,4'!$Z$3:$BL$41,W$1,0)</f>
        <v>0.33</v>
      </c>
      <c r="X31" s="396">
        <f>VLOOKUP($B31,'[4]Data C 2,4'!$Z$3:$BL$41,X$1,0)</f>
        <v>0.33</v>
      </c>
      <c r="Y31" s="396">
        <f>VLOOKUP($B31,'[4]Data C 2,4'!$Z$3:$BL$41,Y$1,0)</f>
        <v>0.33</v>
      </c>
      <c r="Z31" s="396">
        <f>VLOOKUP($B31,'[4]Data C 2,4'!$Z$3:$BL$41,Z$1,0)</f>
        <v>0.33</v>
      </c>
      <c r="AA31" s="396">
        <f>VLOOKUP($B31,'[4]Data C 2,4'!$Z$3:$BL$41,AA$1,0)</f>
        <v>0.33</v>
      </c>
      <c r="AB31" s="396">
        <f>VLOOKUP($B31,'[4]Data C 2,4'!$Z$3:$BL$41,AB$1,0)</f>
        <v>0.33</v>
      </c>
      <c r="AC31" s="396">
        <f>VLOOKUP($B31,'[4]Data C 2,4'!$Z$3:$BL$41,AC$1,0)</f>
        <v>0.33</v>
      </c>
      <c r="AD31" s="396">
        <f>VLOOKUP($B31,'[4]Data C 2,4'!$Z$3:$BL$41,AD$1,0)</f>
        <v>0.3</v>
      </c>
      <c r="AE31" s="396">
        <f>VLOOKUP($B31,'[4]Data C 2,4'!$Z$3:$BL$41,AE$1,0)</f>
        <v>0.3</v>
      </c>
      <c r="AF31" s="396">
        <f>VLOOKUP($B31,'[4]Data C 2,4'!$Z$3:$BL$41,AF$1,0)</f>
        <v>0.3</v>
      </c>
      <c r="AG31" s="396">
        <f>VLOOKUP($B31,'[4]Data C 2,4'!$Z$3:$BL$41,AG$1,0)</f>
        <v>0.28000000000000003</v>
      </c>
      <c r="AH31" s="396">
        <f>VLOOKUP($B31,'[4]Data C 2,4'!$Z$3:$BL$41,AH$1,0)</f>
        <v>0.28000000000000003</v>
      </c>
      <c r="AI31" s="396">
        <f>VLOOKUP($B31,'[4]Data C 2,4'!$Z$3:$BL$41,AI$1,0)</f>
        <v>0.28000000000000003</v>
      </c>
      <c r="AJ31" s="396">
        <f>VLOOKUP($B31,'[4]Data C 2,4'!$Z$3:$BL$41,AJ$1,0)</f>
        <v>0.28000000000000003</v>
      </c>
      <c r="AK31" s="396">
        <f>VLOOKUP($B31,'[4]Data C 2,4'!$Z$3:$BL$41,AK$1,0)</f>
        <v>0.28000000000000003</v>
      </c>
      <c r="AL31" s="396">
        <f>VLOOKUP($B31,TableF1a!$B$8:$R$42,AL$1,0)</f>
        <v>0.28000000000000003</v>
      </c>
      <c r="AM31" s="396">
        <f>VLOOKUP($B31,TableF1a!$B$8:$R$42,AM$1,0)</f>
        <v>0.28000000000000003</v>
      </c>
      <c r="AN31" s="1364">
        <f>VLOOKUP($B31,TableF1a!$B$8:$R$42,AN$1,0)</f>
        <v>0.28000000000000003</v>
      </c>
      <c r="AP31" s="1712">
        <f t="shared" si="1"/>
        <v>-4.9999999999999989E-2</v>
      </c>
    </row>
    <row r="32" spans="1:42" x14ac:dyDescent="0.35">
      <c r="B32" s="13" t="s">
        <v>74</v>
      </c>
      <c r="C32" s="1137">
        <f>VLOOKUP($B32,'[4]Data C 2,4'!$Z$3:$BL$41,C$1,0)</f>
        <v>0.50800000000000001</v>
      </c>
      <c r="D32" s="396">
        <f>VLOOKUP($B32,'[4]Data C 2,4'!$Z$3:$BL$41,D$1,0)</f>
        <v>0.50800000000000001</v>
      </c>
      <c r="E32" s="396">
        <f>VLOOKUP($B32,'[4]Data C 2,4'!$Z$3:$BL$41,E$1,0)</f>
        <v>0.50800000000000001</v>
      </c>
      <c r="F32" s="396">
        <f>VLOOKUP($B32,'[4]Data C 2,4'!$Z$3:$BL$41,F$1,0)</f>
        <v>0.50800000000000001</v>
      </c>
      <c r="G32" s="396">
        <f>VLOOKUP($B32,'[4]Data C 2,4'!$Z$3:$BL$41,G$1,0)</f>
        <v>0.50800000000000001</v>
      </c>
      <c r="H32" s="396">
        <f>VLOOKUP($B32,'[4]Data C 2,4'!$Z$3:$BL$41,H$1,0)</f>
        <v>0.50800000000000001</v>
      </c>
      <c r="I32" s="396">
        <f>VLOOKUP($B32,'[4]Data C 2,4'!$Z$3:$BL$41,I$1,0)</f>
        <v>0.50800000000000001</v>
      </c>
      <c r="J32" s="396">
        <f>VLOOKUP($B32,'[4]Data C 2,4'!$Z$3:$BL$41,J$1,0)</f>
        <v>0.50800000000000001</v>
      </c>
      <c r="K32" s="396">
        <f>VLOOKUP($B32,'[4]Data C 2,4'!$Z$3:$BL$41,K$1,0)</f>
        <v>0.50800000000000001</v>
      </c>
      <c r="L32" s="396">
        <f>VLOOKUP($B32,'[4]Data C 2,4'!$Z$3:$BL$41,L$1,0)</f>
        <v>0.50800000000000001</v>
      </c>
      <c r="M32" s="396">
        <f>VLOOKUP($B32,'[4]Data C 2,4'!$Z$3:$BL$41,M$1,0)</f>
        <v>0.50800000000000001</v>
      </c>
      <c r="N32" s="396">
        <f>VLOOKUP($B32,'[4]Data C 2,4'!$Z$3:$BL$41,N$1,0)</f>
        <v>0.28000000000000003</v>
      </c>
      <c r="O32" s="396">
        <f>VLOOKUP($B32,'[4]Data C 2,4'!$Z$3:$BL$41,O$1,0)</f>
        <v>0.28000000000000003</v>
      </c>
      <c r="P32" s="396">
        <f>VLOOKUP($B32,'[4]Data C 2,4'!$Z$3:$BL$41,P$1,0)</f>
        <v>0.28000000000000003</v>
      </c>
      <c r="Q32" s="396">
        <f>VLOOKUP($B32,'[4]Data C 2,4'!$Z$3:$BL$41,Q$1,0)</f>
        <v>0.28000000000000003</v>
      </c>
      <c r="R32" s="396">
        <f>VLOOKUP($B32,'[4]Data C 2,4'!$Z$3:$BL$41,R$1,0)</f>
        <v>0.28000000000000003</v>
      </c>
      <c r="S32" s="396">
        <f>VLOOKUP($B32,'[4]Data C 2,4'!$Z$3:$BL$41,S$1,0)</f>
        <v>0.28000000000000003</v>
      </c>
      <c r="T32" s="396">
        <f>VLOOKUP($B32,'[4]Data C 2,4'!$Z$3:$BL$41,T$1,0)</f>
        <v>0.28000000000000003</v>
      </c>
      <c r="U32" s="396">
        <f>VLOOKUP($B32,'[4]Data C 2,4'!$Z$3:$BL$41,U$1,0)</f>
        <v>0.28000000000000003</v>
      </c>
      <c r="V32" s="396">
        <f>VLOOKUP($B32,'[4]Data C 2,4'!$Z$3:$BL$41,V$1,0)</f>
        <v>0.28000000000000003</v>
      </c>
      <c r="W32" s="396">
        <f>VLOOKUP($B32,'[4]Data C 2,4'!$Z$3:$BL$41,W$1,0)</f>
        <v>0.28000000000000003</v>
      </c>
      <c r="X32" s="396">
        <f>VLOOKUP($B32,'[4]Data C 2,4'!$Z$3:$BL$41,X$1,0)</f>
        <v>0.28000000000000003</v>
      </c>
      <c r="Y32" s="396">
        <f>VLOOKUP($B32,'[4]Data C 2,4'!$Z$3:$BL$41,Y$1,0)</f>
        <v>0.28000000000000003</v>
      </c>
      <c r="Z32" s="396">
        <f>VLOOKUP($B32,'[4]Data C 2,4'!$Z$3:$BL$41,Z$1,0)</f>
        <v>0.28000000000000003</v>
      </c>
      <c r="AA32" s="396">
        <f>VLOOKUP($B32,'[4]Data C 2,4'!$Z$3:$BL$41,AA$1,0)</f>
        <v>0.28000000000000003</v>
      </c>
      <c r="AB32" s="396">
        <f>VLOOKUP($B32,'[4]Data C 2,4'!$Z$3:$BL$41,AB$1,0)</f>
        <v>0.28000000000000003</v>
      </c>
      <c r="AC32" s="396">
        <f>VLOOKUP($B32,'[4]Data C 2,4'!$Z$3:$BL$41,AC$1,0)</f>
        <v>0.28000000000000003</v>
      </c>
      <c r="AD32" s="396">
        <f>VLOOKUP($B32,'[4]Data C 2,4'!$Z$3:$BL$41,AD$1,0)</f>
        <v>0.28000000000000003</v>
      </c>
      <c r="AE32" s="396">
        <f>VLOOKUP($B32,'[4]Data C 2,4'!$Z$3:$BL$41,AE$1,0)</f>
        <v>0.28000000000000003</v>
      </c>
      <c r="AF32" s="396">
        <f>VLOOKUP($B32,'[4]Data C 2,4'!$Z$3:$BL$41,AF$1,0)</f>
        <v>0.28000000000000003</v>
      </c>
      <c r="AG32" s="396">
        <f>VLOOKUP($B32,'[4]Data C 2,4'!$Z$3:$BL$41,AG$1,0)</f>
        <v>0.28000000000000003</v>
      </c>
      <c r="AH32" s="396">
        <f>VLOOKUP($B32,'[4]Data C 2,4'!$Z$3:$BL$41,AH$1,0)</f>
        <v>0.28000000000000003</v>
      </c>
      <c r="AI32" s="396">
        <f>VLOOKUP($B32,'[4]Data C 2,4'!$Z$3:$BL$41,AI$1,0)</f>
        <v>0.28000000000000003</v>
      </c>
      <c r="AJ32" s="396">
        <f>VLOOKUP($B32,'[4]Data C 2,4'!$Z$3:$BL$41,AJ$1,0)</f>
        <v>0.27</v>
      </c>
      <c r="AK32" s="396">
        <f>VLOOKUP($B32,'[4]Data C 2,4'!$Z$3:$BL$41,AK$1,0)</f>
        <v>0.27</v>
      </c>
      <c r="AL32" s="396">
        <f>VLOOKUP($B32,TableF1a!$B$8:$R$42,AL$1,0)</f>
        <v>0.25</v>
      </c>
      <c r="AM32" s="396">
        <f>VLOOKUP($B32,TableF1a!$B$8:$R$42,AM$1,0)</f>
        <v>0.24</v>
      </c>
      <c r="AN32" s="1364">
        <f>VLOOKUP($B32,TableF1a!$B$8:$R$42,AN$1,0)</f>
        <v>0.23</v>
      </c>
      <c r="AP32" s="1712">
        <f t="shared" si="1"/>
        <v>-3.0000000000000027E-2</v>
      </c>
    </row>
    <row r="33" spans="1:42" x14ac:dyDescent="0.35">
      <c r="B33" s="13" t="s">
        <v>75</v>
      </c>
      <c r="C33" s="1137">
        <f>VLOOKUP($B33,'[4]Data C 2,4'!$Z$3:$BL$41,C$1,0)</f>
        <v>0</v>
      </c>
      <c r="D33" s="396">
        <f>VLOOKUP($B33,'[4]Data C 2,4'!$Z$3:$BL$41,D$1,0)</f>
        <v>0</v>
      </c>
      <c r="E33" s="396">
        <f>VLOOKUP($B33,'[4]Data C 2,4'!$Z$3:$BL$41,E$1,0)</f>
        <v>0</v>
      </c>
      <c r="F33" s="396">
        <f>VLOOKUP($B33,'[4]Data C 2,4'!$Z$3:$BL$41,F$1,0)</f>
        <v>0</v>
      </c>
      <c r="G33" s="396">
        <f>VLOOKUP($B33,'[4]Data C 2,4'!$Z$3:$BL$41,G$1,0)</f>
        <v>0</v>
      </c>
      <c r="H33" s="396">
        <f>VLOOKUP($B33,'[4]Data C 2,4'!$Z$3:$BL$41,H$1,0)</f>
        <v>0</v>
      </c>
      <c r="I33" s="396">
        <f>VLOOKUP($B33,'[4]Data C 2,4'!$Z$3:$BL$41,I$1,0)</f>
        <v>0</v>
      </c>
      <c r="J33" s="396">
        <f>VLOOKUP($B33,'[4]Data C 2,4'!$Z$3:$BL$41,J$1,0)</f>
        <v>0</v>
      </c>
      <c r="K33" s="396">
        <f>VLOOKUP($B33,'[4]Data C 2,4'!$Z$3:$BL$41,K$1,0)</f>
        <v>0</v>
      </c>
      <c r="L33" s="396">
        <f>VLOOKUP($B33,'[4]Data C 2,4'!$Z$3:$BL$41,L$1,0)</f>
        <v>0</v>
      </c>
      <c r="M33" s="396">
        <f>VLOOKUP($B33,'[4]Data C 2,4'!$Z$3:$BL$41,M$1,0)</f>
        <v>0</v>
      </c>
      <c r="N33" s="396">
        <f>VLOOKUP($B33,'[4]Data C 2,4'!$Z$3:$BL$41,N$1,0)</f>
        <v>0.4</v>
      </c>
      <c r="O33" s="396">
        <f>VLOOKUP($B33,'[4]Data C 2,4'!$Z$3:$BL$41,O$1,0)</f>
        <v>0.4</v>
      </c>
      <c r="P33" s="396">
        <f>VLOOKUP($B33,'[4]Data C 2,4'!$Z$3:$BL$41,P$1,0)</f>
        <v>0.4</v>
      </c>
      <c r="Q33" s="396">
        <f>VLOOKUP($B33,'[4]Data C 2,4'!$Z$3:$BL$41,Q$1,0)</f>
        <v>0.4</v>
      </c>
      <c r="R33" s="396">
        <f>VLOOKUP($B33,'[4]Data C 2,4'!$Z$3:$BL$41,R$1,0)</f>
        <v>0.4</v>
      </c>
      <c r="S33" s="396">
        <f>VLOOKUP($B33,'[4]Data C 2,4'!$Z$3:$BL$41,S$1,0)</f>
        <v>0.38</v>
      </c>
      <c r="T33" s="396">
        <f>VLOOKUP($B33,'[4]Data C 2,4'!$Z$3:$BL$41,T$1,0)</f>
        <v>0.36</v>
      </c>
      <c r="U33" s="396">
        <f>VLOOKUP($B33,'[4]Data C 2,4'!$Z$3:$BL$41,U$1,0)</f>
        <v>0.34</v>
      </c>
      <c r="V33" s="396">
        <f>VLOOKUP($B33,'[4]Data C 2,4'!$Z$3:$BL$41,V$1,0)</f>
        <v>0.3</v>
      </c>
      <c r="W33" s="396">
        <f>VLOOKUP($B33,'[4]Data C 2,4'!$Z$3:$BL$41,W$1,0)</f>
        <v>0.28000000000000003</v>
      </c>
      <c r="X33" s="396">
        <f>VLOOKUP($B33,'[4]Data C 2,4'!$Z$3:$BL$41,X$1,0)</f>
        <v>0.28000000000000003</v>
      </c>
      <c r="Y33" s="396">
        <f>VLOOKUP($B33,'[4]Data C 2,4'!$Z$3:$BL$41,Y$1,0)</f>
        <v>0.27</v>
      </c>
      <c r="Z33" s="396">
        <f>VLOOKUP($B33,'[4]Data C 2,4'!$Z$3:$BL$41,Z$1,0)</f>
        <v>0.19</v>
      </c>
      <c r="AA33" s="396">
        <f>VLOOKUP($B33,'[4]Data C 2,4'!$Z$3:$BL$41,AA$1,0)</f>
        <v>0.19</v>
      </c>
      <c r="AB33" s="396">
        <f>VLOOKUP($B33,'[4]Data C 2,4'!$Z$3:$BL$41,AB$1,0)</f>
        <v>0.19</v>
      </c>
      <c r="AC33" s="396">
        <f>VLOOKUP($B33,'[4]Data C 2,4'!$Z$3:$BL$41,AC$1,0)</f>
        <v>0.19</v>
      </c>
      <c r="AD33" s="396">
        <f>VLOOKUP($B33,'[4]Data C 2,4'!$Z$3:$BL$41,AD$1,0)</f>
        <v>0.19</v>
      </c>
      <c r="AE33" s="396">
        <f>VLOOKUP($B33,'[4]Data C 2,4'!$Z$3:$BL$41,AE$1,0)</f>
        <v>0.19</v>
      </c>
      <c r="AF33" s="396">
        <f>VLOOKUP($B33,'[4]Data C 2,4'!$Z$3:$BL$41,AF$1,0)</f>
        <v>0.19</v>
      </c>
      <c r="AG33" s="396">
        <f>VLOOKUP($B33,'[4]Data C 2,4'!$Z$3:$BL$41,AG$1,0)</f>
        <v>0.19</v>
      </c>
      <c r="AH33" s="396">
        <f>VLOOKUP($B33,'[4]Data C 2,4'!$Z$3:$BL$41,AH$1,0)</f>
        <v>0.19</v>
      </c>
      <c r="AI33" s="396">
        <f>VLOOKUP($B33,'[4]Data C 2,4'!$Z$3:$BL$41,AI$1,0)</f>
        <v>0.19</v>
      </c>
      <c r="AJ33" s="396">
        <f>VLOOKUP($B33,'[4]Data C 2,4'!$Z$3:$BL$41,AJ$1,0)</f>
        <v>0.19</v>
      </c>
      <c r="AK33" s="396">
        <f>VLOOKUP($B33,'[4]Data C 2,4'!$Z$3:$BL$41,AK$1,0)</f>
        <v>0.19</v>
      </c>
      <c r="AL33" s="396">
        <f>VLOOKUP($B33,TableF1a!$B$8:$R$42,AL$1,0)</f>
        <v>0.19</v>
      </c>
      <c r="AM33" s="396">
        <f>VLOOKUP($B33,TableF1a!$B$8:$R$42,AM$1,0)</f>
        <v>0.19</v>
      </c>
      <c r="AN33" s="1364">
        <f>VLOOKUP($B33,TableF1a!$B$8:$R$42,AN$1,0)</f>
        <v>0.19</v>
      </c>
      <c r="AP33" s="1712">
        <f t="shared" si="1"/>
        <v>-0.10999999999999999</v>
      </c>
    </row>
    <row r="34" spans="1:42" x14ac:dyDescent="0.35">
      <c r="B34" s="13" t="s">
        <v>76</v>
      </c>
      <c r="C34" s="1137">
        <f>VLOOKUP($B34,'[4]Data C 2,4'!$Z$3:$BL$41,C$1,0)</f>
        <v>0.48959999999999998</v>
      </c>
      <c r="D34" s="396">
        <f>VLOOKUP($B34,'[4]Data C 2,4'!$Z$3:$BL$41,D$1,0)</f>
        <v>0.50719999999999998</v>
      </c>
      <c r="E34" s="396">
        <f>VLOOKUP($B34,'[4]Data C 2,4'!$Z$3:$BL$41,E$1,0)</f>
        <v>0.55120000000000002</v>
      </c>
      <c r="F34" s="396">
        <f>VLOOKUP($B34,'[4]Data C 2,4'!$Z$3:$BL$41,F$1,0)</f>
        <v>0.55120000000000002</v>
      </c>
      <c r="G34" s="396">
        <f>VLOOKUP($B34,'[4]Data C 2,4'!$Z$3:$BL$41,G$1,0)</f>
        <v>0.55120000000000002</v>
      </c>
      <c r="H34" s="396">
        <f>VLOOKUP($B34,'[4]Data C 2,4'!$Z$3:$BL$41,H$1,0)</f>
        <v>0.50280000000000002</v>
      </c>
      <c r="I34" s="396">
        <f>VLOOKUP($B34,'[4]Data C 2,4'!$Z$3:$BL$41,I$1,0)</f>
        <v>0.48080000000000001</v>
      </c>
      <c r="J34" s="396">
        <f>VLOOKUP($B34,'[4]Data C 2,4'!$Z$3:$BL$41,J$1,0)</f>
        <v>0.48080000000000001</v>
      </c>
      <c r="K34" s="396">
        <f>VLOOKUP($B34,'[4]Data C 2,4'!$Z$3:$BL$41,K$1,0)</f>
        <v>0.40150000000000002</v>
      </c>
      <c r="L34" s="396">
        <f>VLOOKUP($B34,'[4]Data C 2,4'!$Z$3:$BL$41,L$1,0)</f>
        <v>0.40150000000000002</v>
      </c>
      <c r="M34" s="396">
        <f>VLOOKUP($B34,'[4]Data C 2,4'!$Z$3:$BL$41,M$1,0)</f>
        <v>0.39600000000000002</v>
      </c>
      <c r="N34" s="396">
        <f>VLOOKUP($B34,'[4]Data C 2,4'!$Z$3:$BL$41,N$1,0)</f>
        <v>0.39600000000000002</v>
      </c>
      <c r="O34" s="396">
        <f>VLOOKUP($B34,'[4]Data C 2,4'!$Z$3:$BL$41,O$1,0)</f>
        <v>0.39600000000000002</v>
      </c>
      <c r="P34" s="396">
        <f>VLOOKUP($B34,'[4]Data C 2,4'!$Z$3:$BL$41,P$1,0)</f>
        <v>0.39600000000000002</v>
      </c>
      <c r="Q34" s="396">
        <f>VLOOKUP($B34,'[4]Data C 2,4'!$Z$3:$BL$41,Q$1,0)</f>
        <v>0.39600000000000002</v>
      </c>
      <c r="R34" s="396">
        <f>VLOOKUP($B34,'[4]Data C 2,4'!$Z$3:$BL$41,R$1,0)</f>
        <v>0.39600000000000002</v>
      </c>
      <c r="S34" s="396">
        <f>VLOOKUP($B34,'[4]Data C 2,4'!$Z$3:$BL$41,S$1,0)</f>
        <v>0.374</v>
      </c>
      <c r="T34" s="396">
        <f>VLOOKUP($B34,'[4]Data C 2,4'!$Z$3:$BL$41,T$1,0)</f>
        <v>0.374</v>
      </c>
      <c r="U34" s="396">
        <f>VLOOKUP($B34,'[4]Data C 2,4'!$Z$3:$BL$41,U$1,0)</f>
        <v>0.374</v>
      </c>
      <c r="V34" s="396">
        <f>VLOOKUP($B34,'[4]Data C 2,4'!$Z$3:$BL$41,V$1,0)</f>
        <v>0.35199999999999998</v>
      </c>
      <c r="W34" s="396">
        <f>VLOOKUP($B34,'[4]Data C 2,4'!$Z$3:$BL$41,W$1,0)</f>
        <v>0.35199999999999998</v>
      </c>
      <c r="X34" s="396">
        <f>VLOOKUP($B34,'[4]Data C 2,4'!$Z$3:$BL$41,X$1,0)</f>
        <v>0.33</v>
      </c>
      <c r="Y34" s="396">
        <f>VLOOKUP($B34,'[4]Data C 2,4'!$Z$3:$BL$41,Y$1,0)</f>
        <v>0.33</v>
      </c>
      <c r="Z34" s="396">
        <f>VLOOKUP($B34,'[4]Data C 2,4'!$Z$3:$BL$41,Z$1,0)</f>
        <v>0.27500000000000002</v>
      </c>
      <c r="AA34" s="396">
        <f>VLOOKUP($B34,'[4]Data C 2,4'!$Z$3:$BL$41,AA$1,0)</f>
        <v>0.27500000000000002</v>
      </c>
      <c r="AB34" s="396">
        <f>VLOOKUP($B34,'[4]Data C 2,4'!$Z$3:$BL$41,AB$1,0)</f>
        <v>0.27500000000000002</v>
      </c>
      <c r="AC34" s="396">
        <f>VLOOKUP($B34,'[4]Data C 2,4'!$Z$3:$BL$41,AC$1,0)</f>
        <v>0.26500000000000001</v>
      </c>
      <c r="AD34" s="396">
        <f>VLOOKUP($B34,'[4]Data C 2,4'!$Z$3:$BL$41,AD$1,0)</f>
        <v>0.26500000000000001</v>
      </c>
      <c r="AE34" s="396">
        <f>VLOOKUP($B34,'[4]Data C 2,4'!$Z$3:$BL$41,AE$1,0)</f>
        <v>0.26500000000000001</v>
      </c>
      <c r="AF34" s="396">
        <f>VLOOKUP($B34,'[4]Data C 2,4'!$Z$3:$BL$41,AF$1,0)</f>
        <v>0.26500000000000001</v>
      </c>
      <c r="AG34" s="396">
        <f>VLOOKUP($B34,'[4]Data C 2,4'!$Z$3:$BL$41,AG$1,0)</f>
        <v>0.26500000000000001</v>
      </c>
      <c r="AH34" s="396">
        <f>VLOOKUP($B34,'[4]Data C 2,4'!$Z$3:$BL$41,AH$1,0)</f>
        <v>0.315</v>
      </c>
      <c r="AI34" s="396">
        <f>VLOOKUP($B34,'[4]Data C 2,4'!$Z$3:$BL$41,AI$1,0)</f>
        <v>0.315</v>
      </c>
      <c r="AJ34" s="396">
        <f>VLOOKUP($B34,'[4]Data C 2,4'!$Z$3:$BL$41,AJ$1,0)</f>
        <v>0.315</v>
      </c>
      <c r="AK34" s="396">
        <f>VLOOKUP($B34,'[4]Data C 2,4'!$Z$3:$BL$41,AK$1,0)</f>
        <v>0.29499999999999998</v>
      </c>
      <c r="AL34" s="396">
        <f>VLOOKUP($B34,TableF1a!$B$8:$R$42,AL$1,0)</f>
        <v>0.21</v>
      </c>
      <c r="AM34" s="396">
        <f>VLOOKUP($B34,TableF1a!$B$8:$R$42,AM$1,0)</f>
        <v>0.21</v>
      </c>
      <c r="AN34" s="1364">
        <f>VLOOKUP($B34,TableF1a!$B$8:$R$42,AN$1,0)</f>
        <v>0.21</v>
      </c>
      <c r="AP34" s="1712">
        <f t="shared" si="1"/>
        <v>-0.14199999999999999</v>
      </c>
    </row>
    <row r="35" spans="1:42" x14ac:dyDescent="0.35">
      <c r="A35" t="s">
        <v>77</v>
      </c>
      <c r="B35" s="13" t="s">
        <v>96</v>
      </c>
      <c r="C35" s="1137">
        <f>VLOOKUP($A35,'[4]Data C 2,4'!$Z$3:$BL$41,C$1,0)</f>
        <v>0</v>
      </c>
      <c r="D35" s="396">
        <f>VLOOKUP($A35,'[4]Data C 2,4'!$Z$3:$BL$41,D$1,0)</f>
        <v>0</v>
      </c>
      <c r="E35" s="396">
        <f>VLOOKUP($A35,'[4]Data C 2,4'!$Z$3:$BL$41,E$1,0)</f>
        <v>0</v>
      </c>
      <c r="F35" s="396">
        <f>VLOOKUP($A35,'[4]Data C 2,4'!$Z$3:$BL$41,F$1,0)</f>
        <v>0</v>
      </c>
      <c r="G35" s="396">
        <f>VLOOKUP($A35,'[4]Data C 2,4'!$Z$3:$BL$41,G$1,0)</f>
        <v>0</v>
      </c>
      <c r="H35" s="396">
        <f>VLOOKUP($A35,'[4]Data C 2,4'!$Z$3:$BL$41,H$1,0)</f>
        <v>0</v>
      </c>
      <c r="I35" s="396">
        <f>VLOOKUP($A35,'[4]Data C 2,4'!$Z$3:$BL$41,I$1,0)</f>
        <v>0</v>
      </c>
      <c r="J35" s="396">
        <f>VLOOKUP($A35,'[4]Data C 2,4'!$Z$3:$BL$41,J$1,0)</f>
        <v>0</v>
      </c>
      <c r="K35" s="396">
        <f>VLOOKUP($A35,'[4]Data C 2,4'!$Z$3:$BL$41,K$1,0)</f>
        <v>0</v>
      </c>
      <c r="L35" s="396">
        <f>VLOOKUP($A35,'[4]Data C 2,4'!$Z$3:$BL$41,L$1,0)</f>
        <v>0</v>
      </c>
      <c r="M35" s="396">
        <f>VLOOKUP($A35,'[4]Data C 2,4'!$Z$3:$BL$41,M$1,0)</f>
        <v>0</v>
      </c>
      <c r="N35" s="396">
        <f>VLOOKUP($A35,'[4]Data C 2,4'!$Z$3:$BL$41,N$1,0)</f>
        <v>0</v>
      </c>
      <c r="O35" s="396">
        <f>VLOOKUP($A35,'[4]Data C 2,4'!$Z$3:$BL$41,O$1,0)</f>
        <v>0.45</v>
      </c>
      <c r="P35" s="396">
        <f>VLOOKUP($A35,'[4]Data C 2,4'!$Z$3:$BL$41,P$1,0)</f>
        <v>0.4</v>
      </c>
      <c r="Q35" s="396">
        <f>VLOOKUP($A35,'[4]Data C 2,4'!$Z$3:$BL$41,Q$1,0)</f>
        <v>0.4</v>
      </c>
      <c r="R35" s="396">
        <f>VLOOKUP($A35,'[4]Data C 2,4'!$Z$3:$BL$41,R$1,0)</f>
        <v>0.4</v>
      </c>
      <c r="S35" s="396">
        <f>VLOOKUP($A35,'[4]Data C 2,4'!$Z$3:$BL$41,S$1,0)</f>
        <v>0.4</v>
      </c>
      <c r="T35" s="396">
        <f>VLOOKUP($A35,'[4]Data C 2,4'!$Z$3:$BL$41,T$1,0)</f>
        <v>0.4</v>
      </c>
      <c r="U35" s="396">
        <f>VLOOKUP($A35,'[4]Data C 2,4'!$Z$3:$BL$41,U$1,0)</f>
        <v>0.4</v>
      </c>
      <c r="V35" s="396">
        <f>VLOOKUP($A35,'[4]Data C 2,4'!$Z$3:$BL$41,V$1,0)</f>
        <v>0.28999999999999998</v>
      </c>
      <c r="W35" s="396">
        <f>VLOOKUP($A35,'[4]Data C 2,4'!$Z$3:$BL$41,W$1,0)</f>
        <v>0.28999999999999998</v>
      </c>
      <c r="X35" s="396">
        <f>VLOOKUP($A35,'[4]Data C 2,4'!$Z$3:$BL$41,X$1,0)</f>
        <v>0.25</v>
      </c>
      <c r="Y35" s="396">
        <f>VLOOKUP($A35,'[4]Data C 2,4'!$Z$3:$BL$41,Y$1,0)</f>
        <v>0.25</v>
      </c>
      <c r="Z35" s="396">
        <f>VLOOKUP($A35,'[4]Data C 2,4'!$Z$3:$BL$41,Z$1,0)</f>
        <v>0.19</v>
      </c>
      <c r="AA35" s="396">
        <f>VLOOKUP($A35,'[4]Data C 2,4'!$Z$3:$BL$41,AA$1,0)</f>
        <v>0.19</v>
      </c>
      <c r="AB35" s="396">
        <f>VLOOKUP($A35,'[4]Data C 2,4'!$Z$3:$BL$41,AB$1,0)</f>
        <v>0.19</v>
      </c>
      <c r="AC35" s="396">
        <f>VLOOKUP($A35,'[4]Data C 2,4'!$Z$3:$BL$41,AC$1,0)</f>
        <v>0.19</v>
      </c>
      <c r="AD35" s="396">
        <f>VLOOKUP($A35,'[4]Data C 2,4'!$Z$3:$BL$41,AD$1,0)</f>
        <v>0.19</v>
      </c>
      <c r="AE35" s="396">
        <f>VLOOKUP($A35,'[4]Data C 2,4'!$Z$3:$BL$41,AE$1,0)</f>
        <v>0.19</v>
      </c>
      <c r="AF35" s="396">
        <f>VLOOKUP($A35,'[4]Data C 2,4'!$Z$3:$BL$41,AF$1,0)</f>
        <v>0.19</v>
      </c>
      <c r="AG35" s="396">
        <f>VLOOKUP($A35,'[4]Data C 2,4'!$Z$3:$BL$41,AG$1,0)</f>
        <v>0.19</v>
      </c>
      <c r="AH35" s="396">
        <f>VLOOKUP($A35,'[4]Data C 2,4'!$Z$3:$BL$41,AH$1,0)</f>
        <v>0.19</v>
      </c>
      <c r="AI35" s="396">
        <f>VLOOKUP($A35,'[4]Data C 2,4'!$Z$3:$BL$41,AI$1,0)</f>
        <v>0.23</v>
      </c>
      <c r="AJ35" s="396">
        <f>VLOOKUP($A35,'[4]Data C 2,4'!$Z$3:$BL$41,AJ$1,0)</f>
        <v>0.22</v>
      </c>
      <c r="AK35" s="396">
        <f>VLOOKUP($A35,'[4]Data C 2,4'!$Z$3:$BL$41,AK$1,0)</f>
        <v>0.22</v>
      </c>
      <c r="AL35" s="396">
        <f>VLOOKUP($B35,TableF1a!$B$8:$R$42,AL$1,0)</f>
        <v>0.22</v>
      </c>
      <c r="AM35" s="396">
        <f>VLOOKUP($B35,TableF1a!$B$8:$R$42,AM$1,0)</f>
        <v>0.21</v>
      </c>
      <c r="AN35" s="1364">
        <f>VLOOKUP($B35,TableF1a!$B$8:$R$42,AN$1,0)</f>
        <v>0.21</v>
      </c>
      <c r="AP35" s="1712">
        <f t="shared" si="1"/>
        <v>-6.9999999999999979E-2</v>
      </c>
    </row>
    <row r="36" spans="1:42" x14ac:dyDescent="0.35">
      <c r="B36" s="13" t="s">
        <v>78</v>
      </c>
      <c r="C36" s="1137">
        <f>VLOOKUP($B36,'[4]Data C 2,4'!$Z$3:$BL$41,C$1,0)</f>
        <v>0</v>
      </c>
      <c r="D36" s="396">
        <f>VLOOKUP($B36,'[4]Data C 2,4'!$Z$3:$BL$41,D$1,0)</f>
        <v>0</v>
      </c>
      <c r="E36" s="396">
        <f>VLOOKUP($B36,'[4]Data C 2,4'!$Z$3:$BL$41,E$1,0)</f>
        <v>0</v>
      </c>
      <c r="F36" s="396">
        <f>VLOOKUP($B36,'[4]Data C 2,4'!$Z$3:$BL$41,F$1,0)</f>
        <v>0</v>
      </c>
      <c r="G36" s="396">
        <f>VLOOKUP($B36,'[4]Data C 2,4'!$Z$3:$BL$41,G$1,0)</f>
        <v>0</v>
      </c>
      <c r="H36" s="396">
        <f>VLOOKUP($B36,'[4]Data C 2,4'!$Z$3:$BL$41,H$1,0)</f>
        <v>0</v>
      </c>
      <c r="I36" s="396">
        <f>VLOOKUP($B36,'[4]Data C 2,4'!$Z$3:$BL$41,I$1,0)</f>
        <v>0</v>
      </c>
      <c r="J36" s="396">
        <f>VLOOKUP($B36,'[4]Data C 2,4'!$Z$3:$BL$41,J$1,0)</f>
        <v>0</v>
      </c>
      <c r="K36" s="396">
        <f>VLOOKUP($B36,'[4]Data C 2,4'!$Z$3:$BL$41,K$1,0)</f>
        <v>0</v>
      </c>
      <c r="L36" s="396">
        <f>VLOOKUP($B36,'[4]Data C 2,4'!$Z$3:$BL$41,L$1,0)</f>
        <v>0</v>
      </c>
      <c r="M36" s="396">
        <f>VLOOKUP($B36,'[4]Data C 2,4'!$Z$3:$BL$41,M$1,0)</f>
        <v>0</v>
      </c>
      <c r="N36" s="396">
        <f>VLOOKUP($B36,'[4]Data C 2,4'!$Z$3:$BL$41,N$1,0)</f>
        <v>0</v>
      </c>
      <c r="O36" s="396">
        <f>VLOOKUP($B36,'[4]Data C 2,4'!$Z$3:$BL$41,O$1,0)</f>
        <v>0</v>
      </c>
      <c r="P36" s="396">
        <f>VLOOKUP($B36,'[4]Data C 2,4'!$Z$3:$BL$41,P$1,0)</f>
        <v>0</v>
      </c>
      <c r="Q36" s="396">
        <f>VLOOKUP($B36,'[4]Data C 2,4'!$Z$3:$BL$41,Q$1,0)</f>
        <v>0</v>
      </c>
      <c r="R36" s="396">
        <f>VLOOKUP($B36,'[4]Data C 2,4'!$Z$3:$BL$41,R$1,0)</f>
        <v>0</v>
      </c>
      <c r="S36" s="396">
        <f>VLOOKUP($B36,'[4]Data C 2,4'!$Z$3:$BL$41,S$1,0)</f>
        <v>0</v>
      </c>
      <c r="T36" s="396">
        <f>VLOOKUP($B36,'[4]Data C 2,4'!$Z$3:$BL$41,T$1,0)</f>
        <v>0</v>
      </c>
      <c r="U36" s="396">
        <f>VLOOKUP($B36,'[4]Data C 2,4'!$Z$3:$BL$41,U$1,0)</f>
        <v>0</v>
      </c>
      <c r="V36" s="396">
        <f>VLOOKUP($B36,'[4]Data C 2,4'!$Z$3:$BL$41,V$1,0)</f>
        <v>0.25</v>
      </c>
      <c r="W36" s="396">
        <f>VLOOKUP($B36,'[4]Data C 2,4'!$Z$3:$BL$41,W$1,0)</f>
        <v>0.25</v>
      </c>
      <c r="X36" s="396">
        <f>VLOOKUP($B36,'[4]Data C 2,4'!$Z$3:$BL$41,X$1,0)</f>
        <v>0.25</v>
      </c>
      <c r="Y36" s="396">
        <f>VLOOKUP($B36,'[4]Data C 2,4'!$Z$3:$BL$41,Y$1,0)</f>
        <v>0.25</v>
      </c>
      <c r="Z36" s="396">
        <f>VLOOKUP($B36,'[4]Data C 2,4'!$Z$3:$BL$41,Z$1,0)</f>
        <v>0.25</v>
      </c>
      <c r="AA36" s="396">
        <f>VLOOKUP($B36,'[4]Data C 2,4'!$Z$3:$BL$41,AA$1,0)</f>
        <v>0.25</v>
      </c>
      <c r="AB36" s="396">
        <f>VLOOKUP($B36,'[4]Data C 2,4'!$Z$3:$BL$41,AB$1,0)</f>
        <v>0.25</v>
      </c>
      <c r="AC36" s="396">
        <f>VLOOKUP($B36,'[4]Data C 2,4'!$Z$3:$BL$41,AC$1,0)</f>
        <v>0.23</v>
      </c>
      <c r="AD36" s="396">
        <f>VLOOKUP($B36,'[4]Data C 2,4'!$Z$3:$BL$41,AD$1,0)</f>
        <v>0.22</v>
      </c>
      <c r="AE36" s="396">
        <f>VLOOKUP($B36,'[4]Data C 2,4'!$Z$3:$BL$41,AE$1,0)</f>
        <v>0.21</v>
      </c>
      <c r="AF36" s="396">
        <f>VLOOKUP($B36,'[4]Data C 2,4'!$Z$3:$BL$41,AF$1,0)</f>
        <v>0.2</v>
      </c>
      <c r="AG36" s="396">
        <f>VLOOKUP($B36,'[4]Data C 2,4'!$Z$3:$BL$41,AG$1,0)</f>
        <v>0.2</v>
      </c>
      <c r="AH36" s="396">
        <f>VLOOKUP($B36,'[4]Data C 2,4'!$Z$3:$BL$41,AH$1,0)</f>
        <v>0.2</v>
      </c>
      <c r="AI36" s="396">
        <f>VLOOKUP($B36,'[4]Data C 2,4'!$Z$3:$BL$41,AI$1,0)</f>
        <v>0.17</v>
      </c>
      <c r="AJ36" s="396">
        <f>VLOOKUP($B36,'[4]Data C 2,4'!$Z$3:$BL$41,AJ$1,0)</f>
        <v>0.17</v>
      </c>
      <c r="AK36" s="396">
        <f>VLOOKUP($B36,'[4]Data C 2,4'!$Z$3:$BL$41,AK$1,0)</f>
        <v>0.17</v>
      </c>
      <c r="AL36" s="396">
        <f>VLOOKUP($B36,TableF1a!$B$8:$R$42,AL$1,0)</f>
        <v>0.17</v>
      </c>
      <c r="AM36" s="396">
        <f>VLOOKUP($B36,TableF1a!$B$8:$R$42,AM$1,0)</f>
        <v>0.19</v>
      </c>
      <c r="AN36" s="1364">
        <f>VLOOKUP($B36,TableF1a!$B$8:$R$42,AN$1,0)</f>
        <v>0.19</v>
      </c>
      <c r="AP36" s="1712">
        <f t="shared" si="1"/>
        <v>-7.9999999999999988E-2</v>
      </c>
    </row>
    <row r="37" spans="1:42" x14ac:dyDescent="0.35">
      <c r="B37" s="13" t="s">
        <v>79</v>
      </c>
      <c r="C37" s="1137">
        <f>VLOOKUP($B37,'[4]Data C 2,4'!$Z$3:$BL$41,C$1,0)</f>
        <v>0.33</v>
      </c>
      <c r="D37" s="396">
        <f>VLOOKUP($B37,'[4]Data C 2,4'!$Z$3:$BL$41,D$1,0)</f>
        <v>0.33</v>
      </c>
      <c r="E37" s="396">
        <f>VLOOKUP($B37,'[4]Data C 2,4'!$Z$3:$BL$41,E$1,0)</f>
        <v>0.33</v>
      </c>
      <c r="F37" s="396">
        <f>VLOOKUP($B37,'[4]Data C 2,4'!$Z$3:$BL$41,F$1,0)</f>
        <v>0.35</v>
      </c>
      <c r="G37" s="396">
        <f>VLOOKUP($B37,'[4]Data C 2,4'!$Z$3:$BL$41,G$1,0)</f>
        <v>0.35</v>
      </c>
      <c r="H37" s="396">
        <f>VLOOKUP($B37,'[4]Data C 2,4'!$Z$3:$BL$41,H$1,0)</f>
        <v>0.35</v>
      </c>
      <c r="I37" s="396">
        <f>VLOOKUP($B37,'[4]Data C 2,4'!$Z$3:$BL$41,I$1,0)</f>
        <v>0.35</v>
      </c>
      <c r="J37" s="396">
        <f>VLOOKUP($B37,'[4]Data C 2,4'!$Z$3:$BL$41,J$1,0)</f>
        <v>0.35</v>
      </c>
      <c r="K37" s="396">
        <f>VLOOKUP($B37,'[4]Data C 2,4'!$Z$3:$BL$41,K$1,0)</f>
        <v>0.35</v>
      </c>
      <c r="L37" s="396">
        <f>VLOOKUP($B37,'[4]Data C 2,4'!$Z$3:$BL$41,L$1,0)</f>
        <v>0.35</v>
      </c>
      <c r="M37" s="396">
        <f>VLOOKUP($B37,'[4]Data C 2,4'!$Z$3:$BL$41,M$1,0)</f>
        <v>0.35</v>
      </c>
      <c r="N37" s="396">
        <f>VLOOKUP($B37,'[4]Data C 2,4'!$Z$3:$BL$41,N$1,0)</f>
        <v>0.35</v>
      </c>
      <c r="O37" s="396">
        <f>VLOOKUP($B37,'[4]Data C 2,4'!$Z$3:$BL$41,O$1,0)</f>
        <v>0.35</v>
      </c>
      <c r="P37" s="396">
        <f>VLOOKUP($B37,'[4]Data C 2,4'!$Z$3:$BL$41,P$1,0)</f>
        <v>0.35</v>
      </c>
      <c r="Q37" s="396">
        <f>VLOOKUP($B37,'[4]Data C 2,4'!$Z$3:$BL$41,Q$1,0)</f>
        <v>0.35</v>
      </c>
      <c r="R37" s="396">
        <f>VLOOKUP($B37,'[4]Data C 2,4'!$Z$3:$BL$41,R$1,0)</f>
        <v>0.35</v>
      </c>
      <c r="S37" s="396">
        <f>VLOOKUP($B37,'[4]Data C 2,4'!$Z$3:$BL$41,S$1,0)</f>
        <v>0.35</v>
      </c>
      <c r="T37" s="396">
        <f>VLOOKUP($B37,'[4]Data C 2,4'!$Z$3:$BL$41,T$1,0)</f>
        <v>0.35</v>
      </c>
      <c r="U37" s="396">
        <f>VLOOKUP($B37,'[4]Data C 2,4'!$Z$3:$BL$41,U$1,0)</f>
        <v>0.35</v>
      </c>
      <c r="V37" s="396">
        <f>VLOOKUP($B37,'[4]Data C 2,4'!$Z$3:$BL$41,V$1,0)</f>
        <v>0.35</v>
      </c>
      <c r="W37" s="396">
        <f>VLOOKUP($B37,'[4]Data C 2,4'!$Z$3:$BL$41,W$1,0)</f>
        <v>0.35</v>
      </c>
      <c r="X37" s="396">
        <f>VLOOKUP($B37,'[4]Data C 2,4'!$Z$3:$BL$41,X$1,0)</f>
        <v>0.35</v>
      </c>
      <c r="Y37" s="396">
        <f>VLOOKUP($B37,'[4]Data C 2,4'!$Z$3:$BL$41,Y$1,0)</f>
        <v>0.35</v>
      </c>
      <c r="Z37" s="396">
        <f>VLOOKUP($B37,'[4]Data C 2,4'!$Z$3:$BL$41,Z$1,0)</f>
        <v>0.35</v>
      </c>
      <c r="AA37" s="396">
        <f>VLOOKUP($B37,'[4]Data C 2,4'!$Z$3:$BL$41,AA$1,0)</f>
        <v>0.35</v>
      </c>
      <c r="AB37" s="396">
        <f>VLOOKUP($B37,'[4]Data C 2,4'!$Z$3:$BL$41,AB$1,0)</f>
        <v>0.35</v>
      </c>
      <c r="AC37" s="396">
        <f>VLOOKUP($B37,'[4]Data C 2,4'!$Z$3:$BL$41,AC$1,0)</f>
        <v>0.32500000000000001</v>
      </c>
      <c r="AD37" s="396">
        <f>VLOOKUP($B37,'[4]Data C 2,4'!$Z$3:$BL$41,AD$1,0)</f>
        <v>0.3</v>
      </c>
      <c r="AE37" s="396">
        <f>VLOOKUP($B37,'[4]Data C 2,4'!$Z$3:$BL$41,AE$1,0)</f>
        <v>0.3</v>
      </c>
      <c r="AF37" s="396">
        <f>VLOOKUP($B37,'[4]Data C 2,4'!$Z$3:$BL$41,AF$1,0)</f>
        <v>0.3</v>
      </c>
      <c r="AG37" s="396">
        <f>VLOOKUP($B37,'[4]Data C 2,4'!$Z$3:$BL$41,AG$1,0)</f>
        <v>0.3</v>
      </c>
      <c r="AH37" s="396">
        <f>VLOOKUP($B37,'[4]Data C 2,4'!$Z$3:$BL$41,AH$1,0)</f>
        <v>0.3</v>
      </c>
      <c r="AI37" s="396">
        <f>VLOOKUP($B37,'[4]Data C 2,4'!$Z$3:$BL$41,AI$1,0)</f>
        <v>0.3</v>
      </c>
      <c r="AJ37" s="396">
        <f>VLOOKUP($B37,'[4]Data C 2,4'!$Z$3:$BL$41,AJ$1,0)</f>
        <v>0.3</v>
      </c>
      <c r="AK37" s="396">
        <f>VLOOKUP($B37,'[4]Data C 2,4'!$Z$3:$BL$41,AK$1,0)</f>
        <v>0.28000000000000003</v>
      </c>
      <c r="AL37" s="396">
        <f>VLOOKUP($B37,TableF1a!$B$8:$R$42,AL$1,0)</f>
        <v>0.25</v>
      </c>
      <c r="AM37" s="396">
        <f>VLOOKUP($B37,TableF1a!$B$8:$R$42,AM$1,0)</f>
        <v>0.25</v>
      </c>
      <c r="AN37" s="1364">
        <f>VLOOKUP($B37,TableF1a!$B$8:$R$42,AN$1,0)</f>
        <v>0.25</v>
      </c>
      <c r="AP37" s="1712">
        <f t="shared" si="1"/>
        <v>-9.9999999999999978E-2</v>
      </c>
    </row>
    <row r="38" spans="1:42" x14ac:dyDescent="0.35">
      <c r="B38" s="15" t="s">
        <v>80</v>
      </c>
      <c r="C38" s="1137">
        <f>VLOOKUP($B38,'[4]Data C 2,4'!$Z$3:$BL$41,C$1,0)</f>
        <v>0.57799999999999996</v>
      </c>
      <c r="D38" s="396">
        <f>VLOOKUP($B38,'[4]Data C 2,4'!$Z$3:$BL$41,D$1,0)</f>
        <v>0.57799999999999996</v>
      </c>
      <c r="E38" s="396">
        <f>VLOOKUP($B38,'[4]Data C 2,4'!$Z$3:$BL$41,E$1,0)</f>
        <v>0.58099999999999996</v>
      </c>
      <c r="F38" s="396">
        <f>VLOOKUP($B38,'[4]Data C 2,4'!$Z$3:$BL$41,F$1,0)</f>
        <v>0.56599999999999995</v>
      </c>
      <c r="G38" s="396">
        <f>VLOOKUP($B38,'[4]Data C 2,4'!$Z$3:$BL$41,G$1,0)</f>
        <v>0.56599999999999995</v>
      </c>
      <c r="H38" s="396">
        <f>VLOOKUP($B38,'[4]Data C 2,4'!$Z$3:$BL$41,H$1,0)</f>
        <v>0.56599999999999995</v>
      </c>
      <c r="I38" s="396">
        <f>VLOOKUP($B38,'[4]Data C 2,4'!$Z$3:$BL$41,I$1,0)</f>
        <v>0.56599999999999995</v>
      </c>
      <c r="J38" s="396">
        <f>VLOOKUP($B38,'[4]Data C 2,4'!$Z$3:$BL$41,J$1,0)</f>
        <v>0.56599999999999995</v>
      </c>
      <c r="K38" s="396">
        <f>VLOOKUP($B38,'[4]Data C 2,4'!$Z$3:$BL$41,K$1,0)</f>
        <v>0.60099999999999998</v>
      </c>
      <c r="L38" s="396">
        <f>VLOOKUP($B38,'[4]Data C 2,4'!$Z$3:$BL$41,L$1,0)</f>
        <v>0.53</v>
      </c>
      <c r="M38" s="396">
        <f>VLOOKUP($B38,'[4]Data C 2,4'!$Z$3:$BL$41,M$1,0)</f>
        <v>0.3</v>
      </c>
      <c r="N38" s="396">
        <f>VLOOKUP($B38,'[4]Data C 2,4'!$Z$3:$BL$41,N$1,0)</f>
        <v>0.3</v>
      </c>
      <c r="O38" s="396">
        <f>VLOOKUP($B38,'[4]Data C 2,4'!$Z$3:$BL$41,O$1,0)</f>
        <v>0.3</v>
      </c>
      <c r="P38" s="396">
        <f>VLOOKUP($B38,'[4]Data C 2,4'!$Z$3:$BL$41,P$1,0)</f>
        <v>0.28000000000000003</v>
      </c>
      <c r="Q38" s="396">
        <f>VLOOKUP($B38,'[4]Data C 2,4'!$Z$3:$BL$41,Q$1,0)</f>
        <v>0.28000000000000003</v>
      </c>
      <c r="R38" s="396">
        <f>VLOOKUP($B38,'[4]Data C 2,4'!$Z$3:$BL$41,R$1,0)</f>
        <v>0.28000000000000003</v>
      </c>
      <c r="S38" s="396">
        <f>VLOOKUP($B38,'[4]Data C 2,4'!$Z$3:$BL$41,S$1,0)</f>
        <v>0.28000000000000003</v>
      </c>
      <c r="T38" s="396">
        <f>VLOOKUP($B38,'[4]Data C 2,4'!$Z$3:$BL$41,T$1,0)</f>
        <v>0.28000000000000003</v>
      </c>
      <c r="U38" s="396">
        <f>VLOOKUP($B38,'[4]Data C 2,4'!$Z$3:$BL$41,U$1,0)</f>
        <v>0.28000000000000003</v>
      </c>
      <c r="V38" s="396">
        <f>VLOOKUP($B38,'[4]Data C 2,4'!$Z$3:$BL$41,V$1,0)</f>
        <v>0.28000000000000003</v>
      </c>
      <c r="W38" s="396">
        <f>VLOOKUP($B38,'[4]Data C 2,4'!$Z$3:$BL$41,W$1,0)</f>
        <v>0.28000000000000003</v>
      </c>
      <c r="X38" s="396">
        <f>VLOOKUP($B38,'[4]Data C 2,4'!$Z$3:$BL$41,X$1,0)</f>
        <v>0.28000000000000003</v>
      </c>
      <c r="Y38" s="396">
        <f>VLOOKUP($B38,'[4]Data C 2,4'!$Z$3:$BL$41,Y$1,0)</f>
        <v>0.28000000000000003</v>
      </c>
      <c r="Z38" s="396">
        <f>VLOOKUP($B38,'[4]Data C 2,4'!$Z$3:$BL$41,Z$1,0)</f>
        <v>0.28000000000000003</v>
      </c>
      <c r="AA38" s="396">
        <f>VLOOKUP($B38,'[4]Data C 2,4'!$Z$3:$BL$41,AA$1,0)</f>
        <v>0.28000000000000003</v>
      </c>
      <c r="AB38" s="396">
        <f>VLOOKUP($B38,'[4]Data C 2,4'!$Z$3:$BL$41,AB$1,0)</f>
        <v>0.28000000000000003</v>
      </c>
      <c r="AC38" s="396">
        <f>VLOOKUP($B38,'[4]Data C 2,4'!$Z$3:$BL$41,AC$1,0)</f>
        <v>0.28000000000000003</v>
      </c>
      <c r="AD38" s="396">
        <f>VLOOKUP($B38,'[4]Data C 2,4'!$Z$3:$BL$41,AD$1,0)</f>
        <v>0.28000000000000003</v>
      </c>
      <c r="AE38" s="396">
        <f>VLOOKUP($B38,'[4]Data C 2,4'!$Z$3:$BL$41,AE$1,0)</f>
        <v>0.26300000000000001</v>
      </c>
      <c r="AF38" s="396">
        <f>VLOOKUP($B38,'[4]Data C 2,4'!$Z$3:$BL$41,AF$1,0)</f>
        <v>0.26300000000000001</v>
      </c>
      <c r="AG38" s="396">
        <f>VLOOKUP($B38,'[4]Data C 2,4'!$Z$3:$BL$41,AG$1,0)</f>
        <v>0.26300000000000001</v>
      </c>
      <c r="AH38" s="396">
        <f>VLOOKUP($B38,'[4]Data C 2,4'!$Z$3:$BL$41,AH$1,0)</f>
        <v>0.26300000000000001</v>
      </c>
      <c r="AI38" s="396">
        <f>VLOOKUP($B38,'[4]Data C 2,4'!$Z$3:$BL$41,AI$1,0)</f>
        <v>0.22</v>
      </c>
      <c r="AJ38" s="396">
        <f>VLOOKUP($B38,'[4]Data C 2,4'!$Z$3:$BL$41,AJ$1,0)</f>
        <v>0.22</v>
      </c>
      <c r="AK38" s="396">
        <f>VLOOKUP($B38,'[4]Data C 2,4'!$Z$3:$BL$41,AK$1,0)</f>
        <v>0.22</v>
      </c>
      <c r="AL38" s="396">
        <f>VLOOKUP($B38,TableF1a!$B$8:$R$42,AL$1,0)</f>
        <v>0.22</v>
      </c>
      <c r="AM38" s="396">
        <f>VLOOKUP($B38,TableF1a!$B$8:$R$42,AM$1,0)</f>
        <v>0.22</v>
      </c>
      <c r="AN38" s="1364">
        <f>VLOOKUP($B38,TableF1a!$B$8:$R$42,AN$1,0)</f>
        <v>0.22</v>
      </c>
      <c r="AP38" s="1712">
        <f t="shared" si="1"/>
        <v>-6.0000000000000026E-2</v>
      </c>
    </row>
    <row r="39" spans="1:42" x14ac:dyDescent="0.35">
      <c r="B39" s="13" t="s">
        <v>1</v>
      </c>
      <c r="C39" s="1137">
        <f>VLOOKUP($B39,'[4]Data C 2,4'!$Z$3:$BL$41,C$1,0)</f>
        <v>0.33048269600000002</v>
      </c>
      <c r="D39" s="396">
        <f>VLOOKUP($B39,'[4]Data C 2,4'!$Z$3:$BL$41,D$1,0)</f>
        <v>0.33048269600000002</v>
      </c>
      <c r="E39" s="396">
        <f>VLOOKUP($B39,'[4]Data C 2,4'!$Z$3:$BL$41,E$1,0)</f>
        <v>0.33048269600000002</v>
      </c>
      <c r="F39" s="396">
        <f>VLOOKUP($B39,'[4]Data C 2,4'!$Z$3:$BL$41,F$1,0)</f>
        <v>0.32866120199999999</v>
      </c>
      <c r="G39" s="396">
        <f>VLOOKUP($B39,'[4]Data C 2,4'!$Z$3:$BL$41,G$1,0)</f>
        <v>0.31866120199999998</v>
      </c>
      <c r="H39" s="396">
        <f>VLOOKUP($B39,'[4]Data C 2,4'!$Z$3:$BL$41,H$1,0)</f>
        <v>0.31683970900000002</v>
      </c>
      <c r="I39" s="396">
        <f>VLOOKUP($B39,'[4]Data C 2,4'!$Z$3:$BL$41,I$1,0)</f>
        <v>0.31687613799999997</v>
      </c>
      <c r="J39" s="396">
        <f>VLOOKUP($B39,'[4]Data C 2,4'!$Z$3:$BL$41,J$1,0)</f>
        <v>0.30594717700000001</v>
      </c>
      <c r="K39" s="396">
        <f>VLOOKUP($B39,'[4]Data C 2,4'!$Z$3:$BL$41,K$1,0)</f>
        <v>0.305965392</v>
      </c>
      <c r="L39" s="396">
        <f>VLOOKUP($B39,'[4]Data C 2,4'!$Z$3:$BL$41,L$1,0)</f>
        <v>0.305965392</v>
      </c>
      <c r="M39" s="396">
        <f>VLOOKUP($B39,'[4]Data C 2,4'!$Z$3:$BL$41,M$1,0)</f>
        <v>0.27721014700000002</v>
      </c>
      <c r="N39" s="396">
        <f>VLOOKUP($B39,'[4]Data C 2,4'!$Z$3:$BL$41,N$1,0)</f>
        <v>0.280343593</v>
      </c>
      <c r="O39" s="396">
        <f>VLOOKUP($B39,'[4]Data C 2,4'!$Z$3:$BL$41,O$1,0)</f>
        <v>0.28466785700000002</v>
      </c>
      <c r="P39" s="396">
        <f>VLOOKUP($B39,'[4]Data C 2,4'!$Z$3:$BL$41,P$1,0)</f>
        <v>0.28466785700000002</v>
      </c>
      <c r="Q39" s="396">
        <f>VLOOKUP($B39,'[4]Data C 2,4'!$Z$3:$BL$41,Q$1,0)</f>
        <v>0.284692418</v>
      </c>
      <c r="R39" s="396">
        <f>VLOOKUP($B39,'[4]Data C 2,4'!$Z$3:$BL$41,R$1,0)</f>
        <v>0.284692418</v>
      </c>
      <c r="S39" s="396">
        <f>VLOOKUP($B39,'[4]Data C 2,4'!$Z$3:$BL$41,S$1,0)</f>
        <v>0.284692418</v>
      </c>
      <c r="T39" s="396">
        <f>VLOOKUP($B39,'[4]Data C 2,4'!$Z$3:$BL$41,T$1,0)</f>
        <v>0.277984595</v>
      </c>
      <c r="U39" s="396">
        <f>VLOOKUP($B39,'[4]Data C 2,4'!$Z$3:$BL$41,U$1,0)</f>
        <v>0.250941941</v>
      </c>
      <c r="V39" s="396">
        <f>VLOOKUP($B39,'[4]Data C 2,4'!$Z$3:$BL$41,V$1,0)</f>
        <v>0.24925488500000001</v>
      </c>
      <c r="W39" s="396">
        <f>VLOOKUP($B39,'[4]Data C 2,4'!$Z$3:$BL$41,W$1,0)</f>
        <v>0.246993622</v>
      </c>
      <c r="X39" s="396">
        <f>VLOOKUP($B39,'[4]Data C 2,4'!$Z$3:$BL$41,X$1,0)</f>
        <v>0.24415352800000001</v>
      </c>
      <c r="Y39" s="396">
        <f>VLOOKUP($B39,'[4]Data C 2,4'!$Z$3:$BL$41,Y$1,0)</f>
        <v>0.240998239</v>
      </c>
      <c r="Z39" s="396">
        <f>VLOOKUP($B39,'[4]Data C 2,4'!$Z$3:$BL$41,Z$1,0)</f>
        <v>0.240998239</v>
      </c>
      <c r="AA39" s="396">
        <f>VLOOKUP($B39,'[4]Data C 2,4'!$Z$3:$BL$41,AA$1,0)</f>
        <v>0.2132</v>
      </c>
      <c r="AB39" s="396">
        <f>VLOOKUP($B39,'[4]Data C 2,4'!$Z$3:$BL$41,AB$1,0)</f>
        <v>0.2132</v>
      </c>
      <c r="AC39" s="396">
        <f>VLOOKUP($B39,'[4]Data C 2,4'!$Z$3:$BL$41,AC$1,0)</f>
        <v>0.213232795</v>
      </c>
      <c r="AD39" s="396">
        <f>VLOOKUP($B39,'[4]Data C 2,4'!$Z$3:$BL$41,AD$1,0)</f>
        <v>0.21174437800000001</v>
      </c>
      <c r="AE39" s="396">
        <f>VLOOKUP($B39,'[4]Data C 2,4'!$Z$3:$BL$41,AE$1,0)</f>
        <v>0.21174437800000001</v>
      </c>
      <c r="AF39" s="396">
        <f>VLOOKUP($B39,'[4]Data C 2,4'!$Z$3:$BL$41,AF$1,0)</f>
        <v>0.21174437800000001</v>
      </c>
      <c r="AG39" s="396">
        <f>VLOOKUP($B39,'[4]Data C 2,4'!$Z$3:$BL$41,AG$1,0)</f>
        <v>0.21174437800000001</v>
      </c>
      <c r="AH39" s="396">
        <f>VLOOKUP($B39,'[4]Data C 2,4'!$Z$3:$BL$41,AH$1,0)</f>
        <v>0.21174437800000001</v>
      </c>
      <c r="AI39" s="396">
        <f>VLOOKUP($B39,'[4]Data C 2,4'!$Z$3:$BL$41,AI$1,0)</f>
        <v>0.21148581299999999</v>
      </c>
      <c r="AJ39" s="396">
        <f>VLOOKUP($B39,'[4]Data C 2,4'!$Z$3:$BL$41,AJ$1,0)</f>
        <v>0.21149999999999999</v>
      </c>
      <c r="AK39" s="396">
        <f>VLOOKUP($B39,'[4]Data C 2,4'!$Z$3:$BL$41,AK$1,0)</f>
        <v>0.21149999999999999</v>
      </c>
      <c r="AL39" s="396">
        <f>VLOOKUP($B39,TableF1a!$B$8:$R$42,AL$1,0)</f>
        <v>0.17920000000000003</v>
      </c>
      <c r="AM39" s="396">
        <f>VLOOKUP($B39,TableF1a!$B$8:$R$42,AM$1,0)</f>
        <v>0.1777</v>
      </c>
      <c r="AN39" s="1364">
        <f>VLOOKUP($B39,TableF1a!$B$8:$R$42,AN$1,0)</f>
        <v>0.18</v>
      </c>
      <c r="AP39" s="1712">
        <f t="shared" si="1"/>
        <v>-7.0054884999999983E-2</v>
      </c>
    </row>
    <row r="40" spans="1:42" x14ac:dyDescent="0.35">
      <c r="B40" s="13" t="s">
        <v>81</v>
      </c>
      <c r="C40" s="1137">
        <f>VLOOKUP($B40,'[4]Data C 2,4'!$Z$3:$BL$41,C$1,0)</f>
        <v>0</v>
      </c>
      <c r="D40" s="396">
        <f>VLOOKUP($B40,'[4]Data C 2,4'!$Z$3:$BL$41,D$1,0)</f>
        <v>0</v>
      </c>
      <c r="E40" s="396">
        <f>VLOOKUP($B40,'[4]Data C 2,4'!$Z$3:$BL$41,E$1,0)</f>
        <v>0</v>
      </c>
      <c r="F40" s="396">
        <f>VLOOKUP($B40,'[4]Data C 2,4'!$Z$3:$BL$41,F$1,0)</f>
        <v>0</v>
      </c>
      <c r="G40" s="396">
        <f>VLOOKUP($B40,'[4]Data C 2,4'!$Z$3:$BL$41,G$1,0)</f>
        <v>0</v>
      </c>
      <c r="H40" s="396">
        <f>VLOOKUP($B40,'[4]Data C 2,4'!$Z$3:$BL$41,H$1,0)</f>
        <v>0</v>
      </c>
      <c r="I40" s="396">
        <f>VLOOKUP($B40,'[4]Data C 2,4'!$Z$3:$BL$41,I$1,0)</f>
        <v>0</v>
      </c>
      <c r="J40" s="396">
        <f>VLOOKUP($B40,'[4]Data C 2,4'!$Z$3:$BL$41,J$1,0)</f>
        <v>0</v>
      </c>
      <c r="K40" s="396">
        <f>VLOOKUP($B40,'[4]Data C 2,4'!$Z$3:$BL$41,K$1,0)</f>
        <v>0</v>
      </c>
      <c r="L40" s="396">
        <f>VLOOKUP($B40,'[4]Data C 2,4'!$Z$3:$BL$41,L$1,0)</f>
        <v>0</v>
      </c>
      <c r="M40" s="396">
        <f>VLOOKUP($B40,'[4]Data C 2,4'!$Z$3:$BL$41,M$1,0)</f>
        <v>0</v>
      </c>
      <c r="N40" s="396">
        <f>VLOOKUP($B40,'[4]Data C 2,4'!$Z$3:$BL$41,N$1,0)</f>
        <v>0</v>
      </c>
      <c r="O40" s="396">
        <f>VLOOKUP($B40,'[4]Data C 2,4'!$Z$3:$BL$41,O$1,0)</f>
        <v>0</v>
      </c>
      <c r="P40" s="396">
        <f>VLOOKUP($B40,'[4]Data C 2,4'!$Z$3:$BL$41,P$1,0)</f>
        <v>0</v>
      </c>
      <c r="Q40" s="396">
        <f>VLOOKUP($B40,'[4]Data C 2,4'!$Z$3:$BL$41,Q$1,0)</f>
        <v>0</v>
      </c>
      <c r="R40" s="396">
        <f>VLOOKUP($B40,'[4]Data C 2,4'!$Z$3:$BL$41,R$1,0)</f>
        <v>0</v>
      </c>
      <c r="S40" s="396">
        <f>VLOOKUP($B40,'[4]Data C 2,4'!$Z$3:$BL$41,S$1,0)</f>
        <v>0</v>
      </c>
      <c r="T40" s="396">
        <f>VLOOKUP($B40,'[4]Data C 2,4'!$Z$3:$BL$41,T$1,0)</f>
        <v>0</v>
      </c>
      <c r="U40" s="396">
        <f>VLOOKUP($B40,'[4]Data C 2,4'!$Z$3:$BL$41,U$1,0)</f>
        <v>0</v>
      </c>
      <c r="V40" s="396">
        <f>VLOOKUP($B40,'[4]Data C 2,4'!$Z$3:$BL$41,V$1,0)</f>
        <v>0.33</v>
      </c>
      <c r="W40" s="396">
        <f>VLOOKUP($B40,'[4]Data C 2,4'!$Z$3:$BL$41,W$1,0)</f>
        <v>0.33</v>
      </c>
      <c r="X40" s="396">
        <f>VLOOKUP($B40,'[4]Data C 2,4'!$Z$3:$BL$41,X$1,0)</f>
        <v>0.33</v>
      </c>
      <c r="Y40" s="396">
        <f>VLOOKUP($B40,'[4]Data C 2,4'!$Z$3:$BL$41,Y$1,0)</f>
        <v>0.3</v>
      </c>
      <c r="Z40" s="396">
        <f>VLOOKUP($B40,'[4]Data C 2,4'!$Z$3:$BL$41,Z$1,0)</f>
        <v>0.33</v>
      </c>
      <c r="AA40" s="396">
        <f>VLOOKUP($B40,'[4]Data C 2,4'!$Z$3:$BL$41,AA$1,0)</f>
        <v>0.3</v>
      </c>
      <c r="AB40" s="396">
        <f>VLOOKUP($B40,'[4]Data C 2,4'!$Z$3:$BL$41,AB$1,0)</f>
        <v>0.2</v>
      </c>
      <c r="AC40" s="396">
        <f>VLOOKUP($B40,'[4]Data C 2,4'!$Z$3:$BL$41,AC$1,0)</f>
        <v>0.2</v>
      </c>
      <c r="AD40" s="396">
        <f>VLOOKUP($B40,'[4]Data C 2,4'!$Z$3:$BL$41,AD$1,0)</f>
        <v>0.2</v>
      </c>
      <c r="AE40" s="396">
        <f>VLOOKUP($B40,'[4]Data C 2,4'!$Z$3:$BL$41,AE$1,0)</f>
        <v>0.2</v>
      </c>
      <c r="AF40" s="396">
        <f>VLOOKUP($B40,'[4]Data C 2,4'!$Z$3:$BL$41,AF$1,0)</f>
        <v>0.2</v>
      </c>
      <c r="AG40" s="396">
        <f>VLOOKUP($B40,'[4]Data C 2,4'!$Z$3:$BL$41,AG$1,0)</f>
        <v>0.2</v>
      </c>
      <c r="AH40" s="396">
        <f>VLOOKUP($B40,'[4]Data C 2,4'!$Z$3:$BL$41,AH$1,0)</f>
        <v>0.2</v>
      </c>
      <c r="AI40" s="396">
        <f>VLOOKUP($B40,'[4]Data C 2,4'!$Z$3:$BL$41,AI$1,0)</f>
        <v>0.2</v>
      </c>
      <c r="AJ40" s="396">
        <f>VLOOKUP($B40,'[4]Data C 2,4'!$Z$3:$BL$41,AJ$1,0)</f>
        <v>0.2</v>
      </c>
      <c r="AK40" s="396">
        <f>VLOOKUP($B40,'[4]Data C 2,4'!$Z$3:$BL$41,AK$1,0)</f>
        <v>0.2</v>
      </c>
      <c r="AL40" s="396">
        <f>VLOOKUP($B40,TableF1a!$B$8:$R$42,AL$1,0)</f>
        <v>0.2</v>
      </c>
      <c r="AM40" s="396">
        <f>VLOOKUP($B40,TableF1a!$B$8:$R$42,AM$1,0)</f>
        <v>0.2</v>
      </c>
      <c r="AN40" s="1364">
        <f>VLOOKUP($B40,TableF1a!$B$8:$R$42,AN$1,0)</f>
        <v>0.22</v>
      </c>
      <c r="AP40" s="1712">
        <f t="shared" si="1"/>
        <v>-0.13</v>
      </c>
    </row>
    <row r="41" spans="1:42" x14ac:dyDescent="0.35">
      <c r="B41" s="13" t="s">
        <v>82</v>
      </c>
      <c r="C41" s="1137">
        <f>VLOOKUP($B41,'[4]Data C 2,4'!$Z$3:$BL$41,C$1,0)</f>
        <v>0.52</v>
      </c>
      <c r="D41" s="396">
        <f>VLOOKUP($B41,'[4]Data C 2,4'!$Z$3:$BL$41,D$1,0)</f>
        <v>0.52</v>
      </c>
      <c r="E41" s="396">
        <f>VLOOKUP($B41,'[4]Data C 2,4'!$Z$3:$BL$41,E$1,0)</f>
        <v>0.5</v>
      </c>
      <c r="F41" s="396">
        <f>VLOOKUP($B41,'[4]Data C 2,4'!$Z$3:$BL$41,F$1,0)</f>
        <v>0.45</v>
      </c>
      <c r="G41" s="396">
        <f>VLOOKUP($B41,'[4]Data C 2,4'!$Z$3:$BL$41,G$1,0)</f>
        <v>0.4</v>
      </c>
      <c r="H41" s="396">
        <f>VLOOKUP($B41,'[4]Data C 2,4'!$Z$3:$BL$41,H$1,0)</f>
        <v>0.35</v>
      </c>
      <c r="I41" s="396">
        <f>VLOOKUP($B41,'[4]Data C 2,4'!$Z$3:$BL$41,I$1,0)</f>
        <v>0.35</v>
      </c>
      <c r="J41" s="396">
        <f>VLOOKUP($B41,'[4]Data C 2,4'!$Z$3:$BL$41,J$1,0)</f>
        <v>0.35</v>
      </c>
      <c r="K41" s="396">
        <f>VLOOKUP($B41,'[4]Data C 2,4'!$Z$3:$BL$41,K$1,0)</f>
        <v>0.35</v>
      </c>
      <c r="L41" s="396">
        <f>VLOOKUP($B41,'[4]Data C 2,4'!$Z$3:$BL$41,L$1,0)</f>
        <v>0.34</v>
      </c>
      <c r="M41" s="396">
        <f>VLOOKUP($B41,'[4]Data C 2,4'!$Z$3:$BL$41,M$1,0)</f>
        <v>0.33</v>
      </c>
      <c r="N41" s="396">
        <f>VLOOKUP($B41,'[4]Data C 2,4'!$Z$3:$BL$41,N$1,0)</f>
        <v>0.33</v>
      </c>
      <c r="O41" s="396">
        <f>VLOOKUP($B41,'[4]Data C 2,4'!$Z$3:$BL$41,O$1,0)</f>
        <v>0.33</v>
      </c>
      <c r="P41" s="396">
        <f>VLOOKUP($B41,'[4]Data C 2,4'!$Z$3:$BL$41,P$1,0)</f>
        <v>0.33</v>
      </c>
      <c r="Q41" s="396">
        <f>VLOOKUP($B41,'[4]Data C 2,4'!$Z$3:$BL$41,Q$1,0)</f>
        <v>0.33</v>
      </c>
      <c r="R41" s="396">
        <f>VLOOKUP($B41,'[4]Data C 2,4'!$Z$3:$BL$41,R$1,0)</f>
        <v>0.33</v>
      </c>
      <c r="S41" s="396">
        <f>VLOOKUP($B41,'[4]Data C 2,4'!$Z$3:$BL$41,S$1,0)</f>
        <v>0.31</v>
      </c>
      <c r="T41" s="396">
        <f>VLOOKUP($B41,'[4]Data C 2,4'!$Z$3:$BL$41,T$1,0)</f>
        <v>0.31</v>
      </c>
      <c r="U41" s="396">
        <f>VLOOKUP($B41,'[4]Data C 2,4'!$Z$3:$BL$41,U$1,0)</f>
        <v>0.3</v>
      </c>
      <c r="V41" s="396">
        <f>VLOOKUP($B41,'[4]Data C 2,4'!$Z$3:$BL$41,V$1,0)</f>
        <v>0.3</v>
      </c>
      <c r="W41" s="396">
        <f>VLOOKUP($B41,'[4]Data C 2,4'!$Z$3:$BL$41,W$1,0)</f>
        <v>0.3</v>
      </c>
      <c r="X41" s="396">
        <f>VLOOKUP($B41,'[4]Data C 2,4'!$Z$3:$BL$41,X$1,0)</f>
        <v>0.3</v>
      </c>
      <c r="Y41" s="396">
        <f>VLOOKUP($B41,'[4]Data C 2,4'!$Z$3:$BL$41,Y$1,0)</f>
        <v>0.3</v>
      </c>
      <c r="Z41" s="396">
        <f>VLOOKUP($B41,'[4]Data C 2,4'!$Z$3:$BL$41,Z$1,0)</f>
        <v>0.3</v>
      </c>
      <c r="AA41" s="396">
        <f>VLOOKUP($B41,'[4]Data C 2,4'!$Z$3:$BL$41,AA$1,0)</f>
        <v>0.3</v>
      </c>
      <c r="AB41" s="396">
        <f>VLOOKUP($B41,'[4]Data C 2,4'!$Z$3:$BL$41,AB$1,0)</f>
        <v>0.3</v>
      </c>
      <c r="AC41" s="396">
        <f>VLOOKUP($B41,'[4]Data C 2,4'!$Z$3:$BL$41,AC$1,0)</f>
        <v>0.3</v>
      </c>
      <c r="AD41" s="396">
        <f>VLOOKUP($B41,'[4]Data C 2,4'!$Z$3:$BL$41,AD$1,0)</f>
        <v>0.28000000000000003</v>
      </c>
      <c r="AE41" s="396">
        <f>VLOOKUP($B41,'[4]Data C 2,4'!$Z$3:$BL$41,AE$1,0)</f>
        <v>0.28000000000000003</v>
      </c>
      <c r="AF41" s="396">
        <f>VLOOKUP($B41,'[4]Data C 2,4'!$Z$3:$BL$41,AF$1,0)</f>
        <v>0.28000000000000003</v>
      </c>
      <c r="AG41" s="396">
        <f>VLOOKUP($B41,'[4]Data C 2,4'!$Z$3:$BL$41,AG$1,0)</f>
        <v>0.26</v>
      </c>
      <c r="AH41" s="396">
        <f>VLOOKUP($B41,'[4]Data C 2,4'!$Z$3:$BL$41,AH$1,0)</f>
        <v>0.24</v>
      </c>
      <c r="AI41" s="396">
        <f>VLOOKUP($B41,'[4]Data C 2,4'!$Z$3:$BL$41,AI$1,0)</f>
        <v>0.23</v>
      </c>
      <c r="AJ41" s="396">
        <f>VLOOKUP($B41,'[4]Data C 2,4'!$Z$3:$BL$41,AJ$1,0)</f>
        <v>0.21</v>
      </c>
      <c r="AK41" s="396">
        <f>VLOOKUP($B41,'[4]Data C 2,4'!$Z$3:$BL$41,AK$1,0)</f>
        <v>0.2</v>
      </c>
      <c r="AL41" s="396">
        <f>VLOOKUP($B41,TableF1a!$B$8:$R$42,AL$1,0)</f>
        <v>0.2</v>
      </c>
      <c r="AM41" s="396">
        <f>VLOOKUP($B41,TableF1a!$B$8:$R$42,AM$1,0)</f>
        <v>0.19</v>
      </c>
      <c r="AN41" s="1364">
        <f>VLOOKUP($B41,TableF1a!$B$8:$R$42,AN$1,0)</f>
        <v>0.19</v>
      </c>
      <c r="AP41" s="1712">
        <f t="shared" si="1"/>
        <v>-9.9999999999999978E-2</v>
      </c>
    </row>
    <row r="42" spans="1:42" x14ac:dyDescent="0.35">
      <c r="B42" s="13" t="s">
        <v>0</v>
      </c>
      <c r="C42" s="1137">
        <f>VLOOKUP($B42,'[4]Data C 2,4'!$Z$3:$BL$41,C$1,0)</f>
        <v>0.49698999999999999</v>
      </c>
      <c r="D42" s="396">
        <f>VLOOKUP($B42,'[4]Data C 2,4'!$Z$3:$BL$41,D$1,0)</f>
        <v>0.49698999999999999</v>
      </c>
      <c r="E42" s="396">
        <f>VLOOKUP($B42,'[4]Data C 2,4'!$Z$3:$BL$41,E$1,0)</f>
        <v>0.49834000000000001</v>
      </c>
      <c r="F42" s="396">
        <f>VLOOKUP($B42,'[4]Data C 2,4'!$Z$3:$BL$41,F$1,0)</f>
        <v>0.49785400000000002</v>
      </c>
      <c r="G42" s="396">
        <f>VLOOKUP($B42,'[4]Data C 2,4'!$Z$3:$BL$41,G$1,0)</f>
        <v>0.49785400000000002</v>
      </c>
      <c r="H42" s="396">
        <f>VLOOKUP($B42,'[4]Data C 2,4'!$Z$3:$BL$41,H$1,0)</f>
        <v>0.49823200000000001</v>
      </c>
      <c r="I42" s="396">
        <f>VLOOKUP($B42,'[4]Data C 2,4'!$Z$3:$BL$41,I$1,0)</f>
        <v>0.44175999999999999</v>
      </c>
      <c r="J42" s="396">
        <f>VLOOKUP($B42,'[4]Data C 2,4'!$Z$3:$BL$41,J$1,0)</f>
        <v>0.385936</v>
      </c>
      <c r="K42" s="396">
        <f>VLOOKUP($B42,'[4]Data C 2,4'!$Z$3:$BL$41,K$1,0)</f>
        <v>0.38666200000000001</v>
      </c>
      <c r="L42" s="396">
        <f>VLOOKUP($B42,'[4]Data C 2,4'!$Z$3:$BL$41,L$1,0)</f>
        <v>0.38652999999999998</v>
      </c>
      <c r="M42" s="396">
        <f>VLOOKUP($B42,'[4]Data C 2,4'!$Z$3:$BL$41,M$1,0)</f>
        <v>0.38851000000000002</v>
      </c>
      <c r="N42" s="396">
        <f>VLOOKUP($B42,'[4]Data C 2,4'!$Z$3:$BL$41,N$1,0)</f>
        <v>0.38864199999999999</v>
      </c>
      <c r="O42" s="396">
        <f>VLOOKUP($B42,'[4]Data C 2,4'!$Z$3:$BL$41,O$1,0)</f>
        <v>0.39751500000000001</v>
      </c>
      <c r="P42" s="396">
        <f>VLOOKUP($B42,'[4]Data C 2,4'!$Z$3:$BL$41,P$1,0)</f>
        <v>0.39686500000000002</v>
      </c>
      <c r="Q42" s="396">
        <f>VLOOKUP($B42,'[4]Data C 2,4'!$Z$3:$BL$41,Q$1,0)</f>
        <v>0.39608500000000002</v>
      </c>
      <c r="R42" s="396">
        <f>VLOOKUP($B42,'[4]Data C 2,4'!$Z$3:$BL$41,R$1,0)</f>
        <v>0.39530500000000002</v>
      </c>
      <c r="S42" s="396">
        <f>VLOOKUP($B42,'[4]Data C 2,4'!$Z$3:$BL$41,S$1,0)</f>
        <v>0.39452500000000001</v>
      </c>
      <c r="T42" s="396">
        <f>VLOOKUP($B42,'[4]Data C 2,4'!$Z$3:$BL$41,T$1,0)</f>
        <v>0.394395</v>
      </c>
      <c r="U42" s="396">
        <f>VLOOKUP($B42,'[4]Data C 2,4'!$Z$3:$BL$41,U$1,0)</f>
        <v>0.39394000000000001</v>
      </c>
      <c r="V42" s="396">
        <f>VLOOKUP($B42,'[4]Data C 2,4'!$Z$3:$BL$41,V$1,0)</f>
        <v>0.39340000000000003</v>
      </c>
      <c r="W42" s="396">
        <f>VLOOKUP($B42,'[4]Data C 2,4'!$Z$3:$BL$41,W$1,0)</f>
        <v>0.3926</v>
      </c>
      <c r="X42" s="396">
        <f>VLOOKUP($B42,'[4]Data C 2,4'!$Z$3:$BL$41,X$1,0)</f>
        <v>0.39300000000000002</v>
      </c>
      <c r="Y42" s="396">
        <f>VLOOKUP($B42,'[4]Data C 2,4'!$Z$3:$BL$41,Y$1,0)</f>
        <v>0.39329999999999998</v>
      </c>
      <c r="Z42" s="396">
        <f>VLOOKUP($B42,'[4]Data C 2,4'!$Z$3:$BL$41,Z$1,0)</f>
        <v>0.39309500000000003</v>
      </c>
      <c r="AA42" s="396">
        <f>VLOOKUP($B42,'[4]Data C 2,4'!$Z$3:$BL$41,AA$1,0)</f>
        <v>0.39277000000000001</v>
      </c>
      <c r="AB42" s="396">
        <f>VLOOKUP($B42,'[4]Data C 2,4'!$Z$3:$BL$41,AB$1,0)</f>
        <v>0.39300000000000002</v>
      </c>
      <c r="AC42" s="396">
        <f>VLOOKUP($B42,'[4]Data C 2,4'!$Z$3:$BL$41,AC$1,0)</f>
        <v>0.39257500000000001</v>
      </c>
      <c r="AD42" s="396">
        <f>VLOOKUP($B42,'[4]Data C 2,4'!$Z$3:$BL$41,AD$1,0)</f>
        <v>0.39251000000000003</v>
      </c>
      <c r="AE42" s="396">
        <f>VLOOKUP($B42,'[4]Data C 2,4'!$Z$3:$BL$41,AE$1,0)</f>
        <v>0.39095000000000002</v>
      </c>
      <c r="AF42" s="396">
        <f>VLOOKUP($B42,'[4]Data C 2,4'!$Z$3:$BL$41,AF$1,0)</f>
        <v>0.39205499999999999</v>
      </c>
      <c r="AG42" s="396">
        <f>VLOOKUP($B42,'[4]Data C 2,4'!$Z$3:$BL$41,AG$1,0)</f>
        <v>0.39185999999999999</v>
      </c>
      <c r="AH42" s="396">
        <f>VLOOKUP($B42,'[4]Data C 2,4'!$Z$3:$BL$41,AH$1,0)</f>
        <v>0.39134000000000002</v>
      </c>
      <c r="AI42" s="396">
        <f>VLOOKUP($B42,'[4]Data C 2,4'!$Z$3:$BL$41,AI$1,0)</f>
        <v>0.39134000000000002</v>
      </c>
      <c r="AJ42" s="396">
        <f>VLOOKUP($B42,'[4]Data C 2,4'!$Z$3:$BL$41,AJ$1,0)</f>
        <v>0.39079999999999998</v>
      </c>
      <c r="AK42" s="396">
        <f>VLOOKUP($B42,'[4]Data C 2,4'!$Z$3:$BL$41,AK$1,0)</f>
        <v>0.39</v>
      </c>
      <c r="AL42" s="396">
        <f>VLOOKUP($B42,TableF1a!$B$8:$R$42,AL$1,0)</f>
        <v>0.38923934000000004</v>
      </c>
      <c r="AM42" s="396">
        <f>VLOOKUP($B42,TableF1a!$B$8:$R$42,AM$1,0)</f>
        <v>0.38923934000000004</v>
      </c>
      <c r="AN42" s="1364">
        <f>VLOOKUP($B42,TableF1a!$B$8:$R$42,AN$1,0)</f>
        <v>0.23923934000000002</v>
      </c>
      <c r="AO42" s="1145"/>
      <c r="AP42" s="1712">
        <f t="shared" si="1"/>
        <v>-4.1606599999999827E-3</v>
      </c>
    </row>
    <row r="43" spans="1:42" x14ac:dyDescent="0.35">
      <c r="B43" s="1045" t="s">
        <v>699</v>
      </c>
      <c r="C43" s="1137">
        <f>AVERAGEIF(C7:C42,"&gt;0")</f>
        <v>0.47522727123809522</v>
      </c>
      <c r="D43" s="396">
        <f t="shared" ref="D43:AK43" si="2">AVERAGEIF(D7:D42,"&gt;0")</f>
        <v>0.48032727123809527</v>
      </c>
      <c r="E43" s="396">
        <f t="shared" si="2"/>
        <v>0.48193917600000008</v>
      </c>
      <c r="F43" s="396">
        <f t="shared" si="2"/>
        <v>0.47711977152380947</v>
      </c>
      <c r="G43" s="396">
        <f t="shared" si="2"/>
        <v>0.48178643819047628</v>
      </c>
      <c r="H43" s="396">
        <f t="shared" si="2"/>
        <v>0.47230817661904761</v>
      </c>
      <c r="I43" s="396">
        <f t="shared" si="2"/>
        <v>0.46639219704761914</v>
      </c>
      <c r="J43" s="396">
        <f t="shared" si="2"/>
        <v>0.44193253223809525</v>
      </c>
      <c r="K43" s="396">
        <f t="shared" si="2"/>
        <v>0.4266148814545454</v>
      </c>
      <c r="L43" s="396">
        <f t="shared" si="2"/>
        <v>0.41046738856521736</v>
      </c>
      <c r="M43" s="396">
        <f t="shared" si="2"/>
        <v>0.39557044117391305</v>
      </c>
      <c r="N43" s="396">
        <f t="shared" si="2"/>
        <v>0.38077113883333341</v>
      </c>
      <c r="O43" s="396">
        <f t="shared" si="2"/>
        <v>0.3763000095384616</v>
      </c>
      <c r="P43" s="396">
        <f t="shared" si="2"/>
        <v>0.37084123026923077</v>
      </c>
      <c r="Q43" s="396">
        <f t="shared" si="2"/>
        <v>0.3664063221153846</v>
      </c>
      <c r="R43" s="396">
        <f t="shared" si="2"/>
        <v>0.36631761930769235</v>
      </c>
      <c r="S43" s="396">
        <f t="shared" si="2"/>
        <v>0.36618111730769232</v>
      </c>
      <c r="T43" s="396">
        <f t="shared" si="2"/>
        <v>0.35608230176923072</v>
      </c>
      <c r="U43" s="396">
        <f t="shared" si="2"/>
        <v>0.34762745734615386</v>
      </c>
      <c r="V43" s="396">
        <f t="shared" si="2"/>
        <v>0.32588490691176464</v>
      </c>
      <c r="W43" s="396">
        <f t="shared" si="2"/>
        <v>0.3164090035882352</v>
      </c>
      <c r="X43" s="396">
        <f t="shared" si="2"/>
        <v>0.30549581402941178</v>
      </c>
      <c r="Y43" s="396">
        <f t="shared" si="2"/>
        <v>0.29739588328571431</v>
      </c>
      <c r="Z43" s="396">
        <f t="shared" si="2"/>
        <v>0.28820849680000005</v>
      </c>
      <c r="AA43" s="396">
        <f t="shared" si="2"/>
        <v>0.27786783282857153</v>
      </c>
      <c r="AB43" s="396">
        <f t="shared" si="2"/>
        <v>0.27156297568571447</v>
      </c>
      <c r="AC43" s="396">
        <f t="shared" si="2"/>
        <v>0.26643462697142867</v>
      </c>
      <c r="AD43" s="396">
        <f t="shared" si="2"/>
        <v>0.25660583937142861</v>
      </c>
      <c r="AE43" s="396">
        <f t="shared" si="2"/>
        <v>0.25386126794285713</v>
      </c>
      <c r="AF43" s="396">
        <f t="shared" si="2"/>
        <v>0.25341855365714283</v>
      </c>
      <c r="AG43" s="396">
        <f t="shared" si="2"/>
        <v>0.25169583937142859</v>
      </c>
      <c r="AH43" s="396">
        <f t="shared" si="2"/>
        <v>0.25110955365714288</v>
      </c>
      <c r="AI43" s="396">
        <f t="shared" si="2"/>
        <v>0.25183930894285717</v>
      </c>
      <c r="AJ43" s="396">
        <f t="shared" si="2"/>
        <v>0.25001142857142866</v>
      </c>
      <c r="AK43" s="396">
        <f t="shared" si="2"/>
        <v>0.24702285714285724</v>
      </c>
      <c r="AL43" s="396">
        <f t="shared" ref="AL43" si="3">AVERAGEIF(AL7:AL42,"&gt;0")</f>
        <v>0.24300969542857145</v>
      </c>
      <c r="AM43" s="396">
        <f t="shared" ref="AM43" si="4">AVERAGEIF(AM7:AM42,"&gt;0")</f>
        <v>0.23664112400000004</v>
      </c>
      <c r="AN43" s="1364">
        <f t="shared" ref="AN43" si="5">AVERAGEIF(AN7:AN42,"&gt;0")</f>
        <v>0.23308398114285717</v>
      </c>
      <c r="AO43" s="1145"/>
      <c r="AP43" s="1712">
        <f t="shared" si="1"/>
        <v>-8.2875211483193184E-2</v>
      </c>
    </row>
    <row r="44" spans="1:42" ht="40" customHeight="1" thickBot="1" x14ac:dyDescent="0.4">
      <c r="B44" s="1707" t="s">
        <v>680</v>
      </c>
      <c r="C44" s="620">
        <f>+C43*(SUM($Y$43:$AN$43)/SUM(TableF1a!$C$93:$R$93))</f>
        <v>0.48011815410961156</v>
      </c>
      <c r="D44" s="620">
        <f>+D43*(SUM($Y$43:$AN$43)/SUM(TableF1a!$C$93:$R$93))</f>
        <v>0.48527064163327532</v>
      </c>
      <c r="E44" s="620">
        <f>+E43*(SUM($Y$43:$AN$43)/SUM(TableF1a!$C$93:$R$93))</f>
        <v>0.4868991355891672</v>
      </c>
      <c r="F44" s="620">
        <f>+F43*(SUM($Y$43:$AN$43)/SUM(TableF1a!$C$93:$R$93))</f>
        <v>0.48203013138621403</v>
      </c>
      <c r="G44" s="620">
        <f>+G43*(SUM($Y$43:$AN$43)/SUM(TableF1a!$C$93:$R$93))</f>
        <v>0.48674482585231166</v>
      </c>
      <c r="H44" s="620">
        <f>+H43*(SUM($Y$43:$AN$43)/SUM(TableF1a!$C$93:$R$93))</f>
        <v>0.47716901712823184</v>
      </c>
      <c r="I44" s="620">
        <f>+I43*(SUM($Y$43:$AN$43)/SUM(TableF1a!$C$93:$R$93))</f>
        <v>0.47119215223959765</v>
      </c>
      <c r="J44" s="620">
        <f>+J43*(SUM($Y$43:$AN$43)/SUM(TableF1a!$C$93:$R$93))</f>
        <v>0.44648075659958447</v>
      </c>
      <c r="K44" s="620">
        <f>+K43*(SUM($Y$43:$AN$43)/SUM(TableF1a!$C$93:$R$93))</f>
        <v>0.43100546158898101</v>
      </c>
      <c r="L44" s="620">
        <f>+L43*(SUM($Y$43:$AN$43)/SUM(TableF1a!$C$93:$R$93))</f>
        <v>0.41469178401041029</v>
      </c>
      <c r="M44" s="620">
        <f>+M43*(SUM($Y$43:$AN$43)/SUM(TableF1a!$C$93:$R$93))</f>
        <v>0.3996415221330829</v>
      </c>
      <c r="N44" s="620">
        <f>+N43*(SUM($Y$43:$AN$43)/SUM(TableF1a!$C$93:$R$93))</f>
        <v>0.38468991023724697</v>
      </c>
      <c r="O44" s="620">
        <f>+O43*(SUM($Y$43:$AN$43)/SUM(TableF1a!$C$93:$R$93))</f>
        <v>0.38017276554930302</v>
      </c>
      <c r="P44" s="620">
        <f>+P43*(SUM($Y$43:$AN$43)/SUM(TableF1a!$C$93:$R$93))</f>
        <v>0.37465780631809797</v>
      </c>
      <c r="Q44" s="620">
        <f>+Q43*(SUM($Y$43:$AN$43)/SUM(TableF1a!$C$93:$R$93))</f>
        <v>0.37017725554725744</v>
      </c>
      <c r="R44" s="620">
        <f>+R43*(SUM($Y$43:$AN$43)/SUM(TableF1a!$C$93:$R$93))</f>
        <v>0.37008763983942444</v>
      </c>
      <c r="S44" s="620">
        <f>+S43*(SUM($Y$43:$AN$43)/SUM(TableF1a!$C$93:$R$93))</f>
        <v>0.36994973300570771</v>
      </c>
      <c r="T44" s="620">
        <f>+T43*(SUM($Y$43:$AN$43)/SUM(TableF1a!$C$93:$R$93))</f>
        <v>0.35974698377713826</v>
      </c>
      <c r="U44" s="620">
        <f>+U43*(SUM($Y$43:$AN$43)/SUM(TableF1a!$C$93:$R$93))</f>
        <v>0.35120512487431066</v>
      </c>
      <c r="V44" s="620">
        <f>+V43*(SUM($Y$43:$AN$43)/SUM(TableF1a!$C$93:$R$93))</f>
        <v>0.32923880725748345</v>
      </c>
      <c r="W44" s="620">
        <f>+W43*(SUM($Y$43:$AN$43)/SUM(TableF1a!$C$93:$R$93))</f>
        <v>0.31966538105161507</v>
      </c>
      <c r="X44" s="620">
        <f>+X43*(SUM($Y$43:$AN$43)/SUM(TableF1a!$C$93:$R$93))</f>
        <v>0.30863987653294561</v>
      </c>
      <c r="Y44" s="620">
        <f>+TableF1a!C93</f>
        <v>0.29420000000000002</v>
      </c>
      <c r="Z44" s="620">
        <f>+TableF1a!D93</f>
        <v>0.28949999999999998</v>
      </c>
      <c r="AA44" s="620">
        <f>+TableF1a!E93</f>
        <v>0.28000000000000003</v>
      </c>
      <c r="AB44" s="620">
        <f>+TableF1a!F93</f>
        <v>0.27550000000000002</v>
      </c>
      <c r="AC44" s="620">
        <f>+TableF1a!G93</f>
        <v>0.26960000000000001</v>
      </c>
      <c r="AD44" s="620">
        <f>+TableF1a!H93</f>
        <v>0.25659999999999999</v>
      </c>
      <c r="AE44" s="620">
        <f>+TableF1a!I93</f>
        <v>0.25319999999999998</v>
      </c>
      <c r="AF44" s="620">
        <f>+TableF1a!J93</f>
        <v>0.2465</v>
      </c>
      <c r="AG44" s="620">
        <f>+TableF1a!K93</f>
        <v>0.2452</v>
      </c>
      <c r="AH44" s="620">
        <f>+TableF1a!L93</f>
        <v>0.24379999999999999</v>
      </c>
      <c r="AI44" s="620">
        <f>+TableF1a!M93</f>
        <v>0.24149999999999999</v>
      </c>
      <c r="AJ44" s="620">
        <f>+TableF1a!N93</f>
        <v>0.23850000000000002</v>
      </c>
      <c r="AK44" s="620">
        <f>+TableF1a!O93</f>
        <v>0.23739999999999997</v>
      </c>
      <c r="AL44" s="620">
        <f>+TableF1a!P93</f>
        <v>0.23579999999999998</v>
      </c>
      <c r="AM44" s="1706">
        <f>+TableF1a!Q93</f>
        <v>0.2404</v>
      </c>
      <c r="AN44" s="1460">
        <f>+TableF1a!R93</f>
        <v>0.24</v>
      </c>
      <c r="AO44" s="1145"/>
      <c r="AP44" s="1712">
        <f t="shared" si="1"/>
        <v>-9.3438807257483464E-2</v>
      </c>
    </row>
    <row r="45" spans="1:42" ht="16" thickTop="1" x14ac:dyDescent="0.35">
      <c r="B45" s="972"/>
      <c r="C45" s="1209"/>
      <c r="D45" s="1209"/>
      <c r="E45" s="1209"/>
      <c r="F45" s="1209"/>
      <c r="G45" s="1209"/>
      <c r="H45" s="1209"/>
      <c r="I45" s="1209"/>
      <c r="J45" s="1209"/>
      <c r="K45" s="1209"/>
      <c r="L45" s="1209"/>
      <c r="M45" s="1209"/>
      <c r="N45" s="1209"/>
      <c r="O45" s="690"/>
      <c r="P45" s="1209"/>
      <c r="Q45" s="1209"/>
      <c r="R45" s="1209"/>
      <c r="S45" s="1209"/>
      <c r="T45" s="1209"/>
      <c r="U45" s="1209"/>
      <c r="V45" s="1209"/>
      <c r="W45" s="1209"/>
      <c r="X45" s="1209"/>
      <c r="Y45" s="1209"/>
      <c r="Z45" s="1209"/>
      <c r="AA45" s="1209"/>
      <c r="AB45" s="690"/>
      <c r="AC45" s="1145"/>
      <c r="AD45" s="1145"/>
      <c r="AE45" s="1145"/>
      <c r="AF45" s="1145"/>
      <c r="AG45" s="1145"/>
      <c r="AH45" s="1145"/>
      <c r="AI45" s="1145"/>
      <c r="AJ45" s="1145"/>
      <c r="AK45" s="1145"/>
      <c r="AL45" s="1145"/>
      <c r="AM45" s="1145"/>
      <c r="AN45" s="1145"/>
      <c r="AO45" s="1145"/>
    </row>
    <row r="46" spans="1:42" x14ac:dyDescent="0.35">
      <c r="B46" s="1713" t="s">
        <v>92</v>
      </c>
      <c r="C46" s="1209"/>
      <c r="D46" s="1209"/>
      <c r="E46" s="1209"/>
      <c r="F46" s="1209"/>
      <c r="G46" s="1209"/>
      <c r="H46" s="1209"/>
      <c r="I46" s="1209"/>
      <c r="J46" s="1209"/>
      <c r="K46" s="1209"/>
      <c r="L46" s="1209"/>
      <c r="M46" s="1209"/>
      <c r="N46" s="1209"/>
      <c r="O46" s="690"/>
      <c r="P46" s="1209"/>
      <c r="Q46" s="1209"/>
      <c r="R46" s="1209"/>
      <c r="S46" s="1209"/>
      <c r="T46" s="1209"/>
      <c r="U46" s="1209"/>
      <c r="V46" s="1712">
        <v>0.37</v>
      </c>
      <c r="W46" s="1712">
        <v>0.35</v>
      </c>
      <c r="X46" s="1712">
        <v>0.34</v>
      </c>
      <c r="Y46" s="1712">
        <v>0.34</v>
      </c>
      <c r="Z46" s="1712">
        <v>0.34</v>
      </c>
      <c r="AA46" s="1712">
        <v>0.34</v>
      </c>
      <c r="AB46" s="1712">
        <v>0.34</v>
      </c>
      <c r="AC46" s="1712">
        <v>0.34</v>
      </c>
      <c r="AD46" s="1712">
        <v>0.34</v>
      </c>
      <c r="AE46" s="1712">
        <v>0.34</v>
      </c>
      <c r="AF46" s="1712">
        <v>0.34</v>
      </c>
      <c r="AG46" s="1712">
        <v>0.34</v>
      </c>
      <c r="AH46" s="1712">
        <v>0.34</v>
      </c>
      <c r="AI46" s="1712">
        <v>0.34</v>
      </c>
      <c r="AJ46" s="1712">
        <v>0.34</v>
      </c>
      <c r="AK46" s="1712">
        <v>0.34</v>
      </c>
      <c r="AL46" s="1712">
        <v>0.34</v>
      </c>
      <c r="AM46" s="1712">
        <v>0.34</v>
      </c>
      <c r="AN46" s="1712">
        <v>0.34</v>
      </c>
      <c r="AO46" s="1145"/>
    </row>
    <row r="47" spans="1:42" x14ac:dyDescent="0.35">
      <c r="B47" s="1713" t="s">
        <v>101</v>
      </c>
      <c r="C47" s="1209"/>
      <c r="D47" s="1209"/>
      <c r="E47" s="1209"/>
      <c r="F47" s="1209"/>
      <c r="G47" s="1209"/>
      <c r="H47" s="1209"/>
      <c r="I47" s="1209"/>
      <c r="J47" s="1209"/>
      <c r="K47" s="1209"/>
      <c r="L47" s="1209"/>
      <c r="M47" s="1209"/>
      <c r="N47" s="1209"/>
      <c r="O47" s="690"/>
      <c r="P47" s="1209"/>
      <c r="Q47" s="1209"/>
      <c r="R47" s="1209"/>
      <c r="S47" s="1209"/>
      <c r="T47" s="1209"/>
      <c r="U47" s="1209"/>
      <c r="V47" s="1712">
        <v>0.33</v>
      </c>
      <c r="W47" s="1712">
        <v>0.33</v>
      </c>
      <c r="X47" s="1712">
        <v>0.33</v>
      </c>
      <c r="Y47" s="1712">
        <v>0.33</v>
      </c>
      <c r="Z47" s="1712">
        <v>0.33</v>
      </c>
      <c r="AA47" s="1712">
        <v>0.33</v>
      </c>
      <c r="AB47" s="1712">
        <v>0.33</v>
      </c>
      <c r="AC47" s="1712">
        <v>0.33</v>
      </c>
      <c r="AD47" s="1712">
        <v>0.25</v>
      </c>
      <c r="AE47" s="1712">
        <v>0.25</v>
      </c>
      <c r="AF47" s="1712">
        <v>0.25</v>
      </c>
      <c r="AG47" s="1712">
        <v>0.25</v>
      </c>
      <c r="AH47" s="1712">
        <v>0.25</v>
      </c>
      <c r="AI47" s="1712">
        <v>0.25</v>
      </c>
      <c r="AJ47" s="1712">
        <v>0.25</v>
      </c>
      <c r="AK47" s="1712">
        <v>0.25</v>
      </c>
      <c r="AL47" s="1712">
        <v>0.25</v>
      </c>
      <c r="AM47" s="1712">
        <v>0.25</v>
      </c>
      <c r="AN47" s="1712">
        <v>0.25</v>
      </c>
      <c r="AO47" s="1145"/>
    </row>
    <row r="48" spans="1:42" x14ac:dyDescent="0.35">
      <c r="B48" s="1713" t="s">
        <v>838</v>
      </c>
      <c r="C48" s="1209"/>
      <c r="D48" s="1209"/>
      <c r="E48" s="1209"/>
      <c r="F48" s="1209"/>
      <c r="G48" s="1209"/>
      <c r="H48" s="1209"/>
      <c r="I48" s="1209"/>
      <c r="J48" s="1209"/>
      <c r="K48" s="1209"/>
      <c r="L48" s="1209"/>
      <c r="M48" s="1209"/>
      <c r="N48" s="1209"/>
      <c r="O48" s="690"/>
      <c r="P48" s="1209"/>
      <c r="Q48" s="1209"/>
      <c r="R48" s="1209"/>
      <c r="S48" s="1209"/>
      <c r="T48" s="1209"/>
      <c r="U48" s="1209"/>
      <c r="V48" s="1139">
        <f t="shared" ref="V48:AN48" si="6">(V8+V11+V17+V18+V25+V29+V41+V30)/8</f>
        <v>0.38386649374999998</v>
      </c>
      <c r="W48" s="1139">
        <f t="shared" si="6"/>
        <v>0.3583515625</v>
      </c>
      <c r="X48" s="1139">
        <f t="shared" si="6"/>
        <v>0.35340051862499999</v>
      </c>
      <c r="Y48" s="1139">
        <f t="shared" si="6"/>
        <v>0.35110720949999996</v>
      </c>
      <c r="Z48" s="1139">
        <f t="shared" si="6"/>
        <v>0.34468801862499998</v>
      </c>
      <c r="AA48" s="1139">
        <f t="shared" si="6"/>
        <v>0.33633801862499996</v>
      </c>
      <c r="AB48" s="1139">
        <f t="shared" si="6"/>
        <v>0.33175051862499993</v>
      </c>
      <c r="AC48" s="1139">
        <f t="shared" si="6"/>
        <v>0.32540051862499997</v>
      </c>
      <c r="AD48" s="1139">
        <f t="shared" si="6"/>
        <v>0.30884374999999997</v>
      </c>
      <c r="AE48" s="1139">
        <f t="shared" si="6"/>
        <v>0.30833124999999995</v>
      </c>
      <c r="AF48" s="1139">
        <f t="shared" si="6"/>
        <v>0.30875624999999995</v>
      </c>
      <c r="AG48" s="1139">
        <f t="shared" si="6"/>
        <v>0.30348125000000004</v>
      </c>
      <c r="AH48" s="1139">
        <f t="shared" si="6"/>
        <v>0.29910625000000002</v>
      </c>
      <c r="AI48" s="1139">
        <f t="shared" si="6"/>
        <v>0.29468125000000001</v>
      </c>
      <c r="AJ48" s="1139">
        <f t="shared" si="6"/>
        <v>0.29237500000000005</v>
      </c>
      <c r="AK48" s="1139">
        <f t="shared" si="6"/>
        <v>0.28502500000000003</v>
      </c>
      <c r="AL48" s="1139">
        <f t="shared" si="6"/>
        <v>0.281725</v>
      </c>
      <c r="AM48" s="1139">
        <f t="shared" si="6"/>
        <v>0.28059999999999996</v>
      </c>
      <c r="AN48" s="1139">
        <f t="shared" si="6"/>
        <v>0.28044999999999998</v>
      </c>
      <c r="AO48" s="1145"/>
    </row>
    <row r="49" spans="2:41" x14ac:dyDescent="0.35">
      <c r="B49" s="1713" t="s">
        <v>839</v>
      </c>
      <c r="C49" s="1209"/>
      <c r="D49" s="1209"/>
      <c r="E49" s="1209"/>
      <c r="F49" s="1209"/>
      <c r="G49" s="1209"/>
      <c r="H49" s="1209"/>
      <c r="I49" s="1209"/>
      <c r="J49" s="1209"/>
      <c r="K49" s="1209"/>
      <c r="L49" s="1209"/>
      <c r="M49" s="1209"/>
      <c r="N49" s="1209"/>
      <c r="O49" s="690"/>
      <c r="P49" s="1209"/>
      <c r="Q49" s="1209"/>
      <c r="R49" s="1209"/>
      <c r="S49" s="1209"/>
      <c r="T49" s="1209"/>
      <c r="U49" s="1209"/>
      <c r="V49" s="1139">
        <f>(V8+V11+V17+V18+V25+V29+V41+V30+V46+V47)/10</f>
        <v>0.37709319499999999</v>
      </c>
      <c r="W49" s="1139">
        <f t="shared" ref="W49:AN49" si="7">(W8+W11+W17+W18+W25+W29+W41+W30+W46+W47)/10</f>
        <v>0.35468125</v>
      </c>
      <c r="X49" s="1139">
        <f t="shared" si="7"/>
        <v>0.3497204149</v>
      </c>
      <c r="Y49" s="1139">
        <f t="shared" si="7"/>
        <v>0.34788576759999995</v>
      </c>
      <c r="Z49" s="1139">
        <f t="shared" si="7"/>
        <v>0.34275041489999997</v>
      </c>
      <c r="AA49" s="1139">
        <f t="shared" si="7"/>
        <v>0.33607041489999995</v>
      </c>
      <c r="AB49" s="1139">
        <f t="shared" si="7"/>
        <v>0.33240041489999994</v>
      </c>
      <c r="AC49" s="1139">
        <f t="shared" si="7"/>
        <v>0.32732041489999997</v>
      </c>
      <c r="AD49" s="1139">
        <f t="shared" si="7"/>
        <v>0.30607499999999999</v>
      </c>
      <c r="AE49" s="1139">
        <f t="shared" si="7"/>
        <v>0.30566499999999996</v>
      </c>
      <c r="AF49" s="1139">
        <f t="shared" si="7"/>
        <v>0.30600499999999997</v>
      </c>
      <c r="AG49" s="1139">
        <f t="shared" si="7"/>
        <v>0.30178500000000003</v>
      </c>
      <c r="AH49" s="1139">
        <f t="shared" si="7"/>
        <v>0.29828500000000002</v>
      </c>
      <c r="AI49" s="1139">
        <f t="shared" si="7"/>
        <v>0.29474499999999998</v>
      </c>
      <c r="AJ49" s="1139">
        <f t="shared" si="7"/>
        <v>0.29290000000000005</v>
      </c>
      <c r="AK49" s="1139">
        <f t="shared" si="7"/>
        <v>0.28702</v>
      </c>
      <c r="AL49" s="1139">
        <f t="shared" si="7"/>
        <v>0.28437999999999997</v>
      </c>
      <c r="AM49" s="1139">
        <f t="shared" si="7"/>
        <v>0.28347999999999995</v>
      </c>
      <c r="AN49" s="1139">
        <f t="shared" si="7"/>
        <v>0.28335999999999995</v>
      </c>
      <c r="AO49" s="1145"/>
    </row>
    <row r="50" spans="2:41" x14ac:dyDescent="0.35">
      <c r="B50" s="1195"/>
      <c r="C50" s="1209"/>
      <c r="D50" s="1209"/>
      <c r="E50" s="1209"/>
      <c r="F50" s="1209"/>
      <c r="G50" s="1209"/>
      <c r="H50" s="1209"/>
      <c r="I50" s="1209"/>
      <c r="J50" s="1209"/>
      <c r="K50" s="1209"/>
      <c r="L50" s="1209"/>
      <c r="M50" s="1209"/>
      <c r="N50" s="1209"/>
      <c r="O50" s="690"/>
      <c r="P50" s="1209"/>
      <c r="Q50" s="1209"/>
      <c r="R50" s="1209"/>
      <c r="S50" s="1209"/>
      <c r="T50" s="1209"/>
      <c r="U50" s="1209"/>
      <c r="V50" s="1209"/>
      <c r="W50" s="1209"/>
      <c r="X50" s="1209"/>
      <c r="Y50" s="1209"/>
      <c r="Z50" s="1209"/>
      <c r="AA50" s="1209"/>
      <c r="AB50" s="690"/>
      <c r="AC50" s="1145"/>
      <c r="AD50" s="1145"/>
      <c r="AE50" s="1145"/>
      <c r="AF50" s="1145"/>
      <c r="AG50" s="1145"/>
      <c r="AH50" s="1145"/>
      <c r="AI50" s="1145"/>
      <c r="AJ50" s="1145"/>
      <c r="AK50" s="1145"/>
      <c r="AL50" s="1145"/>
      <c r="AM50" s="1145"/>
      <c r="AN50" s="1145"/>
      <c r="AO50" s="1145"/>
    </row>
    <row r="51" spans="2:41" x14ac:dyDescent="0.35">
      <c r="B51" s="581"/>
      <c r="C51" s="1209"/>
      <c r="D51" s="1209"/>
      <c r="E51" s="1209"/>
      <c r="F51" s="1209"/>
      <c r="G51" s="1209"/>
      <c r="H51" s="1209"/>
      <c r="I51" s="1209"/>
      <c r="J51" s="1209"/>
      <c r="K51" s="1209"/>
      <c r="L51" s="1209"/>
      <c r="M51" s="1209"/>
      <c r="N51" s="1209"/>
      <c r="O51" s="690"/>
      <c r="P51" s="1209"/>
      <c r="Q51" s="1209"/>
      <c r="R51" s="1209"/>
      <c r="S51" s="1209"/>
      <c r="T51" s="1209"/>
      <c r="U51" s="1209"/>
      <c r="V51" s="1209"/>
      <c r="W51" s="1209"/>
      <c r="X51" s="1209"/>
      <c r="Y51" s="1209"/>
      <c r="Z51" s="1209"/>
      <c r="AA51" s="1209"/>
      <c r="AB51" s="690"/>
      <c r="AC51" s="1145"/>
      <c r="AD51" s="1145"/>
      <c r="AE51" s="1145"/>
      <c r="AF51" s="1145"/>
      <c r="AG51" s="1145"/>
      <c r="AH51" s="1145"/>
      <c r="AI51" s="1145"/>
      <c r="AJ51" s="1145"/>
      <c r="AK51" s="1145"/>
      <c r="AL51" s="1145"/>
      <c r="AM51" s="1145"/>
      <c r="AN51" s="1145"/>
      <c r="AO51" s="1145"/>
    </row>
    <row r="52" spans="2:41" x14ac:dyDescent="0.35">
      <c r="B52" s="581"/>
      <c r="C52" s="1209"/>
      <c r="D52" s="1209"/>
      <c r="E52" s="1209"/>
      <c r="F52" s="1209"/>
      <c r="G52" s="1209"/>
      <c r="H52" s="1209"/>
      <c r="I52" s="1209"/>
      <c r="J52" s="1209"/>
      <c r="K52" s="1209"/>
      <c r="L52" s="1209"/>
      <c r="M52" s="1209"/>
      <c r="N52" s="1209"/>
      <c r="O52" s="690"/>
      <c r="P52" s="1209"/>
      <c r="Q52" s="1209"/>
      <c r="R52" s="1209"/>
      <c r="S52" s="1209"/>
      <c r="T52" s="1209"/>
      <c r="U52" s="1209"/>
      <c r="V52" s="1209"/>
      <c r="W52" s="1209"/>
      <c r="X52" s="1209"/>
      <c r="Y52" s="1209"/>
      <c r="Z52" s="1209"/>
      <c r="AA52" s="1209"/>
      <c r="AB52" s="690"/>
      <c r="AC52" s="1145"/>
      <c r="AD52" s="1145"/>
      <c r="AE52" s="1145"/>
      <c r="AF52" s="1145"/>
      <c r="AG52" s="1145"/>
      <c r="AH52" s="1145"/>
      <c r="AI52" s="1145"/>
      <c r="AJ52" s="1145"/>
      <c r="AK52" s="1145"/>
      <c r="AL52" s="1145"/>
      <c r="AM52" s="1145"/>
      <c r="AN52" s="1145"/>
      <c r="AO52" s="1145"/>
    </row>
    <row r="53" spans="2:41" x14ac:dyDescent="0.35">
      <c r="B53" s="973"/>
      <c r="C53" s="1209"/>
      <c r="D53" s="1209"/>
      <c r="E53" s="1209"/>
      <c r="F53" s="1209"/>
      <c r="G53" s="1209"/>
      <c r="H53" s="1209"/>
      <c r="I53" s="1209"/>
      <c r="J53" s="1209"/>
      <c r="K53" s="1209"/>
      <c r="L53" s="1209"/>
      <c r="M53" s="1209"/>
      <c r="N53" s="1209"/>
      <c r="O53" s="690"/>
      <c r="P53" s="1209"/>
      <c r="Q53" s="1209"/>
      <c r="R53" s="1209"/>
      <c r="S53" s="1209"/>
      <c r="T53" s="1209"/>
      <c r="U53" s="1209"/>
      <c r="V53" s="1209"/>
      <c r="W53" s="1209"/>
      <c r="X53" s="1209"/>
      <c r="Y53" s="1209"/>
      <c r="Z53" s="1209"/>
      <c r="AA53" s="1209"/>
      <c r="AB53" s="690"/>
      <c r="AC53" s="1145"/>
      <c r="AD53" s="1145"/>
      <c r="AE53" s="1145"/>
      <c r="AF53" s="1145"/>
      <c r="AG53" s="1145"/>
      <c r="AH53" s="1145"/>
      <c r="AI53" s="1145"/>
      <c r="AJ53" s="1145"/>
      <c r="AK53" s="1145"/>
      <c r="AL53" s="1145"/>
      <c r="AM53" s="1145"/>
      <c r="AN53" s="1145"/>
      <c r="AO53" s="1145"/>
    </row>
    <row r="54" spans="2:41" x14ac:dyDescent="0.35">
      <c r="B54" s="581"/>
      <c r="C54" s="1209"/>
      <c r="D54" s="1209"/>
      <c r="E54" s="1209"/>
      <c r="F54" s="1209"/>
      <c r="G54" s="1209"/>
      <c r="H54" s="1209"/>
      <c r="I54" s="1209"/>
      <c r="J54" s="1209"/>
      <c r="K54" s="1209"/>
      <c r="L54" s="1209"/>
      <c r="M54" s="1209"/>
      <c r="N54" s="1209"/>
      <c r="O54" s="690"/>
      <c r="P54" s="1209"/>
      <c r="Q54" s="1209"/>
      <c r="R54" s="1209"/>
      <c r="S54" s="1209"/>
      <c r="T54" s="1209"/>
      <c r="U54" s="1209"/>
      <c r="V54" s="1209"/>
      <c r="W54" s="1209"/>
      <c r="X54" s="1209"/>
      <c r="Y54" s="1209"/>
      <c r="Z54" s="1209"/>
      <c r="AA54" s="1209"/>
      <c r="AB54" s="690"/>
      <c r="AC54" s="1145"/>
      <c r="AD54" s="1145"/>
      <c r="AE54" s="1145"/>
      <c r="AF54" s="1145"/>
      <c r="AG54" s="1145"/>
      <c r="AH54" s="1145"/>
      <c r="AI54" s="1145"/>
      <c r="AJ54" s="1145"/>
      <c r="AK54" s="1145"/>
      <c r="AL54" s="1145"/>
      <c r="AM54" s="1145"/>
      <c r="AN54" s="1145"/>
      <c r="AO54" s="1145"/>
    </row>
    <row r="55" spans="2:41" x14ac:dyDescent="0.35">
      <c r="B55" s="581"/>
      <c r="C55" s="1209"/>
      <c r="D55" s="1209"/>
      <c r="E55" s="1209"/>
      <c r="F55" s="1209"/>
      <c r="G55" s="1209"/>
      <c r="H55" s="1209"/>
      <c r="I55" s="1209"/>
      <c r="J55" s="1209"/>
      <c r="K55" s="1209"/>
      <c r="L55" s="1209"/>
      <c r="M55" s="1209"/>
      <c r="N55" s="1209"/>
      <c r="O55" s="690"/>
      <c r="P55" s="1209"/>
      <c r="Q55" s="1209"/>
      <c r="R55" s="1209"/>
      <c r="S55" s="1209"/>
      <c r="T55" s="1209"/>
      <c r="U55" s="1209"/>
      <c r="V55" s="1209"/>
      <c r="W55" s="1209"/>
      <c r="X55" s="1209"/>
      <c r="Y55" s="1209"/>
      <c r="Z55" s="1209"/>
      <c r="AA55" s="1209"/>
      <c r="AB55" s="690"/>
      <c r="AC55" s="1145"/>
      <c r="AD55" s="1145"/>
      <c r="AE55" s="1145"/>
      <c r="AF55" s="1145"/>
      <c r="AG55" s="1145"/>
      <c r="AH55" s="1145"/>
      <c r="AI55" s="1145"/>
      <c r="AJ55" s="1145"/>
      <c r="AK55" s="1145"/>
      <c r="AL55" s="1145"/>
      <c r="AM55" s="1145"/>
      <c r="AN55" s="1145"/>
      <c r="AO55" s="1145"/>
    </row>
    <row r="56" spans="2:41" x14ac:dyDescent="0.35">
      <c r="B56" s="581"/>
      <c r="C56" s="1209"/>
      <c r="D56" s="1209"/>
      <c r="E56" s="1209"/>
      <c r="F56" s="1209"/>
      <c r="G56" s="1209"/>
      <c r="H56" s="1209"/>
      <c r="I56" s="1209"/>
      <c r="J56" s="1209"/>
      <c r="K56" s="1209"/>
      <c r="L56" s="1209"/>
      <c r="M56" s="1209"/>
      <c r="N56" s="1209"/>
      <c r="O56" s="690"/>
      <c r="P56" s="1209"/>
      <c r="Q56" s="1209"/>
      <c r="R56" s="1209"/>
      <c r="S56" s="1209"/>
      <c r="T56" s="1209"/>
      <c r="U56" s="1209"/>
      <c r="V56" s="1209"/>
      <c r="W56" s="1209"/>
      <c r="X56" s="1209"/>
      <c r="Y56" s="1209"/>
      <c r="Z56" s="1209"/>
      <c r="AA56" s="1209"/>
      <c r="AB56" s="690"/>
      <c r="AC56" s="1145"/>
      <c r="AD56" s="1145"/>
      <c r="AE56" s="1145"/>
      <c r="AF56" s="1145"/>
      <c r="AG56" s="1145"/>
      <c r="AH56" s="1145"/>
      <c r="AI56" s="1145"/>
      <c r="AJ56" s="1145"/>
      <c r="AK56" s="1145"/>
      <c r="AL56" s="1145"/>
      <c r="AM56" s="1145"/>
      <c r="AN56" s="1145"/>
      <c r="AO56" s="1145"/>
    </row>
    <row r="57" spans="2:41" x14ac:dyDescent="0.35">
      <c r="B57" s="973"/>
      <c r="C57" s="1209"/>
      <c r="D57" s="1209"/>
      <c r="E57" s="1209"/>
      <c r="F57" s="1209"/>
      <c r="G57" s="1209"/>
      <c r="H57" s="1209"/>
      <c r="I57" s="1209"/>
      <c r="J57" s="1209"/>
      <c r="K57" s="1209"/>
      <c r="L57" s="1209"/>
      <c r="M57" s="1209"/>
      <c r="N57" s="1209"/>
      <c r="O57" s="690"/>
      <c r="P57" s="1209"/>
      <c r="Q57" s="1209"/>
      <c r="R57" s="1209"/>
      <c r="S57" s="1209"/>
      <c r="T57" s="1209"/>
      <c r="U57" s="1209"/>
      <c r="V57" s="1209"/>
      <c r="W57" s="1209"/>
      <c r="X57" s="1209"/>
      <c r="Y57" s="1209"/>
      <c r="Z57" s="1209"/>
      <c r="AA57" s="1209"/>
      <c r="AB57" s="690"/>
      <c r="AC57" s="1145"/>
      <c r="AD57" s="1145"/>
      <c r="AE57" s="1145"/>
      <c r="AF57" s="1145"/>
      <c r="AG57" s="1145"/>
      <c r="AH57" s="1145"/>
      <c r="AI57" s="1145"/>
      <c r="AJ57" s="1145"/>
      <c r="AK57" s="1145"/>
      <c r="AL57" s="1145"/>
      <c r="AM57" s="1145"/>
      <c r="AN57" s="1145"/>
      <c r="AO57" s="1145"/>
    </row>
    <row r="58" spans="2:41" x14ac:dyDescent="0.35">
      <c r="B58" s="581"/>
      <c r="C58" s="1209"/>
      <c r="D58" s="1209"/>
      <c r="E58" s="1209"/>
      <c r="F58" s="1209"/>
      <c r="G58" s="1209"/>
      <c r="H58" s="1209"/>
      <c r="I58" s="1209"/>
      <c r="J58" s="1209"/>
      <c r="K58" s="1209"/>
      <c r="L58" s="1209"/>
      <c r="M58" s="1209"/>
      <c r="N58" s="1209"/>
      <c r="O58" s="690"/>
      <c r="P58" s="1209"/>
      <c r="Q58" s="1209"/>
      <c r="R58" s="1209"/>
      <c r="S58" s="1209"/>
      <c r="T58" s="1209"/>
      <c r="U58" s="1209"/>
      <c r="V58" s="1209"/>
      <c r="W58" s="1209"/>
      <c r="X58" s="1209"/>
      <c r="Y58" s="1209"/>
      <c r="Z58" s="1209"/>
      <c r="AA58" s="1209"/>
      <c r="AB58" s="690"/>
      <c r="AC58" s="1145"/>
      <c r="AD58" s="1145"/>
      <c r="AE58" s="1145"/>
      <c r="AF58" s="1145"/>
      <c r="AG58" s="1145"/>
      <c r="AH58" s="1145"/>
      <c r="AI58" s="1145"/>
      <c r="AJ58" s="1145"/>
      <c r="AK58" s="1145"/>
      <c r="AL58" s="1145"/>
      <c r="AM58" s="1145"/>
      <c r="AN58" s="1145"/>
      <c r="AO58" s="1145"/>
    </row>
    <row r="59" spans="2:41" x14ac:dyDescent="0.35">
      <c r="B59" s="581"/>
      <c r="C59" s="1209"/>
      <c r="D59" s="1209"/>
      <c r="E59" s="1209"/>
      <c r="F59" s="1209"/>
      <c r="G59" s="1209"/>
      <c r="H59" s="1209"/>
      <c r="I59" s="1209"/>
      <c r="J59" s="1209"/>
      <c r="K59" s="1209"/>
      <c r="L59" s="1209"/>
      <c r="M59" s="1209"/>
      <c r="N59" s="1209"/>
      <c r="O59" s="690"/>
      <c r="P59" s="1209"/>
      <c r="Q59" s="1209"/>
      <c r="R59" s="1209"/>
      <c r="S59" s="1209"/>
      <c r="T59" s="1209"/>
      <c r="U59" s="1209"/>
      <c r="V59" s="1209"/>
      <c r="W59" s="1209"/>
      <c r="X59" s="1209"/>
      <c r="Y59" s="1209"/>
      <c r="Z59" s="1209"/>
      <c r="AA59" s="1209"/>
      <c r="AB59" s="690"/>
      <c r="AC59" s="1145"/>
      <c r="AD59" s="1145"/>
      <c r="AE59" s="1145"/>
      <c r="AF59" s="1145"/>
      <c r="AG59" s="1145"/>
      <c r="AH59" s="1145"/>
      <c r="AI59" s="1145"/>
      <c r="AJ59" s="1145"/>
      <c r="AK59" s="1145"/>
      <c r="AL59" s="1145"/>
      <c r="AM59" s="1145"/>
      <c r="AN59" s="1145"/>
      <c r="AO59" s="1145"/>
    </row>
    <row r="60" spans="2:41" x14ac:dyDescent="0.35">
      <c r="B60" s="581"/>
      <c r="C60" s="1209"/>
      <c r="D60" s="1209"/>
      <c r="E60" s="1209"/>
      <c r="F60" s="1209"/>
      <c r="G60" s="1209"/>
      <c r="H60" s="1209"/>
      <c r="I60" s="1209"/>
      <c r="J60" s="1209"/>
      <c r="K60" s="1209"/>
      <c r="L60" s="1209"/>
      <c r="M60" s="1209"/>
      <c r="N60" s="1209"/>
      <c r="O60" s="690"/>
      <c r="P60" s="1209"/>
      <c r="Q60" s="1209"/>
      <c r="R60" s="1209"/>
      <c r="S60" s="1209"/>
      <c r="T60" s="1209"/>
      <c r="U60" s="1209"/>
      <c r="V60" s="1209"/>
      <c r="W60" s="1209"/>
      <c r="X60" s="1209"/>
      <c r="Y60" s="1209"/>
      <c r="Z60" s="1209"/>
      <c r="AA60" s="1209"/>
      <c r="AB60" s="690"/>
      <c r="AC60" s="1145"/>
      <c r="AD60" s="1145"/>
      <c r="AE60" s="1145"/>
      <c r="AF60" s="1145"/>
      <c r="AG60" s="1145"/>
      <c r="AH60" s="1145"/>
      <c r="AI60" s="1145"/>
      <c r="AJ60" s="1145"/>
      <c r="AK60" s="1145"/>
      <c r="AL60" s="1145"/>
      <c r="AM60" s="1145"/>
      <c r="AN60" s="1145"/>
      <c r="AO60" s="1145"/>
    </row>
    <row r="61" spans="2:41" x14ac:dyDescent="0.35">
      <c r="B61" s="581"/>
      <c r="C61" s="1209"/>
      <c r="D61" s="1209"/>
      <c r="E61" s="1209"/>
      <c r="F61" s="1209"/>
      <c r="G61" s="1209"/>
      <c r="H61" s="1209"/>
      <c r="I61" s="1209"/>
      <c r="J61" s="1209"/>
      <c r="K61" s="1209"/>
      <c r="L61" s="1209"/>
      <c r="M61" s="1209"/>
      <c r="N61" s="1209"/>
      <c r="O61" s="690"/>
      <c r="P61" s="1209"/>
      <c r="Q61" s="1209"/>
      <c r="R61" s="1209"/>
      <c r="S61" s="1209"/>
      <c r="T61" s="1209"/>
      <c r="U61" s="1209"/>
      <c r="V61" s="1209"/>
      <c r="W61" s="1209"/>
      <c r="X61" s="1209"/>
      <c r="Y61" s="1209"/>
      <c r="Z61" s="1209"/>
      <c r="AA61" s="1209"/>
      <c r="AB61" s="690"/>
      <c r="AC61" s="1145"/>
      <c r="AD61" s="1145"/>
      <c r="AE61" s="1145"/>
      <c r="AF61" s="1145"/>
      <c r="AG61" s="1145"/>
      <c r="AH61" s="1145"/>
      <c r="AI61" s="1145"/>
      <c r="AJ61" s="1145"/>
      <c r="AK61" s="1145"/>
      <c r="AL61" s="1145"/>
      <c r="AM61" s="1145"/>
      <c r="AN61" s="1145"/>
      <c r="AO61" s="1145"/>
    </row>
    <row r="62" spans="2:41" x14ac:dyDescent="0.35">
      <c r="B62" s="974"/>
      <c r="C62" s="1209"/>
      <c r="D62" s="1209"/>
      <c r="E62" s="1209"/>
      <c r="F62" s="1209"/>
      <c r="G62" s="1209"/>
      <c r="H62" s="1209"/>
      <c r="I62" s="1209"/>
      <c r="J62" s="1209"/>
      <c r="K62" s="1209"/>
      <c r="L62" s="1209"/>
      <c r="M62" s="1209"/>
      <c r="N62" s="1209"/>
      <c r="O62" s="690"/>
      <c r="P62" s="1209"/>
      <c r="Q62" s="1209"/>
      <c r="R62" s="1209"/>
      <c r="S62" s="1209"/>
      <c r="T62" s="1209"/>
      <c r="U62" s="1209"/>
      <c r="V62" s="1209"/>
      <c r="W62" s="1209"/>
      <c r="X62" s="1209"/>
      <c r="Y62" s="1209"/>
      <c r="Z62" s="1209"/>
      <c r="AA62" s="1209"/>
      <c r="AB62" s="690"/>
      <c r="AC62" s="1145"/>
      <c r="AD62" s="1145"/>
      <c r="AE62" s="1145"/>
      <c r="AF62" s="1145"/>
      <c r="AG62" s="1145"/>
      <c r="AH62" s="1145"/>
      <c r="AI62" s="1145"/>
      <c r="AJ62" s="1145"/>
      <c r="AK62" s="1145"/>
      <c r="AL62" s="1145"/>
      <c r="AM62" s="1145"/>
      <c r="AN62" s="1145"/>
      <c r="AO62" s="1145"/>
    </row>
    <row r="63" spans="2:41" x14ac:dyDescent="0.35">
      <c r="B63" s="581"/>
      <c r="C63" s="1209"/>
      <c r="D63" s="1209"/>
      <c r="E63" s="1209"/>
      <c r="F63" s="1209"/>
      <c r="G63" s="1209"/>
      <c r="H63" s="1209"/>
      <c r="I63" s="1209"/>
      <c r="J63" s="1209"/>
      <c r="K63" s="1209"/>
      <c r="L63" s="1209"/>
      <c r="M63" s="1209"/>
      <c r="N63" s="1209"/>
      <c r="O63" s="690"/>
      <c r="P63" s="1209"/>
      <c r="Q63" s="1209"/>
      <c r="R63" s="1209"/>
      <c r="S63" s="1209"/>
      <c r="T63" s="1209"/>
      <c r="U63" s="1209"/>
      <c r="V63" s="1209"/>
      <c r="W63" s="1209"/>
      <c r="X63" s="1209"/>
      <c r="Y63" s="1209"/>
      <c r="Z63" s="1209"/>
      <c r="AA63" s="1209"/>
      <c r="AB63" s="690"/>
      <c r="AC63" s="1145"/>
      <c r="AD63" s="1145"/>
      <c r="AE63" s="1145"/>
      <c r="AF63" s="1145"/>
      <c r="AG63" s="1145"/>
      <c r="AH63" s="1145"/>
      <c r="AI63" s="1145"/>
      <c r="AJ63" s="1145"/>
      <c r="AK63" s="1145"/>
      <c r="AL63" s="1145"/>
      <c r="AM63" s="1145"/>
      <c r="AN63" s="1145"/>
      <c r="AO63" s="1145"/>
    </row>
    <row r="64" spans="2:41" x14ac:dyDescent="0.35">
      <c r="B64" s="973"/>
      <c r="C64" s="1209"/>
      <c r="D64" s="1209"/>
      <c r="E64" s="1209"/>
      <c r="F64" s="1209"/>
      <c r="G64" s="1209"/>
      <c r="H64" s="1209"/>
      <c r="I64" s="1209"/>
      <c r="J64" s="1209"/>
      <c r="K64" s="1209"/>
      <c r="L64" s="1209"/>
      <c r="M64" s="1209"/>
      <c r="N64" s="1209"/>
      <c r="O64" s="690"/>
      <c r="P64" s="1209"/>
      <c r="Q64" s="1209"/>
      <c r="R64" s="1209"/>
      <c r="S64" s="1209"/>
      <c r="T64" s="1209"/>
      <c r="U64" s="1209"/>
      <c r="V64" s="1209"/>
      <c r="W64" s="1209"/>
      <c r="X64" s="1209"/>
      <c r="Y64" s="1209"/>
      <c r="Z64" s="1209"/>
      <c r="AA64" s="1209"/>
      <c r="AB64" s="690"/>
      <c r="AC64" s="1145"/>
      <c r="AD64" s="1145"/>
      <c r="AE64" s="1145"/>
      <c r="AF64" s="1145"/>
      <c r="AG64" s="1145"/>
      <c r="AH64" s="1145"/>
      <c r="AI64" s="1145"/>
      <c r="AJ64" s="1145"/>
      <c r="AK64" s="1145"/>
      <c r="AL64" s="1145"/>
      <c r="AM64" s="1145"/>
      <c r="AN64" s="1145"/>
      <c r="AO64" s="1145"/>
    </row>
    <row r="65" spans="1:41" x14ac:dyDescent="0.35">
      <c r="B65" s="581"/>
      <c r="C65" s="1209"/>
      <c r="D65" s="1209"/>
      <c r="E65" s="1209"/>
      <c r="F65" s="1209"/>
      <c r="G65" s="1209"/>
      <c r="H65" s="1209"/>
      <c r="I65" s="1209"/>
      <c r="J65" s="1209"/>
      <c r="K65" s="1209"/>
      <c r="L65" s="1209"/>
      <c r="M65" s="1209"/>
      <c r="N65" s="1209"/>
      <c r="O65" s="690"/>
      <c r="P65" s="1209"/>
      <c r="Q65" s="1209"/>
      <c r="R65" s="1209"/>
      <c r="S65" s="1209"/>
      <c r="T65" s="1209"/>
      <c r="U65" s="1209"/>
      <c r="V65" s="1209"/>
      <c r="W65" s="1209"/>
      <c r="X65" s="1209"/>
      <c r="Y65" s="1209"/>
      <c r="Z65" s="1209"/>
      <c r="AA65" s="1209"/>
      <c r="AB65" s="690"/>
      <c r="AC65" s="1145"/>
      <c r="AD65" s="1145"/>
      <c r="AE65" s="1145"/>
      <c r="AF65" s="1145"/>
      <c r="AG65" s="1145"/>
      <c r="AH65" s="1145"/>
      <c r="AI65" s="1145"/>
      <c r="AJ65" s="1145"/>
      <c r="AK65" s="1145"/>
      <c r="AL65" s="1145"/>
      <c r="AM65" s="1145"/>
      <c r="AN65" s="1145"/>
      <c r="AO65" s="1145"/>
    </row>
    <row r="66" spans="1:41" x14ac:dyDescent="0.35">
      <c r="B66" s="973"/>
      <c r="C66" s="1209"/>
      <c r="D66" s="1209"/>
      <c r="E66" s="1209"/>
      <c r="F66" s="1209"/>
      <c r="G66" s="1209"/>
      <c r="H66" s="1209"/>
      <c r="I66" s="1209"/>
      <c r="J66" s="1209"/>
      <c r="K66" s="1209"/>
      <c r="L66" s="1209"/>
      <c r="M66" s="1209"/>
      <c r="N66" s="1209"/>
      <c r="O66" s="690"/>
      <c r="P66" s="1209"/>
      <c r="Q66" s="1209"/>
      <c r="R66" s="1209"/>
      <c r="S66" s="1209"/>
      <c r="T66" s="1209"/>
      <c r="U66" s="1209"/>
      <c r="V66" s="1209"/>
      <c r="W66" s="1209"/>
      <c r="X66" s="1209"/>
      <c r="Y66" s="1209"/>
      <c r="Z66" s="1209"/>
      <c r="AA66" s="1209"/>
      <c r="AB66" s="690"/>
      <c r="AC66" s="1145"/>
      <c r="AD66" s="1145"/>
      <c r="AE66" s="1145"/>
      <c r="AF66" s="1145"/>
      <c r="AG66" s="1145"/>
      <c r="AH66" s="1145"/>
      <c r="AI66" s="1145"/>
      <c r="AJ66" s="1145"/>
      <c r="AK66" s="1145"/>
      <c r="AL66" s="1145"/>
      <c r="AM66" s="1145"/>
      <c r="AN66" s="1145"/>
      <c r="AO66" s="1145"/>
    </row>
    <row r="67" spans="1:41" x14ac:dyDescent="0.35">
      <c r="B67" s="581"/>
      <c r="C67" s="1209"/>
      <c r="D67" s="1209"/>
      <c r="E67" s="1209"/>
      <c r="F67" s="1209"/>
      <c r="G67" s="1209"/>
      <c r="H67" s="1209"/>
      <c r="I67" s="1209"/>
      <c r="J67" s="1209"/>
      <c r="K67" s="1209"/>
      <c r="L67" s="1209"/>
      <c r="M67" s="1209"/>
      <c r="N67" s="1209"/>
      <c r="O67" s="690"/>
      <c r="P67" s="1209"/>
      <c r="Q67" s="1209"/>
      <c r="R67" s="1209"/>
      <c r="S67" s="1209"/>
      <c r="T67" s="1209"/>
      <c r="U67" s="1209"/>
      <c r="V67" s="1209"/>
      <c r="W67" s="1209"/>
      <c r="X67" s="1209"/>
      <c r="Y67" s="1209"/>
      <c r="Z67" s="1209"/>
      <c r="AA67" s="1209"/>
      <c r="AB67" s="690"/>
      <c r="AC67" s="1145"/>
      <c r="AD67" s="1145"/>
      <c r="AE67" s="1145"/>
      <c r="AF67" s="1145"/>
      <c r="AG67" s="1145"/>
      <c r="AH67" s="1145"/>
      <c r="AI67" s="1145"/>
      <c r="AJ67" s="1145"/>
      <c r="AK67" s="1145"/>
      <c r="AL67" s="1145"/>
      <c r="AM67" s="1145"/>
      <c r="AN67" s="1145"/>
      <c r="AO67" s="1145"/>
    </row>
    <row r="68" spans="1:41" x14ac:dyDescent="0.35">
      <c r="B68" s="1148"/>
      <c r="C68" s="1209"/>
      <c r="D68" s="1209"/>
      <c r="E68" s="1209"/>
      <c r="F68" s="1209"/>
      <c r="G68" s="1209"/>
      <c r="H68" s="1209"/>
      <c r="I68" s="1209"/>
      <c r="J68" s="1209"/>
      <c r="K68" s="1209"/>
      <c r="L68" s="1209"/>
      <c r="M68" s="1209"/>
      <c r="N68" s="1209"/>
      <c r="O68" s="690"/>
      <c r="P68" s="1209"/>
      <c r="Q68" s="1209"/>
      <c r="R68" s="1209"/>
      <c r="S68" s="1209"/>
      <c r="T68" s="1209"/>
      <c r="U68" s="1209"/>
      <c r="V68" s="1209"/>
      <c r="W68" s="1209"/>
      <c r="X68" s="1209"/>
      <c r="Y68" s="1209"/>
      <c r="Z68" s="1209"/>
      <c r="AA68" s="1209"/>
      <c r="AB68" s="690"/>
      <c r="AC68" s="1145"/>
      <c r="AD68" s="1145"/>
      <c r="AE68" s="1145"/>
      <c r="AF68" s="1145"/>
      <c r="AG68" s="1145"/>
      <c r="AH68" s="1145"/>
      <c r="AI68" s="1145"/>
      <c r="AJ68" s="1145"/>
      <c r="AK68" s="1145"/>
      <c r="AL68" s="1145"/>
      <c r="AM68" s="1145"/>
      <c r="AN68" s="1145"/>
      <c r="AO68" s="1145"/>
    </row>
    <row r="69" spans="1:41" x14ac:dyDescent="0.35">
      <c r="A69" t="s">
        <v>681</v>
      </c>
      <c r="B69" s="581"/>
      <c r="C69" s="1209"/>
      <c r="D69" s="1209"/>
      <c r="E69" s="1209"/>
      <c r="F69" s="1209"/>
      <c r="G69" s="1209"/>
      <c r="H69" s="1209"/>
      <c r="I69" s="1209"/>
      <c r="J69" s="1209"/>
      <c r="K69" s="1209"/>
      <c r="L69" s="1209"/>
      <c r="M69" s="1209"/>
      <c r="N69" s="1209"/>
      <c r="O69" s="690"/>
      <c r="P69" s="1209"/>
      <c r="Q69" s="1209"/>
      <c r="R69" s="1209"/>
      <c r="S69" s="1209"/>
      <c r="T69" s="1209"/>
      <c r="U69" s="1209"/>
      <c r="V69" s="1209"/>
      <c r="W69" s="1209"/>
      <c r="X69" s="1209"/>
      <c r="Y69" s="1209"/>
      <c r="Z69" s="1209"/>
      <c r="AA69" s="1209"/>
      <c r="AB69" s="690"/>
      <c r="AC69" s="1145"/>
      <c r="AD69" s="1145"/>
      <c r="AE69" s="1145"/>
      <c r="AF69" s="1145"/>
      <c r="AG69" s="1145"/>
      <c r="AH69" s="1145"/>
      <c r="AI69" s="1145"/>
      <c r="AJ69" s="1145"/>
      <c r="AK69" s="1145"/>
      <c r="AL69" s="1145"/>
      <c r="AM69" s="1145"/>
      <c r="AN69" s="1145"/>
      <c r="AO69" s="1145"/>
    </row>
    <row r="70" spans="1:41" x14ac:dyDescent="0.35">
      <c r="B70" s="581"/>
      <c r="C70" s="1209"/>
      <c r="D70" s="1209"/>
      <c r="E70" s="1209"/>
      <c r="F70" s="1209"/>
      <c r="G70" s="1209"/>
      <c r="H70" s="1209"/>
      <c r="I70" s="1209"/>
      <c r="J70" s="1209"/>
      <c r="K70" s="1209"/>
      <c r="L70" s="1209"/>
      <c r="M70" s="1209"/>
      <c r="N70" s="1209"/>
      <c r="O70" s="690"/>
      <c r="P70" s="1209"/>
      <c r="Q70" s="1209"/>
      <c r="R70" s="1209"/>
      <c r="S70" s="1209"/>
      <c r="T70" s="1209"/>
      <c r="U70" s="1209"/>
      <c r="V70" s="1209"/>
      <c r="W70" s="1209"/>
      <c r="X70" s="1209"/>
      <c r="Y70" s="1209"/>
      <c r="Z70" s="1209"/>
      <c r="AA70" s="1209"/>
      <c r="AB70" s="690"/>
      <c r="AC70" s="1145"/>
      <c r="AD70" s="1145"/>
      <c r="AE70" s="1145"/>
      <c r="AF70" s="1145"/>
      <c r="AG70" s="1145"/>
      <c r="AH70" s="1145"/>
      <c r="AI70" s="1145"/>
      <c r="AJ70" s="1145"/>
      <c r="AK70" s="1145"/>
      <c r="AL70" s="1145"/>
      <c r="AM70" s="1145"/>
      <c r="AN70" s="1145"/>
      <c r="AO70" s="1145"/>
    </row>
    <row r="71" spans="1:41" x14ac:dyDescent="0.35">
      <c r="B71" s="581"/>
      <c r="C71" s="1209"/>
      <c r="D71" s="1209"/>
      <c r="E71" s="1209"/>
      <c r="F71" s="1209"/>
      <c r="G71" s="1209"/>
      <c r="H71" s="1209"/>
      <c r="I71" s="1209"/>
      <c r="J71" s="1209"/>
      <c r="K71" s="1209"/>
      <c r="L71" s="1209"/>
      <c r="M71" s="1209"/>
      <c r="N71" s="1209"/>
      <c r="O71" s="690"/>
      <c r="P71" s="1209"/>
      <c r="Q71" s="1209"/>
      <c r="R71" s="1209"/>
      <c r="S71" s="1209"/>
      <c r="T71" s="1209"/>
      <c r="U71" s="1209"/>
      <c r="V71" s="1209"/>
      <c r="W71" s="1209"/>
      <c r="X71" s="1209"/>
      <c r="Y71" s="1209"/>
      <c r="Z71" s="1209"/>
      <c r="AA71" s="1209"/>
      <c r="AB71" s="690"/>
      <c r="AC71" s="1145"/>
      <c r="AD71" s="1145"/>
      <c r="AE71" s="1145"/>
      <c r="AF71" s="1145"/>
      <c r="AG71" s="1145"/>
      <c r="AH71" s="1145"/>
      <c r="AI71" s="1145"/>
      <c r="AJ71" s="1145"/>
      <c r="AK71" s="1145"/>
      <c r="AL71" s="1145"/>
      <c r="AM71" s="1145"/>
      <c r="AN71" s="1145"/>
      <c r="AO71" s="1145"/>
    </row>
    <row r="72" spans="1:41" x14ac:dyDescent="0.35">
      <c r="B72" s="581"/>
      <c r="C72" s="1209"/>
      <c r="D72" s="1209"/>
      <c r="E72" s="1209"/>
      <c r="F72" s="1209"/>
      <c r="G72" s="1209"/>
      <c r="H72" s="1209"/>
      <c r="I72" s="1209"/>
      <c r="J72" s="1209"/>
      <c r="K72" s="1209"/>
      <c r="L72" s="1209"/>
      <c r="M72" s="1209"/>
      <c r="N72" s="1209"/>
      <c r="O72" s="690"/>
      <c r="P72" s="1209"/>
      <c r="Q72" s="1209"/>
      <c r="R72" s="1209"/>
      <c r="S72" s="1209"/>
      <c r="T72" s="1209"/>
      <c r="U72" s="1209"/>
      <c r="V72" s="1209"/>
      <c r="W72" s="1209"/>
      <c r="X72" s="1209"/>
      <c r="Y72" s="1209"/>
      <c r="Z72" s="1209"/>
      <c r="AA72" s="1209"/>
      <c r="AB72" s="690"/>
      <c r="AC72" s="1145"/>
      <c r="AD72" s="1145"/>
      <c r="AE72" s="1145"/>
      <c r="AF72" s="1145"/>
      <c r="AG72" s="1145"/>
      <c r="AH72" s="1145"/>
      <c r="AI72" s="1145"/>
      <c r="AJ72" s="1145"/>
      <c r="AK72" s="1145"/>
      <c r="AL72" s="1145"/>
      <c r="AM72" s="1145"/>
      <c r="AN72" s="1145"/>
      <c r="AO72" s="1145"/>
    </row>
    <row r="73" spans="1:41" x14ac:dyDescent="0.35">
      <c r="B73" s="581"/>
      <c r="C73" s="1209"/>
      <c r="D73" s="1209"/>
      <c r="E73" s="1209"/>
      <c r="F73" s="1209"/>
      <c r="G73" s="1209"/>
      <c r="H73" s="1209"/>
      <c r="I73" s="1209"/>
      <c r="J73" s="1209"/>
      <c r="K73" s="1209"/>
      <c r="L73" s="1209"/>
      <c r="M73" s="1209"/>
      <c r="N73" s="1209"/>
      <c r="O73" s="690"/>
      <c r="P73" s="1209"/>
      <c r="Q73" s="1209"/>
      <c r="R73" s="1209"/>
      <c r="S73" s="1209"/>
      <c r="T73" s="1209"/>
      <c r="U73" s="1209"/>
      <c r="V73" s="1209"/>
      <c r="W73" s="1209"/>
      <c r="X73" s="1209"/>
      <c r="Y73" s="1209"/>
      <c r="Z73" s="1209"/>
      <c r="AA73" s="1209"/>
      <c r="AB73" s="690"/>
      <c r="AC73" s="1145"/>
      <c r="AD73" s="1145"/>
      <c r="AE73" s="1145"/>
      <c r="AF73" s="1145"/>
      <c r="AG73" s="1145"/>
      <c r="AH73" s="1145"/>
      <c r="AI73" s="1145"/>
      <c r="AJ73" s="1145"/>
      <c r="AK73" s="1145"/>
      <c r="AL73" s="1145"/>
      <c r="AM73" s="1145"/>
      <c r="AN73" s="1145"/>
      <c r="AO73" s="1145"/>
    </row>
    <row r="74" spans="1:41" x14ac:dyDescent="0.35">
      <c r="B74" s="973"/>
      <c r="C74" s="1209"/>
      <c r="D74" s="1209"/>
      <c r="E74" s="1209"/>
      <c r="F74" s="1209"/>
      <c r="G74" s="1209"/>
      <c r="H74" s="1209"/>
      <c r="I74" s="1209"/>
      <c r="J74" s="1209"/>
      <c r="K74" s="1209"/>
      <c r="L74" s="1209"/>
      <c r="M74" s="1209"/>
      <c r="N74" s="1209"/>
      <c r="O74" s="690"/>
      <c r="P74" s="1209"/>
      <c r="Q74" s="1209"/>
      <c r="R74" s="1209"/>
      <c r="S74" s="1209"/>
      <c r="T74" s="1209"/>
      <c r="U74" s="1209"/>
      <c r="V74" s="1209"/>
      <c r="W74" s="1209"/>
      <c r="X74" s="1209"/>
      <c r="Y74" s="1209"/>
      <c r="Z74" s="1209"/>
      <c r="AA74" s="1209"/>
      <c r="AB74" s="690"/>
      <c r="AC74" s="1145"/>
      <c r="AD74" s="1145"/>
      <c r="AE74" s="1145"/>
      <c r="AF74" s="1145"/>
      <c r="AG74" s="1145"/>
      <c r="AH74" s="1145"/>
      <c r="AI74" s="1145"/>
      <c r="AJ74" s="1145"/>
      <c r="AK74" s="1145"/>
      <c r="AL74" s="1145"/>
      <c r="AM74" s="1145"/>
      <c r="AN74" s="1145"/>
      <c r="AO74" s="1145"/>
    </row>
    <row r="75" spans="1:41" x14ac:dyDescent="0.35">
      <c r="B75" s="973"/>
      <c r="C75" s="1209"/>
      <c r="D75" s="1209"/>
      <c r="E75" s="1209"/>
      <c r="F75" s="1209"/>
      <c r="G75" s="1209"/>
      <c r="H75" s="1209"/>
      <c r="I75" s="1209"/>
      <c r="J75" s="1209"/>
      <c r="K75" s="1209"/>
      <c r="L75" s="1209"/>
      <c r="M75" s="1209"/>
      <c r="N75" s="1209"/>
      <c r="O75" s="690"/>
      <c r="P75" s="1209"/>
      <c r="Q75" s="1209"/>
      <c r="R75" s="1209"/>
      <c r="S75" s="1209"/>
      <c r="T75" s="1209"/>
      <c r="U75" s="1209"/>
      <c r="V75" s="1209"/>
      <c r="W75" s="1209"/>
      <c r="X75" s="1209"/>
      <c r="Y75" s="1209"/>
      <c r="Z75" s="1209"/>
      <c r="AA75" s="1209"/>
      <c r="AB75" s="690"/>
      <c r="AC75" s="1145"/>
      <c r="AD75" s="1145"/>
      <c r="AE75" s="1145"/>
      <c r="AF75" s="1145"/>
      <c r="AG75" s="1145"/>
      <c r="AH75" s="1145"/>
      <c r="AI75" s="1145"/>
      <c r="AJ75" s="1145"/>
      <c r="AK75" s="1145"/>
      <c r="AL75" s="1145"/>
      <c r="AM75" s="1145"/>
      <c r="AN75" s="1145"/>
      <c r="AO75" s="1145"/>
    </row>
    <row r="76" spans="1:41" x14ac:dyDescent="0.35">
      <c r="B76" s="973"/>
      <c r="C76" s="1209"/>
      <c r="D76" s="1209"/>
      <c r="E76" s="1209"/>
      <c r="F76" s="1209"/>
      <c r="G76" s="1209"/>
      <c r="H76" s="1209"/>
      <c r="I76" s="1209"/>
      <c r="J76" s="1209"/>
      <c r="K76" s="1209"/>
      <c r="L76" s="1209"/>
      <c r="M76" s="1209"/>
      <c r="N76" s="1209"/>
      <c r="O76" s="690"/>
      <c r="P76" s="1209"/>
      <c r="Q76" s="1209"/>
      <c r="R76" s="1209"/>
      <c r="S76" s="1209"/>
      <c r="T76" s="1209"/>
      <c r="U76" s="1209"/>
      <c r="V76" s="1209"/>
      <c r="W76" s="1209"/>
      <c r="X76" s="1209"/>
      <c r="Y76" s="1209"/>
      <c r="Z76" s="1209"/>
      <c r="AA76" s="1209"/>
      <c r="AB76" s="690"/>
      <c r="AC76" s="1145"/>
      <c r="AD76" s="1145"/>
      <c r="AE76" s="1145"/>
      <c r="AF76" s="1145"/>
      <c r="AG76" s="1145"/>
      <c r="AH76" s="1145"/>
      <c r="AI76" s="1145"/>
      <c r="AJ76" s="1145"/>
      <c r="AK76" s="1145"/>
      <c r="AL76" s="1145"/>
      <c r="AM76" s="1145"/>
      <c r="AN76" s="1145"/>
      <c r="AO76" s="1145"/>
    </row>
    <row r="77" spans="1:41" x14ac:dyDescent="0.35">
      <c r="A77" t="s">
        <v>682</v>
      </c>
      <c r="B77" s="581"/>
      <c r="C77" s="1209"/>
      <c r="D77" s="1209"/>
      <c r="E77" s="1209"/>
      <c r="F77" s="1209"/>
      <c r="G77" s="1209"/>
      <c r="H77" s="1209"/>
      <c r="I77" s="1209"/>
      <c r="J77" s="1209"/>
      <c r="K77" s="1209"/>
      <c r="L77" s="1209"/>
      <c r="M77" s="1209"/>
      <c r="N77" s="1209"/>
      <c r="O77" s="690"/>
      <c r="P77" s="1209"/>
      <c r="Q77" s="1209"/>
      <c r="R77" s="1209"/>
      <c r="S77" s="1209"/>
      <c r="T77" s="1209"/>
      <c r="U77" s="1209"/>
      <c r="V77" s="1209"/>
      <c r="W77" s="1209"/>
      <c r="X77" s="1209"/>
      <c r="Y77" s="1209"/>
      <c r="Z77" s="1209"/>
      <c r="AA77" s="1209"/>
      <c r="AB77" s="690"/>
      <c r="AC77" s="1145"/>
      <c r="AD77" s="1145"/>
      <c r="AE77" s="1145"/>
      <c r="AF77" s="1145"/>
      <c r="AG77" s="1145"/>
      <c r="AH77" s="1145"/>
      <c r="AI77" s="1145"/>
      <c r="AJ77" s="1145"/>
      <c r="AK77" s="1145"/>
      <c r="AL77" s="1145"/>
      <c r="AM77" s="1145"/>
      <c r="AN77" s="1145"/>
      <c r="AO77" s="1145"/>
    </row>
    <row r="78" spans="1:41" x14ac:dyDescent="0.35">
      <c r="B78" s="581"/>
      <c r="C78" s="1209"/>
      <c r="D78" s="1209"/>
      <c r="E78" s="1209"/>
      <c r="F78" s="1209"/>
      <c r="G78" s="1209"/>
      <c r="H78" s="1209"/>
      <c r="I78" s="1209"/>
      <c r="J78" s="1209"/>
      <c r="K78" s="1209"/>
      <c r="L78" s="1209"/>
      <c r="M78" s="1209"/>
      <c r="N78" s="1209"/>
      <c r="O78" s="690"/>
      <c r="P78" s="1209"/>
      <c r="Q78" s="1209"/>
      <c r="R78" s="1209"/>
      <c r="S78" s="1209"/>
      <c r="T78" s="1209"/>
      <c r="U78" s="1209"/>
      <c r="V78" s="1209"/>
      <c r="W78" s="1209"/>
      <c r="X78" s="1209"/>
      <c r="Y78" s="1209"/>
      <c r="Z78" s="1209"/>
      <c r="AA78" s="1209"/>
      <c r="AB78" s="690"/>
      <c r="AC78" s="1145"/>
      <c r="AD78" s="1145"/>
      <c r="AE78" s="1145"/>
      <c r="AF78" s="1145"/>
      <c r="AG78" s="1145"/>
      <c r="AH78" s="1145"/>
      <c r="AI78" s="1145"/>
      <c r="AJ78" s="1145"/>
      <c r="AK78" s="1145"/>
      <c r="AL78" s="1145"/>
      <c r="AM78" s="1145"/>
      <c r="AN78" s="1145"/>
      <c r="AO78" s="1145"/>
    </row>
    <row r="79" spans="1:41" x14ac:dyDescent="0.35">
      <c r="B79" s="973"/>
      <c r="C79" s="1209"/>
      <c r="D79" s="1209"/>
      <c r="E79" s="1209"/>
      <c r="F79" s="1209"/>
      <c r="G79" s="1209"/>
      <c r="H79" s="1209"/>
      <c r="I79" s="1209"/>
      <c r="J79" s="1209"/>
      <c r="K79" s="1209"/>
      <c r="L79" s="1209"/>
      <c r="M79" s="1209"/>
      <c r="N79" s="1209"/>
      <c r="O79" s="690"/>
      <c r="P79" s="1209"/>
      <c r="Q79" s="1209"/>
      <c r="R79" s="1209"/>
      <c r="S79" s="1209"/>
      <c r="T79" s="1209"/>
      <c r="U79" s="1209"/>
      <c r="V79" s="1209"/>
      <c r="W79" s="1209"/>
      <c r="X79" s="1209"/>
      <c r="Y79" s="1209"/>
      <c r="Z79" s="1209"/>
      <c r="AA79" s="1209"/>
      <c r="AB79" s="690"/>
      <c r="AC79" s="1145"/>
      <c r="AD79" s="1145"/>
      <c r="AE79" s="1145"/>
      <c r="AF79" s="1145"/>
      <c r="AG79" s="1145"/>
      <c r="AH79" s="1145"/>
      <c r="AI79" s="1145"/>
      <c r="AJ79" s="1145"/>
      <c r="AK79" s="1145"/>
      <c r="AL79" s="1145"/>
      <c r="AM79" s="1145"/>
      <c r="AN79" s="1145"/>
      <c r="AO79" s="1145"/>
    </row>
    <row r="80" spans="1:41" x14ac:dyDescent="0.35">
      <c r="B80" s="581"/>
      <c r="C80" s="1209"/>
      <c r="D80" s="1209"/>
      <c r="E80" s="1209"/>
      <c r="F80" s="1209"/>
      <c r="G80" s="1209"/>
      <c r="H80" s="1209"/>
      <c r="I80" s="1209"/>
      <c r="J80" s="1209"/>
      <c r="K80" s="1209"/>
      <c r="L80" s="1209"/>
      <c r="M80" s="1209"/>
      <c r="N80" s="1209"/>
      <c r="O80" s="690"/>
      <c r="P80" s="1209"/>
      <c r="Q80" s="1209"/>
      <c r="R80" s="1209"/>
      <c r="S80" s="1209"/>
      <c r="T80" s="1209"/>
      <c r="U80" s="1209"/>
      <c r="V80" s="1209"/>
      <c r="W80" s="1209"/>
      <c r="X80" s="1209"/>
      <c r="Y80" s="1209"/>
      <c r="Z80" s="1209"/>
      <c r="AA80" s="1209"/>
      <c r="AB80" s="690"/>
      <c r="AC80" s="1145"/>
      <c r="AD80" s="1145"/>
      <c r="AE80" s="1145"/>
      <c r="AF80" s="1145"/>
      <c r="AG80" s="1145"/>
      <c r="AH80" s="1145"/>
      <c r="AI80" s="1145"/>
      <c r="AJ80" s="1145"/>
      <c r="AK80" s="1145"/>
      <c r="AL80" s="1145"/>
      <c r="AM80" s="1145"/>
      <c r="AN80" s="1145"/>
      <c r="AO80" s="1145"/>
    </row>
    <row r="81" spans="2:41" x14ac:dyDescent="0.35">
      <c r="B81" s="973"/>
      <c r="C81" s="1209"/>
      <c r="D81" s="1209"/>
      <c r="E81" s="1209"/>
      <c r="F81" s="1209"/>
      <c r="G81" s="1209"/>
      <c r="H81" s="1209"/>
      <c r="I81" s="1209"/>
      <c r="J81" s="1209"/>
      <c r="K81" s="1209"/>
      <c r="L81" s="1209"/>
      <c r="M81" s="1209"/>
      <c r="N81" s="1209"/>
      <c r="O81" s="690"/>
      <c r="P81" s="1209"/>
      <c r="Q81" s="1209"/>
      <c r="R81" s="1209"/>
      <c r="S81" s="1209"/>
      <c r="T81" s="1209"/>
      <c r="U81" s="1209"/>
      <c r="V81" s="1209"/>
      <c r="W81" s="1209"/>
      <c r="X81" s="1209"/>
      <c r="Y81" s="1209"/>
      <c r="Z81" s="1209"/>
      <c r="AA81" s="1209"/>
      <c r="AB81" s="690"/>
      <c r="AC81" s="1145"/>
      <c r="AD81" s="1145"/>
      <c r="AE81" s="1145"/>
      <c r="AF81" s="1145"/>
      <c r="AG81" s="1145"/>
      <c r="AH81" s="1145"/>
      <c r="AI81" s="1145"/>
      <c r="AJ81" s="1145"/>
      <c r="AK81" s="1145"/>
      <c r="AL81" s="1145"/>
      <c r="AM81" s="1145"/>
      <c r="AN81" s="1145"/>
      <c r="AO81" s="1145"/>
    </row>
    <row r="82" spans="2:41" x14ac:dyDescent="0.35">
      <c r="B82" s="973"/>
      <c r="C82" s="1209"/>
      <c r="D82" s="1209"/>
      <c r="E82" s="1209"/>
      <c r="F82" s="1209"/>
      <c r="G82" s="1209"/>
      <c r="H82" s="1209"/>
      <c r="I82" s="1209"/>
      <c r="J82" s="1209"/>
      <c r="K82" s="1209"/>
      <c r="L82" s="1209"/>
      <c r="M82" s="1209"/>
      <c r="N82" s="1209"/>
      <c r="O82" s="690"/>
      <c r="P82" s="1209"/>
      <c r="Q82" s="1209"/>
      <c r="R82" s="1209"/>
      <c r="S82" s="1209"/>
      <c r="T82" s="1209"/>
      <c r="U82" s="1209"/>
      <c r="V82" s="1209"/>
      <c r="W82" s="1209"/>
      <c r="X82" s="1209"/>
      <c r="Y82" s="1209"/>
      <c r="Z82" s="1209"/>
      <c r="AA82" s="1209"/>
      <c r="AB82" s="690"/>
      <c r="AC82" s="1145"/>
      <c r="AD82" s="1145"/>
      <c r="AE82" s="1145"/>
      <c r="AF82" s="1145"/>
      <c r="AG82" s="1145"/>
      <c r="AH82" s="1145"/>
      <c r="AI82" s="1145"/>
      <c r="AJ82" s="1145"/>
      <c r="AK82" s="1145"/>
      <c r="AL82" s="1145"/>
      <c r="AM82" s="1145"/>
      <c r="AN82" s="1145"/>
      <c r="AO82" s="1145"/>
    </row>
    <row r="83" spans="2:41" x14ac:dyDescent="0.35">
      <c r="B83" s="973"/>
      <c r="C83" s="1209"/>
      <c r="D83" s="1209"/>
      <c r="E83" s="1209"/>
      <c r="F83" s="1209"/>
      <c r="G83" s="1209"/>
      <c r="H83" s="1209"/>
      <c r="I83" s="1209"/>
      <c r="J83" s="1209"/>
      <c r="K83" s="1209"/>
      <c r="L83" s="1209"/>
      <c r="M83" s="1209"/>
      <c r="N83" s="1209"/>
      <c r="O83" s="690"/>
      <c r="P83" s="1209"/>
      <c r="Q83" s="1209"/>
      <c r="R83" s="1209"/>
      <c r="S83" s="1209"/>
      <c r="T83" s="1209"/>
      <c r="U83" s="1209"/>
      <c r="V83" s="1209"/>
      <c r="W83" s="1209"/>
      <c r="X83" s="1209"/>
      <c r="Y83" s="1209"/>
      <c r="Z83" s="1209"/>
      <c r="AA83" s="1209"/>
      <c r="AB83" s="690"/>
      <c r="AC83" s="1145"/>
      <c r="AD83" s="1145"/>
      <c r="AE83" s="1145"/>
      <c r="AF83" s="1145"/>
      <c r="AG83" s="1145"/>
      <c r="AH83" s="1145"/>
      <c r="AI83" s="1145"/>
      <c r="AJ83" s="1145"/>
      <c r="AK83" s="1145"/>
      <c r="AL83" s="1145"/>
      <c r="AM83" s="1145"/>
      <c r="AN83" s="1145"/>
      <c r="AO83" s="1145"/>
    </row>
    <row r="84" spans="2:41" x14ac:dyDescent="0.35">
      <c r="B84" s="973"/>
      <c r="C84" s="1209"/>
      <c r="D84" s="1209"/>
      <c r="E84" s="1209"/>
      <c r="F84" s="1209"/>
      <c r="G84" s="1209"/>
      <c r="H84" s="1209"/>
      <c r="I84" s="1209"/>
      <c r="J84" s="1209"/>
      <c r="K84" s="1209"/>
      <c r="L84" s="1209"/>
      <c r="M84" s="1209"/>
      <c r="N84" s="1209"/>
      <c r="O84" s="690"/>
      <c r="P84" s="1209"/>
      <c r="Q84" s="1209"/>
      <c r="R84" s="1209"/>
      <c r="S84" s="1209"/>
      <c r="T84" s="1209"/>
      <c r="U84" s="1209"/>
      <c r="V84" s="1209"/>
      <c r="W84" s="1209"/>
      <c r="X84" s="1209"/>
      <c r="Y84" s="1209"/>
      <c r="Z84" s="1209"/>
      <c r="AA84" s="1209"/>
      <c r="AB84" s="690"/>
      <c r="AC84" s="1145"/>
      <c r="AD84" s="1145"/>
      <c r="AE84" s="1145"/>
      <c r="AF84" s="1145"/>
      <c r="AG84" s="1145"/>
      <c r="AH84" s="1145"/>
      <c r="AI84" s="1145"/>
      <c r="AJ84" s="1145"/>
      <c r="AK84" s="1145"/>
      <c r="AL84" s="1145"/>
      <c r="AM84" s="1145"/>
      <c r="AN84" s="1145"/>
      <c r="AO84" s="1145"/>
    </row>
    <row r="85" spans="2:41" x14ac:dyDescent="0.35">
      <c r="B85" s="973"/>
      <c r="C85" s="1209"/>
      <c r="D85" s="1209"/>
      <c r="E85" s="1209"/>
      <c r="F85" s="1209"/>
      <c r="G85" s="1209"/>
      <c r="H85" s="1209"/>
      <c r="I85" s="1209"/>
      <c r="J85" s="1209"/>
      <c r="K85" s="1209"/>
      <c r="L85" s="1209"/>
      <c r="M85" s="1209"/>
      <c r="N85" s="1209"/>
      <c r="O85" s="690"/>
      <c r="P85" s="1209"/>
      <c r="Q85" s="1209"/>
      <c r="R85" s="1209"/>
      <c r="S85" s="1209"/>
      <c r="T85" s="1209"/>
      <c r="U85" s="1209"/>
      <c r="V85" s="1209"/>
      <c r="W85" s="1209"/>
      <c r="X85" s="1209"/>
      <c r="Y85" s="1209"/>
      <c r="Z85" s="1209"/>
      <c r="AA85" s="1209"/>
      <c r="AB85" s="690"/>
      <c r="AC85" s="1145"/>
      <c r="AD85" s="1145"/>
      <c r="AE85" s="1145"/>
      <c r="AF85" s="1145"/>
      <c r="AG85" s="1145"/>
      <c r="AH85" s="1145"/>
      <c r="AI85" s="1145"/>
      <c r="AJ85" s="1145"/>
      <c r="AK85" s="1145"/>
      <c r="AL85" s="1145"/>
      <c r="AM85" s="1145"/>
      <c r="AN85" s="1145"/>
      <c r="AO85" s="1145"/>
    </row>
    <row r="86" spans="2:41" x14ac:dyDescent="0.35">
      <c r="B86" s="581"/>
      <c r="C86" s="1209"/>
      <c r="D86" s="1209"/>
      <c r="E86" s="1209"/>
      <c r="F86" s="1209"/>
      <c r="G86" s="1209"/>
      <c r="H86" s="1209"/>
      <c r="I86" s="1209"/>
      <c r="J86" s="1209"/>
      <c r="K86" s="1209"/>
      <c r="L86" s="1209"/>
      <c r="M86" s="1209"/>
      <c r="N86" s="1209"/>
      <c r="O86" s="690"/>
      <c r="P86" s="1209"/>
      <c r="Q86" s="1209"/>
      <c r="R86" s="1209"/>
      <c r="S86" s="1209"/>
      <c r="T86" s="1209"/>
      <c r="U86" s="1209"/>
      <c r="V86" s="1209"/>
      <c r="W86" s="1209"/>
      <c r="X86" s="1209"/>
      <c r="Y86" s="1209"/>
      <c r="Z86" s="1209"/>
      <c r="AA86" s="1209"/>
      <c r="AB86" s="690"/>
      <c r="AC86" s="1145"/>
      <c r="AD86" s="1145"/>
      <c r="AE86" s="1145"/>
      <c r="AF86" s="1145"/>
      <c r="AG86" s="1145"/>
      <c r="AH86" s="1145"/>
      <c r="AI86" s="1145"/>
      <c r="AJ86" s="1145"/>
      <c r="AK86" s="1145"/>
      <c r="AL86" s="1145"/>
      <c r="AM86" s="1145"/>
      <c r="AN86" s="1145"/>
      <c r="AO86" s="1145"/>
    </row>
    <row r="87" spans="2:41" x14ac:dyDescent="0.35">
      <c r="B87" s="1145"/>
      <c r="C87" s="1145"/>
      <c r="D87" s="1145"/>
      <c r="E87" s="1145"/>
      <c r="F87" s="1145"/>
      <c r="G87" s="1145"/>
      <c r="H87" s="1145"/>
      <c r="I87" s="1145"/>
      <c r="J87" s="1145"/>
      <c r="K87" s="1145"/>
      <c r="L87" s="1145"/>
      <c r="M87" s="1145"/>
      <c r="N87" s="1145"/>
      <c r="O87" s="1145"/>
      <c r="P87" s="1145"/>
      <c r="Q87" s="1145"/>
      <c r="R87" s="1145"/>
      <c r="S87" s="1145"/>
      <c r="T87" s="1145"/>
      <c r="U87" s="1145"/>
      <c r="V87" s="1145"/>
      <c r="W87" s="1145"/>
      <c r="X87" s="1145"/>
      <c r="Y87" s="1145"/>
      <c r="Z87" s="1145"/>
      <c r="AA87" s="1145"/>
      <c r="AB87" s="1145"/>
      <c r="AC87" s="1145"/>
      <c r="AD87" s="1145"/>
      <c r="AE87" s="1145"/>
      <c r="AF87" s="1145"/>
      <c r="AG87" s="1145"/>
      <c r="AH87" s="1145"/>
      <c r="AI87" s="1145"/>
      <c r="AJ87" s="1145"/>
      <c r="AK87" s="1145"/>
      <c r="AL87" s="1145"/>
      <c r="AM87" s="1145"/>
      <c r="AN87" s="1145"/>
      <c r="AO87" s="1145"/>
    </row>
    <row r="88" spans="2:41" x14ac:dyDescent="0.35">
      <c r="B88" s="1145"/>
      <c r="C88" s="1145"/>
      <c r="D88" s="1145"/>
      <c r="E88" s="1145"/>
      <c r="F88" s="1145"/>
      <c r="G88" s="1145"/>
      <c r="H88" s="1145"/>
      <c r="I88" s="1145"/>
      <c r="J88" s="1145"/>
      <c r="K88" s="1145"/>
      <c r="L88" s="1145"/>
      <c r="M88" s="1145"/>
      <c r="N88" s="1145"/>
      <c r="O88" s="1145"/>
      <c r="P88" s="1145"/>
      <c r="Q88" s="1145"/>
      <c r="R88" s="1145"/>
      <c r="S88" s="1145"/>
      <c r="T88" s="1145"/>
      <c r="U88" s="1145"/>
      <c r="V88" s="1145"/>
      <c r="W88" s="1145"/>
      <c r="X88" s="1145"/>
      <c r="Y88" s="1145"/>
      <c r="Z88" s="1145"/>
      <c r="AA88" s="1145"/>
      <c r="AB88" s="1145"/>
      <c r="AC88" s="1145"/>
      <c r="AD88" s="1145"/>
      <c r="AE88" s="1145"/>
      <c r="AF88" s="1145"/>
      <c r="AG88" s="1145"/>
      <c r="AH88" s="1145"/>
      <c r="AI88" s="1145"/>
      <c r="AJ88" s="1145"/>
      <c r="AK88" s="1145"/>
      <c r="AL88" s="1145"/>
      <c r="AM88" s="1145"/>
      <c r="AN88" s="1145"/>
      <c r="AO88" s="1145"/>
    </row>
    <row r="89" spans="2:41" x14ac:dyDescent="0.35">
      <c r="B89" s="1145"/>
      <c r="C89" s="1145"/>
      <c r="D89" s="1145"/>
      <c r="E89" s="1145"/>
      <c r="F89" s="1145"/>
      <c r="G89" s="1145"/>
      <c r="H89" s="1145"/>
      <c r="I89" s="1145"/>
      <c r="J89" s="1145"/>
      <c r="K89" s="1145"/>
      <c r="L89" s="1145"/>
      <c r="M89" s="1145"/>
      <c r="N89" s="1145"/>
      <c r="O89" s="1145"/>
      <c r="P89" s="1145"/>
      <c r="Q89" s="1145"/>
      <c r="R89" s="1145"/>
      <c r="S89" s="1145"/>
      <c r="T89" s="1145"/>
      <c r="U89" s="1145"/>
      <c r="V89" s="1145"/>
      <c r="W89" s="1145"/>
      <c r="X89" s="1145"/>
      <c r="Y89" s="1145"/>
      <c r="Z89" s="1145"/>
      <c r="AA89" s="1145"/>
      <c r="AB89" s="1145"/>
      <c r="AC89" s="1145"/>
      <c r="AD89" s="1145"/>
      <c r="AE89" s="1145"/>
      <c r="AF89" s="1145"/>
      <c r="AG89" s="1145"/>
      <c r="AH89" s="1145"/>
      <c r="AI89" s="1145"/>
      <c r="AJ89" s="1145"/>
      <c r="AK89" s="1145"/>
      <c r="AL89" s="1145"/>
      <c r="AM89" s="1145"/>
      <c r="AN89" s="1145"/>
      <c r="AO89" s="1145"/>
    </row>
  </sheetData>
  <mergeCells count="1">
    <mergeCell ref="B3:AN3"/>
  </mergeCells>
  <conditionalFormatting sqref="C8:AN43">
    <cfRule type="cellIs" dxfId="0" priority="1" operator="between">
      <formula>0</formula>
      <formula>0</formula>
    </cfRule>
  </conditionalFormatting>
  <pageMargins left="0.7" right="0.7" top="0.75" bottom="0.75" header="0.3" footer="0.3"/>
  <pageSetup scale="31" orientation="landscape"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104"/>
  <sheetViews>
    <sheetView zoomScale="85" zoomScaleNormal="85" zoomScalePageLayoutView="85" workbookViewId="0">
      <pane xSplit="1" ySplit="8" topLeftCell="B9" activePane="bottomRight" state="frozen"/>
      <selection pane="topRight" activeCell="B1" sqref="B1"/>
      <selection pane="bottomLeft" activeCell="A9" sqref="A9"/>
      <selection pane="bottomRight" activeCell="J13" sqref="J13"/>
    </sheetView>
  </sheetViews>
  <sheetFormatPr baseColWidth="10" defaultColWidth="10.81640625" defaultRowHeight="15.5" x14ac:dyDescent="0.35"/>
  <cols>
    <col min="1" max="1" width="19" style="1" customWidth="1"/>
    <col min="2" max="11" width="11.36328125" style="1" customWidth="1"/>
    <col min="12" max="16384" width="10.81640625" style="1"/>
  </cols>
  <sheetData>
    <row r="1" spans="1:15" x14ac:dyDescent="0.35">
      <c r="D1" s="107"/>
      <c r="H1" s="27"/>
    </row>
    <row r="2" spans="1:15" ht="16" thickBot="1" x14ac:dyDescent="0.4"/>
    <row r="3" spans="1:15" ht="32.25" customHeight="1" thickTop="1" x14ac:dyDescent="0.35">
      <c r="A3" s="2048" t="s">
        <v>38</v>
      </c>
      <c r="B3" s="2049"/>
      <c r="C3" s="2049"/>
      <c r="D3" s="2049"/>
      <c r="E3" s="2049"/>
      <c r="F3" s="2049"/>
      <c r="G3" s="2049"/>
      <c r="H3" s="2049"/>
      <c r="I3" s="2049"/>
      <c r="J3" s="2049"/>
      <c r="K3" s="2050"/>
    </row>
    <row r="4" spans="1:15" ht="12" customHeight="1" x14ac:dyDescent="0.35">
      <c r="A4" s="11"/>
      <c r="B4" s="504"/>
      <c r="C4" s="504"/>
      <c r="D4" s="504"/>
      <c r="E4" s="504"/>
      <c r="F4" s="504"/>
      <c r="G4" s="504"/>
      <c r="H4" s="504"/>
      <c r="I4" s="504"/>
      <c r="J4" s="504"/>
      <c r="K4" s="12"/>
    </row>
    <row r="5" spans="1:15" ht="16" thickBot="1" x14ac:dyDescent="0.4">
      <c r="A5" s="350"/>
      <c r="B5" s="351" t="s">
        <v>20</v>
      </c>
      <c r="C5" s="351" t="s">
        <v>21</v>
      </c>
      <c r="D5" s="351" t="s">
        <v>22</v>
      </c>
      <c r="E5" s="351" t="s">
        <v>23</v>
      </c>
      <c r="F5" s="351" t="s">
        <v>24</v>
      </c>
      <c r="G5" s="351" t="s">
        <v>25</v>
      </c>
      <c r="H5" s="351" t="s">
        <v>26</v>
      </c>
      <c r="I5" s="351" t="s">
        <v>33</v>
      </c>
      <c r="J5" s="351" t="s">
        <v>34</v>
      </c>
      <c r="K5" s="352" t="s">
        <v>37</v>
      </c>
    </row>
    <row r="6" spans="1:15" ht="21" customHeight="1" x14ac:dyDescent="0.35">
      <c r="A6" s="350"/>
      <c r="B6" s="2114" t="s">
        <v>111</v>
      </c>
      <c r="C6" s="2115"/>
      <c r="D6" s="2115"/>
      <c r="E6" s="2115"/>
      <c r="F6" s="2115"/>
      <c r="G6" s="2115"/>
      <c r="H6" s="2115"/>
      <c r="I6" s="2116"/>
      <c r="J6" s="2122" t="s">
        <v>180</v>
      </c>
      <c r="K6" s="2117" t="s">
        <v>18</v>
      </c>
    </row>
    <row r="7" spans="1:15" ht="85" customHeight="1" x14ac:dyDescent="0.35">
      <c r="A7" s="350"/>
      <c r="B7" s="2119" t="s">
        <v>8</v>
      </c>
      <c r="C7" s="2106" t="s">
        <v>5</v>
      </c>
      <c r="D7" s="501" t="s">
        <v>7</v>
      </c>
      <c r="E7" s="501" t="s">
        <v>6</v>
      </c>
      <c r="F7" s="2120" t="s">
        <v>4</v>
      </c>
      <c r="G7" s="2113" t="s">
        <v>3</v>
      </c>
      <c r="H7" s="501" t="s">
        <v>39</v>
      </c>
      <c r="I7" s="512" t="s">
        <v>40</v>
      </c>
      <c r="J7" s="2119"/>
      <c r="K7" s="2118"/>
      <c r="L7" s="4"/>
      <c r="N7" s="430" t="s">
        <v>147</v>
      </c>
    </row>
    <row r="8" spans="1:15" ht="33" customHeight="1" x14ac:dyDescent="0.35">
      <c r="A8" s="350"/>
      <c r="B8" s="2119"/>
      <c r="C8" s="2106"/>
      <c r="D8" s="501"/>
      <c r="E8" s="501"/>
      <c r="F8" s="2121"/>
      <c r="G8" s="2113"/>
      <c r="H8" s="501"/>
      <c r="I8" s="512"/>
      <c r="J8" s="2119"/>
      <c r="K8" s="2118"/>
      <c r="L8" s="4"/>
      <c r="N8" s="430"/>
    </row>
    <row r="9" spans="1:15" ht="40" customHeight="1" x14ac:dyDescent="0.35">
      <c r="A9" s="355" t="s">
        <v>98</v>
      </c>
      <c r="B9" s="509">
        <f>SUM(B10:B44)</f>
        <v>6329.8496989524356</v>
      </c>
      <c r="C9" s="515">
        <f t="shared" ref="C9:I9" si="0">SUM(C10:C44)</f>
        <v>3086.0234288681959</v>
      </c>
      <c r="D9" s="526"/>
      <c r="E9" s="526"/>
      <c r="F9" s="536">
        <f t="shared" si="0"/>
        <v>1983.292784565713</v>
      </c>
      <c r="G9" s="526">
        <f t="shared" si="0"/>
        <v>1260.5334855185267</v>
      </c>
      <c r="H9" s="526">
        <f t="shared" si="0"/>
        <v>1193.1837521092455</v>
      </c>
      <c r="I9" s="554">
        <f t="shared" si="0"/>
        <v>67.349733409280944</v>
      </c>
      <c r="J9" s="535">
        <f>H9/B9</f>
        <v>0.18850111911926007</v>
      </c>
      <c r="K9" s="537">
        <f t="shared" ref="K9:K44" si="1">F9/(B9-G9)</f>
        <v>0.39123477428965675</v>
      </c>
      <c r="L9" s="4"/>
      <c r="N9" s="531">
        <f>B9-C9-F9-G9</f>
        <v>0</v>
      </c>
      <c r="O9" s="7"/>
    </row>
    <row r="10" spans="1:15" ht="14.25" customHeight="1" x14ac:dyDescent="0.35">
      <c r="A10" s="350" t="s">
        <v>54</v>
      </c>
      <c r="B10" s="385">
        <f>+TableA2!F10</f>
        <v>178.84741076861815</v>
      </c>
      <c r="C10" s="371">
        <f>D10-E10</f>
        <v>37.420459923821838</v>
      </c>
      <c r="D10" s="372">
        <f>(SUM([1]AustralianNA5!$O$117:$O$120)+SUM([1]AustralianNA4!$N$117:$N$120))*0.001/[1]FX!$D$3</f>
        <v>76.124078762517939</v>
      </c>
      <c r="E10" s="372">
        <f>(SUM([1]AustralianNA5!$D$117:$D$120)+SUM([1]AustralianNA4!$D$117:$D$120))*0.001/[1]FX!$D$3</f>
        <v>38.703618838696102</v>
      </c>
      <c r="F10" s="373">
        <f>B10-C10-G10</f>
        <v>89.054834759482759</v>
      </c>
      <c r="G10" s="372">
        <f>(SUM([1]AustralianNA4!$BZ$117:$BZ$120)+SUM([1]AustralianNA5!$T$117:$T$120))*0.001/[1]FX!$D$3</f>
        <v>52.372116085313536</v>
      </c>
      <c r="H10" s="372">
        <f>+VLOOKUP($A10,[1]OECDCorpTaxRev!$A$8:$BC$43,54,0)/VLOOKUP($A10,[1]FX!$B$2:$D$54,3,0)</f>
        <v>53.085816886912227</v>
      </c>
      <c r="I10" s="532">
        <f t="shared" ref="I10:I44" si="2">G10-H10</f>
        <v>-0.71370080159869076</v>
      </c>
      <c r="J10" s="359">
        <f t="shared" ref="J10:J44" si="3">H10/B10</f>
        <v>0.29682183632835152</v>
      </c>
      <c r="K10" s="533">
        <f t="shared" si="1"/>
        <v>0.70412830412830385</v>
      </c>
      <c r="L10" s="4"/>
      <c r="N10" s="531">
        <f>B10-C10-F10-G10</f>
        <v>0</v>
      </c>
      <c r="O10" s="7"/>
    </row>
    <row r="11" spans="1:15" ht="14.25" customHeight="1" x14ac:dyDescent="0.35">
      <c r="A11" s="350" t="s">
        <v>55</v>
      </c>
      <c r="B11" s="385">
        <f>+TableA2!F11</f>
        <v>47.957043627358011</v>
      </c>
      <c r="C11" s="371">
        <f>D11-E11</f>
        <v>25.185796404183851</v>
      </c>
      <c r="D11" s="372">
        <f>+((VLOOKUP($A11,[1]OECDTable14a!$A$15:$XO$66,163,0)+VLOOKUP($A11,[1]OECDTable14a!$A$15:$XO$66,165,0)+VLOOKUP($A11,[1]OECDTable14a!$A$15:$XO$66,263,0)+VLOOKUP($A11,[1]OECDTable14a!$A$15:$XO$66,265,0))/VLOOKUP($A11,[1]FX!$B$2:$D$54,3,0))/1000</f>
        <v>44.896463075286782</v>
      </c>
      <c r="E11" s="372">
        <f>+(VLOOKUP($A11,[1]OECDTable14a!$A$15:$XO$66,155,0)+VLOOKUP($A11,[1]OECDTable14a!$A$15:$XO$66,157,0)+VLOOKUP($A11,[1]OECDTable14a!$A$15:$XO$66,255,0)+VLOOKUP($A11,[1]OECDTable14a!$A$15:$XO$66,257,0))/VLOOKUP($A11,[1]FX!$B$2:$D$54,3,0)/1000</f>
        <v>19.710666671102931</v>
      </c>
      <c r="F11" s="373">
        <f t="shared" ref="F11:F47" si="4">B11-C11-G11</f>
        <v>14.135720932192758</v>
      </c>
      <c r="G11" s="372">
        <f>+((VLOOKUP($A11,[1]OECDTable14a!$A$15:$XO$66,183,0)+VLOOKUP($A11,[1]OECDTable14a!$A$15:$XO$66,283,0))/VLOOKUP($A11,[1]FX!$B$2:$D$54,3,0))/1000</f>
        <v>8.635526290981403</v>
      </c>
      <c r="H11" s="372">
        <f>+VLOOKUP($A11,[1]OECDCorpTaxRev!$A$8:$BC$43,54,0)/VLOOKUP($A11,[1]FX!$B$2:$D$54,3,0)</f>
        <v>8.4946481984874556</v>
      </c>
      <c r="I11" s="532">
        <f t="shared" si="2"/>
        <v>0.14087809249394745</v>
      </c>
      <c r="J11" s="359">
        <f>H11/B11</f>
        <v>0.1771303557511523</v>
      </c>
      <c r="K11" s="533">
        <f t="shared" si="1"/>
        <v>0.35949072898862183</v>
      </c>
      <c r="L11" s="4"/>
      <c r="N11" s="531">
        <f t="shared" ref="N11:N74" si="5">B11-C11-F11-G11</f>
        <v>0</v>
      </c>
      <c r="O11" s="7"/>
    </row>
    <row r="12" spans="1:15" x14ac:dyDescent="0.35">
      <c r="A12" s="350" t="s">
        <v>2</v>
      </c>
      <c r="B12" s="385">
        <f>+TableA2!F12</f>
        <v>76.673664877742027</v>
      </c>
      <c r="C12" s="371">
        <f t="shared" ref="C12:C20" si="6">D12-E12</f>
        <v>45.775176646603654</v>
      </c>
      <c r="D12" s="372">
        <f>+((VLOOKUP($A12,[1]OECDTable14a!$A$15:$XO$66,163,0)+VLOOKUP($A12,[1]OECDTable14a!$A$15:$XO$66,165,0)+VLOOKUP($A12,[1]OECDTable14a!$A$15:$XO$66,263,0)+VLOOKUP($A12,[1]OECDTable14a!$A$15:$XO$66,265,0))/VLOOKUP($A12,[1]FX!$B$2:$D$54,3,0))/1000</f>
        <v>78.250092329805398</v>
      </c>
      <c r="E12" s="372">
        <f>+(VLOOKUP($A12,[1]OECDTable14a!$A$15:$XO$66,155,0)+VLOOKUP($A12,[1]OECDTable14a!$A$15:$XO$66,157,0)+VLOOKUP($A12,[1]OECDTable14a!$A$15:$XO$66,255,0)+VLOOKUP($A12,[1]OECDTable14a!$A$15:$XO$66,257,0))/VLOOKUP($A12,[1]FX!$B$2:$D$54,3,0)/1000</f>
        <v>32.474915683201743</v>
      </c>
      <c r="F12" s="373">
        <f t="shared" si="4"/>
        <v>15.506749225594151</v>
      </c>
      <c r="G12" s="372">
        <f>+((VLOOKUP($A12,[1]OECDTable14a!$A$15:$XO$66,183,0)+VLOOKUP($A12,[1]OECDTable14a!$A$15:$XO$66,283,0))/VLOOKUP($A12,[1]FX!$B$2:$D$54,3,0))/1000</f>
        <v>15.391739005544222</v>
      </c>
      <c r="H12" s="372">
        <f>+VLOOKUP($A12,[1]OECDCorpTaxRev!$A$8:$BC$43,54,0)/VLOOKUP($A12,[1]FX!$B$2:$D$54,3,0)</f>
        <v>15.039277598293811</v>
      </c>
      <c r="I12" s="532">
        <f t="shared" si="2"/>
        <v>0.35246140725041109</v>
      </c>
      <c r="J12" s="359">
        <f t="shared" si="3"/>
        <v>0.19614658595326434</v>
      </c>
      <c r="K12" s="533">
        <f t="shared" si="1"/>
        <v>0.25303952192907836</v>
      </c>
      <c r="N12" s="531">
        <f>B12-C12-F12-G12</f>
        <v>0</v>
      </c>
      <c r="O12" s="7"/>
    </row>
    <row r="13" spans="1:15" x14ac:dyDescent="0.35">
      <c r="A13" s="350" t="s">
        <v>56</v>
      </c>
      <c r="B13" s="385">
        <f>+TableA2!F13</f>
        <v>142.9569900038934</v>
      </c>
      <c r="C13" s="371">
        <f>D13-E13</f>
        <v>79.470845861693135</v>
      </c>
      <c r="D13" s="372">
        <f>+((VLOOKUP($A13,[1]OECDTable14a!$A$15:$XO$66,163,0)+VLOOKUP($A13,[1]OECDTable14a!$A$15:$XO$66,165,0)+VLOOKUP($A13,[1]OECDTable14a!$A$15:$XO$66,263,0)+VLOOKUP($A13,[1]OECDTable14a!$A$15:$XO$66,265,0))/VLOOKUP($A13,[1]FX!$B$2:$D$54,3,0))/1000</f>
        <v>191.43099277772302</v>
      </c>
      <c r="E13" s="372">
        <f>+(VLOOKUP($A13,[1]OECDTable14a!$A$15:$XO$66,155,0)+VLOOKUP($A13,[1]OECDTable14a!$A$15:$XO$66,157,0)+VLOOKUP($A13,[1]OECDTable14a!$A$15:$XO$66,255,0)+VLOOKUP($A13,[1]OECDTable14a!$A$15:$XO$66,257,0))/VLOOKUP($A13,[1]FX!$B$2:$D$54,3,0)/1000</f>
        <v>111.96014691602988</v>
      </c>
      <c r="F13" s="373">
        <f t="shared" si="4"/>
        <v>9.7443667334325212</v>
      </c>
      <c r="G13" s="372">
        <f>+((VLOOKUP($A13,[1]OECDTable14a!$A$15:$XO$66,183,0)+VLOOKUP($A13,[1]OECDTable14a!$A$15:$XO$66,283,0))/VLOOKUP($A13,[1]FX!$B$2:$D$54,3,0))/1000</f>
        <v>53.741777408767739</v>
      </c>
      <c r="H13" s="372">
        <f>+VLOOKUP($A13,[1]OECDCorpTaxRev!$A$8:$BC$43,54,0)/VLOOKUP($A13,[1]FX!$B$2:$D$54,3,0)</f>
        <v>49.479398763816377</v>
      </c>
      <c r="I13" s="532">
        <f t="shared" si="2"/>
        <v>4.2623786449513617</v>
      </c>
      <c r="J13" s="359">
        <f>H13/B13</f>
        <v>0.34611388196176218</v>
      </c>
      <c r="K13" s="533">
        <f t="shared" si="1"/>
        <v>0.10922315208342522</v>
      </c>
      <c r="N13" s="531">
        <f t="shared" si="5"/>
        <v>0</v>
      </c>
      <c r="O13" s="7"/>
    </row>
    <row r="14" spans="1:15" x14ac:dyDescent="0.35">
      <c r="A14" s="350" t="s">
        <v>57</v>
      </c>
      <c r="B14" s="385">
        <f>+TableA2!F14</f>
        <v>67.542484958596845</v>
      </c>
      <c r="C14" s="371">
        <f t="shared" si="6"/>
        <v>22.689559824796547</v>
      </c>
      <c r="D14" s="372">
        <f>+((VLOOKUP($A14,[1]OECDTable14a!$A$15:$XO$66,163,0)+VLOOKUP($A14,[1]OECDTable14a!$A$15:$XO$66,165,0)+VLOOKUP($A14,[1]OECDTable14a!$A$15:$XO$66,263,0)+VLOOKUP($A14,[1]OECDTable14a!$A$15:$XO$66,265,0))/VLOOKUP($A14,[1]FX!$B$2:$D$54,3,0))/1000</f>
        <v>50.822839020083165</v>
      </c>
      <c r="E14" s="372">
        <f>+(VLOOKUP($A14,[1]OECDTable14a!$A$15:$XO$66,155,0)+VLOOKUP($A14,[1]OECDTable14a!$A$15:$XO$66,157,0)+VLOOKUP($A14,[1]OECDTable14a!$A$15:$XO$66,255,0)+VLOOKUP($A14,[1]OECDTable14a!$A$15:$XO$66,257,0))/VLOOKUP($A14,[1]FX!$B$2:$D$54,3,0)/1000</f>
        <v>28.133279195286619</v>
      </c>
      <c r="F14" s="373">
        <f t="shared" si="4"/>
        <v>34.564080576969431</v>
      </c>
      <c r="G14" s="372">
        <f>+((VLOOKUP($A14,[1]OECDTable14a!$A$15:$XO$66,183,0)+VLOOKUP($A14,[1]OECDTable14a!$A$15:$XO$66,283,0))/VLOOKUP($A14,[1]FX!$B$2:$D$54,3,0))/1000</f>
        <v>10.288844556830869</v>
      </c>
      <c r="H14" s="372">
        <f>+VLOOKUP($A14,[1]OECDCorpTaxRev!$A$8:$BC$43,54,0)/VLOOKUP($A14,[1]FX!$B$2:$D$54,3,0)</f>
        <v>10.455405560058267</v>
      </c>
      <c r="I14" s="532">
        <f t="shared" si="2"/>
        <v>-0.16656100322739853</v>
      </c>
      <c r="J14" s="359">
        <f t="shared" si="3"/>
        <v>0.15479746660886656</v>
      </c>
      <c r="K14" s="533">
        <f t="shared" si="1"/>
        <v>0.60370101070295101</v>
      </c>
      <c r="N14" s="531">
        <f t="shared" si="5"/>
        <v>0</v>
      </c>
      <c r="O14" s="7"/>
    </row>
    <row r="15" spans="1:15" x14ac:dyDescent="0.35">
      <c r="A15" s="350" t="s">
        <v>58</v>
      </c>
      <c r="B15" s="385">
        <f>+TableA2!F15</f>
        <v>33.577437877940952</v>
      </c>
      <c r="C15" s="371">
        <f t="shared" si="6"/>
        <v>16.264241069160022</v>
      </c>
      <c r="D15" s="372">
        <f>+((VLOOKUP($A15,[1]OECDTable14a!$A$15:$XO$66,163,0)+VLOOKUP($A15,[1]OECDTable14a!$A$15:$XO$66,165,0)+VLOOKUP($A15,[1]OECDTable14a!$A$15:$XO$66,263,0)+VLOOKUP($A15,[1]OECDTable14a!$A$15:$XO$66,265,0))/VLOOKUP($A15,[1]FX!$B$2:$D$54,3,0))/1000</f>
        <v>20.940820163626203</v>
      </c>
      <c r="E15" s="372">
        <f>+(VLOOKUP($A15,[1]OECDTable14a!$A$15:$XO$66,155,0)+VLOOKUP($A15,[1]OECDTable14a!$A$15:$XO$66,157,0)+VLOOKUP($A15,[1]OECDTable14a!$A$15:$XO$66,255,0)+VLOOKUP($A15,[1]OECDTable14a!$A$15:$XO$66,257,0))/VLOOKUP($A15,[1]FX!$B$2:$D$54,3,0)/1000</f>
        <v>4.6765790944661818</v>
      </c>
      <c r="F15" s="373">
        <f>B15-C15-G15</f>
        <v>11.21947253417348</v>
      </c>
      <c r="G15" s="372">
        <f>+((VLOOKUP($A15,[1]OECDTable14a!$A$15:$XO$66,183,0)+VLOOKUP($A15,[1]OECDTable14a!$A$15:$XO$66,283,0))/VLOOKUP($A15,[1]FX!$B$2:$D$54,3,0))/1000</f>
        <v>6.0937242746074496</v>
      </c>
      <c r="H15" s="372">
        <f>+VLOOKUP($A15,[1]OECDCorpTaxRev!$A$8:$BC$43,54,0)/VLOOKUP($A15,[1]FX!$B$2:$D$54,3,0)</f>
        <v>6.7113169165099862</v>
      </c>
      <c r="I15" s="532">
        <f t="shared" si="2"/>
        <v>-0.6175926419025366</v>
      </c>
      <c r="J15" s="359">
        <f t="shared" si="3"/>
        <v>0.19987578983562221</v>
      </c>
      <c r="K15" s="533">
        <f t="shared" si="1"/>
        <v>0.40822258214816609</v>
      </c>
      <c r="N15" s="531">
        <f t="shared" si="5"/>
        <v>0</v>
      </c>
      <c r="O15" s="7"/>
    </row>
    <row r="16" spans="1:15" x14ac:dyDescent="0.35">
      <c r="A16" s="350" t="s">
        <v>59</v>
      </c>
      <c r="B16" s="385">
        <f>+TableA2!F16</f>
        <v>51.69259919912686</v>
      </c>
      <c r="C16" s="371">
        <f t="shared" si="6"/>
        <v>11.986640124484481</v>
      </c>
      <c r="D16" s="372">
        <f>+((VLOOKUP($A16,[1]OECDTable14a!$A$15:$XO$66,163,0)+VLOOKUP($A16,[1]OECDTable14a!$A$15:$XO$66,165,0)+VLOOKUP($A16,[1]OECDTable14a!$A$15:$XO$66,263,0)+VLOOKUP($A16,[1]OECDTable14a!$A$15:$XO$66,265,0))/VLOOKUP($A16,[1]FX!$B$2:$D$54,3,0))/1000</f>
        <v>48.429325791810143</v>
      </c>
      <c r="E16" s="372">
        <f>+(VLOOKUP($A16,[1]OECDTable14a!$A$15:$XO$66,155,0)+VLOOKUP($A16,[1]OECDTable14a!$A$15:$XO$66,157,0)+VLOOKUP($A16,[1]OECDTable14a!$A$15:$XO$66,255,0)+VLOOKUP($A16,[1]OECDTable14a!$A$15:$XO$66,257,0))/VLOOKUP($A16,[1]FX!$B$2:$D$54,3,0)/1000</f>
        <v>36.442685667325662</v>
      </c>
      <c r="F16" s="373">
        <f t="shared" si="4"/>
        <v>31.328167883414558</v>
      </c>
      <c r="G16" s="372">
        <f>+((VLOOKUP($A16,[1]OECDTable14a!$A$15:$XO$66,183,0)+VLOOKUP($A16,[1]OECDTable14a!$A$15:$XO$66,283,0))/VLOOKUP($A16,[1]FX!$B$2:$D$54,3,0))/1000</f>
        <v>8.3777911912278213</v>
      </c>
      <c r="H16" s="372">
        <f>+VLOOKUP($A16,[1]OECDCorpTaxRev!$A$8:$BC$43,54,0)/VLOOKUP($A16,[1]FX!$B$2:$D$54,3,0)</f>
        <v>7.7284100389615968</v>
      </c>
      <c r="I16" s="532">
        <f t="shared" si="2"/>
        <v>0.6493811522662245</v>
      </c>
      <c r="J16" s="359">
        <f t="shared" si="3"/>
        <v>0.14950708919067349</v>
      </c>
      <c r="K16" s="533">
        <f t="shared" si="1"/>
        <v>0.72326692242757817</v>
      </c>
      <c r="N16" s="531">
        <f t="shared" si="5"/>
        <v>0</v>
      </c>
      <c r="O16" s="7"/>
    </row>
    <row r="17" spans="1:17" x14ac:dyDescent="0.35">
      <c r="A17" s="350" t="s">
        <v>60</v>
      </c>
      <c r="B17" s="385">
        <f>+TableA2!F17</f>
        <v>4.0797019715879275</v>
      </c>
      <c r="C17" s="371">
        <f t="shared" si="6"/>
        <v>1.5808637189891079</v>
      </c>
      <c r="D17" s="372">
        <f>+((VLOOKUP($A17,[1]OECDTable14a!$A$15:$XO$66,163,0)+VLOOKUP($A17,[1]OECDTable14a!$A$15:$XO$66,165,0)+VLOOKUP($A17,[1]OECDTable14a!$A$15:$XO$66,263,0)+VLOOKUP($A17,[1]OECDTable14a!$A$15:$XO$66,265,0))/VLOOKUP($A17,[1]FX!$B$2:$D$54,3,0))/1000</f>
        <v>2.0400173458036797</v>
      </c>
      <c r="E17" s="372">
        <f>+(VLOOKUP($A17,[1]OECDTable14a!$A$15:$XO$66,155,0)+VLOOKUP($A17,[1]OECDTable14a!$A$15:$XO$66,157,0)+VLOOKUP($A17,[1]OECDTable14a!$A$15:$XO$66,255,0)+VLOOKUP($A17,[1]OECDTable14a!$A$15:$XO$66,257,0))/VLOOKUP($A17,[1]FX!$B$2:$D$54,3,0)/1000</f>
        <v>0.45915362681457178</v>
      </c>
      <c r="F17" s="373">
        <f t="shared" si="4"/>
        <v>2.0312557186253324</v>
      </c>
      <c r="G17" s="347">
        <f>+((VLOOKUP($A17,[1]OECDTable14a!$A$15:$XO$66,183,0)+VLOOKUP($A17,[1]OECDTable14a!$A$15:$XO$66,283,0))/VLOOKUP($A17,[1]FX!$B$2:$D$54,3,0))/1000</f>
        <v>0.4675825339734867</v>
      </c>
      <c r="H17" s="347">
        <f>+VLOOKUP($A17,[1]OECDCorpTaxRev!$A$8:$BC$43,54,0)/VLOOKUP($A17,[1]FX!$B$2:$D$54,3,0)</f>
        <v>0.47056592348104992</v>
      </c>
      <c r="I17" s="532">
        <f t="shared" si="2"/>
        <v>-2.9833895075632166E-3</v>
      </c>
      <c r="J17" s="359">
        <f t="shared" si="3"/>
        <v>0.11534321054777766</v>
      </c>
      <c r="K17" s="533">
        <f t="shared" si="1"/>
        <v>0.56234456077865436</v>
      </c>
      <c r="N17" s="531">
        <f t="shared" si="5"/>
        <v>0</v>
      </c>
      <c r="O17" s="7"/>
    </row>
    <row r="18" spans="1:17" x14ac:dyDescent="0.35">
      <c r="A18" s="350" t="s">
        <v>61</v>
      </c>
      <c r="B18" s="385">
        <f>+TableA2!F18</f>
        <v>25.094852932206081</v>
      </c>
      <c r="C18" s="371">
        <f t="shared" si="6"/>
        <v>9.0499845285190972</v>
      </c>
      <c r="D18" s="372">
        <f>+((VLOOKUP($A18,[1]OECDTable14a!$A$15:$XO$66,163,0)+VLOOKUP($A18,[1]OECDTable14a!$A$15:$XO$66,165,0)+VLOOKUP($A18,[1]OECDTable14a!$A$15:$XO$66,263,0)+VLOOKUP($A18,[1]OECDTable14a!$A$15:$XO$66,265,0))/VLOOKUP($A18,[1]FX!$B$2:$D$54,3,0))/1000</f>
        <v>28.723719277465207</v>
      </c>
      <c r="E18" s="372">
        <f>+(VLOOKUP($A18,[1]OECDTable14a!$A$15:$XO$66,155,0)+VLOOKUP($A18,[1]OECDTable14a!$A$15:$XO$66,157,0)+VLOOKUP($A18,[1]OECDTable14a!$A$15:$XO$66,255,0)+VLOOKUP($A18,[1]OECDTable14a!$A$15:$XO$66,257,0))/VLOOKUP($A18,[1]FX!$B$2:$D$54,3,0)/1000</f>
        <v>19.67373474894611</v>
      </c>
      <c r="F18" s="373">
        <f t="shared" si="4"/>
        <v>10.226704330572868</v>
      </c>
      <c r="G18" s="372">
        <f>+((VLOOKUP($A18,[1]OECDTable14a!$A$15:$XO$66,183,0)+VLOOKUP($A18,[1]OECDTable14a!$A$15:$XO$66,283,0))/VLOOKUP($A18,[1]FX!$B$2:$D$54,3,0))/1000</f>
        <v>5.8181640731141151</v>
      </c>
      <c r="H18" s="372">
        <f>+VLOOKUP($A18,[1]OECDCorpTaxRev!$A$8:$BC$43,54,0)/VLOOKUP($A18,[1]FX!$B$2:$D$54,3,0)</f>
        <v>5.0429264278402366</v>
      </c>
      <c r="I18" s="532">
        <f t="shared" si="2"/>
        <v>0.77523764527387851</v>
      </c>
      <c r="J18" s="359">
        <f t="shared" si="3"/>
        <v>0.20095461174702786</v>
      </c>
      <c r="K18" s="533">
        <f t="shared" si="1"/>
        <v>0.53052183418675569</v>
      </c>
      <c r="N18" s="531">
        <f t="shared" si="5"/>
        <v>0</v>
      </c>
      <c r="O18" s="7"/>
    </row>
    <row r="19" spans="1:17" x14ac:dyDescent="0.35">
      <c r="A19" s="350" t="s">
        <v>48</v>
      </c>
      <c r="B19" s="385">
        <f>+TableA2!F19</f>
        <v>187.65852722592464</v>
      </c>
      <c r="C19" s="371">
        <f t="shared" si="6"/>
        <v>89.293180681388407</v>
      </c>
      <c r="D19" s="372">
        <f>+((VLOOKUP($A19,[1]OECDTable14a!$A$15:$XO$66,163,0)+VLOOKUP($A19,[1]OECDTable14a!$A$15:$XO$66,165,0)+VLOOKUP($A19,[1]OECDTable14a!$A$15:$XO$66,263,0)+VLOOKUP($A19,[1]OECDTable14a!$A$15:$XO$66,265,0))/VLOOKUP($A19,[1]FX!$B$2:$D$54,3,0))/1000</f>
        <v>340.14300306435138</v>
      </c>
      <c r="E19" s="372">
        <f>+(VLOOKUP($A19,[1]OECDTable14a!$A$15:$XO$66,155,0)+VLOOKUP($A19,[1]OECDTable14a!$A$15:$XO$66,157,0)+VLOOKUP($A19,[1]OECDTable14a!$A$15:$XO$66,255,0)+VLOOKUP($A19,[1]OECDTable14a!$A$15:$XO$66,257,0))/VLOOKUP($A19,[1]FX!$B$2:$D$54,3,0)/1000</f>
        <v>250.84982238296297</v>
      </c>
      <c r="F19" s="373">
        <f t="shared" si="4"/>
        <v>38.033225421140365</v>
      </c>
      <c r="G19" s="372">
        <f>+((VLOOKUP($A19,[1]OECDTable14a!$A$15:$XO$66,183,0)+VLOOKUP($A19,[1]OECDTable14a!$A$15:$XO$66,283,0))/VLOOKUP($A19,[1]FX!$B$2:$D$54,3,0))/1000</f>
        <v>60.332121123395872</v>
      </c>
      <c r="H19" s="372">
        <f>+VLOOKUP($A19,[1]OECDCorpTaxRev!$A$8:$BC$43,54,0)/VLOOKUP($A19,[1]FX!$B$2:$D$54,3,0)</f>
        <v>50.926955756000886</v>
      </c>
      <c r="I19" s="532">
        <f t="shared" si="2"/>
        <v>9.4051653673949858</v>
      </c>
      <c r="J19" s="359">
        <f t="shared" si="3"/>
        <v>0.27138098390108983</v>
      </c>
      <c r="K19" s="533">
        <f t="shared" si="1"/>
        <v>0.29870650233003793</v>
      </c>
      <c r="N19" s="531">
        <f t="shared" si="5"/>
        <v>0</v>
      </c>
      <c r="O19" s="7"/>
    </row>
    <row r="20" spans="1:17" s="1974" customFormat="1" x14ac:dyDescent="0.35">
      <c r="A20" s="1988" t="s">
        <v>62</v>
      </c>
      <c r="B20" s="1989">
        <f>+TableA2!F20</f>
        <v>553.04943443142031</v>
      </c>
      <c r="C20" s="1990">
        <f t="shared" si="6"/>
        <v>353.87657639972542</v>
      </c>
      <c r="D20" s="1991">
        <f>+((VLOOKUP($A20,[1]OECDTable14a!$A$15:$XO$66,163,0)+VLOOKUP($A20,[1]OECDTable14a!$A$15:$XO$66,165,0)+VLOOKUP($A20,[1]OECDTable14a!$A$15:$XO$66,263,0)+VLOOKUP($A20,[1]OECDTable14a!$A$15:$XO$66,265,0))/VLOOKUP($A20,[1]FX!$B$2:$D$54,3,0))/1000</f>
        <v>502.57580748376051</v>
      </c>
      <c r="E20" s="1991">
        <f>+(VLOOKUP($A20,[1]OECDTable14a!$A$15:$XO$66,155,0)+VLOOKUP($A20,[1]OECDTable14a!$A$15:$XO$66,157,0)+VLOOKUP($A20,[1]OECDTable14a!$A$15:$XO$66,255,0)+VLOOKUP($A20,[1]OECDTable14a!$A$15:$XO$66,257,0))/VLOOKUP($A20,[1]FX!$B$2:$D$54,3,0)/1000</f>
        <v>148.69923108403509</v>
      </c>
      <c r="F20" s="1992">
        <f>B20-C20-G20</f>
        <v>119.66497312176774</v>
      </c>
      <c r="G20" s="1991">
        <f>+((VLOOKUP($A20,[1]OECDTable14a!$A$15:$XO$66,183,0)+VLOOKUP($A20,[1]OECDTable14a!$A$15:$XO$66,283,0))/VLOOKUP($A20,[1]FX!$B$2:$D$54,3,0))/1000</f>
        <v>79.507884909927142</v>
      </c>
      <c r="H20" s="1991">
        <f>+VLOOKUP($A20,[1]OECDCorpTaxRev!$A$8:$BC$43,54,0)/VLOOKUP($A20,[1]FX!$B$2:$D$54,3,0)</f>
        <v>58.451143946880144</v>
      </c>
      <c r="I20" s="1993">
        <f>G20-H20</f>
        <v>21.056740963046998</v>
      </c>
      <c r="J20" s="1994">
        <f>H20/B20</f>
        <v>0.10568882329112707</v>
      </c>
      <c r="K20" s="1995">
        <f t="shared" si="1"/>
        <v>0.25270216149498909</v>
      </c>
      <c r="N20" s="1996">
        <f t="shared" si="5"/>
        <v>0</v>
      </c>
      <c r="O20" s="1997"/>
      <c r="Q20" s="1998"/>
    </row>
    <row r="21" spans="1:17" x14ac:dyDescent="0.35">
      <c r="A21" s="350" t="s">
        <v>63</v>
      </c>
      <c r="B21" s="385">
        <f>+TableA2!F21</f>
        <v>22.607784095761257</v>
      </c>
      <c r="C21" s="371">
        <f>D21-E21</f>
        <v>4.3339220259543785</v>
      </c>
      <c r="D21" s="372">
        <f>+((VLOOKUP($A21,[1]OECDTable14a!$A$15:$XO$66,163,0)+VLOOKUP($A21,[1]OECDTable14a!$A$15:$XO$66,165,0)+VLOOKUP($A21,[1]OECDTable14a!$A$15:$XO$66,263,0)+VLOOKUP($A21,[1]OECDTable14a!$A$15:$XO$66,265,0))/VLOOKUP($A21,[1]FX!$B$2:$D$54,3,0))/1000</f>
        <v>5.6233335440560115</v>
      </c>
      <c r="E21" s="372">
        <f>+(VLOOKUP($A21,[1]OECDTable14a!$A$15:$XO$66,155,0)+VLOOKUP($A21,[1]OECDTable14a!$A$15:$XO$66,157,0)+VLOOKUP($A21,[1]OECDTable14a!$A$15:$XO$66,255,0)+VLOOKUP($A21,[1]OECDTable14a!$A$15:$XO$66,257,0))/VLOOKUP($A21,[1]FX!$B$2:$D$54,3,0)/1000</f>
        <v>1.289411518101633</v>
      </c>
      <c r="F21" s="373">
        <f t="shared" si="4"/>
        <v>11.450849822382963</v>
      </c>
      <c r="G21" s="372">
        <f>+((VLOOKUP($A21,[1]OECDTable14a!$A$15:$XO$66,183,0)+VLOOKUP($A21,[1]OECDTable14a!$A$15:$XO$66,283,0))/VLOOKUP($A21,[1]FX!$B$2:$D$54,3,0))/1000</f>
        <v>6.8230122474239154</v>
      </c>
      <c r="H21" s="372">
        <f>+VLOOKUP($A21,[1]OECDCorpTaxRev!$A$8:$BC$43,54,0)/VLOOKUP($A21,[1]FX!$B$2:$D$54,3,0)</f>
        <v>4.2144535794574223</v>
      </c>
      <c r="I21" s="532">
        <f t="shared" si="2"/>
        <v>2.6085586679664932</v>
      </c>
      <c r="J21" s="359">
        <f t="shared" si="3"/>
        <v>0.18641603978549989</v>
      </c>
      <c r="K21" s="533">
        <f t="shared" si="1"/>
        <v>0.72543651136706899</v>
      </c>
      <c r="N21" s="531">
        <f t="shared" si="5"/>
        <v>0</v>
      </c>
      <c r="O21" s="7"/>
      <c r="Q21" s="284"/>
    </row>
    <row r="22" spans="1:17" x14ac:dyDescent="0.35">
      <c r="A22" s="350" t="s">
        <v>64</v>
      </c>
      <c r="B22" s="385">
        <f>+TableA2!F22</f>
        <v>20.668289583202817</v>
      </c>
      <c r="C22" s="371">
        <f>D22-E22</f>
        <v>7.9993556066694707</v>
      </c>
      <c r="D22" s="372">
        <f>+((VLOOKUP($A22,[1]OECDTable14a!$A$15:$XO$66,163,0)+VLOOKUP($A22,[1]OECDTable14a!$A$15:$XO$66,165,0)+VLOOKUP($A22,[1]OECDTable14a!$A$15:$XO$66,263,0)+VLOOKUP($A22,[1]OECDTable14a!$A$15:$XO$66,265,0))/VLOOKUP($A22,[1]FX!$B$2:$D$54,3,0))/1000</f>
        <v>11.575087037849158</v>
      </c>
      <c r="E22" s="372">
        <f>+(VLOOKUP($A22,[1]OECDTable14a!$A$15:$XO$66,155,0)+VLOOKUP($A22,[1]OECDTable14a!$A$15:$XO$66,157,0)+VLOOKUP($A22,[1]OECDTable14a!$A$15:$XO$66,255,0)+VLOOKUP($A22,[1]OECDTable14a!$A$15:$XO$66,257,0))/VLOOKUP($A22,[1]FX!$B$2:$D$54,3,0)/1000</f>
        <v>3.5757314311796877</v>
      </c>
      <c r="F22" s="373">
        <f t="shared" si="4"/>
        <v>10.276731135832748</v>
      </c>
      <c r="G22" s="372">
        <f>+((VLOOKUP($A22,[1]OECDTable14a!$A$15:$XO$66,183,0)+VLOOKUP($A22,[1]OECDTable14a!$A$15:$XO$66,283,0))/VLOOKUP($A22,[1]FX!$B$2:$D$54,3,0))/1000</f>
        <v>2.3922028407005986</v>
      </c>
      <c r="H22" s="372">
        <f>+VLOOKUP($A22,[1]OECDCorpTaxRev!$A$8:$BC$43,54,0)/VLOOKUP($A22,[1]FX!$B$2:$D$54,3,0)</f>
        <v>2.1963860274046167</v>
      </c>
      <c r="I22" s="532">
        <f t="shared" si="2"/>
        <v>0.19581681329598188</v>
      </c>
      <c r="J22" s="359">
        <f t="shared" si="3"/>
        <v>0.10626839819341541</v>
      </c>
      <c r="K22" s="533">
        <f t="shared" si="1"/>
        <v>0.56230479098862807</v>
      </c>
      <c r="N22" s="531">
        <f t="shared" si="5"/>
        <v>0</v>
      </c>
      <c r="O22" s="7"/>
    </row>
    <row r="23" spans="1:17" x14ac:dyDescent="0.35">
      <c r="A23" s="350" t="s">
        <v>65</v>
      </c>
      <c r="B23" s="385">
        <f>+TableA2!F23</f>
        <v>2.1489969781260903</v>
      </c>
      <c r="C23" s="371">
        <f>+B23-F23-G23</f>
        <v>1.0773591067773185</v>
      </c>
      <c r="D23" s="372"/>
      <c r="E23" s="372"/>
      <c r="F23" s="373">
        <f>+B23*$F$100</f>
        <v>0.67333197524047927</v>
      </c>
      <c r="G23" s="347">
        <f>52.544/VLOOKUP($A23,[1]FX!$B$2:$D$54,3,0)</f>
        <v>0.3983058961082927</v>
      </c>
      <c r="H23" s="347">
        <f>+VLOOKUP($A23,[1]OECDCorpTaxRev!$A$8:$BC$43,54,0)/VLOOKUP($A23,[1]FX!$B$2:$D$54,3,0)</f>
        <v>0.3983029700639128</v>
      </c>
      <c r="I23" s="532">
        <f t="shared" si="2"/>
        <v>2.9260443799028479E-6</v>
      </c>
      <c r="J23" s="359">
        <f t="shared" si="3"/>
        <v>0.18534366223782692</v>
      </c>
      <c r="K23" s="533">
        <f t="shared" si="1"/>
        <v>0.38460924497565591</v>
      </c>
      <c r="N23" s="531">
        <f t="shared" si="5"/>
        <v>0</v>
      </c>
      <c r="O23" s="7"/>
    </row>
    <row r="24" spans="1:17" x14ac:dyDescent="0.35">
      <c r="A24" s="350" t="s">
        <v>19</v>
      </c>
      <c r="B24" s="385">
        <f>+TableA2!F24</f>
        <v>125.53464036847635</v>
      </c>
      <c r="C24" s="371">
        <f t="shared" ref="C24:C30" si="7">D24-E24</f>
        <v>52.107020503316669</v>
      </c>
      <c r="D24" s="372">
        <f>+((VLOOKUP($A24,[1]OECDTable14a!$A$15:$XO$66,163,0)+VLOOKUP($A24,[1]OECDTable14a!$A$15:$XO$66,165,0)+VLOOKUP($A24,[1]OECDTable14a!$A$15:$XO$66,263,0)+VLOOKUP($A24,[1]OECDTable14a!$A$15:$XO$66,265,0))/VLOOKUP($A24,[1]FX!$B$2:$D$54,3,0))/1000</f>
        <v>65.133674704073272</v>
      </c>
      <c r="E24" s="372">
        <f>+(VLOOKUP($A24,[1]OECDTable14a!$A$15:$XO$66,155,0)+VLOOKUP($A24,[1]OECDTable14a!$A$15:$XO$66,157,0)+VLOOKUP($A24,[1]OECDTable14a!$A$15:$XO$66,255,0)+VLOOKUP($A24,[1]OECDTable14a!$A$15:$XO$66,257,0))/VLOOKUP($A24,[1]FX!$B$2:$D$54,3,0)/1000</f>
        <v>13.026654200756605</v>
      </c>
      <c r="F24" s="373">
        <f t="shared" si="4"/>
        <v>65.374953946003984</v>
      </c>
      <c r="G24" s="372">
        <f>+((VLOOKUP($A24,[1]OECDTable14a!$A$15:$XO$66,183,0)+VLOOKUP($A24,[1]OECDTable14a!$A$15:$XO$66,283,0))/VLOOKUP($A24,[1]FX!$B$2:$D$54,3,0))/1000</f>
        <v>8.0526659191556895</v>
      </c>
      <c r="H24" s="372">
        <f>+VLOOKUP($A24,[1]OECDCorpTaxRev!$A$8:$BC$43,54,0)/VLOOKUP($A24,[1]FX!$B$2:$D$54,3,0)</f>
        <v>7.6225346832893583</v>
      </c>
      <c r="I24" s="532">
        <f t="shared" si="2"/>
        <v>0.43013123586633117</v>
      </c>
      <c r="J24" s="359">
        <f t="shared" si="3"/>
        <v>6.0720568130957837E-2</v>
      </c>
      <c r="K24" s="533">
        <f t="shared" si="1"/>
        <v>0.55646795393454518</v>
      </c>
      <c r="N24" s="531">
        <f t="shared" si="5"/>
        <v>0</v>
      </c>
      <c r="O24" s="7"/>
    </row>
    <row r="25" spans="1:17" x14ac:dyDescent="0.35">
      <c r="A25" s="350" t="s">
        <v>95</v>
      </c>
      <c r="B25" s="385">
        <f>+TableA2!F25</f>
        <v>53.821062621875072</v>
      </c>
      <c r="C25" s="371">
        <f>+B25-F25-G25</f>
        <v>28.036238783901741</v>
      </c>
      <c r="D25" s="372"/>
      <c r="E25" s="372"/>
      <c r="F25" s="373">
        <f>+B25*$F$100</f>
        <v>16.863421760755195</v>
      </c>
      <c r="G25" s="372">
        <f>+H25</f>
        <v>8.9214020772181364</v>
      </c>
      <c r="H25" s="372">
        <f>+VLOOKUP($A25,[1]OECDCorpTaxRev!$A$8:$BC$43,54,0)/VLOOKUP($A25,[1]FX!$B$2:$D$54,3,0)</f>
        <v>8.9214020772181364</v>
      </c>
      <c r="I25" s="532">
        <f t="shared" si="2"/>
        <v>0</v>
      </c>
      <c r="J25" s="359">
        <f t="shared" si="3"/>
        <v>0.16576042245572675</v>
      </c>
      <c r="K25" s="533">
        <f t="shared" si="1"/>
        <v>0.37558016154672114</v>
      </c>
      <c r="N25" s="531">
        <f t="shared" si="5"/>
        <v>0</v>
      </c>
      <c r="O25" s="7"/>
    </row>
    <row r="26" spans="1:17" x14ac:dyDescent="0.35">
      <c r="A26" s="350" t="s">
        <v>66</v>
      </c>
      <c r="B26" s="385">
        <f>+TableA2!F26</f>
        <v>211.89440797463348</v>
      </c>
      <c r="C26" s="371">
        <f t="shared" si="7"/>
        <v>149.3267410406817</v>
      </c>
      <c r="D26" s="372">
        <f>+((VLOOKUP($A26,[1]OECDTable14a!$A$15:$XO$66,163,0)+VLOOKUP($A26,[1]OECDTable14a!$A$15:$XO$66,165,0)+VLOOKUP($A26,[1]OECDTable14a!$A$15:$XO$66,263,0)+VLOOKUP($A26,[1]OECDTable14a!$A$15:$XO$66,265,0))/VLOOKUP($A26,[1]FX!$B$2:$D$54,3,0))/1000</f>
        <v>197.62692991474606</v>
      </c>
      <c r="E26" s="372">
        <f>+(VLOOKUP($A26,[1]OECDTable14a!$A$15:$XO$66,155,0)+VLOOKUP($A26,[1]OECDTable14a!$A$15:$XO$66,157,0)+VLOOKUP($A26,[1]OECDTable14a!$A$15:$XO$66,255,0)+VLOOKUP($A26,[1]OECDTable14a!$A$15:$XO$66,257,0))/VLOOKUP($A26,[1]FX!$B$2:$D$54,3,0)/1000</f>
        <v>48.300188874064361</v>
      </c>
      <c r="F26" s="373">
        <f t="shared" si="4"/>
        <v>24.991709726182542</v>
      </c>
      <c r="G26" s="372">
        <f>+((VLOOKUP($A26,[1]OECDTable14a!$A$15:$XO$66,183,0)+VLOOKUP($A26,[1]OECDTable14a!$A$15:$XO$66,283,0))/VLOOKUP($A26,[1]FX!$B$2:$D$54,3,0))/1000</f>
        <v>37.575957207769243</v>
      </c>
      <c r="H26" s="372">
        <f>+VLOOKUP($A26,[1]OECDCorpTaxRev!$A$8:$BC$43,54,0)/VLOOKUP($A26,[1]FX!$B$2:$D$54,3,0)</f>
        <v>37.286823510883821</v>
      </c>
      <c r="I26" s="532">
        <f t="shared" si="2"/>
        <v>0.2891336968854219</v>
      </c>
      <c r="J26" s="359">
        <f t="shared" si="3"/>
        <v>0.17596888878420774</v>
      </c>
      <c r="K26" s="533">
        <f t="shared" si="1"/>
        <v>0.14336812664545062</v>
      </c>
      <c r="N26" s="531">
        <f t="shared" si="5"/>
        <v>0</v>
      </c>
      <c r="O26" s="7"/>
    </row>
    <row r="27" spans="1:17" x14ac:dyDescent="0.35">
      <c r="A27" s="350" t="s">
        <v>67</v>
      </c>
      <c r="B27" s="385">
        <f>+TableA2!F27</f>
        <v>634.13536380108962</v>
      </c>
      <c r="C27" s="371">
        <f t="shared" si="7"/>
        <v>108.93556666941774</v>
      </c>
      <c r="D27" s="372">
        <f>+((VLOOKUP($A27,[1]OECDTable14a!$A$15:$XO$66,163,0)+VLOOKUP($A27,[1]OECDTable14a!$A$15:$XO$66,165,0)+VLOOKUP($A27,[1]OECDTable14a!$A$15:$XO$66,263,0)+VLOOKUP($A27,[1]OECDTable14a!$A$15:$XO$66,265,0))/VLOOKUP($A27,[1]FX!$B$2:$D$54,3,0))/1000</f>
        <v>326.29366355366722</v>
      </c>
      <c r="E27" s="372">
        <f>+(VLOOKUP($A27,[1]OECDTable14a!$A$15:$XO$66,155,0)+VLOOKUP($A27,[1]OECDTable14a!$A$15:$XO$66,157,0)+VLOOKUP($A27,[1]OECDTable14a!$A$15:$XO$66,255,0)+VLOOKUP($A27,[1]OECDTable14a!$A$15:$XO$66,257,0))/VLOOKUP($A27,[1]FX!$B$2:$D$54,3,0)/1000</f>
        <v>217.35809688424948</v>
      </c>
      <c r="F27" s="373">
        <f t="shared" si="4"/>
        <v>329.10255879616705</v>
      </c>
      <c r="G27" s="372">
        <f>+((VLOOKUP($A27,[1]OECDTable14a!$A$15:$XO$66,183,0)+VLOOKUP($A27,[1]OECDTable14a!$A$15:$XO$66,283,0))/VLOOKUP($A27,[1]FX!$B$2:$D$54,3,0))/1000</f>
        <v>196.09723833550484</v>
      </c>
      <c r="H27" s="372">
        <f>+VLOOKUP($A27,[1]OECDCorpTaxRev!$A$8:$BC$43,54,0)/VLOOKUP($A27,[1]FX!$B$2:$D$54,3,0)</f>
        <v>166.10688689066282</v>
      </c>
      <c r="I27" s="532">
        <f t="shared" si="2"/>
        <v>29.99035144484202</v>
      </c>
      <c r="J27" s="359">
        <f t="shared" si="3"/>
        <v>0.26194231763861364</v>
      </c>
      <c r="K27" s="533">
        <f t="shared" si="1"/>
        <v>0.75131030762760287</v>
      </c>
      <c r="N27" s="531">
        <f t="shared" si="5"/>
        <v>0</v>
      </c>
      <c r="O27" s="7"/>
    </row>
    <row r="28" spans="1:17" x14ac:dyDescent="0.35">
      <c r="A28" s="350" t="s">
        <v>68</v>
      </c>
      <c r="B28" s="385">
        <f>+TableA2!F28</f>
        <v>248.21706968304588</v>
      </c>
      <c r="C28" s="371">
        <f t="shared" si="7"/>
        <v>93.885864700539059</v>
      </c>
      <c r="D28" s="372">
        <f>+((VLOOKUP($A28,[1]OECDTable14a!$A$15:$XO$66,163,0)+VLOOKUP($A28,[1]OECDTable14a!$A$15:$XO$66,165,0)+VLOOKUP($A28,[1]OECDTable14a!$A$15:$XO$66,263,0)+VLOOKUP($A28,[1]OECDTable14a!$A$15:$XO$66,265,0))/VLOOKUP($A28,[1]FX!$B$2:$D$54,3,0))/1000</f>
        <v>115.61104443899281</v>
      </c>
      <c r="E28" s="372">
        <f>+(VLOOKUP($A28,[1]OECDTable14a!$A$15:$XO$66,155,0)+VLOOKUP($A28,[1]OECDTable14a!$A$15:$XO$66,157,0)+VLOOKUP($A28,[1]OECDTable14a!$A$15:$XO$66,255,0)+VLOOKUP($A28,[1]OECDTable14a!$A$15:$XO$66,257,0))/VLOOKUP($A28,[1]FX!$B$2:$D$54,3,0)/1000</f>
        <v>21.725179738453754</v>
      </c>
      <c r="F28" s="373">
        <f t="shared" si="4"/>
        <v>110.5271370255689</v>
      </c>
      <c r="G28" s="372">
        <f>+((VLOOKUP($A28,[1]OECDTable14a!$A$15:$XO$66,183,0)+VLOOKUP($A28,[1]OECDTable14a!$A$15:$XO$66,283,0))/VLOOKUP($A28,[1]FX!$B$2:$D$54,3,0))/1000</f>
        <v>43.804067956937914</v>
      </c>
      <c r="H28" s="372">
        <f>+VLOOKUP($A28,[1]OECDCorpTaxRev!$A$8:$BC$43,54,0)/VLOOKUP($A28,[1]FX!$B$2:$D$54,3,0)</f>
        <v>45.573671217315002</v>
      </c>
      <c r="I28" s="532">
        <f t="shared" si="2"/>
        <v>-1.7696032603770888</v>
      </c>
      <c r="J28" s="359">
        <f t="shared" si="3"/>
        <v>0.18360409812068557</v>
      </c>
      <c r="K28" s="533">
        <f t="shared" si="1"/>
        <v>0.54070502410440469</v>
      </c>
      <c r="N28" s="531">
        <f t="shared" si="5"/>
        <v>0</v>
      </c>
      <c r="O28" s="7"/>
    </row>
    <row r="29" spans="1:17" x14ac:dyDescent="0.35">
      <c r="A29" s="350" t="s">
        <v>69</v>
      </c>
      <c r="B29" s="385">
        <f>+TableA2!F29</f>
        <v>4.1858751479217755</v>
      </c>
      <c r="C29" s="371">
        <f t="shared" si="7"/>
        <v>1.7372609822560412</v>
      </c>
      <c r="D29" s="372">
        <f>+((VLOOKUP($A29,[1]OECDTable14a!$A$15:$XO$66,163,0)+VLOOKUP($A29,[1]OECDTable14a!$A$15:$XO$66,165,0)+VLOOKUP($A29,[1]OECDTable14a!$A$15:$XO$66,263,0)+VLOOKUP($A29,[1]OECDTable14a!$A$15:$XO$66,265,0))/VLOOKUP($A29,[1]FX!$B$2:$D$54,3,0))/1000</f>
        <v>2.1531754244121113</v>
      </c>
      <c r="E29" s="372">
        <f>+(VLOOKUP($A29,[1]OECDTable14a!$A$15:$XO$66,155,0)+VLOOKUP($A29,[1]OECDTable14a!$A$15:$XO$66,157,0)+VLOOKUP($A29,[1]OECDTable14a!$A$15:$XO$66,255,0)+VLOOKUP($A29,[1]OECDTable14a!$A$15:$XO$66,257,0))/VLOOKUP($A29,[1]FX!$B$2:$D$54,3,0)/1000</f>
        <v>0.41591444215607015</v>
      </c>
      <c r="F29" s="373">
        <f t="shared" si="4"/>
        <v>2.0290786206315254</v>
      </c>
      <c r="G29" s="372">
        <f>+((VLOOKUP($A29,[1]OECDTable14a!$A$15:$XO$66,183,0)+VLOOKUP($A29,[1]OECDTable14a!$A$15:$XO$66,283,0))/VLOOKUP($A29,[1]FX!$B$2:$D$54,3,0))/1000</f>
        <v>0.4195355450342092</v>
      </c>
      <c r="H29" s="372">
        <f>+VLOOKUP($A29,[1]OECDCorpTaxRev!$A$8:$BC$43,54,0)/VLOOKUP($A29,[1]FX!$B$2:$D$54,3,0)</f>
        <v>0.43100773130418485</v>
      </c>
      <c r="I29" s="532">
        <f t="shared" si="2"/>
        <v>-1.1472186269975648E-2</v>
      </c>
      <c r="J29" s="359">
        <f t="shared" si="3"/>
        <v>0.10296717318914152</v>
      </c>
      <c r="K29" s="533">
        <f t="shared" si="1"/>
        <v>0.53874021850708242</v>
      </c>
      <c r="N29" s="531">
        <f t="shared" si="5"/>
        <v>0</v>
      </c>
      <c r="O29" s="7"/>
    </row>
    <row r="30" spans="1:17" x14ac:dyDescent="0.35">
      <c r="A30" s="350" t="s">
        <v>70</v>
      </c>
      <c r="B30" s="385">
        <f>+TableA2!F30</f>
        <v>59.277065941780656</v>
      </c>
      <c r="C30" s="371">
        <f t="shared" si="7"/>
        <v>65.503033852043842</v>
      </c>
      <c r="D30" s="372">
        <f>+((VLOOKUP($A30,[1]OECDTable14a!$A$15:$XO$66,163,0)+VLOOKUP($A30,[1]OECDTable14a!$A$15:$XO$66,165,0)+VLOOKUP($A30,[1]OECDTable14a!$A$15:$XO$66,263,0)+VLOOKUP($A30,[1]OECDTable14a!$A$15:$XO$66,265,0))/VLOOKUP($A30,[1]FX!$B$2:$D$54,3,0))/1000</f>
        <v>201.07457475608851</v>
      </c>
      <c r="E30" s="372">
        <f>+(VLOOKUP($A30,[1]OECDTable14a!$A$15:$XO$66,155,0)+VLOOKUP($A30,[1]OECDTable14a!$A$15:$XO$66,157,0)+VLOOKUP($A30,[1]OECDTable14a!$A$15:$XO$66,255,0)+VLOOKUP($A30,[1]OECDTable14a!$A$15:$XO$66,257,0))/VLOOKUP($A30,[1]FX!$B$2:$D$54,3,0)/1000</f>
        <v>135.57154090404467</v>
      </c>
      <c r="F30" s="373">
        <f t="shared" si="4"/>
        <v>-8.8217385951895277</v>
      </c>
      <c r="G30" s="372">
        <f>+((VLOOKUP($A30,[1]OECDTable14a!$A$15:$XO$66,183,0)+VLOOKUP($A30,[1]OECDTable14a!$A$15:$XO$66,283,0))/VLOOKUP($A30,[1]FX!$B$2:$D$54,3,0))/1000</f>
        <v>2.5957706849263413</v>
      </c>
      <c r="H30" s="372">
        <f>+VLOOKUP($A30,[1]OECDCorpTaxRev!$A$8:$BC$43,54,0)/VLOOKUP($A30,[1]FX!$B$2:$D$54,3,0)</f>
        <v>2.5454024193181679</v>
      </c>
      <c r="I30" s="532">
        <f t="shared" si="2"/>
        <v>5.0368265608173424E-2</v>
      </c>
      <c r="J30" s="359">
        <f>H30/B30</f>
        <v>4.2940762652087926E-2</v>
      </c>
      <c r="K30" s="533">
        <f t="shared" si="1"/>
        <v>-0.15563756183081823</v>
      </c>
      <c r="N30" s="531">
        <f t="shared" si="5"/>
        <v>0</v>
      </c>
      <c r="O30" s="7"/>
    </row>
    <row r="31" spans="1:17" x14ac:dyDescent="0.35">
      <c r="A31" s="350" t="s">
        <v>71</v>
      </c>
      <c r="B31" s="385">
        <f>+TableA2!F31</f>
        <v>325.04468785135941</v>
      </c>
      <c r="C31" s="371">
        <f>D31-E31</f>
        <v>209.43892477328907</v>
      </c>
      <c r="D31" s="372">
        <f>+((VLOOKUP($A31,[1]OECDTable14a!$A$15:$XO$66,163,0)+VLOOKUP($A31,[1]OECDTable14a!$A$15:$XO$66,165,0)+VLOOKUP($A31,[1]OECDTable14a!$A$15:$XO$66,263,0)+VLOOKUP($A31,[1]OECDTable14a!$A$15:$XO$66,265,0))/VLOOKUP($A31,[1]FX!$B$2:$D$54,3,0))/1000</f>
        <v>212.92763429591386</v>
      </c>
      <c r="E31" s="372">
        <f>+(VLOOKUP($A31,[1]OECDTable14a!$A$15:$XO$66,155,0)+VLOOKUP($A31,[1]OECDTable14a!$A$15:$XO$66,157,0)+VLOOKUP($A31,[1]OECDTable14a!$A$15:$XO$66,255,0)+VLOOKUP($A31,[1]OECDTable14a!$A$15:$XO$66,257,0))/VLOOKUP($A31,[1]FX!$B$2:$D$54,3,0)/1000</f>
        <v>3.4887095226247764</v>
      </c>
      <c r="F31" s="373">
        <f t="shared" si="4"/>
        <v>81.25222776723794</v>
      </c>
      <c r="G31" s="372">
        <f>+((VLOOKUP($A31,[1]OECDTable14a!$A$15:$XO$66,183,0)+VLOOKUP($A31,[1]OECDTable14a!$A$15:$XO$66,283,0))/VLOOKUP($A31,[1]FX!$B$2:$D$54,3,0))/1000</f>
        <v>34.353535310832406</v>
      </c>
      <c r="H31" s="372">
        <f>+VLOOKUP($A31,[1]OECDCorpTaxRev!$A$8:$BC$43,54,0)/VLOOKUP($A31,[1]FX!$B$2:$D$54,3,0)</f>
        <v>37.382194532689283</v>
      </c>
      <c r="I31" s="532">
        <f t="shared" si="2"/>
        <v>-3.0286592218568771</v>
      </c>
      <c r="J31" s="359">
        <f t="shared" si="3"/>
        <v>0.11500632352983997</v>
      </c>
      <c r="K31" s="533">
        <f t="shared" si="1"/>
        <v>0.27951393448725648</v>
      </c>
      <c r="N31" s="531">
        <f t="shared" si="5"/>
        <v>0</v>
      </c>
      <c r="O31" s="7"/>
    </row>
    <row r="32" spans="1:17" x14ac:dyDescent="0.35">
      <c r="A32" s="350" t="s">
        <v>72</v>
      </c>
      <c r="B32" s="385">
        <f>+TableA2!F32</f>
        <v>159.74775386260217</v>
      </c>
      <c r="C32" s="371">
        <f>D32-E32</f>
        <v>11.366824930489258</v>
      </c>
      <c r="D32" s="372">
        <f>+((VLOOKUP($A32,[1]OECDTable14a!$A$15:$XO$66,163,0)+VLOOKUP($A32,[1]OECDTable14a!$A$15:$XO$66,165,0)+VLOOKUP($A32,[1]OECDTable14a!$A$15:$XO$66,263,0)+VLOOKUP($A32,[1]OECDTable14a!$A$15:$XO$66,265,0))/VLOOKUP($A32,[1]FX!$B$2:$D$54,3,0))/1000</f>
        <v>234.81271744639605</v>
      </c>
      <c r="E32" s="372">
        <f>+(VLOOKUP($A32,[1]OECDTable14a!$A$15:$XO$66,155,0)+VLOOKUP($A32,[1]OECDTable14a!$A$15:$XO$66,157,0)+VLOOKUP($A32,[1]OECDTable14a!$A$15:$XO$66,255,0)+VLOOKUP($A32,[1]OECDTable14a!$A$15:$XO$66,257,0))/VLOOKUP($A32,[1]FX!$B$2:$D$54,3,0)/1000</f>
        <v>223.44589251590679</v>
      </c>
      <c r="F32" s="373">
        <f t="shared" si="4"/>
        <v>129.46801396093201</v>
      </c>
      <c r="G32" s="372">
        <f>+((VLOOKUP($A32,[1]OECDTable14a!$A$15:$XO$66,183,0)+VLOOKUP($A32,[1]OECDTable14a!$A$15:$XO$66,283,0))/VLOOKUP($A32,[1]FX!$B$2:$D$54,3,0))/1000</f>
        <v>18.9129149711809</v>
      </c>
      <c r="H32" s="372">
        <f>+VLOOKUP($A32,[1]OECDCorpTaxRev!$A$8:$BC$43,54,0)/VLOOKUP($A32,[1]FX!$B$2:$D$54,3,0)</f>
        <v>20.455626794608605</v>
      </c>
      <c r="I32" s="532">
        <f t="shared" si="2"/>
        <v>-1.5427118234277053</v>
      </c>
      <c r="J32" s="359">
        <f t="shared" si="3"/>
        <v>0.12804954248184505</v>
      </c>
      <c r="K32" s="533">
        <f t="shared" si="1"/>
        <v>0.91928967988345067</v>
      </c>
      <c r="N32" s="531">
        <f t="shared" si="5"/>
        <v>0</v>
      </c>
      <c r="O32" s="7"/>
    </row>
    <row r="33" spans="1:15" x14ac:dyDescent="0.35">
      <c r="A33" s="350" t="s">
        <v>73</v>
      </c>
      <c r="B33" s="385">
        <f>+TableA2!F33</f>
        <v>43.62366684525152</v>
      </c>
      <c r="C33" s="371">
        <f>+B33-F33-G33</f>
        <v>22.000521311661942</v>
      </c>
      <c r="D33" s="372"/>
      <c r="E33" s="372"/>
      <c r="F33" s="373">
        <f>+B33*$F$100</f>
        <v>13.668334605923475</v>
      </c>
      <c r="G33" s="372">
        <f>+H33</f>
        <v>7.9548109276661032</v>
      </c>
      <c r="H33" s="372">
        <f>+VLOOKUP($A33,[1]OECDCorpTaxRev!$A$8:$BC$43,54,0)/VLOOKUP($A33,[1]FX!$B$2:$D$54,3,0)</f>
        <v>7.9548109276661032</v>
      </c>
      <c r="I33" s="532">
        <f t="shared" si="2"/>
        <v>0</v>
      </c>
      <c r="J33" s="359">
        <f t="shared" si="3"/>
        <v>0.18235080869942946</v>
      </c>
      <c r="K33" s="533">
        <f t="shared" si="1"/>
        <v>0.38320081354739299</v>
      </c>
      <c r="N33" s="531">
        <f t="shared" si="5"/>
        <v>0</v>
      </c>
      <c r="O33" s="7"/>
    </row>
    <row r="34" spans="1:15" x14ac:dyDescent="0.35">
      <c r="A34" s="350" t="s">
        <v>74</v>
      </c>
      <c r="B34" s="385">
        <f>+TableA2!F34</f>
        <v>76.129871814410606</v>
      </c>
      <c r="C34" s="371">
        <f>D34-E34</f>
        <v>35.308296566774978</v>
      </c>
      <c r="D34" s="372">
        <f>+((VLOOKUP($A34,[1]OECDTable14a!$A$15:$XO$66,163,0)+VLOOKUP($A34,[1]OECDTable14a!$A$15:$XO$66,165,0)+VLOOKUP($A34,[1]OECDTable14a!$A$15:$XO$66,263,0)+VLOOKUP($A34,[1]OECDTable14a!$A$15:$XO$66,265,0))/VLOOKUP($A34,[1]FX!$B$2:$D$54,3,0))/1000</f>
        <v>71.85900291995442</v>
      </c>
      <c r="E34" s="372">
        <f>+(VLOOKUP($A34,[1]OECDTable14a!$A$15:$XO$66,155,0)+VLOOKUP($A34,[1]OECDTable14a!$A$15:$XO$66,157,0)+VLOOKUP($A34,[1]OECDTable14a!$A$15:$XO$66,255,0)+VLOOKUP($A34,[1]OECDTable14a!$A$15:$XO$66,257,0))/VLOOKUP($A34,[1]FX!$B$2:$D$54,3,0)/1000</f>
        <v>36.550706353179443</v>
      </c>
      <c r="F34" s="373">
        <f t="shared" si="4"/>
        <v>23.797250230556987</v>
      </c>
      <c r="G34" s="372">
        <f>+((VLOOKUP($A34,[1]OECDTable14a!$A$15:$XO$66,183,0)+VLOOKUP($A34,[1]OECDTable14a!$A$15:$XO$66,283,0))/VLOOKUP($A34,[1]FX!$B$2:$D$54,3,0))/1000</f>
        <v>17.024325017078642</v>
      </c>
      <c r="H34" s="372">
        <f>+VLOOKUP($A34,[1]OECDCorpTaxRev!$A$8:$BC$43,54,0)/VLOOKUP($A34,[1]FX!$B$2:$D$54,3,0)</f>
        <v>16.980179105913855</v>
      </c>
      <c r="I34" s="532">
        <f t="shared" si="2"/>
        <v>4.4145911164786611E-2</v>
      </c>
      <c r="J34" s="359">
        <f t="shared" si="3"/>
        <v>0.22304226581791881</v>
      </c>
      <c r="K34" s="533">
        <f t="shared" si="1"/>
        <v>0.40262296044998602</v>
      </c>
      <c r="N34" s="531">
        <f t="shared" si="5"/>
        <v>0</v>
      </c>
      <c r="O34" s="7"/>
    </row>
    <row r="35" spans="1:15" x14ac:dyDescent="0.35">
      <c r="A35" s="350" t="s">
        <v>75</v>
      </c>
      <c r="B35" s="385">
        <f>+TableA2!F35</f>
        <v>87.784586815227485</v>
      </c>
      <c r="C35" s="371">
        <f t="shared" ref="C35:C43" si="8">D35-E35</f>
        <v>20.470088871203078</v>
      </c>
      <c r="D35" s="372">
        <f>+((VLOOKUP($A35,[1]OECDTable14a!$A$15:$XO$66,163,0)+VLOOKUP($A35,[1]OECDTable14a!$A$15:$XO$66,165,0)+VLOOKUP($A35,[1]OECDTable14a!$A$15:$XO$66,263,0)+VLOOKUP($A35,[1]OECDTable14a!$A$15:$XO$66,265,0))/VLOOKUP($A35,[1]FX!$B$2:$D$54,3,0))/1000</f>
        <v>25.818012999071495</v>
      </c>
      <c r="E35" s="372">
        <f>+(VLOOKUP($A35,[1]OECDTable14a!$A$15:$XO$66,155,0)+VLOOKUP($A35,[1]OECDTable14a!$A$15:$XO$66,157,0)+VLOOKUP($A35,[1]OECDTable14a!$A$15:$XO$66,255,0)+VLOOKUP($A35,[1]OECDTable14a!$A$15:$XO$66,257,0))/VLOOKUP($A35,[1]FX!$B$2:$D$54,3,0)/1000</f>
        <v>5.347924127868418</v>
      </c>
      <c r="F35" s="373">
        <f t="shared" si="4"/>
        <v>57.266480965645314</v>
      </c>
      <c r="G35" s="372">
        <f>+((VLOOKUP($A35,[1]OECDTable14a!$A$15:$XO$66,183,0)+VLOOKUP($A35,[1]OECDTable14a!$A$15:$XO$66,283,0))/VLOOKUP($A35,[1]FX!$B$2:$D$54,3,0))/1000</f>
        <v>10.048016978379096</v>
      </c>
      <c r="H35" s="372">
        <f>+VLOOKUP($A35,[1]OECDCorpTaxRev!$A$8:$BC$43,54,0)/VLOOKUP($A35,[1]FX!$B$2:$D$54,3,0)</f>
        <v>8.7820665870805144</v>
      </c>
      <c r="I35" s="532">
        <f t="shared" si="2"/>
        <v>1.2659503912985812</v>
      </c>
      <c r="J35" s="359">
        <f t="shared" si="3"/>
        <v>0.10004109953339942</v>
      </c>
      <c r="K35" s="533">
        <f t="shared" si="1"/>
        <v>0.73667362845871387</v>
      </c>
      <c r="N35" s="531">
        <f t="shared" si="5"/>
        <v>0</v>
      </c>
      <c r="O35" s="7"/>
    </row>
    <row r="36" spans="1:15" x14ac:dyDescent="0.35">
      <c r="A36" s="350" t="s">
        <v>76</v>
      </c>
      <c r="B36" s="385">
        <f>+TableA2!F36</f>
        <v>26.618072907828797</v>
      </c>
      <c r="C36" s="371">
        <f t="shared" si="8"/>
        <v>10.791601924896218</v>
      </c>
      <c r="D36" s="372">
        <f>+((VLOOKUP($A36,[1]OECDTable14a!$A$15:$XO$66,163,0)+VLOOKUP($A36,[1]OECDTable14a!$A$15:$XO$66,165,0)+VLOOKUP($A36,[1]OECDTable14a!$A$15:$XO$66,263,0)+VLOOKUP($A36,[1]OECDTable14a!$A$15:$XO$66,265,0))/VLOOKUP($A36,[1]FX!$B$2:$D$54,3,0))/1000</f>
        <v>19.309094679917795</v>
      </c>
      <c r="E36" s="372">
        <f>+(VLOOKUP($A36,[1]OECDTable14a!$A$15:$XO$66,155,0)+VLOOKUP($A36,[1]OECDTable14a!$A$15:$XO$66,157,0)+VLOOKUP($A36,[1]OECDTable14a!$A$15:$XO$66,255,0)+VLOOKUP($A36,[1]OECDTable14a!$A$15:$XO$66,257,0))/VLOOKUP($A36,[1]FX!$B$2:$D$54,3,0)/1000</f>
        <v>8.5174927550215767</v>
      </c>
      <c r="F36" s="373">
        <f t="shared" si="4"/>
        <v>9.4975328810559265</v>
      </c>
      <c r="G36" s="372">
        <f>+((VLOOKUP($A36,[1]OECDTable14a!$A$15:$XO$66,183,0)+VLOOKUP($A36,[1]OECDTable14a!$A$15:$XO$66,283,0))/VLOOKUP($A36,[1]FX!$B$2:$D$54,3,0))/1000</f>
        <v>6.328938101876652</v>
      </c>
      <c r="H36" s="372">
        <f>+VLOOKUP($A36,[1]OECDCorpTaxRev!$A$8:$BC$43,54,0)/VLOOKUP($A36,[1]FX!$B$2:$D$54,3,0)</f>
        <v>6.2258326041219583</v>
      </c>
      <c r="I36" s="532">
        <f t="shared" si="2"/>
        <v>0.10310549775469369</v>
      </c>
      <c r="J36" s="359">
        <f t="shared" si="3"/>
        <v>0.23389494144374526</v>
      </c>
      <c r="K36" s="533">
        <f t="shared" si="1"/>
        <v>0.4681093093368216</v>
      </c>
      <c r="N36" s="531">
        <f t="shared" si="5"/>
        <v>0</v>
      </c>
      <c r="O36" s="7"/>
    </row>
    <row r="37" spans="1:15" x14ac:dyDescent="0.35">
      <c r="A37" s="350" t="s">
        <v>96</v>
      </c>
      <c r="B37" s="385">
        <f>+TableA2!F37</f>
        <v>11.604550057172386</v>
      </c>
      <c r="C37" s="371">
        <f t="shared" si="8"/>
        <v>3.4478710909556725</v>
      </c>
      <c r="D37" s="372">
        <f>+((VLOOKUP($A37,[1]OECDTable14a!$A$15:$XO$66,163,0)+VLOOKUP($A37,[1]OECDTable14a!$A$15:$XO$66,165,0)+VLOOKUP($A37,[1]OECDTable14a!$A$15:$XO$66,263,0)+VLOOKUP($A37,[1]OECDTable14a!$A$15:$XO$66,265,0))/VLOOKUP($A37,[1]FX!$B$2:$D$54,3,0))/1000</f>
        <v>5.3554980319610852</v>
      </c>
      <c r="E37" s="372">
        <f>+(VLOOKUP($A37,[1]OECDTable14a!$A$15:$XO$66,155,0)+VLOOKUP($A37,[1]OECDTable14a!$A$15:$XO$66,157,0)+VLOOKUP($A37,[1]OECDTable14a!$A$15:$XO$66,255,0)+VLOOKUP($A37,[1]OECDTable14a!$A$15:$XO$66,257,0))/VLOOKUP($A37,[1]FX!$B$2:$D$54,3,0)/1000</f>
        <v>1.907626941005413</v>
      </c>
      <c r="F37" s="373">
        <f t="shared" si="4"/>
        <v>4.8172723834620355</v>
      </c>
      <c r="G37" s="372">
        <f>+((VLOOKUP($A37,[1]OECDTable14a!$A$15:$XO$66,183,0)+VLOOKUP($A37,[1]OECDTable14a!$A$15:$XO$66,283,0))/VLOOKUP($A37,[1]FX!$B$2:$D$54,3,0))/1000</f>
        <v>3.3394065827546777</v>
      </c>
      <c r="H37" s="372">
        <v>2.9169999999999998</v>
      </c>
      <c r="I37" s="532">
        <f t="shared" si="2"/>
        <v>0.42240658275467791</v>
      </c>
      <c r="J37" s="359">
        <f t="shared" si="3"/>
        <v>0.25136691949526291</v>
      </c>
      <c r="K37" s="533">
        <f t="shared" si="1"/>
        <v>0.5828419552996833</v>
      </c>
      <c r="N37" s="531">
        <f t="shared" si="5"/>
        <v>0</v>
      </c>
      <c r="O37" s="7"/>
    </row>
    <row r="38" spans="1:15" x14ac:dyDescent="0.35">
      <c r="A38" s="350" t="s">
        <v>78</v>
      </c>
      <c r="B38" s="385">
        <f>+TableA2!F38</f>
        <v>3.417758487410429</v>
      </c>
      <c r="C38" s="371">
        <f t="shared" si="8"/>
        <v>1.2037513073124095</v>
      </c>
      <c r="D38" s="372">
        <f>+((VLOOKUP($A38,[1]OECDTable14a!$A$15:$XO$66,163,0)+VLOOKUP($A38,[1]OECDTable14a!$A$15:$XO$66,165,0)+VLOOKUP($A38,[1]OECDTable14a!$A$15:$XO$66,263,0)+VLOOKUP($A38,[1]OECDTable14a!$A$15:$XO$66,265,0))/VLOOKUP($A38,[1]FX!$B$2:$D$54,3,0))/1000</f>
        <v>1.3932874845146557</v>
      </c>
      <c r="E38" s="372">
        <f>+(VLOOKUP($A38,[1]OECDTable14a!$A$15:$XO$66,155,0)+VLOOKUP($A38,[1]OECDTable14a!$A$15:$XO$66,157,0)+VLOOKUP($A38,[1]OECDTable14a!$A$15:$XO$66,255,0)+VLOOKUP($A38,[1]OECDTable14a!$A$15:$XO$66,257,0))/VLOOKUP($A38,[1]FX!$B$2:$D$54,3,0)/1000</f>
        <v>0.18953617720224611</v>
      </c>
      <c r="F38" s="373">
        <f t="shared" si="4"/>
        <v>1.5654103158732959</v>
      </c>
      <c r="G38" s="372">
        <f>+((VLOOKUP($A38,[1]OECDTable14a!$A$15:$XO$66,183,0)+VLOOKUP($A38,[1]OECDTable14a!$A$15:$XO$66,283,0))/VLOOKUP($A38,[1]FX!$B$2:$D$54,3,0))/1000</f>
        <v>0.64859686422472362</v>
      </c>
      <c r="H38" s="372">
        <f>+VLOOKUP($A38,[1]OECDCorpTaxRev!$A$8:$BC$43,54,0)/VLOOKUP($A38,[1]FX!$B$2:$D$54,3,0)</f>
        <v>0.62991330425360359</v>
      </c>
      <c r="I38" s="532">
        <f t="shared" si="2"/>
        <v>1.8683559971120034E-2</v>
      </c>
      <c r="J38" s="359">
        <f t="shared" si="3"/>
        <v>0.18430597322014902</v>
      </c>
      <c r="K38" s="533">
        <f t="shared" si="1"/>
        <v>0.56530117374384703</v>
      </c>
      <c r="N38" s="531">
        <f t="shared" si="5"/>
        <v>0</v>
      </c>
      <c r="O38" s="7"/>
    </row>
    <row r="39" spans="1:15" x14ac:dyDescent="0.35">
      <c r="A39" s="350" t="s">
        <v>79</v>
      </c>
      <c r="B39" s="385">
        <f>+TableA2!F39</f>
        <v>158.95366208289389</v>
      </c>
      <c r="C39" s="371">
        <f t="shared" si="8"/>
        <v>43.046207047231817</v>
      </c>
      <c r="D39" s="372">
        <f>+((VLOOKUP($A39,[1]OECDTable14a!$A$15:$XO$66,163,0)+VLOOKUP($A39,[1]OECDTable14a!$A$15:$XO$66,165,0)+VLOOKUP($A39,[1]OECDTable14a!$A$15:$XO$66,263,0)+VLOOKUP($A39,[1]OECDTable14a!$A$15:$XO$66,265,0))/VLOOKUP($A39,[1]FX!$B$2:$D$54,3,0))/1000</f>
        <v>93.618540933989451</v>
      </c>
      <c r="E39" s="372">
        <f>+(VLOOKUP($A39,[1]OECDTable14a!$A$15:$XO$66,155,0)+VLOOKUP($A39,[1]OECDTable14a!$A$15:$XO$66,157,0)+VLOOKUP($A39,[1]OECDTable14a!$A$15:$XO$66,255,0)+VLOOKUP($A39,[1]OECDTable14a!$A$15:$XO$66,257,0))/VLOOKUP($A39,[1]FX!$B$2:$D$54,3,0)/1000</f>
        <v>50.572333886757633</v>
      </c>
      <c r="F39" s="373">
        <f t="shared" si="4"/>
        <v>87.835866996281325</v>
      </c>
      <c r="G39" s="372">
        <f>+((VLOOKUP($A39,[1]OECDTable14a!$A$15:$XO$66,183,0)+VLOOKUP($A39,[1]OECDTable14a!$A$15:$XO$66,283,0))/VLOOKUP($A39,[1]FX!$B$2:$D$54,3,0))/1000</f>
        <v>28.071588039380742</v>
      </c>
      <c r="H39" s="372">
        <f>+VLOOKUP($A39,[1]OECDCorpTaxRev!$A$8:$BC$43,54,0)/VLOOKUP($A39,[1]FX!$B$2:$D$54,3,0)</f>
        <v>28.380403234482216</v>
      </c>
      <c r="I39" s="532">
        <f t="shared" si="2"/>
        <v>-0.30881519510147371</v>
      </c>
      <c r="J39" s="359">
        <f t="shared" si="3"/>
        <v>0.17854513612704259</v>
      </c>
      <c r="K39" s="533">
        <f t="shared" si="1"/>
        <v>0.67110693070984917</v>
      </c>
      <c r="N39" s="531">
        <f t="shared" si="5"/>
        <v>0</v>
      </c>
      <c r="O39" s="7"/>
    </row>
    <row r="40" spans="1:15" x14ac:dyDescent="0.35">
      <c r="A40" s="350" t="s">
        <v>80</v>
      </c>
      <c r="B40" s="385">
        <f>+TableA2!F40</f>
        <v>63.367762356160583</v>
      </c>
      <c r="C40" s="371">
        <f t="shared" si="8"/>
        <v>29.230900736599537</v>
      </c>
      <c r="D40" s="372">
        <f>+((VLOOKUP($A40,[1]OECDTable14a!$A$15:$XO$66,163,0)+VLOOKUP($A40,[1]OECDTable14a!$A$15:$XO$66,165,0)+VLOOKUP($A40,[1]OECDTable14a!$A$15:$XO$66,263,0)+VLOOKUP($A40,[1]OECDTable14a!$A$15:$XO$66,265,0))/VLOOKUP($A40,[1]FX!$B$2:$D$54,3,0))/1000</f>
        <v>135.3610577840175</v>
      </c>
      <c r="E40" s="372">
        <f>+(VLOOKUP($A40,[1]OECDTable14a!$A$15:$XO$66,155,0)+VLOOKUP($A40,[1]OECDTable14a!$A$15:$XO$66,157,0)+VLOOKUP($A40,[1]OECDTable14a!$A$15:$XO$66,255,0)+VLOOKUP($A40,[1]OECDTable14a!$A$15:$XO$66,257,0))/VLOOKUP($A40,[1]FX!$B$2:$D$54,3,0)/1000</f>
        <v>106.13015704741797</v>
      </c>
      <c r="F40" s="373">
        <f t="shared" si="4"/>
        <v>19.663085528227491</v>
      </c>
      <c r="G40" s="372">
        <f>+((VLOOKUP($A40,[1]OECDTable14a!$A$15:$XO$66,183,0)+VLOOKUP($A40,[1]OECDTable14a!$A$15:$XO$66,283,0))/VLOOKUP($A40,[1]FX!$B$2:$D$54,3,0))/1000</f>
        <v>14.473776091333553</v>
      </c>
      <c r="H40" s="372">
        <f>+VLOOKUP($A40,[1]OECDCorpTaxRev!$A$8:$BC$43,54,0)/VLOOKUP($A40,[1]FX!$B$2:$D$54,3,0)</f>
        <v>14.727097286125488</v>
      </c>
      <c r="I40" s="532">
        <f t="shared" si="2"/>
        <v>-0.25332119479193516</v>
      </c>
      <c r="J40" s="359">
        <f t="shared" si="3"/>
        <v>0.23240677496786705</v>
      </c>
      <c r="K40" s="533">
        <f t="shared" si="1"/>
        <v>0.4021575459551468</v>
      </c>
      <c r="N40" s="531">
        <f t="shared" si="5"/>
        <v>0</v>
      </c>
      <c r="O40" s="7"/>
    </row>
    <row r="41" spans="1:15" x14ac:dyDescent="0.35">
      <c r="A41" s="350" t="s">
        <v>1</v>
      </c>
      <c r="B41" s="385">
        <f>+TableA2!F41</f>
        <v>94.889238877326122</v>
      </c>
      <c r="C41" s="371">
        <f t="shared" si="8"/>
        <v>74.71346130066992</v>
      </c>
      <c r="D41" s="372">
        <f>+((VLOOKUP($A41,[1]OECDTable14a!$A$15:$XO$66,163,0)+VLOOKUP($A41,[1]OECDTable14a!$A$15:$XO$66,165,0)+VLOOKUP($A41,[1]OECDTable14a!$A$15:$XO$66,263,0)+VLOOKUP($A41,[1]OECDTable14a!$A$15:$XO$66,265,0))/VLOOKUP($A41,[1]FX!$B$2:$D$54,3,0))/1000</f>
        <v>202.68024368727148</v>
      </c>
      <c r="E41" s="372">
        <f>+(VLOOKUP($A41,[1]OECDTable14a!$A$15:$XO$66,155,0)+VLOOKUP($A41,[1]OECDTable14a!$A$15:$XO$66,157,0)+VLOOKUP($A41,[1]OECDTable14a!$A$15:$XO$66,255,0)+VLOOKUP($A41,[1]OECDTable14a!$A$15:$XO$66,257,0))/VLOOKUP($A41,[1]FX!$B$2:$D$54,3,0)/1000</f>
        <v>127.96678238660157</v>
      </c>
      <c r="F41" s="373">
        <f t="shared" si="4"/>
        <v>-2.8898017521127599</v>
      </c>
      <c r="G41" s="372">
        <f>+((VLOOKUP($A41,[1]OECDTable14a!$A$15:$XO$66,183,0)+VLOOKUP($A41,[1]OECDTable14a!$A$15:$XO$66,283,0))/VLOOKUP($A41,[1]FX!$B$2:$D$54,3,0))/1000</f>
        <v>23.065579328768962</v>
      </c>
      <c r="H41" s="372">
        <f>+VLOOKUP($A41,[1]OECDCorpTaxRev!$A$8:$BC$43,54,0)/VLOOKUP($A41,[1]FX!$B$2:$D$54,3,0)</f>
        <v>20.105337698894719</v>
      </c>
      <c r="I41" s="532">
        <f t="shared" si="2"/>
        <v>2.9602416298742433</v>
      </c>
      <c r="J41" s="359">
        <f t="shared" si="3"/>
        <v>0.21188216848158226</v>
      </c>
      <c r="K41" s="533">
        <f t="shared" si="1"/>
        <v>-4.0234677128350417E-2</v>
      </c>
      <c r="N41" s="531">
        <f t="shared" si="5"/>
        <v>0</v>
      </c>
      <c r="O41" s="7"/>
    </row>
    <row r="42" spans="1:15" x14ac:dyDescent="0.35">
      <c r="A42" s="350" t="s">
        <v>81</v>
      </c>
      <c r="B42" s="385">
        <f>+TableA2!F42</f>
        <v>212.59949330572061</v>
      </c>
      <c r="C42" s="371">
        <f t="shared" si="8"/>
        <v>152.81711200220295</v>
      </c>
      <c r="D42" s="372">
        <f>+((VLOOKUP($A42,[1]OECDTable14a!$A$15:$XO$66,163,0)+VLOOKUP($A42,[1]OECDTable14a!$A$15:$XO$66,165,0)+VLOOKUP($A42,[1]OECDTable14a!$A$15:$XO$66,263,0)+VLOOKUP($A42,[1]OECDTable14a!$A$15:$XO$66,265,0))/VLOOKUP($A42,[1]FX!$B$2:$D$54,3,0))/1000</f>
        <v>183.4046982932777</v>
      </c>
      <c r="E42" s="372">
        <f>+(VLOOKUP($A42,[1]OECDTable14a!$A$15:$XO$66,155,0)+VLOOKUP($A42,[1]OECDTable14a!$A$15:$XO$66,157,0)+VLOOKUP($A42,[1]OECDTable14a!$A$15:$XO$66,255,0)+VLOOKUP($A42,[1]OECDTable14a!$A$15:$XO$66,257,0))/VLOOKUP($A42,[1]FX!$B$2:$D$54,3,0)/1000</f>
        <v>30.587586291074768</v>
      </c>
      <c r="F42" s="373">
        <f t="shared" si="4"/>
        <v>44.952206109244415</v>
      </c>
      <c r="G42" s="372">
        <f>+((VLOOKUP($A42,[1]OECDTable14a!$A$15:$XO$66,183,0)+VLOOKUP($A42,[1]OECDTable14a!$A$15:$XO$66,283,0))/VLOOKUP($A42,[1]FX!$B$2:$D$54,3,0))/1000</f>
        <v>14.830175194273254</v>
      </c>
      <c r="H42" s="372">
        <f>+VLOOKUP($A42,[1]OECDCorpTaxRev!$A$8:$BC$43,54,0)/VLOOKUP($A42,[1]FX!$B$2:$D$54,3,0)</f>
        <v>12.275014163556076</v>
      </c>
      <c r="I42" s="532">
        <f t="shared" si="2"/>
        <v>2.5551610307171781</v>
      </c>
      <c r="J42" s="359">
        <f>H42/B42</f>
        <v>5.7737739505824968E-2</v>
      </c>
      <c r="K42" s="533">
        <f t="shared" si="1"/>
        <v>0.22729615765734126</v>
      </c>
      <c r="N42" s="531">
        <f t="shared" si="5"/>
        <v>0</v>
      </c>
      <c r="O42" s="7"/>
    </row>
    <row r="43" spans="1:15" x14ac:dyDescent="0.35">
      <c r="A43" s="350" t="s">
        <v>82</v>
      </c>
      <c r="B43" s="385">
        <f>+TableA2!F43</f>
        <v>425.05098961874262</v>
      </c>
      <c r="C43" s="371">
        <f t="shared" si="8"/>
        <v>249.11197854998508</v>
      </c>
      <c r="D43" s="372">
        <f>+((VLOOKUP($A43,[1]OECDTable14a!$A$15:$XO$66,163,0)+VLOOKUP($A43,[1]OECDTable14a!$A$15:$XO$66,165,0)+VLOOKUP($A43,[1]OECDTable14a!$A$15:$XO$66,263,0)+VLOOKUP($A43,[1]OECDTable14a!$A$15:$XO$66,265,0))/VLOOKUP($A43,[1]FX!$B$2:$D$54,3,0))/1000</f>
        <v>479.47199963333304</v>
      </c>
      <c r="E43" s="372">
        <f>+(VLOOKUP($A43,[1]OECDTable14a!$A$15:$XO$66,155,0)+VLOOKUP($A43,[1]OECDTable14a!$A$15:$XO$66,157,0)+VLOOKUP($A43,[1]OECDTable14a!$A$15:$XO$66,255,0)+VLOOKUP($A43,[1]OECDTable14a!$A$15:$XO$66,257,0))/VLOOKUP($A43,[1]FX!$B$2:$D$54,3,0)/1000</f>
        <v>230.36002108334796</v>
      </c>
      <c r="F43" s="373">
        <f t="shared" si="4"/>
        <v>99.536319122443686</v>
      </c>
      <c r="G43" s="372">
        <f>+((VLOOKUP($A43,[1]OECDTable14a!$A$15:$XO$66,183,0)+VLOOKUP($A43,[1]OECDTable14a!$A$15:$XO$66,283,0))/VLOOKUP($A43,[1]FX!$B$2:$D$54,3,0))/1000</f>
        <v>76.402691946313851</v>
      </c>
      <c r="H43" s="372">
        <f>+VLOOKUP($A43,[1]OECDCorpTaxRev!$A$8:$BC$43,54,0)/VLOOKUP($A43,[1]FX!$B$2:$D$54,3,0)</f>
        <v>70.19379874569357</v>
      </c>
      <c r="I43" s="532">
        <f t="shared" si="2"/>
        <v>6.208893200620281</v>
      </c>
      <c r="J43" s="359">
        <f t="shared" si="3"/>
        <v>0.16514206638750611</v>
      </c>
      <c r="K43" s="533">
        <f t="shared" si="1"/>
        <v>0.28549205542360817</v>
      </c>
      <c r="N43" s="531">
        <f t="shared" si="5"/>
        <v>0</v>
      </c>
      <c r="O43" s="7"/>
    </row>
    <row r="44" spans="1:15" x14ac:dyDescent="0.35">
      <c r="A44" s="350" t="s">
        <v>0</v>
      </c>
      <c r="B44" s="386">
        <f>+TableA2!F44</f>
        <v>1889.3969000000002</v>
      </c>
      <c r="C44" s="371">
        <f>D44-E44</f>
        <v>1017.5402000000001</v>
      </c>
      <c r="D44" s="372">
        <f>+((VLOOKUP($A44,[1]OECDTable14a!$A$15:$XO$66,163,0)+VLOOKUP($A44,[1]OECDTable14a!$A$15:$XO$66,165,0)+VLOOKUP($A44,[1]OECDTable14a!$A$15:$XO$66,263,0)+VLOOKUP($A44,[1]OECDTable14a!$A$15:$XO$66,265,0))/VLOOKUP($A44,[1]FX!$B$2:$D$54,3,0))/1000</f>
        <v>1614.7186000000002</v>
      </c>
      <c r="E44" s="372">
        <f>+(VLOOKUP($A44,[1]OECDTable14a!$A$15:$XO$66,155,0)+VLOOKUP($A44,[1]OECDTable14a!$A$15:$XO$66,157,0)++VLOOKUP($A44,[1]OECDTable14a!$A$15:$XO$66,255,0)+VLOOKUP($A44,[1]OECDTable14a!$A$15:$XO$66,257,0))/VLOOKUP($A44,[1]FX!$B$2:$D$54,3,0)/1000</f>
        <v>597.17840000000001</v>
      </c>
      <c r="F44" s="373">
        <f t="shared" si="4"/>
        <v>474.88500000000005</v>
      </c>
      <c r="G44" s="372">
        <f>+((VLOOKUP($A44,[1]OECDTable14a!$A$15:$XO$66,183,0)+VLOOKUP($A44,[1]OECDTable14a!$A$15:$XO$66,283,0))/VLOOKUP($A44,[1]FX!$B$2:$D$54,3,0))/1000</f>
        <v>396.9717</v>
      </c>
      <c r="H44" s="372">
        <f>+VLOOKUP($A44,[1]OECDCorpTaxRev!$A$8:$BC$43,54,0)/VLOOKUP($A44,[1]FX!$B$2:$D$54,3,0)</f>
        <v>404.99173999999999</v>
      </c>
      <c r="I44" s="532">
        <f t="shared" si="2"/>
        <v>-8.0200399999999945</v>
      </c>
      <c r="J44" s="359">
        <f t="shared" si="3"/>
        <v>0.21434974303175788</v>
      </c>
      <c r="K44" s="533">
        <f t="shared" si="1"/>
        <v>0.3181968516747104</v>
      </c>
      <c r="N44" s="531">
        <f t="shared" si="5"/>
        <v>0</v>
      </c>
      <c r="O44" s="7"/>
    </row>
    <row r="45" spans="1:15" ht="40" customHeight="1" x14ac:dyDescent="0.35">
      <c r="A45" s="363" t="s">
        <v>99</v>
      </c>
      <c r="B45" s="538">
        <f>SUM(B46:B52)</f>
        <v>3157.101545061153</v>
      </c>
      <c r="C45" s="539">
        <f>SUM(C46:C52)</f>
        <v>700.72661775039535</v>
      </c>
      <c r="D45" s="540"/>
      <c r="E45" s="520"/>
      <c r="F45" s="541">
        <f>SUM(F46:F52)</f>
        <v>1864.1772365029271</v>
      </c>
      <c r="G45" s="520">
        <f>SUM(G46:G52)</f>
        <v>592.19769080783021</v>
      </c>
      <c r="H45" s="348"/>
      <c r="I45" s="534"/>
      <c r="J45" s="510">
        <f>G45/B45</f>
        <v>0.18757638370366683</v>
      </c>
      <c r="K45" s="511">
        <f>F45/(B45-G45)</f>
        <v>0.72680199431709835</v>
      </c>
      <c r="N45" s="531">
        <f t="shared" si="5"/>
        <v>0</v>
      </c>
      <c r="O45" s="7"/>
    </row>
    <row r="46" spans="1:15" x14ac:dyDescent="0.35">
      <c r="A46" s="350" t="s">
        <v>92</v>
      </c>
      <c r="B46" s="386">
        <f>+TableA2!F46</f>
        <v>274.33569999999997</v>
      </c>
      <c r="C46" s="371">
        <f>D46-E46</f>
        <v>121.60224641288116</v>
      </c>
      <c r="D46" s="372">
        <f>('[1]OECDTable14a2014(small)'!$AF$39/VLOOKUP($A46,[1]FX!$B$2:$D$54,3,0))/1000</f>
        <v>152.64792732221909</v>
      </c>
      <c r="E46" s="372">
        <f>('[1]OECDTable14a2014(small)'!$AB$39/VLOOKUP($A46,[1]FX!$B$2:$D$54,3,0))/1000</f>
        <v>31.045680909337932</v>
      </c>
      <c r="F46" s="373">
        <f t="shared" si="4"/>
        <v>99.204758948047299</v>
      </c>
      <c r="G46" s="372">
        <v>53.528694639071517</v>
      </c>
      <c r="H46" s="375"/>
      <c r="I46" s="534"/>
      <c r="J46" s="359">
        <f>G46/B46</f>
        <v>0.19512114040962047</v>
      </c>
      <c r="K46" s="533">
        <f>F46/(B46-G46)</f>
        <v>0.44928266105456394</v>
      </c>
      <c r="N46" s="531">
        <f t="shared" si="5"/>
        <v>0</v>
      </c>
      <c r="O46" s="7"/>
    </row>
    <row r="47" spans="1:15" x14ac:dyDescent="0.35">
      <c r="A47" s="350" t="s">
        <v>101</v>
      </c>
      <c r="B47" s="386">
        <f>+TableA2!F47</f>
        <v>2068.7040725409047</v>
      </c>
      <c r="C47" s="371">
        <f>+[2]HavenRawData!Z46</f>
        <v>339.50110140998845</v>
      </c>
      <c r="D47" s="372">
        <f>+[2]HavenRawData!AA46</f>
        <v>398.57749145860936</v>
      </c>
      <c r="E47" s="372">
        <f>+[2]HavenRawData!AB46</f>
        <v>59.07639004862088</v>
      </c>
      <c r="F47" s="373">
        <f t="shared" si="4"/>
        <v>1307.2583215702728</v>
      </c>
      <c r="G47" s="372">
        <f>+[2]HavenRawData!AD46</f>
        <v>421.94464956064348</v>
      </c>
      <c r="H47" s="375"/>
      <c r="I47" s="534"/>
      <c r="J47" s="359">
        <f t="shared" ref="J47:J53" si="9">G47/B47</f>
        <v>0.20396568806595239</v>
      </c>
      <c r="K47" s="533">
        <f t="shared" ref="K47:K52" si="10">F47/(B47-G47)</f>
        <v>0.79383685517610802</v>
      </c>
      <c r="N47" s="531">
        <f t="shared" si="5"/>
        <v>0</v>
      </c>
      <c r="O47" s="7"/>
    </row>
    <row r="48" spans="1:15" x14ac:dyDescent="0.35">
      <c r="A48" s="350" t="s">
        <v>93</v>
      </c>
      <c r="B48" s="386">
        <f>+TableA2!F48</f>
        <v>58.600733808963028</v>
      </c>
      <c r="C48" s="371">
        <f>D48-E48</f>
        <v>20.965170296054801</v>
      </c>
      <c r="D48" s="372">
        <f>+((VLOOKUP($A48,[1]OECDTable14a!$A$15:$XO$66,163,0)+VLOOKUP($A48,[1]OECDTable14a!$A$15:$XO$66,165,0)+VLOOKUP($A48,[1]OECDTable14a!$A$15:$XO$66,263,0)+VLOOKUP($A48,[1]OECDTable14a!$A$15:$XO$66,265,0))/VLOOKUP($A48,[1]FX!$B$2:$D$54,3,0))/1000</f>
        <v>26.121849420957709</v>
      </c>
      <c r="E48" s="372">
        <f>+(VLOOKUP($A48,[1]OECDTable14a!$A$15:$XO$66,155,0)+VLOOKUP($A48,[1]OECDTable14a!$A$15:$XO$66,157,0)++VLOOKUP($A48,[1]OECDTable14a!$A$15:$XO$66,255,0)+VLOOKUP($A48,[1]OECDTable14a!$A$15:$XO$66,257,0))/VLOOKUP($A48,[1]FX!$B$2:$D$54,3,0)/1000</f>
        <v>5.156679124902908</v>
      </c>
      <c r="F48" s="373">
        <f>B48-C48-G48</f>
        <v>20.606377453076089</v>
      </c>
      <c r="G48" s="372">
        <f>+((VLOOKUP($A48,[1]OECDTable14a!$A$15:$XO$66,183,0)+VLOOKUP($A48,[1]OECDTable14a!$A$15:$XO$66,283,0))/VLOOKUP($A48,[1]FX!$B$2:$D$54,3,0))/1000</f>
        <v>17.029186059832139</v>
      </c>
      <c r="H48" s="375"/>
      <c r="I48" s="534"/>
      <c r="J48" s="359">
        <f t="shared" si="9"/>
        <v>0.29059680575582675</v>
      </c>
      <c r="K48" s="533">
        <f t="shared" si="10"/>
        <v>0.4956846345348519</v>
      </c>
      <c r="N48" s="531">
        <f t="shared" si="5"/>
        <v>0</v>
      </c>
      <c r="O48" s="7"/>
    </row>
    <row r="49" spans="1:15" x14ac:dyDescent="0.35">
      <c r="A49" s="350" t="s">
        <v>94</v>
      </c>
      <c r="B49" s="386">
        <f>+TableA2!F49</f>
        <v>13.202740172271037</v>
      </c>
      <c r="C49" s="371">
        <f>D49-E49</f>
        <v>5.5171584177565274</v>
      </c>
      <c r="D49" s="372">
        <f>+((VLOOKUP($A49,[1]OECDTable14a!$A$15:$XO$66,163,0)+VLOOKUP($A49,[1]OECDTable14a!$A$15:$XO$66,165,0)+VLOOKUP($A49,[1]OECDTable14a!$A$15:$XO$66,263,0)+VLOOKUP($A49,[1]OECDTable14a!$A$15:$XO$66,265,0))/VLOOKUP($A49,[1]FX!$B$2:$D$54,3,0))/1000</f>
        <v>6.0702131107272352</v>
      </c>
      <c r="E49" s="372">
        <f>+(VLOOKUP($A49,[1]OECDTable14a!$A$15:$XO$66,155,0)+VLOOKUP($A49,[1]OECDTable14a!$A$15:$XO$66,157,0)++VLOOKUP($A49,[1]OECDTable14a!$A$15:$XO$66,255,0)+VLOOKUP($A49,[1]OECDTable14a!$A$15:$XO$66,257,0))/VLOOKUP($A49,[1]FX!$B$2:$D$54,3,0)/1000</f>
        <v>0.55305469297070775</v>
      </c>
      <c r="F49" s="373">
        <f>B49-C49-G49</f>
        <v>6.1461613438136897</v>
      </c>
      <c r="G49" s="372">
        <f>+((VLOOKUP($A49,[1]OECDTable14a!$A$15:$XO$66,183,0)+VLOOKUP($A49,[1]OECDTable14a!$A$15:$XO$66,283,0))/VLOOKUP($A49,[1]FX!$B$2:$D$54,3,0))/1000</f>
        <v>1.5394204107008198</v>
      </c>
      <c r="H49" s="375"/>
      <c r="I49" s="534"/>
      <c r="J49" s="359">
        <f t="shared" si="9"/>
        <v>0.1165985538315733</v>
      </c>
      <c r="K49" s="533">
        <f t="shared" si="10"/>
        <v>0.52696500391465217</v>
      </c>
      <c r="N49" s="531">
        <f t="shared" si="5"/>
        <v>0</v>
      </c>
      <c r="O49" s="7"/>
    </row>
    <row r="50" spans="1:15" x14ac:dyDescent="0.35">
      <c r="A50" s="350" t="s">
        <v>102</v>
      </c>
      <c r="B50" s="386">
        <f>+TableA2!F50</f>
        <v>376.12710693199818</v>
      </c>
      <c r="C50" s="371">
        <f>+B50-F50-G50</f>
        <v>116.65694414897868</v>
      </c>
      <c r="D50" s="372"/>
      <c r="E50" s="372"/>
      <c r="F50" s="373">
        <f>+B50*$F$101</f>
        <v>222.09218828301951</v>
      </c>
      <c r="G50" s="372">
        <v>37.377974500000001</v>
      </c>
      <c r="H50" s="375"/>
      <c r="I50" s="534"/>
      <c r="J50" s="359">
        <f t="shared" si="9"/>
        <v>9.9375912586799398E-2</v>
      </c>
      <c r="K50" s="533">
        <f t="shared" si="10"/>
        <v>0.65562437514907335</v>
      </c>
      <c r="N50" s="531">
        <f t="shared" si="5"/>
        <v>0</v>
      </c>
      <c r="O50" s="7"/>
    </row>
    <row r="51" spans="1:15" x14ac:dyDescent="0.35">
      <c r="A51" s="350" t="s">
        <v>103</v>
      </c>
      <c r="B51" s="386">
        <f>+TableA2!F51</f>
        <v>289.6640115913587</v>
      </c>
      <c r="C51" s="371">
        <f>+B51-F51-G51</f>
        <v>76.634846773783977</v>
      </c>
      <c r="D51" s="372"/>
      <c r="E51" s="372"/>
      <c r="F51" s="373">
        <f>+B51*$F$101</f>
        <v>171.03822887403243</v>
      </c>
      <c r="G51" s="372">
        <f>+((VLOOKUP($A51,[1]OECDTable14a!$A$15:$XO$66,183,0)+VLOOKUP($A51,[1]OECDTable14a!$A$15:$XO$66,283,0))/VLOOKUP($A51,[1]FX!$B$2:$D$54,3,0))/1000</f>
        <v>41.990935943542297</v>
      </c>
      <c r="H51" s="375"/>
      <c r="I51" s="534"/>
      <c r="J51" s="359">
        <f t="shared" si="9"/>
        <v>0.14496428366386327</v>
      </c>
      <c r="K51" s="533">
        <f t="shared" si="10"/>
        <v>0.69058063104624101</v>
      </c>
      <c r="N51" s="531">
        <f t="shared" si="5"/>
        <v>0</v>
      </c>
      <c r="O51" s="7"/>
    </row>
    <row r="52" spans="1:15" x14ac:dyDescent="0.35">
      <c r="A52" s="350" t="s">
        <v>97</v>
      </c>
      <c r="B52" s="386">
        <f>+TableA2!F52</f>
        <v>76.467180015656993</v>
      </c>
      <c r="C52" s="371">
        <f>([1]OECDTable14a2014!$FM$59-[1]OECDTable14a2014!$FE$59+[1]OECDTable14a2014!$JL$59-[1]OECDTable14a2014!$JD$59)/[1]FX!$E$46/1000</f>
        <v>19.849150290951819</v>
      </c>
      <c r="D52" s="372">
        <f>([1]OECDTable14a2014!$FM$59+[1]OECDTable14a2014!$JL$59)/[1]FX!$E$46/1000</f>
        <v>28.808892495993607</v>
      </c>
      <c r="E52" s="372">
        <f>([1]OECDTable14a2014!$FE$59+[1]OECDTable14a2014!$JD$59)/[1]FX!$E$46/1000</f>
        <v>8.9597422050417901</v>
      </c>
      <c r="F52" s="373">
        <f>B52-C52-G52</f>
        <v>37.8312000306653</v>
      </c>
      <c r="G52" s="372">
        <f>([1]OECDTable14a2014!$GG$59+[1]OECDTable14a2014!$KF$59)/[1]FX!$E$46/1000</f>
        <v>18.786829694039877</v>
      </c>
      <c r="H52" s="375"/>
      <c r="I52" s="534"/>
      <c r="J52" s="359">
        <f t="shared" si="9"/>
        <v>0.24568487670387729</v>
      </c>
      <c r="K52" s="533">
        <f t="shared" si="10"/>
        <v>0.65587673826050152</v>
      </c>
      <c r="N52" s="531">
        <f t="shared" si="5"/>
        <v>0</v>
      </c>
      <c r="O52" s="7"/>
    </row>
    <row r="53" spans="1:15" ht="40" customHeight="1" x14ac:dyDescent="0.35">
      <c r="A53" s="363" t="s">
        <v>100</v>
      </c>
      <c r="B53" s="538">
        <f>SUM(B54:B89)</f>
        <v>298.79844880635773</v>
      </c>
      <c r="C53" s="671">
        <f>B53-F53-G53</f>
        <v>79.428662552132494</v>
      </c>
      <c r="D53" s="549"/>
      <c r="E53" s="549"/>
      <c r="F53" s="541">
        <f>K53*(B53-G53)</f>
        <v>185.33354595497576</v>
      </c>
      <c r="G53" s="520">
        <f>SUM(G54:G89)</f>
        <v>34.036240299249471</v>
      </c>
      <c r="H53" s="549"/>
      <c r="I53" s="550"/>
      <c r="J53" s="510">
        <f t="shared" si="9"/>
        <v>0.11391036478006394</v>
      </c>
      <c r="K53" s="511">
        <v>0.7</v>
      </c>
      <c r="N53" s="531">
        <f t="shared" si="5"/>
        <v>0</v>
      </c>
      <c r="O53" s="7"/>
    </row>
    <row r="54" spans="1:15" x14ac:dyDescent="0.35">
      <c r="A54" s="350" t="s">
        <v>272</v>
      </c>
      <c r="B54" s="377">
        <f>TableA2!F54</f>
        <v>1.2179448838266</v>
      </c>
      <c r="C54" s="672">
        <f t="shared" ref="C54:C89" si="11">B54-F54-G54</f>
        <v>0.34711429189058107</v>
      </c>
      <c r="D54" s="348"/>
      <c r="E54" s="348"/>
      <c r="F54" s="374">
        <f t="shared" ref="F54:F89" si="12">K54*(B54-G54)</f>
        <v>0.80993334774468895</v>
      </c>
      <c r="G54" s="348">
        <f>J54*B54</f>
        <v>6.0897244191330004E-2</v>
      </c>
      <c r="H54" s="348"/>
      <c r="I54" s="534"/>
      <c r="J54" s="636">
        <v>0.05</v>
      </c>
      <c r="K54" s="533">
        <v>0.7</v>
      </c>
      <c r="N54" s="531">
        <f t="shared" si="5"/>
        <v>0</v>
      </c>
    </row>
    <row r="55" spans="1:15" x14ac:dyDescent="0.35">
      <c r="A55" s="350" t="s">
        <v>273</v>
      </c>
      <c r="B55" s="377">
        <f>TableA2!F55</f>
        <v>0.11526214699326522</v>
      </c>
      <c r="C55" s="672">
        <f t="shared" si="11"/>
        <v>3.4578644097979575E-2</v>
      </c>
      <c r="D55" s="348"/>
      <c r="E55" s="348"/>
      <c r="F55" s="374">
        <f t="shared" si="12"/>
        <v>8.0683502895285641E-2</v>
      </c>
      <c r="G55" s="348">
        <f t="shared" ref="G55:G88" si="13">J55*B55</f>
        <v>0</v>
      </c>
      <c r="H55" s="348"/>
      <c r="I55" s="534"/>
      <c r="J55" s="636">
        <v>0</v>
      </c>
      <c r="K55" s="533">
        <v>0.7</v>
      </c>
      <c r="N55" s="531">
        <f t="shared" si="5"/>
        <v>0</v>
      </c>
    </row>
    <row r="56" spans="1:15" x14ac:dyDescent="0.35">
      <c r="A56" s="350" t="s">
        <v>274</v>
      </c>
      <c r="B56" s="377">
        <f>TableA2!F56</f>
        <v>0.74419221854700335</v>
      </c>
      <c r="C56" s="672">
        <f t="shared" si="11"/>
        <v>0.21209478228589598</v>
      </c>
      <c r="D56" s="348"/>
      <c r="E56" s="348"/>
      <c r="F56" s="374">
        <f t="shared" si="12"/>
        <v>0.49488782533375719</v>
      </c>
      <c r="G56" s="348">
        <f t="shared" si="13"/>
        <v>3.7209610927350166E-2</v>
      </c>
      <c r="H56" s="348"/>
      <c r="I56" s="534"/>
      <c r="J56" s="636">
        <v>0.05</v>
      </c>
      <c r="K56" s="533">
        <v>0.7</v>
      </c>
      <c r="N56" s="531">
        <f t="shared" si="5"/>
        <v>0</v>
      </c>
    </row>
    <row r="57" spans="1:15" x14ac:dyDescent="0.35">
      <c r="A57" s="350" t="str">
        <f>+TableA1!A56</f>
        <v>Antigua and Barbuda</v>
      </c>
      <c r="B57" s="377">
        <f>TableA2!F57</f>
        <v>1.0830039076807072</v>
      </c>
      <c r="C57" s="672">
        <f t="shared" si="11"/>
        <v>0.30865611368900153</v>
      </c>
      <c r="D57" s="348"/>
      <c r="E57" s="348"/>
      <c r="F57" s="374">
        <f t="shared" si="12"/>
        <v>0.7201975986076703</v>
      </c>
      <c r="G57" s="348">
        <f t="shared" si="13"/>
        <v>5.4150195384035364E-2</v>
      </c>
      <c r="H57" s="348"/>
      <c r="I57" s="534"/>
      <c r="J57" s="636">
        <v>0.05</v>
      </c>
      <c r="K57" s="533">
        <v>0.7</v>
      </c>
      <c r="N57" s="531">
        <f t="shared" si="5"/>
        <v>0</v>
      </c>
    </row>
    <row r="58" spans="1:15" x14ac:dyDescent="0.35">
      <c r="A58" s="350" t="s">
        <v>275</v>
      </c>
      <c r="B58" s="377">
        <f>TableA2!F58</f>
        <v>6.4122604015352946</v>
      </c>
      <c r="C58" s="672">
        <f t="shared" si="11"/>
        <v>1.9236781204605888</v>
      </c>
      <c r="D58" s="348"/>
      <c r="E58" s="348"/>
      <c r="F58" s="374">
        <f t="shared" si="12"/>
        <v>4.4885822810747058</v>
      </c>
      <c r="G58" s="348">
        <f t="shared" si="13"/>
        <v>0</v>
      </c>
      <c r="H58" s="348"/>
      <c r="I58" s="534"/>
      <c r="J58" s="636">
        <v>0</v>
      </c>
      <c r="K58" s="533">
        <v>0.7</v>
      </c>
      <c r="N58" s="531">
        <f t="shared" si="5"/>
        <v>0</v>
      </c>
    </row>
    <row r="59" spans="1:15" x14ac:dyDescent="0.35">
      <c r="A59" s="350" t="s">
        <v>276</v>
      </c>
      <c r="B59" s="377">
        <f>TableA2!F59</f>
        <v>12.031979600790283</v>
      </c>
      <c r="C59" s="672">
        <f t="shared" si="11"/>
        <v>3.6095938802370853</v>
      </c>
      <c r="D59" s="348"/>
      <c r="E59" s="348"/>
      <c r="F59" s="374">
        <f t="shared" si="12"/>
        <v>8.4223857205531978</v>
      </c>
      <c r="G59" s="348">
        <f t="shared" si="13"/>
        <v>0</v>
      </c>
      <c r="H59" s="348"/>
      <c r="I59" s="534"/>
      <c r="J59" s="636">
        <v>0</v>
      </c>
      <c r="K59" s="533">
        <v>0.7</v>
      </c>
      <c r="N59" s="531">
        <f t="shared" si="5"/>
        <v>0</v>
      </c>
    </row>
    <row r="60" spans="1:15" x14ac:dyDescent="0.35">
      <c r="A60" s="350" t="str">
        <f>+TableA1!A60</f>
        <v>Barbados</v>
      </c>
      <c r="B60" s="377">
        <f>TableA2!F60</f>
        <v>2.4710292318886387</v>
      </c>
      <c r="C60" s="672">
        <f t="shared" si="11"/>
        <v>0.70424333108826209</v>
      </c>
      <c r="D60" s="348"/>
      <c r="E60" s="348"/>
      <c r="F60" s="374">
        <f t="shared" si="12"/>
        <v>1.6432344392059446</v>
      </c>
      <c r="G60" s="348">
        <f t="shared" si="13"/>
        <v>0.12355146159443194</v>
      </c>
      <c r="H60" s="348"/>
      <c r="I60" s="534"/>
      <c r="J60" s="636">
        <v>0.05</v>
      </c>
      <c r="K60" s="533">
        <v>0.7</v>
      </c>
      <c r="N60" s="531">
        <f t="shared" si="5"/>
        <v>0</v>
      </c>
    </row>
    <row r="61" spans="1:15" x14ac:dyDescent="0.35">
      <c r="A61" s="350" t="s">
        <v>277</v>
      </c>
      <c r="B61" s="377">
        <f>TableA2!F61</f>
        <v>0.93652438608518407</v>
      </c>
      <c r="C61" s="672">
        <f t="shared" si="11"/>
        <v>0.28095731582555528</v>
      </c>
      <c r="D61" s="348"/>
      <c r="E61" s="348"/>
      <c r="F61" s="374">
        <f t="shared" si="12"/>
        <v>0.65556707025962879</v>
      </c>
      <c r="G61" s="348">
        <f t="shared" si="13"/>
        <v>0</v>
      </c>
      <c r="H61" s="348"/>
      <c r="I61" s="534"/>
      <c r="J61" s="636">
        <v>0</v>
      </c>
      <c r="K61" s="533">
        <v>0.7</v>
      </c>
      <c r="N61" s="531">
        <f t="shared" si="5"/>
        <v>0</v>
      </c>
    </row>
    <row r="62" spans="1:15" x14ac:dyDescent="0.35">
      <c r="A62" s="350" t="s">
        <v>213</v>
      </c>
      <c r="B62" s="377">
        <f>TableA2!F62</f>
        <v>1.7711671665296007</v>
      </c>
      <c r="C62" s="672">
        <f t="shared" si="11"/>
        <v>0.53135014995888019</v>
      </c>
      <c r="D62" s="348"/>
      <c r="E62" s="348"/>
      <c r="F62" s="374">
        <f t="shared" si="12"/>
        <v>1.2398170165707205</v>
      </c>
      <c r="G62" s="348">
        <f t="shared" si="13"/>
        <v>0</v>
      </c>
      <c r="H62" s="348"/>
      <c r="I62" s="534"/>
      <c r="J62" s="636">
        <v>0</v>
      </c>
      <c r="K62" s="533">
        <v>0.7</v>
      </c>
      <c r="N62" s="531">
        <f t="shared" si="5"/>
        <v>0</v>
      </c>
    </row>
    <row r="63" spans="1:15" x14ac:dyDescent="0.35">
      <c r="A63" s="350" t="s">
        <v>278</v>
      </c>
      <c r="B63" s="377">
        <f>TableA2!F63</f>
        <v>0.17335876526209473</v>
      </c>
      <c r="C63" s="672">
        <f t="shared" si="11"/>
        <v>4.9407248099697008E-2</v>
      </c>
      <c r="D63" s="348"/>
      <c r="E63" s="348"/>
      <c r="F63" s="374">
        <f t="shared" si="12"/>
        <v>0.11528357889929298</v>
      </c>
      <c r="G63" s="348">
        <f t="shared" si="13"/>
        <v>8.6679382631047377E-3</v>
      </c>
      <c r="H63" s="348"/>
      <c r="I63" s="534"/>
      <c r="J63" s="636">
        <v>0.05</v>
      </c>
      <c r="K63" s="533">
        <v>0.7</v>
      </c>
      <c r="N63" s="531">
        <f t="shared" si="5"/>
        <v>0</v>
      </c>
    </row>
    <row r="64" spans="1:15" x14ac:dyDescent="0.35">
      <c r="A64" s="350" t="s">
        <v>279</v>
      </c>
      <c r="B64" s="377">
        <f>TableA2!F64</f>
        <v>0.38988210454728756</v>
      </c>
      <c r="C64" s="672">
        <f t="shared" si="11"/>
        <v>0.11696463136418628</v>
      </c>
      <c r="D64" s="348"/>
      <c r="E64" s="348"/>
      <c r="F64" s="374">
        <f t="shared" si="12"/>
        <v>0.27291747318310128</v>
      </c>
      <c r="G64" s="348">
        <f t="shared" si="13"/>
        <v>0</v>
      </c>
      <c r="H64" s="348"/>
      <c r="I64" s="534"/>
      <c r="J64" s="636">
        <v>0</v>
      </c>
      <c r="K64" s="533">
        <v>0.7</v>
      </c>
      <c r="N64" s="531">
        <f t="shared" si="5"/>
        <v>0</v>
      </c>
    </row>
    <row r="65" spans="1:14" x14ac:dyDescent="0.35">
      <c r="A65" s="350" t="s">
        <v>291</v>
      </c>
      <c r="B65" s="377">
        <f>TableA2!F65</f>
        <v>1.06456062592</v>
      </c>
      <c r="C65" s="672">
        <f t="shared" si="11"/>
        <v>0.31936818777600007</v>
      </c>
      <c r="D65" s="348"/>
      <c r="E65" s="348"/>
      <c r="F65" s="374">
        <f t="shared" si="12"/>
        <v>0.74519243814399994</v>
      </c>
      <c r="G65" s="348">
        <f t="shared" si="13"/>
        <v>0</v>
      </c>
      <c r="H65" s="348"/>
      <c r="I65" s="534"/>
      <c r="J65" s="636">
        <v>0</v>
      </c>
      <c r="K65" s="533">
        <v>0.7</v>
      </c>
      <c r="N65" s="531">
        <f t="shared" si="5"/>
        <v>0</v>
      </c>
    </row>
    <row r="66" spans="1:14" x14ac:dyDescent="0.35">
      <c r="A66" s="350" t="s">
        <v>280</v>
      </c>
      <c r="B66" s="377">
        <f>TableA2!F66</f>
        <v>0.45606590283580151</v>
      </c>
      <c r="C66" s="672">
        <f t="shared" si="11"/>
        <v>0.12997878230820342</v>
      </c>
      <c r="D66" s="348"/>
      <c r="E66" s="348"/>
      <c r="F66" s="374">
        <f t="shared" si="12"/>
        <v>0.303283825385808</v>
      </c>
      <c r="G66" s="348">
        <f t="shared" si="13"/>
        <v>2.2803295141790077E-2</v>
      </c>
      <c r="H66" s="348"/>
      <c r="I66" s="534"/>
      <c r="J66" s="636">
        <v>0.05</v>
      </c>
      <c r="K66" s="533">
        <v>0.7</v>
      </c>
      <c r="N66" s="531">
        <f t="shared" si="5"/>
        <v>0</v>
      </c>
    </row>
    <row r="67" spans="1:14" x14ac:dyDescent="0.35">
      <c r="A67" s="350" t="str">
        <f>+TableA1!A67</f>
        <v>Cyprus</v>
      </c>
      <c r="B67" s="377">
        <f>TableA2!F67</f>
        <v>3.12425</v>
      </c>
      <c r="C67" s="672">
        <f t="shared" si="11"/>
        <v>0.58938294768310429</v>
      </c>
      <c r="D67" s="348"/>
      <c r="E67" s="348"/>
      <c r="F67" s="374">
        <f t="shared" si="12"/>
        <v>1.375226877927243</v>
      </c>
      <c r="G67" s="372">
        <f>VLOOKUP($A67,[1]EurostatCorpTaxRev!$A$11:$K$55,10,)/VLOOKUP($A67,[1]FX!$B$2:$D$54,3,0)/1000</f>
        <v>1.1596401743896527</v>
      </c>
      <c r="H67" s="348"/>
      <c r="I67" s="534"/>
      <c r="J67" s="1095">
        <f t="shared" ref="J67" si="14">G67/B67</f>
        <v>0.37117393754970079</v>
      </c>
      <c r="K67" s="533">
        <v>0.7</v>
      </c>
      <c r="N67" s="531">
        <f t="shared" si="5"/>
        <v>0</v>
      </c>
    </row>
    <row r="68" spans="1:14" x14ac:dyDescent="0.35">
      <c r="A68" s="350" t="s">
        <v>281</v>
      </c>
      <c r="B68" s="377">
        <f>TableA2!F68</f>
        <v>3.0206026933210057</v>
      </c>
      <c r="C68" s="672">
        <f t="shared" si="11"/>
        <v>0.86087176759648676</v>
      </c>
      <c r="D68" s="348"/>
      <c r="E68" s="348"/>
      <c r="F68" s="374">
        <f t="shared" si="12"/>
        <v>2.0087007910584687</v>
      </c>
      <c r="G68" s="348">
        <f t="shared" si="13"/>
        <v>0.15103013466605031</v>
      </c>
      <c r="H68" s="348"/>
      <c r="I68" s="534"/>
      <c r="J68" s="636">
        <v>0.05</v>
      </c>
      <c r="K68" s="533">
        <v>0.7</v>
      </c>
      <c r="N68" s="531">
        <f t="shared" si="5"/>
        <v>0</v>
      </c>
    </row>
    <row r="69" spans="1:14" x14ac:dyDescent="0.35">
      <c r="A69" s="350" t="str">
        <f>+TableA1!A69</f>
        <v>Grenada</v>
      </c>
      <c r="B69" s="377">
        <f>TableA2!F69</f>
        <v>0.38326716933285948</v>
      </c>
      <c r="C69" s="672">
        <f t="shared" si="11"/>
        <v>0.10923114325986498</v>
      </c>
      <c r="D69" s="348"/>
      <c r="E69" s="348"/>
      <c r="F69" s="374">
        <f t="shared" si="12"/>
        <v>0.25487266760635152</v>
      </c>
      <c r="G69" s="348">
        <f t="shared" si="13"/>
        <v>1.9163358466642976E-2</v>
      </c>
      <c r="H69" s="348"/>
      <c r="I69" s="534"/>
      <c r="J69" s="636">
        <v>0.05</v>
      </c>
      <c r="K69" s="533">
        <v>0.7</v>
      </c>
      <c r="N69" s="531">
        <f t="shared" si="5"/>
        <v>0</v>
      </c>
    </row>
    <row r="70" spans="1:14" x14ac:dyDescent="0.35">
      <c r="A70" s="350" t="s">
        <v>282</v>
      </c>
      <c r="B70" s="377">
        <f>TableA2!F70</f>
        <v>2.0311467085553057</v>
      </c>
      <c r="C70" s="672">
        <f t="shared" si="11"/>
        <v>0.60934401256659187</v>
      </c>
      <c r="D70" s="348"/>
      <c r="E70" s="348"/>
      <c r="F70" s="374">
        <f t="shared" si="12"/>
        <v>1.4218026959887138</v>
      </c>
      <c r="G70" s="348">
        <f t="shared" si="13"/>
        <v>0</v>
      </c>
      <c r="H70" s="348"/>
      <c r="I70" s="534"/>
      <c r="J70" s="636">
        <v>0</v>
      </c>
      <c r="K70" s="533">
        <v>0.7</v>
      </c>
      <c r="N70" s="531">
        <f t="shared" si="5"/>
        <v>0</v>
      </c>
    </row>
    <row r="71" spans="1:14" x14ac:dyDescent="0.35">
      <c r="A71" s="350" t="s">
        <v>283</v>
      </c>
      <c r="B71" s="377">
        <f>TableA2!F71</f>
        <v>1.0873325907085956</v>
      </c>
      <c r="C71" s="672">
        <f t="shared" si="11"/>
        <v>0.30988978835194969</v>
      </c>
      <c r="D71" s="348"/>
      <c r="E71" s="348"/>
      <c r="F71" s="374">
        <f t="shared" si="12"/>
        <v>0.72307617282121606</v>
      </c>
      <c r="G71" s="348">
        <f t="shared" si="13"/>
        <v>5.4366629535429783E-2</v>
      </c>
      <c r="H71" s="348"/>
      <c r="I71" s="534"/>
      <c r="J71" s="636">
        <v>0.05</v>
      </c>
      <c r="K71" s="533">
        <v>0.7</v>
      </c>
      <c r="N71" s="531">
        <f t="shared" si="5"/>
        <v>0</v>
      </c>
    </row>
    <row r="72" spans="1:14" x14ac:dyDescent="0.35">
      <c r="A72" s="350" t="s">
        <v>220</v>
      </c>
      <c r="B72" s="377">
        <f>TableA2!F72</f>
        <v>73.929728212200004</v>
      </c>
      <c r="C72" s="672">
        <f t="shared" si="11"/>
        <v>17.133991646493044</v>
      </c>
      <c r="D72" s="348"/>
      <c r="E72" s="348"/>
      <c r="F72" s="374">
        <f t="shared" si="12"/>
        <v>39.979313841817103</v>
      </c>
      <c r="G72" s="348">
        <f>135.574/8.062</f>
        <v>16.816422723889858</v>
      </c>
      <c r="H72" s="348"/>
      <c r="I72" s="534"/>
      <c r="J72" s="1095">
        <f t="shared" ref="J72" si="15">G72/B72</f>
        <v>0.22746496072083197</v>
      </c>
      <c r="K72" s="533">
        <v>0.7</v>
      </c>
      <c r="N72" s="531">
        <f t="shared" si="5"/>
        <v>0</v>
      </c>
    </row>
    <row r="73" spans="1:14" x14ac:dyDescent="0.35">
      <c r="A73" s="350" t="s">
        <v>284</v>
      </c>
      <c r="B73" s="377">
        <f>TableA2!F73</f>
        <v>2.9424971928045003</v>
      </c>
      <c r="C73" s="672">
        <f t="shared" si="11"/>
        <v>0.88274915784135022</v>
      </c>
      <c r="D73" s="348"/>
      <c r="E73" s="348"/>
      <c r="F73" s="374">
        <f t="shared" si="12"/>
        <v>2.0597480349631501</v>
      </c>
      <c r="G73" s="348">
        <f t="shared" si="13"/>
        <v>0</v>
      </c>
      <c r="H73" s="348"/>
      <c r="I73" s="534"/>
      <c r="J73" s="636">
        <v>0</v>
      </c>
      <c r="K73" s="533">
        <v>0.7</v>
      </c>
      <c r="N73" s="531">
        <f t="shared" si="5"/>
        <v>0</v>
      </c>
    </row>
    <row r="74" spans="1:14" x14ac:dyDescent="0.35">
      <c r="A74" s="350" t="s">
        <v>285</v>
      </c>
      <c r="B74" s="377">
        <f>TableA2!F74</f>
        <v>15.163250551852792</v>
      </c>
      <c r="C74" s="672">
        <f t="shared" si="11"/>
        <v>4.3215264072780473</v>
      </c>
      <c r="D74" s="348"/>
      <c r="E74" s="348"/>
      <c r="F74" s="374">
        <f t="shared" si="12"/>
        <v>10.083561616982106</v>
      </c>
      <c r="G74" s="348">
        <f t="shared" si="13"/>
        <v>0.75816252759263969</v>
      </c>
      <c r="H74" s="348"/>
      <c r="I74" s="534"/>
      <c r="J74" s="636">
        <v>0.05</v>
      </c>
      <c r="K74" s="533">
        <v>0.7</v>
      </c>
      <c r="N74" s="531">
        <f t="shared" si="5"/>
        <v>-1.2212453270876722E-15</v>
      </c>
    </row>
    <row r="75" spans="1:14" x14ac:dyDescent="0.35">
      <c r="A75" s="350" t="s">
        <v>286</v>
      </c>
      <c r="B75" s="377">
        <f>TableA2!F75</f>
        <v>1.3847476300640333</v>
      </c>
      <c r="C75" s="672">
        <f t="shared" si="11"/>
        <v>0.39465307456824961</v>
      </c>
      <c r="D75" s="348"/>
      <c r="E75" s="348"/>
      <c r="F75" s="374">
        <f t="shared" si="12"/>
        <v>0.92085717399258205</v>
      </c>
      <c r="G75" s="348">
        <f t="shared" si="13"/>
        <v>6.9237381503201675E-2</v>
      </c>
      <c r="H75" s="348"/>
      <c r="I75" s="534"/>
      <c r="J75" s="636">
        <v>0.05</v>
      </c>
      <c r="K75" s="533">
        <v>0.7</v>
      </c>
      <c r="N75" s="531">
        <f t="shared" ref="N75:N89" si="16">B75-C75-F75-G75</f>
        <v>0</v>
      </c>
    </row>
    <row r="76" spans="1:14" x14ac:dyDescent="0.35">
      <c r="A76" s="350" t="s">
        <v>287</v>
      </c>
      <c r="B76" s="377">
        <f>TableA2!F76</f>
        <v>12.938277299966822</v>
      </c>
      <c r="C76" s="672">
        <f t="shared" si="11"/>
        <v>3.6874090304905458</v>
      </c>
      <c r="D76" s="348"/>
      <c r="E76" s="348"/>
      <c r="F76" s="374">
        <f t="shared" si="12"/>
        <v>8.6039544044779355</v>
      </c>
      <c r="G76" s="348">
        <f t="shared" si="13"/>
        <v>0.64691386499834114</v>
      </c>
      <c r="H76" s="348"/>
      <c r="I76" s="534"/>
      <c r="J76" s="636">
        <v>0.05</v>
      </c>
      <c r="K76" s="533">
        <v>0.7</v>
      </c>
      <c r="N76" s="531">
        <f t="shared" si="16"/>
        <v>0</v>
      </c>
    </row>
    <row r="77" spans="1:14" x14ac:dyDescent="0.35">
      <c r="A77" s="350" t="s">
        <v>301</v>
      </c>
      <c r="B77" s="377">
        <f>TableA2!F77</f>
        <v>2.3329148139999996</v>
      </c>
      <c r="C77" s="672">
        <f t="shared" si="11"/>
        <v>0.50480069680769302</v>
      </c>
      <c r="D77" s="348"/>
      <c r="E77" s="348"/>
      <c r="F77" s="374">
        <f t="shared" si="12"/>
        <v>1.1778682925512838</v>
      </c>
      <c r="G77" s="372">
        <f>VLOOKUP($A77,[1]EurostatCorpTaxRev!$A$11:$K$55,10,)/VLOOKUP($A77,[1]FX!$B$2:$D$54,3,0)/1000</f>
        <v>0.65024582464102276</v>
      </c>
      <c r="H77" s="348"/>
      <c r="I77" s="534"/>
      <c r="J77" s="1095">
        <f t="shared" ref="J77" si="17">G77/B77</f>
        <v>0.27872677593663003</v>
      </c>
      <c r="K77" s="533">
        <v>0.7</v>
      </c>
      <c r="N77" s="531">
        <f t="shared" si="16"/>
        <v>0</v>
      </c>
    </row>
    <row r="78" spans="1:14" x14ac:dyDescent="0.35">
      <c r="A78" s="350" t="s">
        <v>302</v>
      </c>
      <c r="B78" s="377">
        <f>TableA2!F78</f>
        <v>3.4329997064598869E-2</v>
      </c>
      <c r="C78" s="672">
        <f t="shared" si="11"/>
        <v>1.0298999119379662E-2</v>
      </c>
      <c r="D78" s="348"/>
      <c r="E78" s="348"/>
      <c r="F78" s="374">
        <f t="shared" si="12"/>
        <v>2.4030997945219207E-2</v>
      </c>
      <c r="G78" s="348">
        <f t="shared" si="13"/>
        <v>0</v>
      </c>
      <c r="H78" s="348"/>
      <c r="I78" s="534"/>
      <c r="J78" s="636">
        <v>0</v>
      </c>
      <c r="K78" s="533">
        <v>0.7</v>
      </c>
      <c r="N78" s="531">
        <f t="shared" si="16"/>
        <v>0</v>
      </c>
    </row>
    <row r="79" spans="1:14" x14ac:dyDescent="0.35">
      <c r="A79" s="350" t="str">
        <f>+TableA1!A79</f>
        <v>Monaco</v>
      </c>
      <c r="B79" s="377">
        <f>TableA2!F79</f>
        <v>2.4865786089930788</v>
      </c>
      <c r="C79" s="672">
        <f t="shared" si="11"/>
        <v>0.70867490356302754</v>
      </c>
      <c r="D79" s="348"/>
      <c r="E79" s="348"/>
      <c r="F79" s="374">
        <f t="shared" si="12"/>
        <v>1.6535747749803973</v>
      </c>
      <c r="G79" s="348">
        <f t="shared" si="13"/>
        <v>0.12432893044965394</v>
      </c>
      <c r="H79" s="348"/>
      <c r="I79" s="534"/>
      <c r="J79" s="636">
        <v>0.05</v>
      </c>
      <c r="K79" s="533">
        <v>0.7</v>
      </c>
      <c r="N79" s="531">
        <f t="shared" si="16"/>
        <v>0</v>
      </c>
    </row>
    <row r="80" spans="1:14" x14ac:dyDescent="0.35">
      <c r="A80" s="350" t="s">
        <v>288</v>
      </c>
      <c r="B80" s="377">
        <f>TableA2!F80</f>
        <v>0.34426567154188054</v>
      </c>
      <c r="C80" s="672">
        <f t="shared" si="11"/>
        <v>9.8115716389435947E-2</v>
      </c>
      <c r="D80" s="348"/>
      <c r="E80" s="348"/>
      <c r="F80" s="374">
        <f t="shared" si="12"/>
        <v>0.22893667157535055</v>
      </c>
      <c r="G80" s="348">
        <f t="shared" si="13"/>
        <v>1.7213283577094028E-2</v>
      </c>
      <c r="H80" s="348"/>
      <c r="I80" s="534"/>
      <c r="J80" s="636">
        <v>0.05</v>
      </c>
      <c r="K80" s="533">
        <v>0.7</v>
      </c>
      <c r="N80" s="531">
        <f t="shared" si="16"/>
        <v>0</v>
      </c>
    </row>
    <row r="81" spans="1:15" x14ac:dyDescent="0.35">
      <c r="A81" s="350" t="s">
        <v>289</v>
      </c>
      <c r="B81" s="377">
        <f>TableA2!F81</f>
        <v>6.819284308547247</v>
      </c>
      <c r="C81" s="672">
        <f t="shared" si="11"/>
        <v>1.9434960279359654</v>
      </c>
      <c r="D81" s="348"/>
      <c r="E81" s="348"/>
      <c r="F81" s="374">
        <f t="shared" si="12"/>
        <v>4.5348240651839191</v>
      </c>
      <c r="G81" s="348">
        <f t="shared" si="13"/>
        <v>0.34096421542736238</v>
      </c>
      <c r="H81" s="348"/>
      <c r="I81" s="534"/>
      <c r="J81" s="636">
        <v>0.05</v>
      </c>
      <c r="K81" s="533">
        <v>0.7</v>
      </c>
      <c r="N81" s="531">
        <f t="shared" si="16"/>
        <v>0</v>
      </c>
    </row>
    <row r="82" spans="1:15" x14ac:dyDescent="0.35">
      <c r="A82" s="350" t="str">
        <f>+TableA1!A82</f>
        <v>Seychelles</v>
      </c>
      <c r="B82" s="377">
        <f>TableA2!F82</f>
        <v>0.81332765904671878</v>
      </c>
      <c r="C82" s="672">
        <f t="shared" si="11"/>
        <v>0.23179838282831489</v>
      </c>
      <c r="D82" s="348"/>
      <c r="E82" s="348"/>
      <c r="F82" s="374">
        <f t="shared" si="12"/>
        <v>0.54086289326606796</v>
      </c>
      <c r="G82" s="348">
        <f t="shared" si="13"/>
        <v>4.066638295233594E-2</v>
      </c>
      <c r="H82" s="348"/>
      <c r="I82" s="534"/>
      <c r="J82" s="636">
        <v>0.05</v>
      </c>
      <c r="K82" s="533">
        <v>0.7</v>
      </c>
      <c r="N82" s="531">
        <f t="shared" si="16"/>
        <v>0</v>
      </c>
    </row>
    <row r="83" spans="1:15" x14ac:dyDescent="0.35">
      <c r="A83" s="350" t="s">
        <v>225</v>
      </c>
      <c r="B83" s="377">
        <f>TableA2!F83</f>
        <v>64.547352786104156</v>
      </c>
      <c r="C83" s="672">
        <f t="shared" si="11"/>
        <v>16.374065975691387</v>
      </c>
      <c r="D83" s="348"/>
      <c r="E83" s="348"/>
      <c r="F83" s="374">
        <f t="shared" si="12"/>
        <v>38.206153943279901</v>
      </c>
      <c r="G83" s="348">
        <f>14.253/1.43</f>
        <v>9.9671328671328681</v>
      </c>
      <c r="H83" s="348"/>
      <c r="I83" s="534"/>
      <c r="J83" s="1095">
        <f t="shared" ref="J83" si="18">G83/B83</f>
        <v>0.15441582709304549</v>
      </c>
      <c r="K83" s="533">
        <v>0.7</v>
      </c>
      <c r="N83" s="531">
        <f t="shared" si="16"/>
        <v>0</v>
      </c>
    </row>
    <row r="84" spans="1:15" x14ac:dyDescent="0.35">
      <c r="A84" s="350" t="str">
        <f>+TableA1!A84</f>
        <v>St. Kitts and Nevis</v>
      </c>
      <c r="B84" s="377">
        <f>TableA2!F84</f>
        <v>0.46577557662910313</v>
      </c>
      <c r="C84" s="672">
        <f t="shared" si="11"/>
        <v>0.13274603933929438</v>
      </c>
      <c r="D84" s="348"/>
      <c r="E84" s="348"/>
      <c r="F84" s="374">
        <f t="shared" si="12"/>
        <v>0.30974075845835358</v>
      </c>
      <c r="G84" s="348">
        <f t="shared" si="13"/>
        <v>2.3288778831455158E-2</v>
      </c>
      <c r="H84" s="348"/>
      <c r="I84" s="534"/>
      <c r="J84" s="636">
        <v>0.05</v>
      </c>
      <c r="K84" s="533">
        <v>0.7</v>
      </c>
      <c r="N84" s="531">
        <f t="shared" si="16"/>
        <v>3.4694469519536142E-17</v>
      </c>
    </row>
    <row r="85" spans="1:15" x14ac:dyDescent="0.35">
      <c r="A85" s="350" t="str">
        <f>+TableA1!A85</f>
        <v>St. Lucia</v>
      </c>
      <c r="B85" s="377">
        <f>TableA2!F85</f>
        <v>0.89780776493170278</v>
      </c>
      <c r="C85" s="672">
        <f t="shared" si="11"/>
        <v>0.25587521300553534</v>
      </c>
      <c r="D85" s="348"/>
      <c r="E85" s="348"/>
      <c r="F85" s="374">
        <f t="shared" si="12"/>
        <v>0.59704216367958229</v>
      </c>
      <c r="G85" s="348">
        <f t="shared" si="13"/>
        <v>4.4890388246585144E-2</v>
      </c>
      <c r="H85" s="348"/>
      <c r="I85" s="534"/>
      <c r="J85" s="636">
        <v>0.05</v>
      </c>
      <c r="K85" s="533">
        <v>0.7</v>
      </c>
      <c r="N85" s="531">
        <f t="shared" si="16"/>
        <v>-5.5511151231257827E-17</v>
      </c>
    </row>
    <row r="86" spans="1:15" x14ac:dyDescent="0.35">
      <c r="A86" s="350" t="str">
        <f>+TableA1!A86</f>
        <v>St. Vincent and the Grenadines</v>
      </c>
      <c r="B86" s="377">
        <f>TableA2!F86</f>
        <v>0.3899945493812374</v>
      </c>
      <c r="C86" s="672">
        <f t="shared" si="11"/>
        <v>0.11114844657365269</v>
      </c>
      <c r="D86" s="348"/>
      <c r="E86" s="348"/>
      <c r="F86" s="374">
        <f t="shared" si="12"/>
        <v>0.25934637533852284</v>
      </c>
      <c r="G86" s="348">
        <f t="shared" si="13"/>
        <v>1.9499727469061871E-2</v>
      </c>
      <c r="H86" s="348"/>
      <c r="I86" s="534"/>
      <c r="J86" s="636">
        <v>0.05</v>
      </c>
      <c r="K86" s="533">
        <v>0.7</v>
      </c>
      <c r="N86" s="531">
        <f t="shared" si="16"/>
        <v>0</v>
      </c>
    </row>
    <row r="87" spans="1:15" x14ac:dyDescent="0.35">
      <c r="A87" s="350" t="str">
        <f>+TableA1!A87</f>
        <v>Turks and Caicos</v>
      </c>
      <c r="B87" s="377">
        <f>TableA2!F87</f>
        <v>0.27378414777319332</v>
      </c>
      <c r="C87" s="672">
        <f t="shared" si="11"/>
        <v>8.2135244331958013E-2</v>
      </c>
      <c r="D87" s="348"/>
      <c r="E87" s="348"/>
      <c r="F87" s="374">
        <f t="shared" si="12"/>
        <v>0.19164890344123531</v>
      </c>
      <c r="G87" s="348">
        <f t="shared" si="13"/>
        <v>0</v>
      </c>
      <c r="H87" s="348"/>
      <c r="I87" s="534"/>
      <c r="J87" s="636">
        <v>0</v>
      </c>
      <c r="K87" s="533">
        <v>0.7</v>
      </c>
      <c r="N87" s="531">
        <f t="shared" si="16"/>
        <v>0</v>
      </c>
    </row>
    <row r="88" spans="1:15" x14ac:dyDescent="0.35">
      <c r="A88" s="350" t="str">
        <f>+TableA1!A88</f>
        <v>Panama</v>
      </c>
      <c r="B88" s="377">
        <f>TableA2!F88</f>
        <v>21.755867199563681</v>
      </c>
      <c r="C88" s="672">
        <f t="shared" si="11"/>
        <v>6.2004221518756513</v>
      </c>
      <c r="D88" s="348"/>
      <c r="E88" s="348"/>
      <c r="F88" s="374">
        <f t="shared" si="12"/>
        <v>14.467651687709846</v>
      </c>
      <c r="G88" s="348">
        <f t="shared" si="13"/>
        <v>1.0877933599781842</v>
      </c>
      <c r="H88" s="348"/>
      <c r="I88" s="534"/>
      <c r="J88" s="636">
        <v>0.05</v>
      </c>
      <c r="K88" s="533">
        <v>0.7</v>
      </c>
      <c r="N88" s="531">
        <f t="shared" si="16"/>
        <v>0</v>
      </c>
    </row>
    <row r="89" spans="1:15" x14ac:dyDescent="0.35">
      <c r="A89" s="350" t="s">
        <v>290</v>
      </c>
      <c r="B89" s="377">
        <f>TableA2!F89</f>
        <v>52.764834331533464</v>
      </c>
      <c r="C89" s="672">
        <f t="shared" si="11"/>
        <v>15.308050299460042</v>
      </c>
      <c r="D89" s="348"/>
      <c r="E89" s="348"/>
      <c r="F89" s="374">
        <f t="shared" si="12"/>
        <v>35.718784032073422</v>
      </c>
      <c r="G89" s="348">
        <f>[2]PuertoRicoTaxRev!$J$19/1000</f>
        <v>1.738</v>
      </c>
      <c r="H89" s="348"/>
      <c r="I89" s="534"/>
      <c r="J89" s="1095">
        <f t="shared" ref="J89" si="19">G89/B89</f>
        <v>3.2938604318924807E-2</v>
      </c>
      <c r="K89" s="533">
        <v>0.7</v>
      </c>
      <c r="N89" s="531">
        <f t="shared" si="16"/>
        <v>0</v>
      </c>
    </row>
    <row r="90" spans="1:15" ht="40" customHeight="1" x14ac:dyDescent="0.35">
      <c r="A90" s="363" t="s">
        <v>498</v>
      </c>
      <c r="B90" s="538">
        <f>TableA2!F90</f>
        <v>1423.1461018568671</v>
      </c>
      <c r="C90" s="539">
        <f>B90-F90-G90</f>
        <v>315.87085188275307</v>
      </c>
      <c r="D90" s="520"/>
      <c r="E90" s="520"/>
      <c r="F90" s="541">
        <f>(B90-G90)*K90</f>
        <v>840.32665070583255</v>
      </c>
      <c r="G90" s="520">
        <f>J90*B90</f>
        <v>266.94859926828144</v>
      </c>
      <c r="H90" s="520"/>
      <c r="I90" s="543"/>
      <c r="J90" s="510">
        <f>J45</f>
        <v>0.18757638370366683</v>
      </c>
      <c r="K90" s="511">
        <f>K45</f>
        <v>0.72680199431709835</v>
      </c>
      <c r="N90" s="531">
        <f>B90-C90-F90-G90</f>
        <v>0</v>
      </c>
      <c r="O90" s="7"/>
    </row>
    <row r="91" spans="1:15" ht="40" customHeight="1" thickBot="1" x14ac:dyDescent="0.4">
      <c r="A91" s="542" t="s">
        <v>499</v>
      </c>
      <c r="B91" s="544">
        <f>TableA2!F91</f>
        <v>11208.895794676813</v>
      </c>
      <c r="C91" s="545">
        <f>C90+C53+C45+C9</f>
        <v>4182.0495610534763</v>
      </c>
      <c r="D91" s="546"/>
      <c r="E91" s="546"/>
      <c r="F91" s="545">
        <f>F90+F53+F45+F9</f>
        <v>4873.1302177294483</v>
      </c>
      <c r="G91" s="545">
        <f>G90+G53+G45+G9</f>
        <v>2153.7160158938877</v>
      </c>
      <c r="H91" s="546"/>
      <c r="I91" s="547"/>
      <c r="J91" s="551">
        <f>G91/B91</f>
        <v>0.19214345956509857</v>
      </c>
      <c r="K91" s="548">
        <f>F91/(B91-G91)</f>
        <v>0.53815941116349963</v>
      </c>
      <c r="N91" s="531">
        <f>B91-C91-F91-G91</f>
        <v>0</v>
      </c>
      <c r="O91" s="7"/>
    </row>
    <row r="92" spans="1:15" ht="28" customHeight="1" thickTop="1" x14ac:dyDescent="0.35">
      <c r="A92" s="500"/>
      <c r="B92" s="520"/>
      <c r="C92" s="520"/>
      <c r="D92" s="520"/>
      <c r="E92" s="520"/>
      <c r="F92" s="520"/>
      <c r="G92" s="520"/>
      <c r="H92" s="520"/>
      <c r="I92" s="520"/>
      <c r="J92" s="553"/>
      <c r="K92" s="510"/>
      <c r="N92" s="531"/>
      <c r="O92" s="7"/>
    </row>
    <row r="93" spans="1:15" s="2" customFormat="1" ht="16" thickBot="1" x14ac:dyDescent="0.4">
      <c r="B93" s="1"/>
      <c r="C93" s="1"/>
      <c r="D93" s="1"/>
      <c r="E93" s="1"/>
      <c r="F93" s="1"/>
      <c r="G93" s="1"/>
      <c r="H93" s="1"/>
      <c r="I93" s="1"/>
      <c r="J93" s="1"/>
      <c r="K93" s="1"/>
      <c r="L93" s="1"/>
      <c r="N93" s="232"/>
    </row>
    <row r="94" spans="1:15" s="2" customFormat="1" ht="80.25" customHeight="1" thickBot="1" x14ac:dyDescent="0.4">
      <c r="A94" s="2045" t="s">
        <v>510</v>
      </c>
      <c r="B94" s="2077"/>
      <c r="C94" s="2077"/>
      <c r="D94" s="2077"/>
      <c r="E94" s="2077"/>
      <c r="F94" s="2077"/>
      <c r="G94" s="2077"/>
      <c r="H94" s="2077"/>
      <c r="I94" s="2077"/>
      <c r="J94" s="2077"/>
      <c r="K94" s="2078"/>
      <c r="L94" s="1"/>
    </row>
    <row r="95" spans="1:15" s="2" customFormat="1" x14ac:dyDescent="0.35">
      <c r="A95" s="1"/>
      <c r="B95" s="1"/>
      <c r="C95" s="1"/>
      <c r="D95" s="1"/>
      <c r="E95" s="1"/>
      <c r="F95" s="1"/>
      <c r="G95" s="1"/>
      <c r="H95" s="1"/>
      <c r="I95" s="1"/>
      <c r="J95" s="1"/>
      <c r="K95" s="1"/>
      <c r="L95" s="1"/>
    </row>
    <row r="96" spans="1:15" s="2" customFormat="1" x14ac:dyDescent="0.35">
      <c r="C96" s="1"/>
      <c r="D96" s="1"/>
      <c r="E96" s="1"/>
      <c r="F96" s="1"/>
      <c r="G96" s="1"/>
      <c r="H96" s="1"/>
      <c r="I96" s="1"/>
      <c r="J96" s="1"/>
      <c r="K96" s="1"/>
      <c r="L96" s="1"/>
    </row>
    <row r="97" spans="1:12" s="2" customFormat="1" x14ac:dyDescent="0.35">
      <c r="A97" s="1"/>
      <c r="B97" s="1"/>
      <c r="C97" s="1"/>
      <c r="D97" s="1"/>
      <c r="E97" s="1"/>
      <c r="F97" s="1"/>
      <c r="G97" s="1"/>
      <c r="H97" s="1"/>
      <c r="I97" s="1"/>
      <c r="J97" s="1"/>
      <c r="K97" s="1"/>
      <c r="L97" s="1"/>
    </row>
    <row r="98" spans="1:12" s="2" customFormat="1" x14ac:dyDescent="0.35">
      <c r="A98" s="1"/>
      <c r="B98" t="s">
        <v>264</v>
      </c>
      <c r="C98"/>
      <c r="D98"/>
      <c r="E98"/>
      <c r="F98"/>
      <c r="G98"/>
      <c r="H98" s="1"/>
      <c r="I98" s="1"/>
      <c r="J98" s="1"/>
      <c r="K98" s="1"/>
      <c r="L98" s="1"/>
    </row>
    <row r="99" spans="1:12" x14ac:dyDescent="0.35">
      <c r="B99"/>
      <c r="C99" s="530" t="s">
        <v>509</v>
      </c>
      <c r="D99" t="s">
        <v>7</v>
      </c>
      <c r="E99" t="s">
        <v>6</v>
      </c>
      <c r="F99" s="275" t="s">
        <v>4</v>
      </c>
      <c r="G99" s="376" t="s">
        <v>3</v>
      </c>
      <c r="H99"/>
      <c r="I99"/>
    </row>
    <row r="100" spans="1:12" s="2" customFormat="1" x14ac:dyDescent="0.35">
      <c r="A100" s="1"/>
      <c r="B100" t="s">
        <v>263</v>
      </c>
      <c r="D100"/>
      <c r="E100"/>
      <c r="F100" s="262">
        <f>+SUM(F10:F22,F24,F26:F32,F34:F44)/SUM(B10:B22,B24,B26:B32,B34:B44)</f>
        <v>0.3133238353027466</v>
      </c>
      <c r="G100"/>
      <c r="H100" s="1"/>
      <c r="I100" s="1"/>
      <c r="J100" s="1"/>
      <c r="K100" s="1"/>
      <c r="L100" s="1"/>
    </row>
    <row r="101" spans="1:12" x14ac:dyDescent="0.35">
      <c r="B101" t="s">
        <v>267</v>
      </c>
      <c r="C101">
        <f>+SUM(C46:C49,C52)/SUM($B$46:$B$49,$B$52)</f>
        <v>0.20368189424423558</v>
      </c>
      <c r="D101">
        <f>+SUM(D46:D49,D52)/SUM($B$46:$B$49,$B$52)</f>
        <v>0.24574471622925181</v>
      </c>
      <c r="E101">
        <f>+SUM(E46:E49,E52)/SUM($B$46:$B$49,$B$52)</f>
        <v>4.2062821985016249E-2</v>
      </c>
      <c r="F101" s="262">
        <f>+SUM(F46:F49,F52)/SUM(B46:B49,B52)</f>
        <v>0.59047110455448404</v>
      </c>
      <c r="G101" s="262">
        <f>+SUM(G46:G49,G52)/SUM(B46:B49,B52)</f>
        <v>0.2058470012012803</v>
      </c>
    </row>
    <row r="102" spans="1:12" x14ac:dyDescent="0.35">
      <c r="B102"/>
      <c r="C102"/>
      <c r="D102"/>
      <c r="F102"/>
      <c r="G102"/>
    </row>
    <row r="103" spans="1:12" x14ac:dyDescent="0.35">
      <c r="B103" s="276"/>
      <c r="C103"/>
      <c r="D103"/>
    </row>
    <row r="104" spans="1:12" x14ac:dyDescent="0.35">
      <c r="D104"/>
    </row>
  </sheetData>
  <mergeCells count="9">
    <mergeCell ref="A3:K3"/>
    <mergeCell ref="A94:K94"/>
    <mergeCell ref="B6:I6"/>
    <mergeCell ref="K6:K8"/>
    <mergeCell ref="B7:B8"/>
    <mergeCell ref="C7:C8"/>
    <mergeCell ref="F7:F8"/>
    <mergeCell ref="G7:G8"/>
    <mergeCell ref="J6:J8"/>
  </mergeCells>
  <phoneticPr fontId="62" type="noConversion"/>
  <pageMargins left="0.75" right="0.75" top="1" bottom="1" header="0.5" footer="0.5"/>
  <pageSetup scale="67" fitToHeight="0" orientation="portrait" horizontalDpi="4294967292" verticalDpi="4294967292"/>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E7"/>
  <sheetViews>
    <sheetView workbookViewId="0">
      <selection sqref="A1:E6"/>
    </sheetView>
  </sheetViews>
  <sheetFormatPr baseColWidth="10" defaultColWidth="8.81640625" defaultRowHeight="15.5" x14ac:dyDescent="0.35"/>
  <cols>
    <col min="1" max="1" width="36" bestFit="1" customWidth="1"/>
    <col min="2" max="5" width="23.6328125" customWidth="1"/>
  </cols>
  <sheetData>
    <row r="1" spans="1:5" ht="20.5" thickTop="1" x14ac:dyDescent="0.35">
      <c r="A1" s="2048" t="s">
        <v>800</v>
      </c>
      <c r="B1" s="2049"/>
      <c r="C1" s="2049"/>
      <c r="D1" s="2049"/>
      <c r="E1" s="2050"/>
    </row>
    <row r="2" spans="1:5" ht="20" x14ac:dyDescent="0.35">
      <c r="A2" s="11"/>
      <c r="B2" s="1312"/>
      <c r="C2" s="1145"/>
      <c r="D2" s="1145"/>
      <c r="E2" s="1555"/>
    </row>
    <row r="3" spans="1:5" ht="20.5" thickBot="1" x14ac:dyDescent="0.4">
      <c r="A3" s="11"/>
      <c r="B3" s="409" t="s">
        <v>20</v>
      </c>
      <c r="C3" s="409" t="s">
        <v>692</v>
      </c>
      <c r="D3" s="409" t="s">
        <v>693</v>
      </c>
      <c r="E3" s="826" t="s">
        <v>705</v>
      </c>
    </row>
    <row r="4" spans="1:5" ht="20" x14ac:dyDescent="0.35">
      <c r="A4" s="1556"/>
      <c r="B4" s="1210" t="s">
        <v>711</v>
      </c>
      <c r="C4" s="1211" t="s">
        <v>712</v>
      </c>
      <c r="D4" s="1211" t="s">
        <v>713</v>
      </c>
      <c r="E4" s="1557" t="s">
        <v>714</v>
      </c>
    </row>
    <row r="5" spans="1:5" x14ac:dyDescent="0.35">
      <c r="A5" s="1564" t="s">
        <v>716</v>
      </c>
      <c r="B5" s="1565">
        <f>AVERAGE(TableC6!M14:M22)</f>
        <v>4.0951752891782073E-2</v>
      </c>
      <c r="C5" s="1566">
        <f>+AVERAGE(TableC6!M23:M32)</f>
        <v>5.4207827423913016E-2</v>
      </c>
      <c r="D5" s="1566">
        <f>AVERAGE(TableC6!M33:M42)</f>
        <v>0.13052595912927956</v>
      </c>
      <c r="E5" s="1567">
        <f>AVERAGE(TableC6!M43:M48)</f>
        <v>0.16181784544476441</v>
      </c>
    </row>
    <row r="6" spans="1:5" ht="16" thickBot="1" x14ac:dyDescent="0.4">
      <c r="A6" s="1568" t="s">
        <v>715</v>
      </c>
      <c r="B6" s="1569">
        <f>+AVERAGEIF(TableF1b!C44:K44,"&gt;0")</f>
        <v>0.47187891956966382</v>
      </c>
      <c r="C6" s="1570">
        <f>+AVERAGEIF(TableF1b!L44:U44,"&gt;0")</f>
        <v>0.377502052529198</v>
      </c>
      <c r="D6" s="1570">
        <f>+AVERAGEIF(TableF1b!V44:AE44,"&gt;0")</f>
        <v>0.28761440648420444</v>
      </c>
      <c r="E6" s="1571">
        <f>+AVERAGEIF(TableF1b!AF44:AN44,"&gt;0")</f>
        <v>0.24101111111111115</v>
      </c>
    </row>
    <row r="7" spans="1:5" ht="16" thickTop="1" x14ac:dyDescent="0.35">
      <c r="A7" s="972"/>
      <c r="B7" s="1209"/>
      <c r="C7" s="1145"/>
      <c r="D7" s="1145"/>
      <c r="E7" s="1145"/>
    </row>
  </sheetData>
  <mergeCells count="1">
    <mergeCell ref="A1:E1"/>
  </mergeCells>
  <pageMargins left="0.7" right="0.7" top="0.75" bottom="0.75" header="0.3" footer="0.3"/>
  <pageSetup paperSize="9" scale="67" orientation="portrait"/>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L62"/>
  <sheetViews>
    <sheetView topLeftCell="A34" workbookViewId="0">
      <selection activeCell="J52" sqref="J52"/>
    </sheetView>
  </sheetViews>
  <sheetFormatPr baseColWidth="10" defaultColWidth="8.81640625" defaultRowHeight="15.5" x14ac:dyDescent="0.35"/>
  <cols>
    <col min="1" max="4" width="13.453125" customWidth="1"/>
    <col min="5" max="5" width="13.36328125" customWidth="1"/>
    <col min="6" max="7" width="13.453125" customWidth="1"/>
  </cols>
  <sheetData>
    <row r="1" spans="1:9" ht="16" thickBot="1" x14ac:dyDescent="0.4">
      <c r="A1" s="1145"/>
      <c r="B1" s="1145"/>
      <c r="C1" s="1145"/>
      <c r="D1" s="1145"/>
      <c r="E1" s="1145"/>
      <c r="F1" s="1145"/>
      <c r="G1" s="1145"/>
      <c r="H1" s="1145"/>
    </row>
    <row r="2" spans="1:9" ht="20.5" thickTop="1" x14ac:dyDescent="0.4">
      <c r="A2" s="2561" t="s">
        <v>710</v>
      </c>
      <c r="B2" s="2562"/>
      <c r="C2" s="2562"/>
      <c r="D2" s="2562"/>
      <c r="E2" s="2562"/>
      <c r="F2" s="2562"/>
      <c r="G2" s="2563"/>
    </row>
    <row r="3" spans="1:9" x14ac:dyDescent="0.35">
      <c r="A3" s="1576"/>
      <c r="B3" s="1148"/>
      <c r="C3" s="1148"/>
      <c r="D3" s="1148"/>
      <c r="E3" s="1148"/>
      <c r="F3" s="1148"/>
      <c r="G3" s="1495"/>
    </row>
    <row r="4" spans="1:9" ht="16" thickBot="1" x14ac:dyDescent="0.4">
      <c r="A4" s="1576"/>
      <c r="B4" s="409" t="s">
        <v>20</v>
      </c>
      <c r="C4" s="409" t="s">
        <v>21</v>
      </c>
      <c r="D4" s="409" t="s">
        <v>22</v>
      </c>
      <c r="E4" s="409" t="s">
        <v>23</v>
      </c>
      <c r="F4" s="409" t="s">
        <v>24</v>
      </c>
      <c r="G4" s="826" t="s">
        <v>25</v>
      </c>
    </row>
    <row r="5" spans="1:9" s="1575" customFormat="1" ht="91" customHeight="1" x14ac:dyDescent="0.35">
      <c r="A5" s="1577"/>
      <c r="B5" s="1573" t="s">
        <v>48</v>
      </c>
      <c r="C5" s="1574" t="s">
        <v>62</v>
      </c>
      <c r="D5" s="1574" t="s">
        <v>66</v>
      </c>
      <c r="E5" s="1574" t="s">
        <v>82</v>
      </c>
      <c r="F5" s="1574" t="s">
        <v>697</v>
      </c>
      <c r="G5" s="1578" t="s">
        <v>698</v>
      </c>
    </row>
    <row r="6" spans="1:9" x14ac:dyDescent="0.35">
      <c r="A6" s="1579">
        <v>1970</v>
      </c>
      <c r="B6" s="1801">
        <v>2.1160000000000002E-2</v>
      </c>
      <c r="C6" s="1802">
        <v>1.7889999999999996E-2</v>
      </c>
      <c r="D6" s="1802">
        <v>1.627E-2</v>
      </c>
      <c r="E6" s="1802">
        <v>3.0449999999999998E-2</v>
      </c>
      <c r="F6" s="1572">
        <v>2.066752377010701E-2</v>
      </c>
      <c r="G6" s="1580">
        <f t="shared" ref="G6:G51" si="0">F6/0.85</f>
        <v>2.4314733847184716E-2</v>
      </c>
      <c r="H6" s="1212"/>
      <c r="I6" s="1212"/>
    </row>
    <row r="7" spans="1:9" x14ac:dyDescent="0.35">
      <c r="A7" s="1579">
        <v>1971</v>
      </c>
      <c r="B7" s="1801">
        <v>1.89E-2</v>
      </c>
      <c r="C7" s="1802">
        <v>1.4759999999999999E-2</v>
      </c>
      <c r="D7" s="1802">
        <v>1.7430000000000001E-2</v>
      </c>
      <c r="E7" s="1802">
        <v>2.5090000000000001E-2</v>
      </c>
      <c r="F7" s="1572">
        <v>1.8118277142797894E-2</v>
      </c>
      <c r="G7" s="1580">
        <f t="shared" si="0"/>
        <v>2.1315620167997523E-2</v>
      </c>
      <c r="H7" s="1212"/>
      <c r="I7" s="1212"/>
    </row>
    <row r="8" spans="1:9" x14ac:dyDescent="0.35">
      <c r="A8" s="1579">
        <v>1972</v>
      </c>
      <c r="B8" s="1801">
        <v>1.932E-2</v>
      </c>
      <c r="C8" s="1802">
        <v>1.6140000000000002E-2</v>
      </c>
      <c r="D8" s="1802">
        <v>1.8870000000000001E-2</v>
      </c>
      <c r="E8" s="1802">
        <v>2.1000000000000001E-2</v>
      </c>
      <c r="F8" s="1572">
        <v>1.8097053294012479E-2</v>
      </c>
      <c r="G8" s="1580">
        <f t="shared" si="0"/>
        <v>2.1290650934132328E-2</v>
      </c>
      <c r="H8" s="1212"/>
      <c r="I8" s="1212"/>
    </row>
    <row r="9" spans="1:9" x14ac:dyDescent="0.35">
      <c r="A9" s="1579">
        <v>1973</v>
      </c>
      <c r="B9" s="1801">
        <v>2.0019999999999996E-2</v>
      </c>
      <c r="C9" s="1802">
        <v>1.8579999999999999E-2</v>
      </c>
      <c r="D9" s="1802">
        <v>1.6420000000000001E-2</v>
      </c>
      <c r="E9" s="1802">
        <v>2.4670000000000001E-2</v>
      </c>
      <c r="F9" s="1572">
        <v>1.9397233982498145E-2</v>
      </c>
      <c r="G9" s="1580">
        <f t="shared" si="0"/>
        <v>2.282027527352723E-2</v>
      </c>
      <c r="H9" s="1212"/>
      <c r="I9" s="1212"/>
    </row>
    <row r="10" spans="1:9" x14ac:dyDescent="0.35">
      <c r="A10" s="1579">
        <v>1974</v>
      </c>
      <c r="B10" s="1801">
        <v>2.6749999999999999E-2</v>
      </c>
      <c r="C10" s="1802">
        <v>1.7139999999999999E-2</v>
      </c>
      <c r="D10" s="1802">
        <v>1.3169999999999998E-2</v>
      </c>
      <c r="E10" s="1802">
        <v>3.2290000000000006E-2</v>
      </c>
      <c r="F10" s="1572">
        <v>2.1259185851828889E-2</v>
      </c>
      <c r="G10" s="1580">
        <f t="shared" si="0"/>
        <v>2.5010806884504574E-2</v>
      </c>
      <c r="H10" s="1212"/>
      <c r="I10" s="1212"/>
    </row>
    <row r="11" spans="1:9" x14ac:dyDescent="0.35">
      <c r="A11" s="1579">
        <v>1975</v>
      </c>
      <c r="B11" s="1801">
        <v>1.8100000000000002E-2</v>
      </c>
      <c r="C11" s="1802">
        <v>1.5180000000000001E-2</v>
      </c>
      <c r="D11" s="1802">
        <v>1.5469999999999999E-2</v>
      </c>
      <c r="E11" s="1802">
        <v>2.1139999999999999E-2</v>
      </c>
      <c r="F11" s="1572">
        <v>1.6785213751435952E-2</v>
      </c>
      <c r="G11" s="1580">
        <f t="shared" si="0"/>
        <v>1.9747310295807004E-2</v>
      </c>
      <c r="H11" s="1212"/>
      <c r="I11" s="1212"/>
    </row>
    <row r="12" spans="1:9" x14ac:dyDescent="0.35">
      <c r="A12" s="1579">
        <v>1976</v>
      </c>
      <c r="B12" s="1801">
        <v>2.1509999999999994E-2</v>
      </c>
      <c r="C12" s="1802">
        <v>1.6279999999999999E-2</v>
      </c>
      <c r="D12" s="1802">
        <v>1.7040000000000003E-2</v>
      </c>
      <c r="E12" s="1802">
        <v>1.6750000000000001E-2</v>
      </c>
      <c r="F12" s="1572">
        <v>1.7590847773840835E-2</v>
      </c>
      <c r="G12" s="1580">
        <f t="shared" si="0"/>
        <v>2.0695115028048043E-2</v>
      </c>
      <c r="H12" s="1212"/>
      <c r="I12" s="1212"/>
    </row>
    <row r="13" spans="1:9" x14ac:dyDescent="0.35">
      <c r="A13" s="1579">
        <v>1977</v>
      </c>
      <c r="B13" s="1801">
        <v>2.0840000000000001E-2</v>
      </c>
      <c r="C13" s="1802">
        <v>2.0039999999999999E-2</v>
      </c>
      <c r="D13" s="1802">
        <v>1.8050000000000004E-2</v>
      </c>
      <c r="E13" s="1802">
        <v>2.0139999999999998E-2</v>
      </c>
      <c r="F13" s="1572">
        <v>1.9614846579600425E-2</v>
      </c>
      <c r="G13" s="1580">
        <f t="shared" si="0"/>
        <v>2.3076290093647558E-2</v>
      </c>
      <c r="H13" s="1212"/>
      <c r="I13" s="1212"/>
    </row>
    <row r="14" spans="1:9" x14ac:dyDescent="0.35">
      <c r="A14" s="1579">
        <v>1978</v>
      </c>
      <c r="B14" s="1801">
        <v>1.7689999999999997E-2</v>
      </c>
      <c r="C14" s="1802">
        <v>2.1170000000000001E-2</v>
      </c>
      <c r="D14" s="1802">
        <v>2.3870000000000002E-2</v>
      </c>
      <c r="E14" s="1802">
        <v>2.1920000000000002E-2</v>
      </c>
      <c r="F14" s="1572">
        <v>2.0456629633863497E-2</v>
      </c>
      <c r="G14" s="1580">
        <f t="shared" si="0"/>
        <v>2.4066623098662938E-2</v>
      </c>
      <c r="H14" s="1212"/>
      <c r="I14" s="1212"/>
    </row>
    <row r="15" spans="1:9" x14ac:dyDescent="0.35">
      <c r="A15" s="1579">
        <v>1979</v>
      </c>
      <c r="B15" s="1801">
        <v>1.8269999999999998E-2</v>
      </c>
      <c r="C15" s="1802">
        <v>2.1909999999999999E-2</v>
      </c>
      <c r="D15" s="1802">
        <v>2.0859999999999997E-2</v>
      </c>
      <c r="E15" s="1802">
        <v>2.3559999999999994E-2</v>
      </c>
      <c r="F15" s="1572">
        <v>2.0752796203872922E-2</v>
      </c>
      <c r="G15" s="1580">
        <f t="shared" si="0"/>
        <v>2.4415054357497558E-2</v>
      </c>
      <c r="H15" s="1212"/>
      <c r="I15" s="1212"/>
    </row>
    <row r="16" spans="1:9" x14ac:dyDescent="0.35">
      <c r="A16" s="1579">
        <v>1980</v>
      </c>
      <c r="B16" s="1801">
        <v>2.0209999999999999E-2</v>
      </c>
      <c r="C16" s="1802">
        <v>1.9890000000000001E-2</v>
      </c>
      <c r="D16" s="1802">
        <v>2.2380000000000001E-2</v>
      </c>
      <c r="E16" s="1802">
        <v>2.7900000000000001E-2</v>
      </c>
      <c r="F16" s="1572">
        <v>2.1753262780163606E-2</v>
      </c>
      <c r="G16" s="1580">
        <f t="shared" si="0"/>
        <v>2.5592073859016008E-2</v>
      </c>
      <c r="H16" s="1212"/>
      <c r="I16" s="1212"/>
    </row>
    <row r="17" spans="1:9" x14ac:dyDescent="0.35">
      <c r="A17" s="1579">
        <v>1981</v>
      </c>
      <c r="B17" s="1801">
        <v>2.0549999999999999E-2</v>
      </c>
      <c r="C17" s="1802">
        <v>1.806E-2</v>
      </c>
      <c r="D17" s="1802">
        <v>2.4639999999999999E-2</v>
      </c>
      <c r="E17" s="1802">
        <v>3.1480000000000001E-2</v>
      </c>
      <c r="F17" s="1572">
        <v>2.2641379499949672E-2</v>
      </c>
      <c r="G17" s="1580">
        <f t="shared" si="0"/>
        <v>2.6636917058764319E-2</v>
      </c>
      <c r="H17" s="1212"/>
      <c r="I17" s="1212"/>
    </row>
    <row r="18" spans="1:9" x14ac:dyDescent="0.35">
      <c r="A18" s="1579">
        <v>1982</v>
      </c>
      <c r="B18" s="1801">
        <v>2.1240000000000002E-2</v>
      </c>
      <c r="C18" s="1802">
        <v>1.8110000000000001E-2</v>
      </c>
      <c r="D18" s="1802">
        <v>2.8040000000000002E-2</v>
      </c>
      <c r="E18" s="1802">
        <v>3.5590000000000004E-2</v>
      </c>
      <c r="F18" s="1572">
        <v>2.4396230885268252E-2</v>
      </c>
      <c r="G18" s="1580">
        <f t="shared" si="0"/>
        <v>2.8701448100315594E-2</v>
      </c>
      <c r="H18" s="1212"/>
      <c r="I18" s="1212"/>
    </row>
    <row r="19" spans="1:9" x14ac:dyDescent="0.35">
      <c r="A19" s="1579">
        <v>1983</v>
      </c>
      <c r="B19" s="1801">
        <v>1.8700000000000001E-2</v>
      </c>
      <c r="C19" s="1802">
        <v>1.823E-2</v>
      </c>
      <c r="D19" s="1802">
        <v>3.031E-2</v>
      </c>
      <c r="E19" s="1802">
        <v>3.7370000000000007E-2</v>
      </c>
      <c r="F19" s="1572">
        <v>2.4576894658283985E-2</v>
      </c>
      <c r="G19" s="1580">
        <f t="shared" si="0"/>
        <v>2.8913993715628219E-2</v>
      </c>
      <c r="H19" s="1212"/>
      <c r="I19" s="1212"/>
    </row>
    <row r="20" spans="1:9" x14ac:dyDescent="0.35">
      <c r="A20" s="1579">
        <v>1984</v>
      </c>
      <c r="B20" s="1801">
        <v>1.8189999999999998E-2</v>
      </c>
      <c r="C20" s="1802">
        <v>1.9179999999999996E-2</v>
      </c>
      <c r="D20" s="1802">
        <v>3.243E-2</v>
      </c>
      <c r="E20" s="1802">
        <v>4.0339999999999994E-2</v>
      </c>
      <c r="F20" s="1572">
        <v>2.5844381212549176E-2</v>
      </c>
      <c r="G20" s="1580">
        <f t="shared" si="0"/>
        <v>3.0405154367704912E-2</v>
      </c>
      <c r="H20" s="1212"/>
      <c r="I20" s="1212"/>
    </row>
    <row r="21" spans="1:9" x14ac:dyDescent="0.35">
      <c r="A21" s="1579">
        <v>1985</v>
      </c>
      <c r="B21" s="1801">
        <v>1.865E-2</v>
      </c>
      <c r="C21" s="1802">
        <v>2.2090000000000002E-2</v>
      </c>
      <c r="D21" s="1802">
        <v>3.0079999999999999E-2</v>
      </c>
      <c r="E21" s="1802">
        <v>4.4210000000000006E-2</v>
      </c>
      <c r="F21" s="1572">
        <v>2.742628261703858E-2</v>
      </c>
      <c r="G21" s="1580">
        <f t="shared" si="0"/>
        <v>3.2266214843574802E-2</v>
      </c>
      <c r="H21" s="1212"/>
      <c r="I21" s="1212"/>
    </row>
    <row r="22" spans="1:9" x14ac:dyDescent="0.35">
      <c r="A22" s="1579">
        <v>1986</v>
      </c>
      <c r="B22" s="1801">
        <v>2.0760000000000001E-2</v>
      </c>
      <c r="C22" s="1802">
        <v>2.1400000000000002E-2</v>
      </c>
      <c r="D22" s="1802">
        <v>3.6030000000000006E-2</v>
      </c>
      <c r="E22" s="1802">
        <v>3.7399999999999996E-2</v>
      </c>
      <c r="F22" s="1572">
        <v>2.7148696390805582E-2</v>
      </c>
      <c r="G22" s="1580">
        <f t="shared" si="0"/>
        <v>3.193964281271245E-2</v>
      </c>
      <c r="H22" s="1212"/>
      <c r="I22" s="1212"/>
    </row>
    <row r="23" spans="1:9" x14ac:dyDescent="0.35">
      <c r="A23" s="1579">
        <v>1987</v>
      </c>
      <c r="B23" s="1801">
        <v>2.1500000000000002E-2</v>
      </c>
      <c r="C23" s="1802">
        <v>1.8350000000000002E-2</v>
      </c>
      <c r="D23" s="1802">
        <v>3.5979999999999998E-2</v>
      </c>
      <c r="E23" s="1802">
        <v>3.567E-2</v>
      </c>
      <c r="F23" s="1572">
        <v>2.6038315981476903E-2</v>
      </c>
      <c r="G23" s="1580">
        <f t="shared" si="0"/>
        <v>3.0633312919384592E-2</v>
      </c>
      <c r="H23" s="1212"/>
      <c r="I23" s="1212"/>
    </row>
    <row r="24" spans="1:9" x14ac:dyDescent="0.35">
      <c r="A24" s="1579">
        <v>1988</v>
      </c>
      <c r="B24" s="1801">
        <v>2.1730000000000003E-2</v>
      </c>
      <c r="C24" s="1802">
        <v>1.9099999999999999E-2</v>
      </c>
      <c r="D24" s="1802">
        <v>3.2450000000000007E-2</v>
      </c>
      <c r="E24" s="1802">
        <v>3.6760000000000001E-2</v>
      </c>
      <c r="F24" s="1572">
        <v>2.6081031495675276E-2</v>
      </c>
      <c r="G24" s="1580">
        <f t="shared" si="0"/>
        <v>3.0683566465500325E-2</v>
      </c>
      <c r="H24" s="1212"/>
      <c r="I24" s="1212"/>
    </row>
    <row r="25" spans="1:9" x14ac:dyDescent="0.35">
      <c r="A25" s="1579">
        <v>1989</v>
      </c>
      <c r="B25" s="1801">
        <v>2.2609999999999998E-2</v>
      </c>
      <c r="C25" s="1802">
        <v>1.9980000000000001E-2</v>
      </c>
      <c r="D25" s="1802">
        <v>3.5739999999999994E-2</v>
      </c>
      <c r="E25" s="1802">
        <v>4.1360000000000001E-2</v>
      </c>
      <c r="F25" s="1572">
        <v>2.8449615017550656E-2</v>
      </c>
      <c r="G25" s="1580">
        <f t="shared" si="0"/>
        <v>3.3470135314765476E-2</v>
      </c>
      <c r="H25" s="1212"/>
      <c r="I25" s="1212"/>
    </row>
    <row r="26" spans="1:9" x14ac:dyDescent="0.35">
      <c r="A26" s="1579">
        <v>1990</v>
      </c>
      <c r="B26" s="1801">
        <v>2.1839999999999998E-2</v>
      </c>
      <c r="C26" s="1802">
        <v>1.6810000000000002E-2</v>
      </c>
      <c r="D26" s="1802">
        <v>3.6519999999999997E-2</v>
      </c>
      <c r="E26" s="1802">
        <v>3.2599999999999997E-2</v>
      </c>
      <c r="F26" s="1572">
        <v>2.5523545870566763E-2</v>
      </c>
      <c r="G26" s="1580">
        <f t="shared" si="0"/>
        <v>3.0027701024196191E-2</v>
      </c>
      <c r="H26" s="1212"/>
      <c r="I26" s="1212"/>
    </row>
    <row r="27" spans="1:9" x14ac:dyDescent="0.35">
      <c r="A27" s="1579">
        <v>1991</v>
      </c>
      <c r="B27" s="1801">
        <v>1.8419999999999999E-2</v>
      </c>
      <c r="C27" s="1802">
        <v>1.5189999999999999E-2</v>
      </c>
      <c r="D27" s="1802">
        <v>3.5310000000000001E-2</v>
      </c>
      <c r="E27" s="1802">
        <v>2.5830000000000002E-2</v>
      </c>
      <c r="F27" s="1572">
        <v>2.261711149841146E-2</v>
      </c>
      <c r="G27" s="1580">
        <f t="shared" si="0"/>
        <v>2.6608366468719367E-2</v>
      </c>
      <c r="H27" s="1212"/>
      <c r="I27" s="1212"/>
    </row>
    <row r="28" spans="1:9" x14ac:dyDescent="0.35">
      <c r="A28" s="1579">
        <v>1992</v>
      </c>
      <c r="B28" s="1801">
        <v>1.9200000000000002E-2</v>
      </c>
      <c r="C28" s="1802">
        <v>1.439E-2</v>
      </c>
      <c r="D28" s="1802">
        <v>4.0789999999999993E-2</v>
      </c>
      <c r="E28" s="1802">
        <v>1.9300000000000001E-2</v>
      </c>
      <c r="F28" s="1572">
        <v>2.2141792684895554E-2</v>
      </c>
      <c r="G28" s="1580">
        <f t="shared" si="0"/>
        <v>2.6049167864583004E-2</v>
      </c>
      <c r="H28" s="1212"/>
      <c r="I28" s="1212"/>
    </row>
    <row r="29" spans="1:9" x14ac:dyDescent="0.35">
      <c r="A29" s="1579">
        <v>1993</v>
      </c>
      <c r="B29" s="1801">
        <v>1.8960000000000001E-2</v>
      </c>
      <c r="C29" s="1802">
        <v>1.2979999999999998E-2</v>
      </c>
      <c r="D29" s="1802">
        <v>3.7599999999999995E-2</v>
      </c>
      <c r="E29" s="1802">
        <v>1.7769999999999998E-2</v>
      </c>
      <c r="F29" s="1572">
        <v>1.9994277457432822E-2</v>
      </c>
      <c r="G29" s="1580">
        <f t="shared" si="0"/>
        <v>2.3522679361685672E-2</v>
      </c>
      <c r="H29" s="1212"/>
      <c r="I29" s="1212"/>
    </row>
    <row r="30" spans="1:9" x14ac:dyDescent="0.35">
      <c r="A30" s="1579">
        <v>1994</v>
      </c>
      <c r="B30" s="1801">
        <v>1.9359999999999999E-2</v>
      </c>
      <c r="C30" s="1802">
        <v>1.0539999999999999E-2</v>
      </c>
      <c r="D30" s="1802">
        <v>3.4429999999999995E-2</v>
      </c>
      <c r="E30" s="1802">
        <v>2.0659999999999998E-2</v>
      </c>
      <c r="F30" s="1572">
        <v>1.9009831299521534E-2</v>
      </c>
      <c r="G30" s="1580">
        <f t="shared" si="0"/>
        <v>2.2364507411201804E-2</v>
      </c>
      <c r="H30" s="1212"/>
      <c r="I30" s="1212"/>
    </row>
    <row r="31" spans="1:9" x14ac:dyDescent="0.35">
      <c r="A31" s="1579">
        <v>1995</v>
      </c>
      <c r="B31" s="1801">
        <v>2.0410000000000001E-2</v>
      </c>
      <c r="C31" s="1802">
        <v>1.0100000000000001E-2</v>
      </c>
      <c r="D31" s="1802">
        <v>3.3490000000000006E-2</v>
      </c>
      <c r="E31" s="1802">
        <v>2.4109999999999999E-2</v>
      </c>
      <c r="F31" s="1572">
        <v>1.9582451923889035E-2</v>
      </c>
      <c r="G31" s="1580">
        <f t="shared" si="0"/>
        <v>2.30381787339871E-2</v>
      </c>
      <c r="H31" s="1212"/>
      <c r="I31" s="1212"/>
    </row>
    <row r="32" spans="1:9" x14ac:dyDescent="0.35">
      <c r="A32" s="1579">
        <v>1996</v>
      </c>
      <c r="B32" s="1801">
        <v>2.247E-2</v>
      </c>
      <c r="C32" s="1802">
        <v>1.3529999999999999E-2</v>
      </c>
      <c r="D32" s="1802">
        <v>3.6939999999999994E-2</v>
      </c>
      <c r="E32" s="1802">
        <v>2.7689999999999999E-2</v>
      </c>
      <c r="F32" s="1572">
        <v>2.317594277567208E-2</v>
      </c>
      <c r="G32" s="1580">
        <f t="shared" si="0"/>
        <v>2.7265815030202447E-2</v>
      </c>
      <c r="H32" s="1212"/>
      <c r="I32" s="1212"/>
    </row>
    <row r="33" spans="1:9" x14ac:dyDescent="0.35">
      <c r="A33" s="1579">
        <v>1997</v>
      </c>
      <c r="B33" s="1801">
        <v>2.5419999999999998E-2</v>
      </c>
      <c r="C33" s="1802">
        <v>1.4319999999999999E-2</v>
      </c>
      <c r="D33" s="1802">
        <v>3.9309999999999998E-2</v>
      </c>
      <c r="E33" s="1802">
        <v>3.4230000000000003E-2</v>
      </c>
      <c r="F33" s="1572">
        <v>2.6453515057654774E-2</v>
      </c>
      <c r="G33" s="1580">
        <f t="shared" si="0"/>
        <v>3.1121782420770322E-2</v>
      </c>
      <c r="H33" s="1212"/>
      <c r="I33" s="1212"/>
    </row>
    <row r="34" spans="1:9" x14ac:dyDescent="0.35">
      <c r="A34" s="1579">
        <v>1998</v>
      </c>
      <c r="B34" s="1801">
        <v>2.5710000000000004E-2</v>
      </c>
      <c r="C34" s="1802">
        <v>1.545E-2</v>
      </c>
      <c r="D34" s="1802">
        <v>2.8169999999999997E-2</v>
      </c>
      <c r="E34" s="1802">
        <v>3.483E-2</v>
      </c>
      <c r="F34" s="1572">
        <v>2.4917944765257504E-2</v>
      </c>
      <c r="G34" s="1580">
        <f t="shared" si="0"/>
        <v>2.9315229135597063E-2</v>
      </c>
      <c r="H34" s="1212"/>
      <c r="I34" s="1212"/>
    </row>
    <row r="35" spans="1:9" x14ac:dyDescent="0.35">
      <c r="A35" s="1579">
        <v>1999</v>
      </c>
      <c r="B35" s="1801">
        <v>2.8709999999999999E-2</v>
      </c>
      <c r="C35" s="1802">
        <v>1.7250000000000001E-2</v>
      </c>
      <c r="D35" s="1802">
        <v>3.1489999999999997E-2</v>
      </c>
      <c r="E35" s="1802">
        <v>3.2190000000000003E-2</v>
      </c>
      <c r="F35" s="1572">
        <v>2.6253053241328872E-2</v>
      </c>
      <c r="G35" s="1580">
        <f t="shared" si="0"/>
        <v>3.0885944989798672E-2</v>
      </c>
      <c r="H35" s="1212"/>
      <c r="I35" s="1212"/>
    </row>
    <row r="36" spans="1:9" x14ac:dyDescent="0.35">
      <c r="A36" s="1579">
        <v>2000</v>
      </c>
      <c r="B36" s="1801">
        <v>2.9760000000000002E-2</v>
      </c>
      <c r="C36" s="1802">
        <v>1.7520000000000001E-2</v>
      </c>
      <c r="D36" s="1802">
        <v>2.7999999999999997E-2</v>
      </c>
      <c r="E36" s="1802">
        <v>3.1879999999999999E-2</v>
      </c>
      <c r="F36" s="1572">
        <v>2.6001460549413109E-2</v>
      </c>
      <c r="G36" s="1580">
        <f t="shared" si="0"/>
        <v>3.0589953587544835E-2</v>
      </c>
      <c r="H36" s="1212"/>
      <c r="I36" s="1212"/>
    </row>
    <row r="37" spans="1:9" x14ac:dyDescent="0.35">
      <c r="A37" s="1579">
        <v>2001</v>
      </c>
      <c r="B37" s="1801">
        <v>3.2660000000000008E-2</v>
      </c>
      <c r="C37" s="1802">
        <v>5.8100000000000001E-3</v>
      </c>
      <c r="D37" s="1802">
        <v>3.3709999999999997E-2</v>
      </c>
      <c r="E37" s="1802">
        <v>3.134E-2</v>
      </c>
      <c r="F37" s="1572">
        <v>2.3854445599094439E-2</v>
      </c>
      <c r="G37" s="1580">
        <f t="shared" si="0"/>
        <v>2.8064053645993459E-2</v>
      </c>
      <c r="H37" s="1212"/>
      <c r="I37" s="1212"/>
    </row>
    <row r="38" spans="1:9" x14ac:dyDescent="0.35">
      <c r="A38" s="1579">
        <v>2002</v>
      </c>
      <c r="B38" s="1801">
        <v>2.7839999999999997E-2</v>
      </c>
      <c r="C38" s="1802">
        <v>9.8300000000000002E-3</v>
      </c>
      <c r="D38" s="1802">
        <v>2.9969999999999997E-2</v>
      </c>
      <c r="E38" s="1802">
        <v>2.588E-2</v>
      </c>
      <c r="F38" s="1572">
        <v>2.2013180420553859E-2</v>
      </c>
      <c r="G38" s="1580">
        <f t="shared" si="0"/>
        <v>2.5897859318298657E-2</v>
      </c>
      <c r="H38" s="1212"/>
      <c r="I38" s="1212"/>
    </row>
    <row r="39" spans="1:9" x14ac:dyDescent="0.35">
      <c r="A39" s="1579">
        <v>2003</v>
      </c>
      <c r="B39" s="1801">
        <v>2.4170000000000001E-2</v>
      </c>
      <c r="C39" s="1802">
        <v>1.2280000000000001E-2</v>
      </c>
      <c r="D39" s="1802">
        <v>2.6610000000000002E-2</v>
      </c>
      <c r="E39" s="1802">
        <v>2.479E-2</v>
      </c>
      <c r="F39" s="1572">
        <v>2.0992948306607705E-2</v>
      </c>
      <c r="G39" s="1580">
        <f t="shared" si="0"/>
        <v>2.4697586243067889E-2</v>
      </c>
      <c r="H39" s="1212"/>
      <c r="I39" s="1212"/>
    </row>
    <row r="40" spans="1:9" x14ac:dyDescent="0.35">
      <c r="A40" s="1579">
        <v>2004</v>
      </c>
      <c r="B40" s="1801">
        <v>2.6819999999999997E-2</v>
      </c>
      <c r="C40" s="1802">
        <v>1.5029999999999998E-2</v>
      </c>
      <c r="D40" s="1802">
        <v>2.7069999999999997E-2</v>
      </c>
      <c r="E40" s="1802">
        <v>2.6120000000000001E-2</v>
      </c>
      <c r="F40" s="1572">
        <v>2.2819106093671947E-2</v>
      </c>
      <c r="G40" s="1580">
        <f t="shared" si="0"/>
        <v>2.6846007169025823E-2</v>
      </c>
      <c r="H40" s="1212"/>
      <c r="I40" s="1212"/>
    </row>
    <row r="41" spans="1:9" x14ac:dyDescent="0.35">
      <c r="A41" s="1579">
        <v>2005</v>
      </c>
      <c r="B41" s="1801">
        <v>2.3519999999999996E-2</v>
      </c>
      <c r="C41" s="1802">
        <v>1.737E-2</v>
      </c>
      <c r="D41" s="1802">
        <v>2.2460000000000001E-2</v>
      </c>
      <c r="E41" s="1802">
        <v>3.0290000000000001E-2</v>
      </c>
      <c r="F41" s="1572">
        <v>2.2939286425762914E-2</v>
      </c>
      <c r="G41" s="1580">
        <f t="shared" si="0"/>
        <v>2.6987395795015193E-2</v>
      </c>
      <c r="H41" s="1212"/>
      <c r="I41" s="1212"/>
    </row>
    <row r="42" spans="1:9" x14ac:dyDescent="0.35">
      <c r="A42" s="1579">
        <v>2006</v>
      </c>
      <c r="B42" s="1801">
        <v>2.8929999999999997E-2</v>
      </c>
      <c r="C42" s="1802">
        <v>2.1100000000000001E-2</v>
      </c>
      <c r="D42" s="1802">
        <v>2.7710000000000002E-2</v>
      </c>
      <c r="E42" s="1802">
        <v>3.5889999999999991E-2</v>
      </c>
      <c r="F42" s="1572">
        <v>2.7821224442074206E-2</v>
      </c>
      <c r="G42" s="1580">
        <f t="shared" si="0"/>
        <v>3.2730852284793187E-2</v>
      </c>
      <c r="H42" s="1212"/>
      <c r="I42" s="1212"/>
    </row>
    <row r="43" spans="1:9" x14ac:dyDescent="0.35">
      <c r="A43" s="1579">
        <v>2007</v>
      </c>
      <c r="B43" s="1801">
        <v>2.8910000000000002E-2</v>
      </c>
      <c r="C43" s="1802">
        <v>2.1780000000000001E-2</v>
      </c>
      <c r="D43" s="1802">
        <v>3.1390000000000001E-2</v>
      </c>
      <c r="E43" s="1802">
        <v>3.1199999999999999E-2</v>
      </c>
      <c r="F43" s="1572">
        <v>2.75098709157338E-2</v>
      </c>
      <c r="G43" s="1580">
        <f t="shared" si="0"/>
        <v>3.2364554018510357E-2</v>
      </c>
      <c r="H43" s="1212"/>
      <c r="I43" s="1212"/>
    </row>
    <row r="44" spans="1:9" x14ac:dyDescent="0.35">
      <c r="A44" s="1579">
        <v>2008</v>
      </c>
      <c r="B44" s="1801">
        <v>2.8390000000000002E-2</v>
      </c>
      <c r="C44" s="1802">
        <v>1.8940000000000002E-2</v>
      </c>
      <c r="D44" s="1802">
        <v>2.9260000000000005E-2</v>
      </c>
      <c r="E44" s="1802">
        <v>3.2999999999999995E-2</v>
      </c>
      <c r="F44" s="1572">
        <v>2.6512912527066147E-2</v>
      </c>
      <c r="G44" s="1580">
        <f t="shared" si="0"/>
        <v>3.119166179654841E-2</v>
      </c>
      <c r="H44" s="1212"/>
      <c r="I44" s="1212"/>
    </row>
    <row r="45" spans="1:9" x14ac:dyDescent="0.35">
      <c r="A45" s="1579">
        <v>2009</v>
      </c>
      <c r="B45" s="1801">
        <v>1.43E-2</v>
      </c>
      <c r="C45" s="1802">
        <v>1.3220000000000001E-2</v>
      </c>
      <c r="D45" s="1802">
        <v>2.3809999999999998E-2</v>
      </c>
      <c r="E45" s="1802">
        <v>2.5499999999999998E-2</v>
      </c>
      <c r="F45" s="1572">
        <v>1.8163904560756026E-2</v>
      </c>
      <c r="G45" s="1580">
        <f t="shared" si="0"/>
        <v>2.1369299483242385E-2</v>
      </c>
      <c r="H45" s="1212"/>
      <c r="I45" s="1212"/>
    </row>
    <row r="46" spans="1:9" x14ac:dyDescent="0.35">
      <c r="A46" s="1579">
        <v>2010</v>
      </c>
      <c r="B46" s="1801">
        <v>2.3350000000000003E-2</v>
      </c>
      <c r="C46" s="1802">
        <v>1.49E-2</v>
      </c>
      <c r="D46" s="1802">
        <v>2.2899999999999997E-2</v>
      </c>
      <c r="E46" s="1802">
        <v>2.844E-2</v>
      </c>
      <c r="F46" s="1572">
        <v>2.1406379231113583E-2</v>
      </c>
      <c r="G46" s="1580">
        <f t="shared" si="0"/>
        <v>2.5183975566015981E-2</v>
      </c>
      <c r="H46" s="1212"/>
      <c r="I46" s="1212"/>
    </row>
    <row r="47" spans="1:9" x14ac:dyDescent="0.35">
      <c r="A47" s="1579">
        <v>2011</v>
      </c>
      <c r="B47" s="1801">
        <v>2.6259999999999999E-2</v>
      </c>
      <c r="C47" s="1802">
        <v>1.6789999999999999E-2</v>
      </c>
      <c r="D47" s="1802">
        <v>2.1860000000000001E-2</v>
      </c>
      <c r="E47" s="1802">
        <v>2.8660000000000001E-2</v>
      </c>
      <c r="F47" s="1572">
        <v>2.2476996285876905E-2</v>
      </c>
      <c r="G47" s="1580">
        <f t="shared" si="0"/>
        <v>2.6443525042208125E-2</v>
      </c>
      <c r="H47" s="1212"/>
      <c r="I47" s="1212"/>
    </row>
    <row r="48" spans="1:9" x14ac:dyDescent="0.35">
      <c r="A48" s="1579">
        <v>2012</v>
      </c>
      <c r="B48" s="1801">
        <v>2.5899999999999996E-2</v>
      </c>
      <c r="C48" s="1802">
        <v>1.7199999999999997E-2</v>
      </c>
      <c r="D48" s="1802">
        <v>2.393E-2</v>
      </c>
      <c r="E48" s="1802">
        <v>2.6609999999999998E-2</v>
      </c>
      <c r="F48" s="1572">
        <v>2.2643778077388634E-2</v>
      </c>
      <c r="G48" s="1580">
        <f t="shared" si="0"/>
        <v>2.6639738914574863E-2</v>
      </c>
      <c r="H48" s="1212"/>
      <c r="I48" s="1212"/>
    </row>
    <row r="49" spans="1:12" x14ac:dyDescent="0.35">
      <c r="A49" s="1579">
        <v>2013</v>
      </c>
      <c r="B49" s="1801">
        <v>2.6390000000000004E-2</v>
      </c>
      <c r="C49" s="1802">
        <v>1.7869999999999997E-2</v>
      </c>
      <c r="D49" s="1802">
        <v>2.5670000000000002E-2</v>
      </c>
      <c r="E49" s="1802">
        <v>2.5059999999999999E-2</v>
      </c>
      <c r="F49" s="1572">
        <v>2.2917418684582139E-2</v>
      </c>
      <c r="G49" s="1580">
        <f t="shared" si="0"/>
        <v>2.6961669040684869E-2</v>
      </c>
      <c r="H49" s="1212"/>
      <c r="I49" s="1212"/>
    </row>
    <row r="50" spans="1:12" x14ac:dyDescent="0.35">
      <c r="A50" s="1579">
        <v>2014</v>
      </c>
      <c r="B50" s="1801">
        <v>2.3210000000000001E-2</v>
      </c>
      <c r="C50" s="1802">
        <v>1.7430000000000001E-2</v>
      </c>
      <c r="D50" s="1802">
        <v>2.1870000000000001E-2</v>
      </c>
      <c r="E50" s="1802">
        <v>2.3989999999999997E-2</v>
      </c>
      <c r="F50" s="1572">
        <v>2.1143800869511526E-2</v>
      </c>
      <c r="G50" s="1580">
        <f t="shared" si="0"/>
        <v>2.4875059846484148E-2</v>
      </c>
      <c r="H50" s="1212"/>
      <c r="I50" s="1212"/>
    </row>
    <row r="51" spans="1:12" ht="16" thickBot="1" x14ac:dyDescent="0.4">
      <c r="A51" s="1581">
        <v>2015</v>
      </c>
      <c r="B51" s="1803">
        <v>2.112E-2</v>
      </c>
      <c r="C51" s="1804">
        <v>1.7440000000000001E-2</v>
      </c>
      <c r="D51" s="1804">
        <v>2.06E-2</v>
      </c>
      <c r="E51" s="1804">
        <v>2.4539999999999999E-2</v>
      </c>
      <c r="F51" s="1582">
        <v>2.0686571072367189E-2</v>
      </c>
      <c r="G51" s="1583">
        <f t="shared" si="0"/>
        <v>2.4337142438079048E-2</v>
      </c>
      <c r="H51" s="1212"/>
      <c r="I51" s="1212"/>
    </row>
    <row r="52" spans="1:12" ht="16.5" thickTop="1" thickBot="1" x14ac:dyDescent="0.4">
      <c r="A52" s="1215"/>
      <c r="B52" s="1214"/>
      <c r="C52" s="1215"/>
      <c r="D52" s="1215"/>
      <c r="E52" s="1215"/>
      <c r="F52" s="1215"/>
      <c r="G52" s="1215"/>
      <c r="H52" s="1212"/>
      <c r="I52" s="1212"/>
    </row>
    <row r="53" spans="1:12" x14ac:dyDescent="0.35">
      <c r="A53" s="2564" t="s">
        <v>706</v>
      </c>
      <c r="B53" s="2565"/>
      <c r="C53" s="2565"/>
      <c r="D53" s="2565"/>
      <c r="E53" s="2565"/>
      <c r="F53" s="2565"/>
      <c r="G53" s="2566"/>
      <c r="H53" s="1212"/>
      <c r="I53" s="1212"/>
    </row>
    <row r="54" spans="1:12" ht="16" thickBot="1" x14ac:dyDescent="0.4">
      <c r="A54" s="2567"/>
      <c r="B54" s="2568"/>
      <c r="C54" s="2568"/>
      <c r="D54" s="2568"/>
      <c r="E54" s="2568"/>
      <c r="F54" s="2568"/>
      <c r="G54" s="2569"/>
      <c r="H54" s="1212"/>
      <c r="I54" s="1212"/>
    </row>
    <row r="55" spans="1:12" x14ac:dyDescent="0.35">
      <c r="A55" s="1215"/>
      <c r="B55" s="1303"/>
      <c r="C55" s="376"/>
      <c r="D55" s="376"/>
      <c r="E55" s="376"/>
      <c r="F55" s="376"/>
      <c r="G55" s="376"/>
    </row>
    <row r="56" spans="1:12" x14ac:dyDescent="0.35">
      <c r="A56" s="376"/>
      <c r="B56" s="376"/>
      <c r="C56" s="376"/>
      <c r="D56" s="376"/>
      <c r="E56" s="376"/>
      <c r="F56" s="376"/>
      <c r="G56" s="376"/>
      <c r="L56" s="1145"/>
    </row>
    <row r="57" spans="1:12" x14ac:dyDescent="0.35">
      <c r="A57" s="1216"/>
      <c r="B57" s="1216"/>
      <c r="C57" s="376"/>
      <c r="D57" s="376"/>
      <c r="E57" s="376"/>
      <c r="F57" s="376"/>
      <c r="G57" s="376"/>
    </row>
    <row r="58" spans="1:12" x14ac:dyDescent="0.35">
      <c r="A58" s="1216"/>
      <c r="B58" s="1217"/>
      <c r="C58" s="376"/>
      <c r="D58" s="376"/>
      <c r="E58" s="376"/>
      <c r="F58" s="376"/>
      <c r="G58" s="376"/>
    </row>
    <row r="59" spans="1:12" x14ac:dyDescent="0.35">
      <c r="A59" s="1216"/>
      <c r="B59" s="1216"/>
      <c r="C59" s="376"/>
      <c r="D59" s="376"/>
      <c r="E59" s="376"/>
      <c r="F59" s="376"/>
      <c r="G59" s="376"/>
    </row>
    <row r="60" spans="1:12" x14ac:dyDescent="0.35">
      <c r="A60" s="376"/>
      <c r="B60" s="376"/>
      <c r="C60" s="376"/>
      <c r="D60" s="376"/>
      <c r="E60" s="376"/>
      <c r="F60" s="376"/>
      <c r="G60" s="376"/>
    </row>
    <row r="61" spans="1:12" x14ac:dyDescent="0.35">
      <c r="A61" s="376"/>
      <c r="B61" s="376"/>
      <c r="C61" s="376"/>
      <c r="D61" s="376"/>
      <c r="E61" s="376"/>
      <c r="F61" s="376"/>
      <c r="G61" s="376"/>
    </row>
    <row r="62" spans="1:12" x14ac:dyDescent="0.35">
      <c r="A62" s="376"/>
      <c r="B62" s="376"/>
      <c r="C62" s="376"/>
      <c r="D62" s="376"/>
      <c r="E62" s="376"/>
      <c r="F62" s="376"/>
      <c r="G62" s="376"/>
    </row>
  </sheetData>
  <mergeCells count="2">
    <mergeCell ref="A2:G2"/>
    <mergeCell ref="A53:G54"/>
  </mergeCells>
  <pageMargins left="0.7" right="0.7" top="0.75" bottom="0.75" header="0.3" footer="0.3"/>
  <pageSetup paperSize="9" scale="84" orientation="portrait"/>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A1:H16"/>
  <sheetViews>
    <sheetView workbookViewId="0">
      <selection activeCell="A2" sqref="A2:D14"/>
    </sheetView>
  </sheetViews>
  <sheetFormatPr baseColWidth="10" defaultColWidth="8.81640625" defaultRowHeight="15.5" x14ac:dyDescent="0.35"/>
  <cols>
    <col min="1" max="1" width="15.6328125" style="376" customWidth="1"/>
    <col min="2" max="3" width="23.1796875" style="376" customWidth="1"/>
    <col min="4" max="4" width="24.1796875" style="376" customWidth="1"/>
    <col min="5" max="16384" width="8.81640625" style="376"/>
  </cols>
  <sheetData>
    <row r="1" spans="1:8" ht="16" thickBot="1" x14ac:dyDescent="0.4"/>
    <row r="2" spans="1:8" ht="40" customHeight="1" thickTop="1" x14ac:dyDescent="0.35">
      <c r="A2" s="2570" t="s">
        <v>801</v>
      </c>
      <c r="B2" s="2571"/>
      <c r="C2" s="2571"/>
      <c r="D2" s="2572"/>
    </row>
    <row r="3" spans="1:8" x14ac:dyDescent="0.35">
      <c r="A3" s="1045"/>
      <c r="B3" s="1148"/>
      <c r="C3" s="1148"/>
      <c r="D3" s="1495"/>
    </row>
    <row r="4" spans="1:8" ht="16" thickBot="1" x14ac:dyDescent="0.4">
      <c r="A4" s="1584"/>
      <c r="B4" s="1149" t="s">
        <v>20</v>
      </c>
      <c r="C4" s="1149" t="s">
        <v>21</v>
      </c>
      <c r="D4" s="1540" t="s">
        <v>22</v>
      </c>
      <c r="H4" s="1149"/>
    </row>
    <row r="5" spans="1:8" ht="28.5" x14ac:dyDescent="0.35">
      <c r="A5" s="1585"/>
      <c r="B5" s="1246" t="s">
        <v>726</v>
      </c>
      <c r="C5" s="1247" t="s">
        <v>728</v>
      </c>
      <c r="D5" s="1586" t="s">
        <v>727</v>
      </c>
      <c r="H5" s="1245"/>
    </row>
    <row r="6" spans="1:8" x14ac:dyDescent="0.35">
      <c r="A6" s="1587" t="s">
        <v>717</v>
      </c>
      <c r="B6" s="1243"/>
      <c r="C6" s="1241">
        <v>3.3000000000000002E-2</v>
      </c>
      <c r="D6" s="1588">
        <f>D7*C6/C7</f>
        <v>1.0425330907353418E-2</v>
      </c>
    </row>
    <row r="7" spans="1:8" x14ac:dyDescent="0.35">
      <c r="A7" s="1587" t="s">
        <v>718</v>
      </c>
      <c r="B7" s="1243"/>
      <c r="C7" s="1241">
        <v>3.5000000000000003E-2</v>
      </c>
      <c r="D7" s="1589">
        <f>D8*C7/C8</f>
        <v>1.1057169144162717E-2</v>
      </c>
    </row>
    <row r="8" spans="1:8" x14ac:dyDescent="0.35">
      <c r="A8" s="1587" t="s">
        <v>719</v>
      </c>
      <c r="B8" s="1243"/>
      <c r="C8" s="1241">
        <v>5.8000000000000003E-2</v>
      </c>
      <c r="D8" s="1589">
        <f>D9*C8/C9</f>
        <v>1.8323308867469645E-2</v>
      </c>
    </row>
    <row r="9" spans="1:8" x14ac:dyDescent="0.35">
      <c r="A9" s="1587" t="s">
        <v>720</v>
      </c>
      <c r="B9" s="1243"/>
      <c r="C9" s="1241">
        <v>6.4000000000000001E-2</v>
      </c>
      <c r="D9" s="1589">
        <f>D10*C9/C10</f>
        <v>2.0218823577897539E-2</v>
      </c>
    </row>
    <row r="10" spans="1:8" x14ac:dyDescent="0.35">
      <c r="A10" s="1587" t="s">
        <v>721</v>
      </c>
      <c r="B10" s="1243"/>
      <c r="C10" s="1241">
        <v>0.111</v>
      </c>
      <c r="D10" s="1589">
        <f>B11*C10/C11</f>
        <v>3.5067022142916043E-2</v>
      </c>
    </row>
    <row r="11" spans="1:8" x14ac:dyDescent="0.35">
      <c r="A11" s="1579" t="s">
        <v>722</v>
      </c>
      <c r="B11" s="1244">
        <f>AVERAGE(TableC6!M13:M22)</f>
        <v>4.2017242747818324E-2</v>
      </c>
      <c r="C11" s="1242">
        <v>0.13300000000000001</v>
      </c>
      <c r="D11" s="1590">
        <f>+B11</f>
        <v>4.2017242747818324E-2</v>
      </c>
    </row>
    <row r="12" spans="1:8" x14ac:dyDescent="0.35">
      <c r="A12" s="1579" t="s">
        <v>723</v>
      </c>
      <c r="B12" s="1244">
        <f>AVERAGE(TableC6!M23:M32)</f>
        <v>5.4207827423913016E-2</v>
      </c>
      <c r="C12" s="1242">
        <v>0.13100000000000001</v>
      </c>
      <c r="D12" s="1590">
        <f>+B12</f>
        <v>5.4207827423913016E-2</v>
      </c>
    </row>
    <row r="13" spans="1:8" x14ac:dyDescent="0.35">
      <c r="A13" s="1579" t="s">
        <v>724</v>
      </c>
      <c r="B13" s="1244">
        <f>AVERAGE(TableC6!M33:M42)</f>
        <v>0.13052595912927956</v>
      </c>
      <c r="C13" s="1242">
        <v>0.20399999999999999</v>
      </c>
      <c r="D13" s="1590">
        <f>+B13</f>
        <v>0.13052595912927956</v>
      </c>
    </row>
    <row r="14" spans="1:8" ht="16" thickBot="1" x14ac:dyDescent="0.4">
      <c r="A14" s="1581" t="s">
        <v>725</v>
      </c>
      <c r="B14" s="1591">
        <f>AVERAGE(TableC6!M43:M48)</f>
        <v>0.16181784544476441</v>
      </c>
      <c r="C14" s="1592">
        <v>0.223</v>
      </c>
      <c r="D14" s="1593">
        <f>+B14</f>
        <v>0.16181784544476441</v>
      </c>
    </row>
    <row r="15" spans="1:8" ht="16" thickTop="1" x14ac:dyDescent="0.35">
      <c r="A15" s="1148"/>
      <c r="B15" s="1148"/>
      <c r="D15" s="1148"/>
      <c r="H15" s="1148"/>
    </row>
    <row r="16" spans="1:8" x14ac:dyDescent="0.35">
      <c r="A16" s="1148"/>
      <c r="B16" s="1148"/>
      <c r="C16" s="1148"/>
      <c r="D16" s="1148"/>
    </row>
  </sheetData>
  <mergeCells count="1">
    <mergeCell ref="A2:D2"/>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pageSetUpPr fitToPage="1"/>
  </sheetPr>
  <dimension ref="A1:AU189"/>
  <sheetViews>
    <sheetView zoomScale="70" zoomScaleNormal="70" zoomScalePageLayoutView="70" workbookViewId="0">
      <pane xSplit="2" ySplit="5" topLeftCell="K6" activePane="bottomRight" state="frozen"/>
      <selection activeCell="D8" sqref="D8"/>
      <selection pane="topRight" activeCell="D8" sqref="D8"/>
      <selection pane="bottomLeft" activeCell="D8" sqref="D8"/>
      <selection pane="bottomRight" activeCell="B2" sqref="B2:AE104"/>
    </sheetView>
  </sheetViews>
  <sheetFormatPr baseColWidth="10" defaultColWidth="10.6328125" defaultRowHeight="14" x14ac:dyDescent="0.3"/>
  <cols>
    <col min="1" max="1" width="10.6328125" style="1248"/>
    <col min="2" max="2" width="28.6328125" style="1248" customWidth="1"/>
    <col min="3" max="31" width="13.6328125" style="1248" customWidth="1"/>
    <col min="32" max="42" width="10.6328125" style="1248"/>
    <col min="43" max="43" width="26.6328125" style="1248" bestFit="1" customWidth="1"/>
    <col min="44" max="16384" width="10.6328125" style="1248"/>
  </cols>
  <sheetData>
    <row r="1" spans="1:35" ht="14.5" thickBot="1" x14ac:dyDescent="0.35"/>
    <row r="2" spans="1:35" ht="20" x14ac:dyDescent="0.4">
      <c r="B2" s="2573" t="s">
        <v>735</v>
      </c>
      <c r="C2" s="2574"/>
      <c r="D2" s="2574"/>
      <c r="E2" s="2574"/>
      <c r="F2" s="2574"/>
      <c r="G2" s="2574"/>
      <c r="H2" s="2574"/>
      <c r="I2" s="2574"/>
      <c r="J2" s="2574"/>
      <c r="K2" s="2574"/>
      <c r="L2" s="2574"/>
      <c r="M2" s="2574"/>
      <c r="N2" s="2574"/>
      <c r="O2" s="2574"/>
      <c r="P2" s="2574"/>
      <c r="Q2" s="2574"/>
      <c r="R2" s="2574"/>
      <c r="S2" s="2574"/>
      <c r="T2" s="2574"/>
      <c r="U2" s="2574"/>
      <c r="V2" s="2574"/>
      <c r="W2" s="2574"/>
      <c r="X2" s="2574"/>
      <c r="Y2" s="2574"/>
      <c r="Z2" s="2574"/>
      <c r="AA2" s="2574"/>
      <c r="AB2" s="2574"/>
      <c r="AC2" s="2574"/>
      <c r="AD2" s="2574"/>
      <c r="AE2" s="2575"/>
    </row>
    <row r="3" spans="1:35" ht="20.5" thickBot="1" x14ac:dyDescent="0.45">
      <c r="B3" s="1261"/>
      <c r="C3" s="409" t="s">
        <v>20</v>
      </c>
      <c r="D3" s="409" t="s">
        <v>21</v>
      </c>
      <c r="E3" s="409" t="s">
        <v>22</v>
      </c>
      <c r="F3" s="409" t="s">
        <v>23</v>
      </c>
      <c r="G3" s="409" t="s">
        <v>24</v>
      </c>
      <c r="H3" s="409" t="s">
        <v>25</v>
      </c>
      <c r="I3" s="409" t="s">
        <v>26</v>
      </c>
      <c r="J3" s="409" t="s">
        <v>33</v>
      </c>
      <c r="K3" s="409" t="s">
        <v>34</v>
      </c>
      <c r="L3" s="409" t="s">
        <v>37</v>
      </c>
      <c r="M3" s="409" t="s">
        <v>105</v>
      </c>
      <c r="N3" s="409" t="s">
        <v>138</v>
      </c>
      <c r="O3" s="409" t="s">
        <v>139</v>
      </c>
      <c r="P3" s="409" t="s">
        <v>140</v>
      </c>
      <c r="Q3" s="409" t="s">
        <v>141</v>
      </c>
      <c r="R3" s="409" t="s">
        <v>255</v>
      </c>
      <c r="S3" s="409" t="s">
        <v>655</v>
      </c>
      <c r="T3" s="409" t="s">
        <v>656</v>
      </c>
      <c r="U3" s="409" t="s">
        <v>657</v>
      </c>
      <c r="V3" s="409" t="s">
        <v>658</v>
      </c>
      <c r="W3" s="409" t="s">
        <v>659</v>
      </c>
      <c r="X3" s="409" t="s">
        <v>660</v>
      </c>
      <c r="Y3" s="409" t="s">
        <v>683</v>
      </c>
      <c r="Z3" s="409" t="s">
        <v>684</v>
      </c>
      <c r="AA3" s="409" t="s">
        <v>685</v>
      </c>
      <c r="AB3" s="409" t="s">
        <v>686</v>
      </c>
      <c r="AC3" s="409" t="s">
        <v>687</v>
      </c>
      <c r="AD3" s="409" t="s">
        <v>688</v>
      </c>
      <c r="AE3" s="1208" t="s">
        <v>689</v>
      </c>
      <c r="AF3" s="409"/>
      <c r="AG3" s="409"/>
      <c r="AH3" s="409"/>
      <c r="AI3" s="409"/>
    </row>
    <row r="4" spans="1:35" ht="15.5" x14ac:dyDescent="0.3">
      <c r="B4" s="1262"/>
      <c r="C4" s="2576" t="s">
        <v>777</v>
      </c>
      <c r="D4" s="2577"/>
      <c r="E4" s="2577"/>
      <c r="F4" s="2577"/>
      <c r="G4" s="2577"/>
      <c r="H4" s="2577"/>
      <c r="I4" s="2577"/>
      <c r="J4" s="2577"/>
      <c r="K4" s="2577"/>
      <c r="L4" s="2577"/>
      <c r="M4" s="2577"/>
      <c r="N4" s="2577"/>
      <c r="O4" s="2577"/>
      <c r="P4" s="2577"/>
      <c r="Q4" s="2577"/>
      <c r="R4" s="2577"/>
      <c r="S4" s="2577"/>
      <c r="T4" s="2577"/>
      <c r="U4" s="2577"/>
      <c r="V4" s="2577"/>
      <c r="W4" s="2577"/>
      <c r="X4" s="2577"/>
      <c r="Y4" s="2577"/>
      <c r="Z4" s="2577"/>
      <c r="AA4" s="2577"/>
      <c r="AB4" s="2577"/>
      <c r="AC4" s="2577"/>
      <c r="AD4" s="2577"/>
      <c r="AE4" s="2578"/>
    </row>
    <row r="5" spans="1:35" ht="39.75" customHeight="1" x14ac:dyDescent="0.3">
      <c r="B5" s="1266" t="s">
        <v>776</v>
      </c>
      <c r="C5" s="1266" t="s">
        <v>55</v>
      </c>
      <c r="D5" s="1267" t="s">
        <v>2</v>
      </c>
      <c r="E5" s="1267" t="s">
        <v>450</v>
      </c>
      <c r="F5" s="1267" t="s">
        <v>429</v>
      </c>
      <c r="G5" s="1267" t="s">
        <v>116</v>
      </c>
      <c r="H5" s="1267" t="s">
        <v>58</v>
      </c>
      <c r="I5" s="1267" t="s">
        <v>59</v>
      </c>
      <c r="J5" s="1267" t="s">
        <v>60</v>
      </c>
      <c r="K5" s="1267" t="s">
        <v>61</v>
      </c>
      <c r="L5" s="1267" t="s">
        <v>48</v>
      </c>
      <c r="M5" s="1267" t="s">
        <v>62</v>
      </c>
      <c r="N5" s="1267" t="s">
        <v>63</v>
      </c>
      <c r="O5" s="1267" t="s">
        <v>64</v>
      </c>
      <c r="P5" s="1267" t="s">
        <v>19</v>
      </c>
      <c r="Q5" s="1267" t="s">
        <v>66</v>
      </c>
      <c r="R5" s="1267" t="s">
        <v>69</v>
      </c>
      <c r="S5" s="1267" t="s">
        <v>489</v>
      </c>
      <c r="T5" s="1267" t="s">
        <v>70</v>
      </c>
      <c r="U5" s="1267" t="s">
        <v>301</v>
      </c>
      <c r="V5" s="1267" t="s">
        <v>72</v>
      </c>
      <c r="W5" s="1267" t="s">
        <v>75</v>
      </c>
      <c r="X5" s="1267" t="s">
        <v>76</v>
      </c>
      <c r="Y5" s="1267" t="s">
        <v>359</v>
      </c>
      <c r="Z5" s="1267" t="s">
        <v>96</v>
      </c>
      <c r="AA5" s="1267" t="s">
        <v>78</v>
      </c>
      <c r="AB5" s="1267" t="s">
        <v>79</v>
      </c>
      <c r="AC5" s="1267" t="s">
        <v>80</v>
      </c>
      <c r="AD5" s="1267" t="s">
        <v>82</v>
      </c>
      <c r="AE5" s="1271" t="s">
        <v>738</v>
      </c>
    </row>
    <row r="6" spans="1:35" ht="56" x14ac:dyDescent="0.3">
      <c r="B6" s="1268" t="s">
        <v>739</v>
      </c>
      <c r="C6" s="1264"/>
      <c r="D6" s="1257"/>
      <c r="E6" s="1257"/>
      <c r="F6" s="1257"/>
      <c r="G6" s="1257"/>
      <c r="H6" s="1257"/>
      <c r="I6" s="1257"/>
      <c r="J6" s="1257"/>
      <c r="K6" s="1257"/>
      <c r="L6" s="1257"/>
      <c r="M6" s="1257"/>
      <c r="N6" s="1257"/>
      <c r="O6" s="1257"/>
      <c r="P6" s="1257"/>
      <c r="Q6" s="1257"/>
      <c r="R6" s="1257"/>
      <c r="S6" s="1257"/>
      <c r="T6" s="1257"/>
      <c r="U6" s="1257"/>
      <c r="V6" s="1257"/>
      <c r="W6" s="1257"/>
      <c r="X6" s="1257"/>
      <c r="Y6" s="1257"/>
      <c r="Z6" s="1257"/>
      <c r="AA6" s="1257"/>
      <c r="AB6" s="1257"/>
      <c r="AC6" s="1257"/>
      <c r="AD6" s="1257"/>
      <c r="AE6" s="1265"/>
    </row>
    <row r="7" spans="1:35" x14ac:dyDescent="0.3">
      <c r="A7" s="1249"/>
      <c r="B7" s="1258" t="s">
        <v>55</v>
      </c>
      <c r="C7" s="1280">
        <v>0</v>
      </c>
      <c r="D7" s="1272">
        <v>-80</v>
      </c>
      <c r="E7" s="1272">
        <v>295.10000000000002</v>
      </c>
      <c r="F7" s="1272">
        <v>-10.7</v>
      </c>
      <c r="G7" s="1272">
        <v>149</v>
      </c>
      <c r="H7" s="1272">
        <v>490.1</v>
      </c>
      <c r="I7" s="1272">
        <v>-14.8</v>
      </c>
      <c r="J7" s="1272">
        <v>34.700000000000003</v>
      </c>
      <c r="K7" s="1272">
        <v>-3.4</v>
      </c>
      <c r="L7" s="1272">
        <v>153</v>
      </c>
      <c r="M7" s="1272">
        <v>5202</v>
      </c>
      <c r="N7" s="1272">
        <v>29.5</v>
      </c>
      <c r="O7" s="1272">
        <v>-377.6</v>
      </c>
      <c r="P7" s="1272">
        <v>-168</v>
      </c>
      <c r="Q7" s="1272">
        <v>6.3</v>
      </c>
      <c r="R7" s="1272">
        <v>17</v>
      </c>
      <c r="S7" s="1272">
        <v>54.5</v>
      </c>
      <c r="T7" s="1272">
        <v>-276</v>
      </c>
      <c r="U7" s="1272">
        <v>10</v>
      </c>
      <c r="V7" s="1272">
        <v>415.1</v>
      </c>
      <c r="W7" s="1272">
        <v>280</v>
      </c>
      <c r="X7" s="1272">
        <v>-62</v>
      </c>
      <c r="Y7" s="1272">
        <v>116.7</v>
      </c>
      <c r="Z7" s="1272">
        <v>808.5</v>
      </c>
      <c r="AA7" s="1272">
        <v>-138.4</v>
      </c>
      <c r="AB7" s="1272">
        <v>51.1</v>
      </c>
      <c r="AC7" s="1272">
        <v>-179.2</v>
      </c>
      <c r="AD7" s="1272">
        <v>423</v>
      </c>
      <c r="AE7" s="1281">
        <v>7273.5</v>
      </c>
      <c r="AG7" s="1249"/>
      <c r="AH7" s="1249"/>
    </row>
    <row r="8" spans="1:35" x14ac:dyDescent="0.3">
      <c r="A8" s="1251"/>
      <c r="B8" s="1258" t="s">
        <v>2</v>
      </c>
      <c r="C8" s="1280">
        <v>149</v>
      </c>
      <c r="D8" s="1272">
        <v>0</v>
      </c>
      <c r="E8" s="1272">
        <v>122.9</v>
      </c>
      <c r="F8" s="1272">
        <v>-106.9</v>
      </c>
      <c r="G8" s="1272">
        <v>279</v>
      </c>
      <c r="H8" s="1272">
        <v>14.1</v>
      </c>
      <c r="I8" s="1272">
        <v>-270.10000000000002</v>
      </c>
      <c r="J8" s="1272">
        <v>7.8</v>
      </c>
      <c r="K8" s="1272">
        <v>82.2</v>
      </c>
      <c r="L8" s="1272">
        <v>1869</v>
      </c>
      <c r="M8" s="1272">
        <v>2939</v>
      </c>
      <c r="N8" s="1272">
        <v>-72.8</v>
      </c>
      <c r="O8" s="1272">
        <v>15.7</v>
      </c>
      <c r="P8" s="1272">
        <v>330</v>
      </c>
      <c r="Q8" s="1272">
        <v>702.5</v>
      </c>
      <c r="R8" s="1272">
        <v>5</v>
      </c>
      <c r="S8" s="1272">
        <v>21</v>
      </c>
      <c r="T8" s="1272">
        <v>199</v>
      </c>
      <c r="U8" s="1272">
        <v>56</v>
      </c>
      <c r="V8" s="1272">
        <v>7663.4</v>
      </c>
      <c r="W8" s="1272">
        <v>177.9</v>
      </c>
      <c r="X8" s="1272">
        <v>119</v>
      </c>
      <c r="Y8" s="1272">
        <v>-125.2</v>
      </c>
      <c r="Z8" s="1272">
        <v>281.7</v>
      </c>
      <c r="AA8" s="1272">
        <v>-85.8</v>
      </c>
      <c r="AB8" s="1272">
        <v>-69</v>
      </c>
      <c r="AC8" s="1272">
        <v>205</v>
      </c>
      <c r="AD8" s="1272">
        <v>4076.4</v>
      </c>
      <c r="AE8" s="1281">
        <v>18801.900000000001</v>
      </c>
      <c r="AG8" s="1249"/>
      <c r="AH8" s="1249"/>
    </row>
    <row r="9" spans="1:35" x14ac:dyDescent="0.3">
      <c r="A9" s="1249"/>
      <c r="B9" s="1258" t="s">
        <v>450</v>
      </c>
      <c r="C9" s="1280">
        <v>10.5</v>
      </c>
      <c r="D9" s="1272">
        <v>-47.7</v>
      </c>
      <c r="E9" s="1272">
        <v>0</v>
      </c>
      <c r="F9" s="1272">
        <v>-9.9</v>
      </c>
      <c r="G9" s="1272">
        <v>56.2</v>
      </c>
      <c r="H9" s="1272">
        <v>1.5</v>
      </c>
      <c r="I9" s="1272">
        <v>-40.6</v>
      </c>
      <c r="J9" s="1272">
        <v>-9.5</v>
      </c>
      <c r="K9" s="1272">
        <v>0</v>
      </c>
      <c r="L9" s="1272">
        <v>-101.7</v>
      </c>
      <c r="M9" s="1272">
        <v>-208.9</v>
      </c>
      <c r="N9" s="1272">
        <v>-160.1</v>
      </c>
      <c r="O9" s="1272">
        <v>-74.7</v>
      </c>
      <c r="P9" s="1272">
        <v>14.6</v>
      </c>
      <c r="Q9" s="1272">
        <v>-30.3</v>
      </c>
      <c r="R9" s="1272">
        <v>0.3</v>
      </c>
      <c r="S9" s="1272">
        <v>0.9</v>
      </c>
      <c r="T9" s="1272">
        <v>-47.5</v>
      </c>
      <c r="U9" s="1272">
        <v>63.1</v>
      </c>
      <c r="V9" s="1272">
        <v>-18.399999999999999</v>
      </c>
      <c r="W9" s="1272">
        <v>-35.6</v>
      </c>
      <c r="X9" s="1272">
        <v>3.6</v>
      </c>
      <c r="Y9" s="1272">
        <v>-141</v>
      </c>
      <c r="Z9" s="1272">
        <v>14.5</v>
      </c>
      <c r="AA9" s="1272">
        <v>-4</v>
      </c>
      <c r="AB9" s="1272">
        <v>0</v>
      </c>
      <c r="AC9" s="1272">
        <v>-25.9</v>
      </c>
      <c r="AD9" s="1272">
        <v>-304</v>
      </c>
      <c r="AE9" s="1281">
        <v>-1447.8</v>
      </c>
      <c r="AG9" s="1249"/>
      <c r="AH9" s="1259"/>
    </row>
    <row r="10" spans="1:35" x14ac:dyDescent="0.3">
      <c r="A10" s="1249"/>
      <c r="B10" s="1258" t="s">
        <v>429</v>
      </c>
      <c r="C10" s="1280">
        <v>-154.19999999999999</v>
      </c>
      <c r="D10" s="1272">
        <v>-15.9</v>
      </c>
      <c r="E10" s="1272">
        <v>-2.2000000000000002</v>
      </c>
      <c r="F10" s="1272">
        <v>0</v>
      </c>
      <c r="G10" s="1272">
        <v>8.3000000000000007</v>
      </c>
      <c r="H10" s="1272">
        <v>-35.9</v>
      </c>
      <c r="I10" s="1272">
        <v>-40.200000000000003</v>
      </c>
      <c r="J10" s="1272">
        <v>-3.7</v>
      </c>
      <c r="K10" s="1272">
        <v>0</v>
      </c>
      <c r="L10" s="1272">
        <v>-77.8</v>
      </c>
      <c r="M10" s="1272">
        <v>-3.7</v>
      </c>
      <c r="N10" s="1272">
        <v>-23.4</v>
      </c>
      <c r="O10" s="1272">
        <v>-58</v>
      </c>
      <c r="P10" s="1272">
        <v>7.3</v>
      </c>
      <c r="Q10" s="1272">
        <v>-208.9</v>
      </c>
      <c r="R10" s="1272">
        <v>-0.3</v>
      </c>
      <c r="S10" s="1272">
        <v>-0.6</v>
      </c>
      <c r="T10" s="1272">
        <v>-43.1</v>
      </c>
      <c r="U10" s="1272">
        <v>18.3</v>
      </c>
      <c r="V10" s="1272">
        <v>3.7</v>
      </c>
      <c r="W10" s="1272">
        <v>-37.700000000000003</v>
      </c>
      <c r="X10" s="1272">
        <v>-0.8</v>
      </c>
      <c r="Y10" s="1272">
        <v>-10.5</v>
      </c>
      <c r="Z10" s="1272">
        <v>-1</v>
      </c>
      <c r="AA10" s="1272">
        <v>-300.7</v>
      </c>
      <c r="AB10" s="1272">
        <v>0</v>
      </c>
      <c r="AC10" s="1272">
        <v>6.6</v>
      </c>
      <c r="AD10" s="1272">
        <v>-88.3</v>
      </c>
      <c r="AE10" s="1281">
        <v>-1137.5</v>
      </c>
      <c r="AG10" s="1249"/>
      <c r="AH10" s="1249"/>
    </row>
    <row r="11" spans="1:35" x14ac:dyDescent="0.3">
      <c r="A11" s="1249"/>
      <c r="B11" s="1258" t="s">
        <v>116</v>
      </c>
      <c r="C11" s="1280">
        <v>-93</v>
      </c>
      <c r="D11" s="1272">
        <v>-305</v>
      </c>
      <c r="E11" s="1272">
        <v>-52.9</v>
      </c>
      <c r="F11" s="1272">
        <v>-6.2</v>
      </c>
      <c r="G11" s="1272">
        <v>0</v>
      </c>
      <c r="H11" s="1272">
        <v>-105.8</v>
      </c>
      <c r="I11" s="1272">
        <v>-32.5</v>
      </c>
      <c r="J11" s="1272">
        <v>-42</v>
      </c>
      <c r="K11" s="1272">
        <v>-32.200000000000003</v>
      </c>
      <c r="L11" s="1272">
        <v>26</v>
      </c>
      <c r="M11" s="1272">
        <v>-141</v>
      </c>
      <c r="N11" s="1272">
        <v>79.400000000000006</v>
      </c>
      <c r="O11" s="1272">
        <v>-26.8</v>
      </c>
      <c r="P11" s="1272">
        <v>0</v>
      </c>
      <c r="Q11" s="1272">
        <v>97.7</v>
      </c>
      <c r="R11" s="1272">
        <v>-107</v>
      </c>
      <c r="S11" s="1272">
        <v>-25</v>
      </c>
      <c r="T11" s="1272">
        <v>-152</v>
      </c>
      <c r="U11" s="1272">
        <v>-24</v>
      </c>
      <c r="V11" s="1272">
        <v>-273.89999999999998</v>
      </c>
      <c r="W11" s="1272">
        <v>-61.8</v>
      </c>
      <c r="X11" s="1272">
        <v>-31</v>
      </c>
      <c r="Y11" s="1272">
        <v>-72.2</v>
      </c>
      <c r="Z11" s="1272">
        <v>-84.6</v>
      </c>
      <c r="AA11" s="1272">
        <v>-28.9</v>
      </c>
      <c r="AB11" s="1272">
        <v>0</v>
      </c>
      <c r="AC11" s="1272">
        <v>-123.1</v>
      </c>
      <c r="AD11" s="1272">
        <v>29.7</v>
      </c>
      <c r="AE11" s="1281">
        <v>-1151.3</v>
      </c>
      <c r="AG11" s="1249"/>
      <c r="AH11" s="1249"/>
    </row>
    <row r="12" spans="1:35" x14ac:dyDescent="0.3">
      <c r="A12" s="1249"/>
      <c r="B12" s="1258" t="s">
        <v>58</v>
      </c>
      <c r="C12" s="1280">
        <v>-220.1</v>
      </c>
      <c r="D12" s="1272">
        <v>-301.60000000000002</v>
      </c>
      <c r="E12" s="1272">
        <v>222.5</v>
      </c>
      <c r="F12" s="1272">
        <v>51.1</v>
      </c>
      <c r="G12" s="1272">
        <v>27.8</v>
      </c>
      <c r="H12" s="1272">
        <v>0</v>
      </c>
      <c r="I12" s="1272">
        <v>-54.9</v>
      </c>
      <c r="J12" s="1272">
        <v>-9.4</v>
      </c>
      <c r="K12" s="1272">
        <v>0</v>
      </c>
      <c r="L12" s="1272">
        <v>-99.7</v>
      </c>
      <c r="M12" s="1272">
        <v>602.6</v>
      </c>
      <c r="N12" s="1272">
        <v>-62.9</v>
      </c>
      <c r="O12" s="1272">
        <v>-317.60000000000002</v>
      </c>
      <c r="P12" s="1272">
        <v>62.9</v>
      </c>
      <c r="Q12" s="1272">
        <v>-268.7</v>
      </c>
      <c r="R12" s="1272">
        <v>4.2</v>
      </c>
      <c r="S12" s="1272">
        <v>-8.3000000000000007</v>
      </c>
      <c r="T12" s="1272">
        <v>-237.7</v>
      </c>
      <c r="U12" s="1272">
        <v>-15</v>
      </c>
      <c r="V12" s="1272">
        <v>-301.7</v>
      </c>
      <c r="W12" s="1272">
        <v>-584.5</v>
      </c>
      <c r="X12" s="1272">
        <v>-6.9</v>
      </c>
      <c r="Y12" s="1272">
        <v>-32.4</v>
      </c>
      <c r="Z12" s="1272">
        <v>46.3</v>
      </c>
      <c r="AA12" s="1272">
        <v>-27.3</v>
      </c>
      <c r="AB12" s="1272">
        <v>0</v>
      </c>
      <c r="AC12" s="1272">
        <v>-2.2999999999999998</v>
      </c>
      <c r="AD12" s="1272">
        <v>-348.7</v>
      </c>
      <c r="AE12" s="1281">
        <v>-2141.6999999999998</v>
      </c>
      <c r="AG12" s="1249"/>
      <c r="AH12" s="1249"/>
    </row>
    <row r="13" spans="1:35" x14ac:dyDescent="0.3">
      <c r="B13" s="1258" t="s">
        <v>59</v>
      </c>
      <c r="C13" s="1280">
        <v>7.3</v>
      </c>
      <c r="D13" s="1272">
        <v>-219</v>
      </c>
      <c r="E13" s="1272">
        <v>67.2</v>
      </c>
      <c r="F13" s="1272">
        <v>3.4</v>
      </c>
      <c r="G13" s="1272">
        <v>-470.1</v>
      </c>
      <c r="H13" s="1272">
        <v>18.399999999999999</v>
      </c>
      <c r="I13" s="1272">
        <v>0</v>
      </c>
      <c r="J13" s="1272">
        <v>5.7</v>
      </c>
      <c r="K13" s="1272">
        <v>49.3</v>
      </c>
      <c r="L13" s="1272">
        <v>-464.5</v>
      </c>
      <c r="M13" s="1272">
        <v>1493.9</v>
      </c>
      <c r="N13" s="1272">
        <v>275.10000000000002</v>
      </c>
      <c r="O13" s="1272">
        <v>-121.3</v>
      </c>
      <c r="P13" s="1272">
        <v>-140.69999999999999</v>
      </c>
      <c r="Q13" s="1272">
        <v>383</v>
      </c>
      <c r="R13" s="1272">
        <v>141.69999999999999</v>
      </c>
      <c r="S13" s="1272">
        <v>-7.2</v>
      </c>
      <c r="T13" s="1272">
        <v>-26</v>
      </c>
      <c r="U13" s="1272">
        <v>29.4</v>
      </c>
      <c r="V13" s="1272">
        <v>91.7</v>
      </c>
      <c r="W13" s="1272">
        <v>-228.9</v>
      </c>
      <c r="X13" s="1272">
        <v>-9.5</v>
      </c>
      <c r="Y13" s="1272">
        <v>-40.299999999999997</v>
      </c>
      <c r="Z13" s="1272">
        <v>47</v>
      </c>
      <c r="AA13" s="1272">
        <v>-11.4</v>
      </c>
      <c r="AB13" s="1272">
        <v>240.1</v>
      </c>
      <c r="AC13" s="1272">
        <v>98</v>
      </c>
      <c r="AD13" s="1272">
        <v>837.2</v>
      </c>
      <c r="AE13" s="1281">
        <v>2078.5</v>
      </c>
      <c r="AG13" s="1249"/>
      <c r="AH13" s="1249"/>
    </row>
    <row r="14" spans="1:35" x14ac:dyDescent="0.3">
      <c r="B14" s="1258" t="s">
        <v>60</v>
      </c>
      <c r="C14" s="1280">
        <v>-0.7</v>
      </c>
      <c r="D14" s="1272">
        <v>-8.1999999999999993</v>
      </c>
      <c r="E14" s="1272">
        <v>14</v>
      </c>
      <c r="F14" s="1272">
        <v>2.2999999999999998</v>
      </c>
      <c r="G14" s="1272">
        <v>119.4</v>
      </c>
      <c r="H14" s="1272">
        <v>8.4</v>
      </c>
      <c r="I14" s="1272">
        <v>-45.7</v>
      </c>
      <c r="J14" s="1272">
        <v>0</v>
      </c>
      <c r="K14" s="1272">
        <v>58.7</v>
      </c>
      <c r="L14" s="1272">
        <v>24.4</v>
      </c>
      <c r="M14" s="1272">
        <v>0</v>
      </c>
      <c r="N14" s="1272">
        <v>-20.8</v>
      </c>
      <c r="O14" s="1272">
        <v>19.2</v>
      </c>
      <c r="P14" s="1272">
        <v>19</v>
      </c>
      <c r="Q14" s="1272">
        <v>9.4</v>
      </c>
      <c r="R14" s="1272">
        <v>57.6</v>
      </c>
      <c r="S14" s="1272">
        <v>-1.1000000000000001</v>
      </c>
      <c r="T14" s="1272">
        <v>-77.8</v>
      </c>
      <c r="U14" s="1272">
        <v>1.3</v>
      </c>
      <c r="V14" s="1272">
        <v>78</v>
      </c>
      <c r="W14" s="1272">
        <v>40.4</v>
      </c>
      <c r="X14" s="1272">
        <v>2.2000000000000002</v>
      </c>
      <c r="Y14" s="1272">
        <v>3.4</v>
      </c>
      <c r="Z14" s="1272">
        <v>4.8</v>
      </c>
      <c r="AA14" s="1272">
        <v>-0.6</v>
      </c>
      <c r="AB14" s="1272">
        <v>0</v>
      </c>
      <c r="AC14" s="1272">
        <v>17.3</v>
      </c>
      <c r="AD14" s="1272">
        <v>97.1</v>
      </c>
      <c r="AE14" s="1281">
        <v>539.6</v>
      </c>
      <c r="AG14" s="1249"/>
      <c r="AH14" s="1249"/>
    </row>
    <row r="15" spans="1:35" x14ac:dyDescent="0.3">
      <c r="B15" s="1258" t="s">
        <v>61</v>
      </c>
      <c r="C15" s="1280">
        <v>-74.2</v>
      </c>
      <c r="D15" s="1272">
        <v>-58.5</v>
      </c>
      <c r="E15" s="1296">
        <v>0</v>
      </c>
      <c r="F15" s="1272">
        <v>0</v>
      </c>
      <c r="G15" s="1272">
        <v>68.7</v>
      </c>
      <c r="H15" s="1272">
        <v>0</v>
      </c>
      <c r="I15" s="1272">
        <v>74</v>
      </c>
      <c r="J15" s="1272">
        <v>-468.8</v>
      </c>
      <c r="K15" s="1272">
        <v>0</v>
      </c>
      <c r="L15" s="1272">
        <v>142.69999999999999</v>
      </c>
      <c r="M15" s="1272">
        <v>0</v>
      </c>
      <c r="N15" s="1272">
        <v>134.30000000000001</v>
      </c>
      <c r="O15" s="1272">
        <v>0</v>
      </c>
      <c r="P15" s="1272">
        <v>-339.5</v>
      </c>
      <c r="Q15" s="1272">
        <v>170.9</v>
      </c>
      <c r="R15" s="1272">
        <v>-1.7</v>
      </c>
      <c r="S15" s="1272">
        <v>-29.9</v>
      </c>
      <c r="T15" s="1272">
        <v>0</v>
      </c>
      <c r="U15" s="1272">
        <v>0</v>
      </c>
      <c r="V15" s="1272">
        <v>-109.3</v>
      </c>
      <c r="W15" s="1272">
        <v>-108.8</v>
      </c>
      <c r="X15" s="1272">
        <v>-56.1</v>
      </c>
      <c r="Y15" s="1272">
        <v>0</v>
      </c>
      <c r="Z15" s="1272">
        <v>15</v>
      </c>
      <c r="AA15" s="1272">
        <v>0</v>
      </c>
      <c r="AB15" s="1272">
        <v>0</v>
      </c>
      <c r="AC15" s="1272">
        <v>-1049.0999999999999</v>
      </c>
      <c r="AD15" s="1272">
        <v>-252.4</v>
      </c>
      <c r="AE15" s="1281">
        <v>-898.3</v>
      </c>
    </row>
    <row r="16" spans="1:35" x14ac:dyDescent="0.3">
      <c r="B16" s="1258" t="s">
        <v>48</v>
      </c>
      <c r="C16" s="1280">
        <v>360</v>
      </c>
      <c r="D16" s="1272">
        <v>-1312</v>
      </c>
      <c r="E16" s="1272">
        <v>355.8</v>
      </c>
      <c r="F16" s="1272">
        <v>62.2</v>
      </c>
      <c r="G16" s="1272">
        <v>100</v>
      </c>
      <c r="H16" s="1272">
        <v>343.3</v>
      </c>
      <c r="I16" s="1272">
        <v>417.5</v>
      </c>
      <c r="J16" s="1272">
        <v>47.4</v>
      </c>
      <c r="K16" s="1272">
        <v>62</v>
      </c>
      <c r="L16" s="1272">
        <v>0</v>
      </c>
      <c r="M16" s="1272">
        <v>14082</v>
      </c>
      <c r="N16" s="1272">
        <v>-46.6</v>
      </c>
      <c r="O16" s="1272">
        <v>162.69999999999999</v>
      </c>
      <c r="P16" s="1272">
        <v>1096</v>
      </c>
      <c r="Q16" s="1272">
        <v>3683</v>
      </c>
      <c r="R16" s="1272">
        <v>-6</v>
      </c>
      <c r="S16" s="1272">
        <v>-18.399999999999999</v>
      </c>
      <c r="T16" s="1272">
        <v>-2986</v>
      </c>
      <c r="U16" s="1272">
        <v>101</v>
      </c>
      <c r="V16" s="1272">
        <v>3621.5</v>
      </c>
      <c r="W16" s="1272">
        <v>1290.3</v>
      </c>
      <c r="X16" s="1272">
        <v>-1043</v>
      </c>
      <c r="Y16" s="1272">
        <v>207.4</v>
      </c>
      <c r="Z16" s="1272">
        <v>90.2</v>
      </c>
      <c r="AA16" s="1272">
        <v>-50.1</v>
      </c>
      <c r="AB16" s="1272">
        <v>1226</v>
      </c>
      <c r="AC16" s="1272">
        <v>-595.9</v>
      </c>
      <c r="AD16" s="1272">
        <v>3657.2</v>
      </c>
      <c r="AE16" s="1281">
        <v>24857.599999999999</v>
      </c>
    </row>
    <row r="17" spans="2:47" x14ac:dyDescent="0.3">
      <c r="B17" s="1258" t="s">
        <v>62</v>
      </c>
      <c r="C17" s="1280">
        <v>-5088</v>
      </c>
      <c r="D17" s="1272">
        <v>-4340</v>
      </c>
      <c r="E17" s="1272">
        <v>-75</v>
      </c>
      <c r="F17" s="1272">
        <v>-591.5</v>
      </c>
      <c r="G17" s="1272">
        <v>0</v>
      </c>
      <c r="H17" s="1272">
        <v>190.1</v>
      </c>
      <c r="I17" s="1272">
        <v>-2841.8</v>
      </c>
      <c r="J17" s="1272">
        <v>0</v>
      </c>
      <c r="K17" s="1272">
        <v>0</v>
      </c>
      <c r="L17" s="1272">
        <v>-6638</v>
      </c>
      <c r="M17" s="1272">
        <v>0</v>
      </c>
      <c r="N17" s="1272">
        <v>-1056.8</v>
      </c>
      <c r="O17" s="1272">
        <v>-1195.5</v>
      </c>
      <c r="P17" s="1272">
        <v>0</v>
      </c>
      <c r="Q17" s="1272">
        <v>1039.7</v>
      </c>
      <c r="R17" s="1272">
        <v>0</v>
      </c>
      <c r="S17" s="1272">
        <v>0</v>
      </c>
      <c r="T17" s="1272">
        <v>-7675</v>
      </c>
      <c r="U17" s="1272">
        <v>0</v>
      </c>
      <c r="V17" s="1272">
        <v>-2087.3000000000002</v>
      </c>
      <c r="W17" s="1272">
        <v>-2388.8000000000002</v>
      </c>
      <c r="X17" s="1272">
        <v>-627</v>
      </c>
      <c r="Y17" s="1272">
        <v>0</v>
      </c>
      <c r="Z17" s="1272">
        <v>0</v>
      </c>
      <c r="AA17" s="1272">
        <v>0</v>
      </c>
      <c r="AB17" s="1272">
        <v>119</v>
      </c>
      <c r="AC17" s="1272">
        <v>0</v>
      </c>
      <c r="AD17" s="1272">
        <v>3100.1</v>
      </c>
      <c r="AE17" s="1281">
        <v>-33784.400000000001</v>
      </c>
    </row>
    <row r="18" spans="2:47" x14ac:dyDescent="0.3">
      <c r="B18" s="1258" t="s">
        <v>63</v>
      </c>
      <c r="C18" s="1280">
        <v>70.8</v>
      </c>
      <c r="D18" s="1272">
        <v>-126.6</v>
      </c>
      <c r="E18" s="1272">
        <v>-29.7</v>
      </c>
      <c r="F18" s="1272">
        <v>20.3</v>
      </c>
      <c r="G18" s="1272">
        <v>108.9</v>
      </c>
      <c r="H18" s="1272">
        <v>-18.2</v>
      </c>
      <c r="I18" s="1272">
        <v>-94</v>
      </c>
      <c r="J18" s="1272">
        <v>-1.5</v>
      </c>
      <c r="K18" s="1272">
        <v>-36.299999999999997</v>
      </c>
      <c r="L18" s="1272">
        <v>-68.099999999999994</v>
      </c>
      <c r="M18" s="1272">
        <v>254.2</v>
      </c>
      <c r="N18" s="1272">
        <v>0</v>
      </c>
      <c r="O18" s="1272">
        <v>0.5</v>
      </c>
      <c r="P18" s="1272">
        <v>-266.5</v>
      </c>
      <c r="Q18" s="1272">
        <v>50.4</v>
      </c>
      <c r="R18" s="1272">
        <v>6.6</v>
      </c>
      <c r="S18" s="1272">
        <v>-1.1000000000000001</v>
      </c>
      <c r="T18" s="1272">
        <v>-92</v>
      </c>
      <c r="U18" s="1272">
        <v>-3.8</v>
      </c>
      <c r="V18" s="1272">
        <v>-105.4</v>
      </c>
      <c r="W18" s="1272">
        <v>8.6</v>
      </c>
      <c r="X18" s="1272">
        <v>-24.1</v>
      </c>
      <c r="Y18" s="1272">
        <v>-0.5</v>
      </c>
      <c r="Z18" s="1272">
        <v>0.5</v>
      </c>
      <c r="AA18" s="1272">
        <v>6</v>
      </c>
      <c r="AB18" s="1272">
        <v>-239.3</v>
      </c>
      <c r="AC18" s="1272">
        <v>-22.1</v>
      </c>
      <c r="AD18" s="1272">
        <v>206.4</v>
      </c>
      <c r="AE18" s="1281">
        <v>-269</v>
      </c>
    </row>
    <row r="19" spans="2:47" x14ac:dyDescent="0.3">
      <c r="B19" s="1258" t="s">
        <v>64</v>
      </c>
      <c r="C19" s="1280">
        <v>-206.3</v>
      </c>
      <c r="D19" s="1272">
        <v>-2.4</v>
      </c>
      <c r="E19" s="1272">
        <v>1.4</v>
      </c>
      <c r="F19" s="1272">
        <v>2.9</v>
      </c>
      <c r="G19" s="1272">
        <v>112.4</v>
      </c>
      <c r="H19" s="1272">
        <v>85.8</v>
      </c>
      <c r="I19" s="1272">
        <v>-63.1</v>
      </c>
      <c r="J19" s="1272">
        <v>-3.5</v>
      </c>
      <c r="K19" s="1272">
        <v>0</v>
      </c>
      <c r="L19" s="1272">
        <v>204.4</v>
      </c>
      <c r="M19" s="1272">
        <v>1015.2</v>
      </c>
      <c r="N19" s="1272">
        <v>-2.6</v>
      </c>
      <c r="O19" s="1272">
        <v>0</v>
      </c>
      <c r="P19" s="1272">
        <v>0</v>
      </c>
      <c r="Q19" s="1272">
        <v>-62.9</v>
      </c>
      <c r="R19" s="1272">
        <v>5.2</v>
      </c>
      <c r="S19" s="1272">
        <v>5.9</v>
      </c>
      <c r="T19" s="1272">
        <v>-138.1</v>
      </c>
      <c r="U19" s="1272">
        <v>10.4</v>
      </c>
      <c r="V19" s="1272">
        <v>117.8</v>
      </c>
      <c r="W19" s="1272">
        <v>-88.4</v>
      </c>
      <c r="X19" s="1272">
        <v>11.7</v>
      </c>
      <c r="Y19" s="1272">
        <v>-104</v>
      </c>
      <c r="Z19" s="1272">
        <v>146.69999999999999</v>
      </c>
      <c r="AA19" s="1272">
        <v>-101.2</v>
      </c>
      <c r="AB19" s="1272">
        <v>0</v>
      </c>
      <c r="AC19" s="1272">
        <v>26.2</v>
      </c>
      <c r="AD19" s="1272">
        <v>746.9</v>
      </c>
      <c r="AE19" s="1281">
        <v>457.1</v>
      </c>
    </row>
    <row r="20" spans="2:47" x14ac:dyDescent="0.3">
      <c r="B20" s="1258" t="s">
        <v>19</v>
      </c>
      <c r="C20" s="1280">
        <v>-120</v>
      </c>
      <c r="D20" s="1272">
        <v>-608</v>
      </c>
      <c r="E20" s="1272">
        <v>-57.5</v>
      </c>
      <c r="F20" s="1272">
        <v>-19.2</v>
      </c>
      <c r="G20" s="1272">
        <v>22</v>
      </c>
      <c r="H20" s="1272">
        <v>-391.7</v>
      </c>
      <c r="I20" s="1272">
        <v>-101.3</v>
      </c>
      <c r="J20" s="1272">
        <v>-17.7</v>
      </c>
      <c r="K20" s="1272">
        <v>6.9</v>
      </c>
      <c r="L20" s="1272">
        <v>-1465</v>
      </c>
      <c r="M20" s="1272">
        <v>-1217</v>
      </c>
      <c r="N20" s="1272">
        <v>-24.4</v>
      </c>
      <c r="O20" s="1272">
        <v>-266.7</v>
      </c>
      <c r="P20" s="1272">
        <v>0</v>
      </c>
      <c r="Q20" s="1272">
        <v>892.9</v>
      </c>
      <c r="R20" s="1272">
        <v>-35</v>
      </c>
      <c r="S20" s="1272">
        <v>-12.6</v>
      </c>
      <c r="T20" s="1272">
        <v>5308</v>
      </c>
      <c r="U20" s="1272">
        <v>269</v>
      </c>
      <c r="V20" s="1272">
        <v>1405.9</v>
      </c>
      <c r="W20" s="1272">
        <v>-497.4</v>
      </c>
      <c r="X20" s="1272">
        <v>-180</v>
      </c>
      <c r="Y20" s="1272">
        <v>-118</v>
      </c>
      <c r="Z20" s="1272">
        <v>-80</v>
      </c>
      <c r="AA20" s="1272">
        <v>-29.4</v>
      </c>
      <c r="AB20" s="1272">
        <v>-573.9</v>
      </c>
      <c r="AC20" s="1272">
        <v>-1203.4000000000001</v>
      </c>
      <c r="AD20" s="1272">
        <v>-787.7</v>
      </c>
      <c r="AE20" s="1281">
        <v>98.8</v>
      </c>
    </row>
    <row r="21" spans="2:47" x14ac:dyDescent="0.3">
      <c r="B21" s="1258" t="s">
        <v>66</v>
      </c>
      <c r="C21" s="1280">
        <v>-168.5</v>
      </c>
      <c r="D21" s="1272">
        <v>-796.4</v>
      </c>
      <c r="E21" s="1272">
        <v>79.7</v>
      </c>
      <c r="F21" s="1272">
        <v>-615</v>
      </c>
      <c r="G21" s="1272">
        <v>104.1</v>
      </c>
      <c r="H21" s="1272">
        <v>94.8</v>
      </c>
      <c r="I21" s="1272">
        <v>-392.4</v>
      </c>
      <c r="J21" s="1272">
        <v>2.9</v>
      </c>
      <c r="K21" s="1272">
        <v>13.4</v>
      </c>
      <c r="L21" s="1272">
        <v>-1884.9</v>
      </c>
      <c r="M21" s="1272">
        <v>2482.3000000000002</v>
      </c>
      <c r="N21" s="1272">
        <v>631.20000000000005</v>
      </c>
      <c r="O21" s="1272">
        <v>139</v>
      </c>
      <c r="P21" s="1272">
        <v>-941.1</v>
      </c>
      <c r="Q21" s="1272">
        <v>0</v>
      </c>
      <c r="R21" s="1272">
        <v>41</v>
      </c>
      <c r="S21" s="1272">
        <v>132.1</v>
      </c>
      <c r="T21" s="1272">
        <v>-2116.4</v>
      </c>
      <c r="U21" s="1272">
        <v>-151.30000000000001</v>
      </c>
      <c r="V21" s="1272">
        <v>325.89999999999998</v>
      </c>
      <c r="W21" s="1272">
        <v>338.6</v>
      </c>
      <c r="X21" s="1272">
        <v>-85</v>
      </c>
      <c r="Y21" s="1272">
        <v>-663</v>
      </c>
      <c r="Z21" s="1272">
        <v>196.8</v>
      </c>
      <c r="AA21" s="1272">
        <v>-13.9</v>
      </c>
      <c r="AB21" s="1272">
        <v>-576.9</v>
      </c>
      <c r="AC21" s="1272">
        <v>37.299999999999997</v>
      </c>
      <c r="AD21" s="1272">
        <v>-3774.8</v>
      </c>
      <c r="AE21" s="1281">
        <v>-7592.2</v>
      </c>
    </row>
    <row r="22" spans="2:47" x14ac:dyDescent="0.3">
      <c r="B22" s="1258" t="s">
        <v>69</v>
      </c>
      <c r="C22" s="1280">
        <v>-11</v>
      </c>
      <c r="D22" s="1272">
        <v>-15</v>
      </c>
      <c r="E22" s="1272">
        <v>-2.2000000000000002</v>
      </c>
      <c r="F22" s="1272">
        <v>-3.6</v>
      </c>
      <c r="G22" s="1272">
        <v>25</v>
      </c>
      <c r="H22" s="1272">
        <v>1.1000000000000001</v>
      </c>
      <c r="I22" s="1272">
        <v>-247.8</v>
      </c>
      <c r="J22" s="1272">
        <v>-113.3</v>
      </c>
      <c r="K22" s="1272">
        <v>-48.3</v>
      </c>
      <c r="L22" s="1272">
        <v>-15</v>
      </c>
      <c r="M22" s="1272">
        <v>0</v>
      </c>
      <c r="N22" s="1272">
        <v>-65.599999999999994</v>
      </c>
      <c r="O22" s="1272">
        <v>-2.1</v>
      </c>
      <c r="P22" s="1272">
        <v>45</v>
      </c>
      <c r="Q22" s="1272">
        <v>-30.9</v>
      </c>
      <c r="R22" s="1272">
        <v>0</v>
      </c>
      <c r="S22" s="1272">
        <v>-78.8</v>
      </c>
      <c r="T22" s="1272">
        <v>-59</v>
      </c>
      <c r="U22" s="1272">
        <v>3</v>
      </c>
      <c r="V22" s="1272">
        <v>-7.2</v>
      </c>
      <c r="W22" s="1272">
        <v>-90.4</v>
      </c>
      <c r="X22" s="1272">
        <v>-9</v>
      </c>
      <c r="Y22" s="1272">
        <v>0.9</v>
      </c>
      <c r="Z22" s="1272">
        <v>3</v>
      </c>
      <c r="AA22" s="1272">
        <v>-3.8</v>
      </c>
      <c r="AB22" s="1272">
        <v>0</v>
      </c>
      <c r="AC22" s="1272">
        <v>-86.3</v>
      </c>
      <c r="AD22" s="1272">
        <v>76.8</v>
      </c>
      <c r="AE22" s="1281">
        <v>-824.4</v>
      </c>
    </row>
    <row r="23" spans="2:47" x14ac:dyDescent="0.3">
      <c r="B23" s="1258" t="s">
        <v>489</v>
      </c>
      <c r="C23" s="1280">
        <v>-10.199999999999999</v>
      </c>
      <c r="D23" s="1272">
        <v>-12.1</v>
      </c>
      <c r="E23" s="1272">
        <v>22.5</v>
      </c>
      <c r="F23" s="1272">
        <v>13</v>
      </c>
      <c r="G23" s="1272">
        <v>50.2</v>
      </c>
      <c r="H23" s="1272">
        <v>-14.4</v>
      </c>
      <c r="I23" s="1272">
        <v>-44.6</v>
      </c>
      <c r="J23" s="1272">
        <v>-25.6</v>
      </c>
      <c r="K23" s="1272">
        <v>-6.1</v>
      </c>
      <c r="L23" s="1272">
        <v>4.7</v>
      </c>
      <c r="M23" s="1272">
        <v>0</v>
      </c>
      <c r="N23" s="1272">
        <v>56.2</v>
      </c>
      <c r="O23" s="1272">
        <v>-11.8</v>
      </c>
      <c r="P23" s="1272">
        <v>66.8</v>
      </c>
      <c r="Q23" s="1272">
        <v>-67.400000000000006</v>
      </c>
      <c r="R23" s="1272">
        <v>21.2</v>
      </c>
      <c r="S23" s="1272">
        <v>0</v>
      </c>
      <c r="T23" s="1272">
        <v>-24.2</v>
      </c>
      <c r="U23" s="1272">
        <v>51.4</v>
      </c>
      <c r="V23" s="1272">
        <v>-0.5</v>
      </c>
      <c r="W23" s="1272">
        <v>-122.1</v>
      </c>
      <c r="X23" s="1272">
        <v>-5.5</v>
      </c>
      <c r="Y23" s="1272">
        <v>-0.2</v>
      </c>
      <c r="Z23" s="1272">
        <v>-4.2</v>
      </c>
      <c r="AA23" s="1272">
        <v>-1.5</v>
      </c>
      <c r="AB23" s="1272">
        <v>0</v>
      </c>
      <c r="AC23" s="1272">
        <v>-20.3</v>
      </c>
      <c r="AD23" s="1272">
        <v>-89.5</v>
      </c>
      <c r="AE23" s="1281">
        <v>-133.5</v>
      </c>
    </row>
    <row r="24" spans="2:47" x14ac:dyDescent="0.3">
      <c r="B24" s="1258" t="s">
        <v>70</v>
      </c>
      <c r="C24" s="1280">
        <v>83</v>
      </c>
      <c r="D24" s="1272">
        <v>-2053</v>
      </c>
      <c r="E24" s="1272">
        <v>-4.4000000000000004</v>
      </c>
      <c r="F24" s="1272">
        <v>-6.4</v>
      </c>
      <c r="G24" s="1272">
        <v>-12</v>
      </c>
      <c r="H24" s="1272">
        <v>-15.4</v>
      </c>
      <c r="I24" s="1272">
        <v>320.39999999999998</v>
      </c>
      <c r="J24" s="1272">
        <v>10.6</v>
      </c>
      <c r="K24" s="1272">
        <v>0</v>
      </c>
      <c r="L24" s="1272">
        <v>-1906</v>
      </c>
      <c r="M24" s="1272">
        <v>958</v>
      </c>
      <c r="N24" s="1272">
        <v>-70.599999999999994</v>
      </c>
      <c r="O24" s="1272">
        <v>73.8</v>
      </c>
      <c r="P24" s="1272">
        <v>1794</v>
      </c>
      <c r="Q24" s="1272">
        <v>772.5</v>
      </c>
      <c r="R24" s="1272">
        <v>0</v>
      </c>
      <c r="S24" s="1272">
        <v>-7.1</v>
      </c>
      <c r="T24" s="1272">
        <v>0</v>
      </c>
      <c r="U24" s="1272">
        <v>30</v>
      </c>
      <c r="V24" s="1272">
        <v>781.5</v>
      </c>
      <c r="W24" s="1272">
        <v>-459.4</v>
      </c>
      <c r="X24" s="1272">
        <v>-18</v>
      </c>
      <c r="Y24" s="1272">
        <v>-30.9</v>
      </c>
      <c r="Z24" s="1272">
        <v>24.1</v>
      </c>
      <c r="AA24" s="1272">
        <v>-78.3</v>
      </c>
      <c r="AB24" s="1272">
        <v>0</v>
      </c>
      <c r="AC24" s="1272">
        <v>355.1</v>
      </c>
      <c r="AD24" s="1272">
        <v>8721.2999999999993</v>
      </c>
      <c r="AE24" s="1281">
        <v>8109.3</v>
      </c>
      <c r="AU24" s="1256"/>
    </row>
    <row r="25" spans="2:47" x14ac:dyDescent="0.3">
      <c r="B25" s="1258" t="s">
        <v>301</v>
      </c>
      <c r="C25" s="1280">
        <v>-66</v>
      </c>
      <c r="D25" s="1272">
        <v>-89</v>
      </c>
      <c r="E25" s="1272">
        <v>-2.5</v>
      </c>
      <c r="F25" s="1272">
        <v>1.4</v>
      </c>
      <c r="G25" s="1272">
        <v>272</v>
      </c>
      <c r="H25" s="1272">
        <v>-7.2</v>
      </c>
      <c r="I25" s="1272">
        <v>-68.7</v>
      </c>
      <c r="J25" s="1272">
        <v>-22.4</v>
      </c>
      <c r="K25" s="1272">
        <v>0</v>
      </c>
      <c r="L25" s="1272">
        <v>-313</v>
      </c>
      <c r="M25" s="1272">
        <v>-116</v>
      </c>
      <c r="N25" s="1272">
        <v>-120.6</v>
      </c>
      <c r="O25" s="1272">
        <v>-39</v>
      </c>
      <c r="P25" s="1272">
        <v>-89</v>
      </c>
      <c r="Q25" s="1272">
        <v>109.7</v>
      </c>
      <c r="R25" s="1272">
        <v>-32</v>
      </c>
      <c r="S25" s="1272">
        <v>-1.1000000000000001</v>
      </c>
      <c r="T25" s="1272">
        <v>-167</v>
      </c>
      <c r="U25" s="1272">
        <v>0</v>
      </c>
      <c r="V25" s="1272">
        <v>-19</v>
      </c>
      <c r="W25" s="1272">
        <v>-71.400000000000006</v>
      </c>
      <c r="X25" s="1272">
        <v>-22</v>
      </c>
      <c r="Y25" s="1272">
        <v>-21.6</v>
      </c>
      <c r="Z25" s="1272">
        <v>-9.6999999999999993</v>
      </c>
      <c r="AA25" s="1272">
        <v>-3.2</v>
      </c>
      <c r="AB25" s="1272">
        <v>0</v>
      </c>
      <c r="AC25" s="1272">
        <v>-190</v>
      </c>
      <c r="AD25" s="1272">
        <v>-299.2</v>
      </c>
      <c r="AE25" s="1281">
        <v>-1363.5</v>
      </c>
      <c r="AU25" s="1256"/>
    </row>
    <row r="26" spans="2:47" x14ac:dyDescent="0.3">
      <c r="B26" s="1258" t="s">
        <v>72</v>
      </c>
      <c r="C26" s="1280">
        <v>-1000.6</v>
      </c>
      <c r="D26" s="1272">
        <v>-8480.7999999999993</v>
      </c>
      <c r="E26" s="1272">
        <v>-9.4</v>
      </c>
      <c r="F26" s="1272">
        <v>-192.2</v>
      </c>
      <c r="G26" s="1272">
        <v>-50.6</v>
      </c>
      <c r="H26" s="1272">
        <v>-275</v>
      </c>
      <c r="I26" s="1272">
        <v>-749.7</v>
      </c>
      <c r="J26" s="1272">
        <v>-91.8</v>
      </c>
      <c r="K26" s="1272">
        <v>367.4</v>
      </c>
      <c r="L26" s="1272">
        <v>-6616.6</v>
      </c>
      <c r="M26" s="1272">
        <v>-656</v>
      </c>
      <c r="N26" s="1272">
        <v>-335.8</v>
      </c>
      <c r="O26" s="1272">
        <v>-354.3</v>
      </c>
      <c r="P26" s="1272">
        <v>2046.7</v>
      </c>
      <c r="Q26" s="1272">
        <v>-248</v>
      </c>
      <c r="R26" s="1272">
        <v>-58.2</v>
      </c>
      <c r="S26" s="1272">
        <v>-122.9</v>
      </c>
      <c r="T26" s="1272">
        <v>-1269.4000000000001</v>
      </c>
      <c r="U26" s="1272">
        <v>-0.3</v>
      </c>
      <c r="V26" s="1272">
        <v>0</v>
      </c>
      <c r="W26" s="1272">
        <v>-1123.5</v>
      </c>
      <c r="X26" s="1272">
        <v>-574.5</v>
      </c>
      <c r="Y26" s="1272">
        <v>-538.5</v>
      </c>
      <c r="Z26" s="1272">
        <v>-114.9</v>
      </c>
      <c r="AA26" s="1272">
        <v>-65.599999999999994</v>
      </c>
      <c r="AB26" s="1272">
        <v>-2036.4</v>
      </c>
      <c r="AC26" s="1272">
        <v>-999.9</v>
      </c>
      <c r="AD26" s="1272">
        <v>-880.2</v>
      </c>
      <c r="AE26" s="1281">
        <v>-24472.1</v>
      </c>
      <c r="AU26" s="1256"/>
    </row>
    <row r="27" spans="2:47" x14ac:dyDescent="0.3">
      <c r="B27" s="1258" t="s">
        <v>75</v>
      </c>
      <c r="C27" s="1280">
        <v>33.4</v>
      </c>
      <c r="D27" s="1272">
        <v>-145.30000000000001</v>
      </c>
      <c r="E27" s="1272">
        <v>5.7</v>
      </c>
      <c r="F27" s="1272">
        <v>104.5</v>
      </c>
      <c r="G27" s="1272">
        <v>301.10000000000002</v>
      </c>
      <c r="H27" s="1272">
        <v>816</v>
      </c>
      <c r="I27" s="1272">
        <v>-103.9</v>
      </c>
      <c r="J27" s="1272">
        <v>-34.200000000000003</v>
      </c>
      <c r="K27" s="1272">
        <v>-30.5</v>
      </c>
      <c r="L27" s="1272">
        <v>290</v>
      </c>
      <c r="M27" s="1272">
        <v>1516.8</v>
      </c>
      <c r="N27" s="1272">
        <v>-112</v>
      </c>
      <c r="O27" s="1272">
        <v>-213.8</v>
      </c>
      <c r="P27" s="1272">
        <v>-15.5</v>
      </c>
      <c r="Q27" s="1272">
        <v>-232.4</v>
      </c>
      <c r="R27" s="1272">
        <v>32.700000000000003</v>
      </c>
      <c r="S27" s="1272">
        <v>17.899999999999999</v>
      </c>
      <c r="T27" s="1272">
        <v>-51.9</v>
      </c>
      <c r="U27" s="1272">
        <v>-60.6</v>
      </c>
      <c r="V27" s="1272">
        <v>-28.5</v>
      </c>
      <c r="W27" s="1272">
        <v>0</v>
      </c>
      <c r="X27" s="1272">
        <v>-12.8</v>
      </c>
      <c r="Y27" s="1272">
        <v>-28.7</v>
      </c>
      <c r="Z27" s="1272">
        <v>66.400000000000006</v>
      </c>
      <c r="AA27" s="1272">
        <v>-20.2</v>
      </c>
      <c r="AB27" s="1272">
        <v>-441.2</v>
      </c>
      <c r="AC27" s="1272">
        <v>69.2</v>
      </c>
      <c r="AD27" s="1272">
        <v>-124.1</v>
      </c>
      <c r="AE27" s="1281">
        <v>1734.3</v>
      </c>
      <c r="AU27" s="1256"/>
    </row>
    <row r="28" spans="2:47" x14ac:dyDescent="0.3">
      <c r="B28" s="1258" t="s">
        <v>76</v>
      </c>
      <c r="C28" s="1280">
        <v>-32</v>
      </c>
      <c r="D28" s="1272">
        <v>-264</v>
      </c>
      <c r="E28" s="1272">
        <v>-10.6</v>
      </c>
      <c r="F28" s="1272">
        <v>-11.9</v>
      </c>
      <c r="G28" s="1272">
        <v>14</v>
      </c>
      <c r="H28" s="1272">
        <v>-28.5</v>
      </c>
      <c r="I28" s="1272">
        <v>-131.30000000000001</v>
      </c>
      <c r="J28" s="1272">
        <v>-8.1999999999999993</v>
      </c>
      <c r="K28" s="1272">
        <v>-3.3</v>
      </c>
      <c r="L28" s="1272">
        <v>-696</v>
      </c>
      <c r="M28" s="1272">
        <v>-67</v>
      </c>
      <c r="N28" s="1272">
        <v>-37.4</v>
      </c>
      <c r="O28" s="1272">
        <v>36.9</v>
      </c>
      <c r="P28" s="1272">
        <v>-460</v>
      </c>
      <c r="Q28" s="1272">
        <v>-128.5</v>
      </c>
      <c r="R28" s="1272">
        <v>-1</v>
      </c>
      <c r="S28" s="1272">
        <v>-10.7</v>
      </c>
      <c r="T28" s="1272">
        <v>-345</v>
      </c>
      <c r="U28" s="1272">
        <v>30</v>
      </c>
      <c r="V28" s="1272">
        <v>102.2</v>
      </c>
      <c r="W28" s="1272">
        <v>-44.3</v>
      </c>
      <c r="X28" s="1272">
        <v>0</v>
      </c>
      <c r="Y28" s="1272">
        <v>-13</v>
      </c>
      <c r="Z28" s="1272">
        <v>-0.9</v>
      </c>
      <c r="AA28" s="1272">
        <v>-1.9</v>
      </c>
      <c r="AB28" s="1272">
        <v>-734</v>
      </c>
      <c r="AC28" s="1272">
        <v>-66.400000000000006</v>
      </c>
      <c r="AD28" s="1272">
        <v>-135.1</v>
      </c>
      <c r="AE28" s="1281">
        <v>12808.1</v>
      </c>
    </row>
    <row r="29" spans="2:47" x14ac:dyDescent="0.3">
      <c r="B29" s="1258" t="s">
        <v>359</v>
      </c>
      <c r="C29" s="1280">
        <v>-118.9</v>
      </c>
      <c r="D29" s="1272">
        <v>-151.5</v>
      </c>
      <c r="E29" s="1272">
        <v>-58.7</v>
      </c>
      <c r="F29" s="1272">
        <v>6.9</v>
      </c>
      <c r="G29" s="1272">
        <v>85.9</v>
      </c>
      <c r="H29" s="1272">
        <v>-56.8</v>
      </c>
      <c r="I29" s="1272">
        <v>-76.3</v>
      </c>
      <c r="J29" s="1272">
        <v>-5</v>
      </c>
      <c r="K29" s="1272">
        <v>0</v>
      </c>
      <c r="L29" s="1272">
        <v>42.2</v>
      </c>
      <c r="M29" s="1272">
        <v>0</v>
      </c>
      <c r="N29" s="1272">
        <v>-52.1</v>
      </c>
      <c r="O29" s="1272">
        <v>-581.4</v>
      </c>
      <c r="P29" s="1272">
        <v>116.5</v>
      </c>
      <c r="Q29" s="1272">
        <v>-74.599999999999994</v>
      </c>
      <c r="R29" s="1272">
        <v>-0.1</v>
      </c>
      <c r="S29" s="1272">
        <v>7.8</v>
      </c>
      <c r="T29" s="1272">
        <v>-98.9</v>
      </c>
      <c r="U29" s="1272">
        <v>84.1</v>
      </c>
      <c r="V29" s="1272">
        <v>-5</v>
      </c>
      <c r="W29" s="1272">
        <v>-33.1</v>
      </c>
      <c r="X29" s="1272">
        <v>-3.6</v>
      </c>
      <c r="Y29" s="1272">
        <v>0</v>
      </c>
      <c r="Z29" s="1272">
        <v>70.8</v>
      </c>
      <c r="AA29" s="1272">
        <v>-21.1</v>
      </c>
      <c r="AB29" s="1272">
        <v>0</v>
      </c>
      <c r="AC29" s="1272">
        <v>-2.4</v>
      </c>
      <c r="AD29" s="1272">
        <v>59.2</v>
      </c>
      <c r="AE29" s="1281">
        <v>-521.5</v>
      </c>
    </row>
    <row r="30" spans="2:47" x14ac:dyDescent="0.3">
      <c r="B30" s="1258" t="s">
        <v>96</v>
      </c>
      <c r="C30" s="1280">
        <v>-228.5</v>
      </c>
      <c r="D30" s="1272">
        <v>-126.4</v>
      </c>
      <c r="E30" s="1272">
        <v>17.100000000000001</v>
      </c>
      <c r="F30" s="1272">
        <v>-27.9</v>
      </c>
      <c r="G30" s="1272">
        <v>58.5</v>
      </c>
      <c r="H30" s="1272">
        <v>-125.8</v>
      </c>
      <c r="I30" s="1272">
        <v>-91.5</v>
      </c>
      <c r="J30" s="1272">
        <v>-4.3</v>
      </c>
      <c r="K30" s="1272">
        <v>-2.2000000000000002</v>
      </c>
      <c r="L30" s="1272">
        <v>-142.4</v>
      </c>
      <c r="M30" s="1272">
        <v>192.9</v>
      </c>
      <c r="N30" s="1272">
        <v>-8.1999999999999993</v>
      </c>
      <c r="O30" s="1272">
        <v>-367.7</v>
      </c>
      <c r="P30" s="1272">
        <v>-41.1</v>
      </c>
      <c r="Q30" s="1272">
        <v>21.9</v>
      </c>
      <c r="R30" s="1272">
        <v>0.4</v>
      </c>
      <c r="S30" s="1272">
        <v>-7.3</v>
      </c>
      <c r="T30" s="1272">
        <v>-101.1</v>
      </c>
      <c r="U30" s="1272">
        <v>6.4</v>
      </c>
      <c r="V30" s="1272">
        <v>-32.9</v>
      </c>
      <c r="W30" s="1272">
        <v>-139.5</v>
      </c>
      <c r="X30" s="1272">
        <v>5.0999999999999996</v>
      </c>
      <c r="Y30" s="1272">
        <v>-25.3</v>
      </c>
      <c r="Z30" s="1272">
        <v>0</v>
      </c>
      <c r="AA30" s="1272">
        <v>-41</v>
      </c>
      <c r="AB30" s="1272">
        <v>-55.9</v>
      </c>
      <c r="AC30" s="1272">
        <v>-10.8</v>
      </c>
      <c r="AD30" s="1272">
        <v>-379.6</v>
      </c>
      <c r="AE30" s="1281">
        <v>-1624.2</v>
      </c>
    </row>
    <row r="31" spans="2:47" x14ac:dyDescent="0.3">
      <c r="B31" s="1258" t="s">
        <v>78</v>
      </c>
      <c r="C31" s="1280">
        <v>-22.6</v>
      </c>
      <c r="D31" s="1272">
        <v>3.1</v>
      </c>
      <c r="E31" s="1272">
        <v>2.8</v>
      </c>
      <c r="F31" s="1272">
        <v>-223.7</v>
      </c>
      <c r="G31" s="1272">
        <v>9.6999999999999993</v>
      </c>
      <c r="H31" s="1272">
        <v>-37</v>
      </c>
      <c r="I31" s="1272">
        <v>-10.3</v>
      </c>
      <c r="J31" s="1272">
        <v>-5.8</v>
      </c>
      <c r="K31" s="1272">
        <v>0</v>
      </c>
      <c r="L31" s="1272">
        <v>27.4</v>
      </c>
      <c r="M31" s="1272">
        <v>0</v>
      </c>
      <c r="N31" s="1272">
        <v>-9.9</v>
      </c>
      <c r="O31" s="1272">
        <v>7.2</v>
      </c>
      <c r="P31" s="1272">
        <v>3.8</v>
      </c>
      <c r="Q31" s="1272">
        <v>-165.4</v>
      </c>
      <c r="R31" s="1272">
        <v>3.7</v>
      </c>
      <c r="S31" s="1272">
        <v>7</v>
      </c>
      <c r="T31" s="1272">
        <v>57.3</v>
      </c>
      <c r="U31" s="1272">
        <v>0.8</v>
      </c>
      <c r="V31" s="1272">
        <v>3.2</v>
      </c>
      <c r="W31" s="1272">
        <v>-8.6</v>
      </c>
      <c r="X31" s="1272">
        <v>-3.2</v>
      </c>
      <c r="Y31" s="1272">
        <v>12.6</v>
      </c>
      <c r="Z31" s="1272">
        <v>31.6</v>
      </c>
      <c r="AA31" s="1272">
        <v>0</v>
      </c>
      <c r="AB31" s="1272">
        <v>0</v>
      </c>
      <c r="AC31" s="1272">
        <v>-11.5</v>
      </c>
      <c r="AD31" s="1272">
        <v>31.1</v>
      </c>
      <c r="AE31" s="1281">
        <v>-216.4</v>
      </c>
      <c r="AQ31" s="1249"/>
      <c r="AR31" s="1249"/>
    </row>
    <row r="32" spans="2:47" x14ac:dyDescent="0.3">
      <c r="B32" s="1258" t="s">
        <v>79</v>
      </c>
      <c r="C32" s="1280">
        <v>46.2</v>
      </c>
      <c r="D32" s="1272">
        <v>183</v>
      </c>
      <c r="E32" s="1272">
        <v>0</v>
      </c>
      <c r="F32" s="1272">
        <v>0</v>
      </c>
      <c r="G32" s="1272">
        <v>0</v>
      </c>
      <c r="H32" s="1272">
        <v>0</v>
      </c>
      <c r="I32" s="1272">
        <v>-396</v>
      </c>
      <c r="J32" s="1272">
        <v>0</v>
      </c>
      <c r="K32" s="1272">
        <v>0</v>
      </c>
      <c r="L32" s="1272">
        <v>-1077</v>
      </c>
      <c r="M32" s="1272">
        <v>1277</v>
      </c>
      <c r="N32" s="1272">
        <v>111.1</v>
      </c>
      <c r="O32" s="1272">
        <v>0</v>
      </c>
      <c r="P32" s="1272">
        <v>0</v>
      </c>
      <c r="Q32" s="1272">
        <v>56.2</v>
      </c>
      <c r="R32" s="1272">
        <v>0</v>
      </c>
      <c r="S32" s="1272">
        <v>0</v>
      </c>
      <c r="T32" s="1272">
        <v>0</v>
      </c>
      <c r="U32" s="1272">
        <v>0</v>
      </c>
      <c r="V32" s="1272">
        <v>-127.6</v>
      </c>
      <c r="W32" s="1272">
        <v>223.3</v>
      </c>
      <c r="X32" s="1272">
        <v>-1373</v>
      </c>
      <c r="Y32" s="1272">
        <v>0</v>
      </c>
      <c r="Z32" s="1272">
        <v>0</v>
      </c>
      <c r="AA32" s="1272">
        <v>0</v>
      </c>
      <c r="AB32" s="1272">
        <v>0</v>
      </c>
      <c r="AC32" s="1272">
        <v>0</v>
      </c>
      <c r="AD32" s="1272">
        <v>1157.9000000000001</v>
      </c>
      <c r="AE32" s="1281">
        <v>-4027.1</v>
      </c>
      <c r="AQ32" s="1249"/>
      <c r="AR32" s="1249"/>
    </row>
    <row r="33" spans="2:44" x14ac:dyDescent="0.3">
      <c r="B33" s="1258" t="s">
        <v>80</v>
      </c>
      <c r="C33" s="1280">
        <v>-232.8</v>
      </c>
      <c r="D33" s="1272">
        <v>-591.20000000000005</v>
      </c>
      <c r="E33" s="1272">
        <v>30.9</v>
      </c>
      <c r="F33" s="1272">
        <v>-97.5</v>
      </c>
      <c r="G33" s="1272">
        <v>85.9</v>
      </c>
      <c r="H33" s="1272">
        <v>-12.6</v>
      </c>
      <c r="I33" s="1272">
        <v>-1157.5</v>
      </c>
      <c r="J33" s="1272">
        <v>-65.099999999999994</v>
      </c>
      <c r="K33" s="1272">
        <v>-91</v>
      </c>
      <c r="L33" s="1272">
        <v>-386.4</v>
      </c>
      <c r="M33" s="1272">
        <v>0</v>
      </c>
      <c r="N33" s="1272">
        <v>-16.8</v>
      </c>
      <c r="O33" s="1272">
        <v>-26.5</v>
      </c>
      <c r="P33" s="1272">
        <v>-153.69999999999999</v>
      </c>
      <c r="Q33" s="1272">
        <v>-40.9</v>
      </c>
      <c r="R33" s="1272">
        <v>-18.899999999999999</v>
      </c>
      <c r="S33" s="1272">
        <v>135.1</v>
      </c>
      <c r="T33" s="1272">
        <v>-977.4</v>
      </c>
      <c r="U33" s="1272">
        <v>-202</v>
      </c>
      <c r="V33" s="1272">
        <v>50.3</v>
      </c>
      <c r="W33" s="1272">
        <v>78.900000000000006</v>
      </c>
      <c r="X33" s="1272">
        <v>-81.599999999999994</v>
      </c>
      <c r="Y33" s="1272">
        <v>9.1999999999999993</v>
      </c>
      <c r="Z33" s="1272">
        <v>46</v>
      </c>
      <c r="AA33" s="1272">
        <v>-23.6</v>
      </c>
      <c r="AB33" s="1272">
        <v>0</v>
      </c>
      <c r="AC33" s="1272">
        <v>0</v>
      </c>
      <c r="AD33" s="1272">
        <v>770.2</v>
      </c>
      <c r="AE33" s="1281">
        <v>-976.6</v>
      </c>
      <c r="AQ33" s="1249"/>
      <c r="AR33" s="1249"/>
    </row>
    <row r="34" spans="2:44" x14ac:dyDescent="0.3">
      <c r="B34" s="1258" t="s">
        <v>82</v>
      </c>
      <c r="C34" s="1280">
        <v>-782.8</v>
      </c>
      <c r="D34" s="1272">
        <v>-5755.2</v>
      </c>
      <c r="E34" s="1272">
        <v>-195.5</v>
      </c>
      <c r="F34" s="1272">
        <v>51.5</v>
      </c>
      <c r="G34" s="1272">
        <v>-499.3</v>
      </c>
      <c r="H34" s="1272">
        <v>-433.7</v>
      </c>
      <c r="I34" s="1272">
        <v>-2931</v>
      </c>
      <c r="J34" s="1272">
        <v>-208.7</v>
      </c>
      <c r="K34" s="1272">
        <v>-700.8</v>
      </c>
      <c r="L34" s="1272">
        <v>-8264.6</v>
      </c>
      <c r="M34" s="1272">
        <v>-12516.6</v>
      </c>
      <c r="N34" s="1272">
        <v>-1334.8</v>
      </c>
      <c r="O34" s="1272">
        <v>-790.7</v>
      </c>
      <c r="P34" s="1272">
        <v>-16836.599999999999</v>
      </c>
      <c r="Q34" s="1272">
        <v>-974.1</v>
      </c>
      <c r="R34" s="1272">
        <v>-258.89999999999998</v>
      </c>
      <c r="S34" s="1272">
        <v>29.9</v>
      </c>
      <c r="T34" s="1272">
        <v>-10995.4</v>
      </c>
      <c r="U34" s="1272">
        <v>-674.4</v>
      </c>
      <c r="V34" s="1272">
        <v>-9237.7999999999993</v>
      </c>
      <c r="W34" s="1272">
        <v>-381.1</v>
      </c>
      <c r="X34" s="1272">
        <v>-233.4</v>
      </c>
      <c r="Y34" s="1272">
        <v>-433.2</v>
      </c>
      <c r="Z34" s="1272">
        <v>90.9</v>
      </c>
      <c r="AA34" s="1272">
        <v>-62.9</v>
      </c>
      <c r="AB34" s="1272">
        <v>-1257.5999999999999</v>
      </c>
      <c r="AC34" s="1272">
        <v>-1797.6</v>
      </c>
      <c r="AD34" s="1272">
        <v>0</v>
      </c>
      <c r="AE34" s="1281">
        <v>-77564.399999999994</v>
      </c>
      <c r="AQ34" s="1249"/>
      <c r="AR34" s="1249"/>
    </row>
    <row r="35" spans="2:44" ht="14.5" x14ac:dyDescent="0.35">
      <c r="B35" s="1263" t="s">
        <v>738</v>
      </c>
      <c r="C35" s="1291">
        <v>-8051.2</v>
      </c>
      <c r="D35" s="1292">
        <v>-26020.6</v>
      </c>
      <c r="E35" s="1292">
        <v>705</v>
      </c>
      <c r="F35" s="1292">
        <v>-1611.3</v>
      </c>
      <c r="G35" s="1292">
        <v>582.9</v>
      </c>
      <c r="H35" s="1292">
        <v>512</v>
      </c>
      <c r="I35" s="1292">
        <v>-9313.9</v>
      </c>
      <c r="J35" s="1292">
        <v>-827.8</v>
      </c>
      <c r="K35" s="1292">
        <v>-1754</v>
      </c>
      <c r="L35" s="1292">
        <v>-26458.9</v>
      </c>
      <c r="M35" s="1292">
        <v>19793.400000000001</v>
      </c>
      <c r="N35" s="1292">
        <v>-2318.9</v>
      </c>
      <c r="O35" s="1292">
        <v>-4358.2</v>
      </c>
      <c r="P35" s="1292">
        <v>-15876.2</v>
      </c>
      <c r="Q35" s="1292">
        <v>5972.9</v>
      </c>
      <c r="R35" s="1292">
        <v>-211.5</v>
      </c>
      <c r="S35" s="1292">
        <v>-135.4</v>
      </c>
      <c r="T35" s="1292">
        <v>-23849.200000000001</v>
      </c>
      <c r="U35" s="1292">
        <v>184.3</v>
      </c>
      <c r="V35" s="1292">
        <v>2784.7</v>
      </c>
      <c r="W35" s="1292">
        <v>-4082</v>
      </c>
      <c r="X35" s="1292">
        <v>-5283.6</v>
      </c>
      <c r="Y35" s="1292">
        <v>-3984.2</v>
      </c>
      <c r="Z35" s="1292">
        <v>1850.5</v>
      </c>
      <c r="AA35" s="1292">
        <v>-1387.1</v>
      </c>
      <c r="AB35" s="1292">
        <v>-4833</v>
      </c>
      <c r="AC35" s="1292">
        <v>-7526.4</v>
      </c>
      <c r="AD35" s="1292">
        <v>18437.400000000001</v>
      </c>
      <c r="AE35" s="1288">
        <v>-93628.6</v>
      </c>
      <c r="AG35" s="1294"/>
    </row>
    <row r="36" spans="2:44" ht="14.5" x14ac:dyDescent="0.35">
      <c r="B36" s="1269" t="s">
        <v>736</v>
      </c>
      <c r="C36" s="1291">
        <f t="shared" ref="C36:AE36" si="0">+C35-C26-C25-C24-C20-C11-C8</f>
        <v>-7003.5999999999995</v>
      </c>
      <c r="D36" s="1292">
        <f t="shared" si="0"/>
        <v>-14484.8</v>
      </c>
      <c r="E36" s="1292">
        <f t="shared" si="0"/>
        <v>708.8</v>
      </c>
      <c r="F36" s="1292">
        <f t="shared" si="0"/>
        <v>-1281.7999999999997</v>
      </c>
      <c r="G36" s="1292">
        <f t="shared" si="0"/>
        <v>72.5</v>
      </c>
      <c r="H36" s="1292">
        <f t="shared" si="0"/>
        <v>1293</v>
      </c>
      <c r="I36" s="1292">
        <f t="shared" si="0"/>
        <v>-8411.9999999999982</v>
      </c>
      <c r="J36" s="1292">
        <f t="shared" si="0"/>
        <v>-672.3</v>
      </c>
      <c r="K36" s="1292">
        <f t="shared" si="0"/>
        <v>-2178.3000000000002</v>
      </c>
      <c r="L36" s="1292">
        <f t="shared" si="0"/>
        <v>-18053.300000000003</v>
      </c>
      <c r="M36" s="1292">
        <f t="shared" si="0"/>
        <v>18026.400000000001</v>
      </c>
      <c r="N36" s="1292">
        <f t="shared" si="0"/>
        <v>-1774.1000000000004</v>
      </c>
      <c r="O36" s="1292">
        <f t="shared" si="0"/>
        <v>-3760.8999999999996</v>
      </c>
      <c r="P36" s="1292">
        <f t="shared" si="0"/>
        <v>-19957.900000000001</v>
      </c>
      <c r="Q36" s="1292">
        <f t="shared" si="0"/>
        <v>3645.6000000000004</v>
      </c>
      <c r="R36" s="1292">
        <f t="shared" si="0"/>
        <v>15.699999999999989</v>
      </c>
      <c r="S36" s="1292">
        <f t="shared" si="0"/>
        <v>12.299999999999997</v>
      </c>
      <c r="T36" s="1292">
        <f t="shared" si="0"/>
        <v>-27767.8</v>
      </c>
      <c r="U36" s="1292">
        <f t="shared" si="0"/>
        <v>-146.39999999999998</v>
      </c>
      <c r="V36" s="1292">
        <f t="shared" si="0"/>
        <v>-6773.2</v>
      </c>
      <c r="W36" s="1292">
        <f t="shared" si="0"/>
        <v>-2046.3999999999999</v>
      </c>
      <c r="X36" s="1292">
        <f t="shared" si="0"/>
        <v>-4577.1000000000004</v>
      </c>
      <c r="Y36" s="1292">
        <f t="shared" si="0"/>
        <v>-3077.8</v>
      </c>
      <c r="Z36" s="1292">
        <f t="shared" si="0"/>
        <v>1833.9000000000003</v>
      </c>
      <c r="AA36" s="1292">
        <f t="shared" si="0"/>
        <v>-1095.8999999999999</v>
      </c>
      <c r="AB36" s="1292">
        <f t="shared" si="0"/>
        <v>-2153.6999999999998</v>
      </c>
      <c r="AC36" s="1292">
        <f t="shared" si="0"/>
        <v>-5570.1</v>
      </c>
      <c r="AD36" s="1292">
        <f t="shared" si="0"/>
        <v>7577.100000000004</v>
      </c>
      <c r="AE36" s="1288">
        <f t="shared" si="0"/>
        <v>-93651.700000000012</v>
      </c>
      <c r="AH36" s="1295"/>
    </row>
    <row r="37" spans="2:44" ht="14.5" x14ac:dyDescent="0.35">
      <c r="B37" s="1269" t="s">
        <v>737</v>
      </c>
      <c r="C37" s="1291">
        <f t="shared" ref="C37:AE37" si="1">+C35-C36</f>
        <v>-1047.6000000000004</v>
      </c>
      <c r="D37" s="1292">
        <f t="shared" si="1"/>
        <v>-11535.8</v>
      </c>
      <c r="E37" s="1292">
        <f t="shared" si="1"/>
        <v>-3.7999999999999545</v>
      </c>
      <c r="F37" s="1292">
        <f t="shared" si="1"/>
        <v>-329.50000000000023</v>
      </c>
      <c r="G37" s="1292">
        <f t="shared" si="1"/>
        <v>510.4</v>
      </c>
      <c r="H37" s="1292">
        <f t="shared" si="1"/>
        <v>-781</v>
      </c>
      <c r="I37" s="1292">
        <f t="shared" si="1"/>
        <v>-901.90000000000146</v>
      </c>
      <c r="J37" s="1292">
        <f t="shared" si="1"/>
        <v>-155.5</v>
      </c>
      <c r="K37" s="1292">
        <f t="shared" si="1"/>
        <v>424.30000000000018</v>
      </c>
      <c r="L37" s="1292">
        <f t="shared" si="1"/>
        <v>-8405.5999999999985</v>
      </c>
      <c r="M37" s="1292">
        <f t="shared" si="1"/>
        <v>1767</v>
      </c>
      <c r="N37" s="1292">
        <f t="shared" si="1"/>
        <v>-544.79999999999973</v>
      </c>
      <c r="O37" s="1292">
        <f t="shared" si="1"/>
        <v>-597.30000000000018</v>
      </c>
      <c r="P37" s="1292">
        <f t="shared" si="1"/>
        <v>4081.7000000000007</v>
      </c>
      <c r="Q37" s="1292">
        <f t="shared" si="1"/>
        <v>2327.2999999999993</v>
      </c>
      <c r="R37" s="1292">
        <f t="shared" si="1"/>
        <v>-227.2</v>
      </c>
      <c r="S37" s="1292">
        <f t="shared" si="1"/>
        <v>-147.69999999999999</v>
      </c>
      <c r="T37" s="1292">
        <f t="shared" si="1"/>
        <v>3918.5999999999985</v>
      </c>
      <c r="U37" s="1292">
        <f t="shared" si="1"/>
        <v>330.7</v>
      </c>
      <c r="V37" s="1292">
        <f t="shared" si="1"/>
        <v>9557.9</v>
      </c>
      <c r="W37" s="1292">
        <f t="shared" si="1"/>
        <v>-2035.6000000000001</v>
      </c>
      <c r="X37" s="1292">
        <f t="shared" si="1"/>
        <v>-706.5</v>
      </c>
      <c r="Y37" s="1292">
        <f t="shared" si="1"/>
        <v>-906.39999999999964</v>
      </c>
      <c r="Z37" s="1292">
        <f t="shared" si="1"/>
        <v>16.599999999999682</v>
      </c>
      <c r="AA37" s="1292">
        <f t="shared" si="1"/>
        <v>-291.20000000000005</v>
      </c>
      <c r="AB37" s="1292">
        <f t="shared" si="1"/>
        <v>-2679.3</v>
      </c>
      <c r="AC37" s="1292">
        <f t="shared" si="1"/>
        <v>-1956.2999999999993</v>
      </c>
      <c r="AD37" s="1292">
        <f t="shared" si="1"/>
        <v>10860.299999999997</v>
      </c>
      <c r="AE37" s="1288">
        <f t="shared" si="1"/>
        <v>23.100000000005821</v>
      </c>
    </row>
    <row r="38" spans="2:44" ht="50.25" customHeight="1" x14ac:dyDescent="0.3">
      <c r="B38" s="1268" t="s">
        <v>740</v>
      </c>
      <c r="C38" s="1280"/>
      <c r="D38" s="1272"/>
      <c r="E38" s="1272"/>
      <c r="F38" s="1272"/>
      <c r="G38" s="1272"/>
      <c r="H38" s="1272"/>
      <c r="I38" s="1272"/>
      <c r="J38" s="1272"/>
      <c r="K38" s="1272"/>
      <c r="L38" s="1272"/>
      <c r="M38" s="1272"/>
      <c r="N38" s="1272"/>
      <c r="O38" s="1272"/>
      <c r="P38" s="1272"/>
      <c r="Q38" s="1272"/>
      <c r="R38" s="1272"/>
      <c r="S38" s="1272"/>
      <c r="T38" s="1272"/>
      <c r="U38" s="1272"/>
      <c r="V38" s="1272"/>
      <c r="W38" s="1272"/>
      <c r="X38" s="1272"/>
      <c r="Y38" s="1272"/>
      <c r="Z38" s="1272"/>
      <c r="AA38" s="1272"/>
      <c r="AB38" s="1272"/>
      <c r="AC38" s="1272"/>
      <c r="AD38" s="1272"/>
      <c r="AE38" s="1281"/>
    </row>
    <row r="39" spans="2:44" x14ac:dyDescent="0.3">
      <c r="B39" s="1258" t="s">
        <v>55</v>
      </c>
      <c r="C39" s="1280">
        <v>0</v>
      </c>
      <c r="D39" s="1272">
        <v>760</v>
      </c>
      <c r="E39" s="1272">
        <v>468</v>
      </c>
      <c r="F39" s="1272">
        <v>1034</v>
      </c>
      <c r="G39" s="1272">
        <v>187</v>
      </c>
      <c r="H39" s="1272">
        <v>1145</v>
      </c>
      <c r="I39" s="1272">
        <v>158</v>
      </c>
      <c r="J39" s="1272">
        <v>78</v>
      </c>
      <c r="K39" s="1272">
        <v>438</v>
      </c>
      <c r="L39" s="1272">
        <v>1043</v>
      </c>
      <c r="M39" s="1272">
        <v>13311</v>
      </c>
      <c r="N39" s="1272">
        <v>427</v>
      </c>
      <c r="O39" s="1272">
        <v>1325</v>
      </c>
      <c r="P39" s="1272">
        <v>598</v>
      </c>
      <c r="Q39" s="1272">
        <v>2385</v>
      </c>
      <c r="R39" s="1272">
        <v>63</v>
      </c>
      <c r="S39" s="1272">
        <v>216</v>
      </c>
      <c r="T39" s="1272">
        <v>386</v>
      </c>
      <c r="U39" s="1272">
        <v>101</v>
      </c>
      <c r="V39" s="1272">
        <v>1225</v>
      </c>
      <c r="W39" s="1272">
        <v>1143</v>
      </c>
      <c r="X39" s="1272">
        <v>185</v>
      </c>
      <c r="Y39" s="1272">
        <v>1066</v>
      </c>
      <c r="Z39" s="1272">
        <v>1300</v>
      </c>
      <c r="AA39" s="1272">
        <v>779</v>
      </c>
      <c r="AB39" s="1272">
        <v>792</v>
      </c>
      <c r="AC39" s="1272">
        <v>838</v>
      </c>
      <c r="AD39" s="1272">
        <v>1882</v>
      </c>
      <c r="AE39" s="1281">
        <f>SUM(C39:AD39)</f>
        <v>33333</v>
      </c>
    </row>
    <row r="40" spans="2:44" x14ac:dyDescent="0.3">
      <c r="B40" s="1258" t="s">
        <v>2</v>
      </c>
      <c r="C40" s="1280">
        <v>988</v>
      </c>
      <c r="D40" s="1272">
        <v>0</v>
      </c>
      <c r="E40" s="1272">
        <v>326</v>
      </c>
      <c r="F40" s="1272">
        <v>129</v>
      </c>
      <c r="G40" s="1272">
        <v>318</v>
      </c>
      <c r="H40" s="1272">
        <v>844</v>
      </c>
      <c r="I40" s="1272">
        <v>694</v>
      </c>
      <c r="J40" s="1272">
        <v>50</v>
      </c>
      <c r="K40" s="1272">
        <v>320</v>
      </c>
      <c r="L40" s="1272">
        <v>14921</v>
      </c>
      <c r="M40" s="1272">
        <v>9096</v>
      </c>
      <c r="N40" s="1272">
        <v>592</v>
      </c>
      <c r="O40" s="1272">
        <v>391</v>
      </c>
      <c r="P40" s="1272">
        <v>2693</v>
      </c>
      <c r="Q40" s="1272">
        <v>3746</v>
      </c>
      <c r="R40" s="1272">
        <v>62</v>
      </c>
      <c r="S40" s="1272">
        <v>151</v>
      </c>
      <c r="T40" s="1272">
        <v>5576</v>
      </c>
      <c r="U40" s="1272">
        <v>92</v>
      </c>
      <c r="V40" s="1272">
        <v>13291</v>
      </c>
      <c r="W40" s="1272">
        <v>1225</v>
      </c>
      <c r="X40" s="1272">
        <v>934</v>
      </c>
      <c r="Y40" s="1272">
        <v>614</v>
      </c>
      <c r="Z40" s="1272">
        <v>430</v>
      </c>
      <c r="AA40" s="1272">
        <v>109</v>
      </c>
      <c r="AB40" s="1272">
        <v>2929</v>
      </c>
      <c r="AC40" s="1272">
        <v>945</v>
      </c>
      <c r="AD40" s="1272">
        <v>9021</v>
      </c>
      <c r="AE40" s="1281">
        <f t="shared" ref="AE40:AE66" si="2">SUM(C40:AD40)</f>
        <v>70487</v>
      </c>
    </row>
    <row r="41" spans="2:44" x14ac:dyDescent="0.3">
      <c r="B41" s="1258" t="s">
        <v>450</v>
      </c>
      <c r="C41" s="1280">
        <v>255.5</v>
      </c>
      <c r="D41" s="1272">
        <v>93.3</v>
      </c>
      <c r="E41" s="1272">
        <v>0</v>
      </c>
      <c r="F41" s="1272">
        <v>15.3</v>
      </c>
      <c r="G41" s="1272">
        <v>74.2</v>
      </c>
      <c r="H41" s="1272">
        <v>93.1</v>
      </c>
      <c r="I41" s="1272">
        <v>26.2</v>
      </c>
      <c r="J41" s="1272">
        <v>2.6</v>
      </c>
      <c r="K41" s="1272">
        <v>11.5</v>
      </c>
      <c r="L41" s="1272">
        <v>143.30000000000001</v>
      </c>
      <c r="M41" s="1272">
        <v>376.1</v>
      </c>
      <c r="N41" s="1272">
        <v>167.5</v>
      </c>
      <c r="O41" s="1272">
        <v>76.8</v>
      </c>
      <c r="P41" s="1272">
        <v>104.6</v>
      </c>
      <c r="Q41" s="1272">
        <v>223.7</v>
      </c>
      <c r="R41" s="1272">
        <v>8.3000000000000007</v>
      </c>
      <c r="S41" s="1272">
        <v>9.1999999999999993</v>
      </c>
      <c r="T41" s="1272">
        <v>15.5</v>
      </c>
      <c r="U41" s="1272">
        <v>69.099999999999994</v>
      </c>
      <c r="V41" s="1272">
        <v>123.1</v>
      </c>
      <c r="W41" s="1272">
        <v>87.7</v>
      </c>
      <c r="X41" s="1272">
        <v>13.6</v>
      </c>
      <c r="Y41" s="1272">
        <v>122.4</v>
      </c>
      <c r="Z41" s="1272">
        <v>37.6</v>
      </c>
      <c r="AA41" s="1272">
        <v>26.7</v>
      </c>
      <c r="AB41" s="1272">
        <v>95.8</v>
      </c>
      <c r="AC41" s="1272">
        <v>27.8</v>
      </c>
      <c r="AD41" s="1272">
        <v>324.2</v>
      </c>
      <c r="AE41" s="1281">
        <f t="shared" si="2"/>
        <v>2624.6999999999994</v>
      </c>
    </row>
    <row r="42" spans="2:44" x14ac:dyDescent="0.3">
      <c r="B42" s="1258" t="s">
        <v>429</v>
      </c>
      <c r="C42" s="1280">
        <v>223.8</v>
      </c>
      <c r="D42" s="1272">
        <v>43.1</v>
      </c>
      <c r="E42" s="1272">
        <v>16.399999999999999</v>
      </c>
      <c r="F42" s="1272">
        <v>0</v>
      </c>
      <c r="G42" s="1272">
        <v>8.3000000000000007</v>
      </c>
      <c r="H42" s="1272">
        <v>17.7</v>
      </c>
      <c r="I42" s="1272">
        <v>27.6</v>
      </c>
      <c r="J42" s="1272">
        <v>0.5</v>
      </c>
      <c r="K42" s="1272">
        <v>10.4</v>
      </c>
      <c r="L42" s="1272">
        <v>76.2</v>
      </c>
      <c r="M42" s="1272">
        <v>312.3</v>
      </c>
      <c r="N42" s="1272">
        <v>3.5</v>
      </c>
      <c r="O42" s="1272">
        <v>40.799999999999997</v>
      </c>
      <c r="P42" s="1272">
        <v>88.3</v>
      </c>
      <c r="Q42" s="1272">
        <v>68.400000000000006</v>
      </c>
      <c r="R42" s="1272">
        <v>0.7</v>
      </c>
      <c r="S42" s="1272">
        <v>1.2</v>
      </c>
      <c r="T42" s="1272">
        <v>13.9</v>
      </c>
      <c r="U42" s="1272">
        <v>21.3</v>
      </c>
      <c r="V42" s="1272">
        <v>109.3</v>
      </c>
      <c r="W42" s="1272">
        <v>19.7</v>
      </c>
      <c r="X42" s="1272">
        <v>7.2</v>
      </c>
      <c r="Y42" s="1272">
        <v>17.600000000000001</v>
      </c>
      <c r="Z42" s="1272">
        <v>25.5</v>
      </c>
      <c r="AA42" s="1272">
        <v>155</v>
      </c>
      <c r="AB42" s="1272">
        <v>31.4</v>
      </c>
      <c r="AC42" s="1272">
        <v>52.5</v>
      </c>
      <c r="AD42" s="1272">
        <v>163.80000000000001</v>
      </c>
      <c r="AE42" s="1281">
        <f t="shared" si="2"/>
        <v>1556.3999999999999</v>
      </c>
    </row>
    <row r="43" spans="2:44" x14ac:dyDescent="0.3">
      <c r="B43" s="1258" t="s">
        <v>116</v>
      </c>
      <c r="C43" s="1280">
        <v>48</v>
      </c>
      <c r="D43" s="1272">
        <v>59</v>
      </c>
      <c r="E43" s="1272">
        <v>22</v>
      </c>
      <c r="F43" s="1272">
        <v>1</v>
      </c>
      <c r="G43" s="1272">
        <v>0</v>
      </c>
      <c r="H43" s="1272">
        <v>14</v>
      </c>
      <c r="I43" s="1272">
        <v>10</v>
      </c>
      <c r="J43" s="1272">
        <v>2</v>
      </c>
      <c r="K43" s="1272">
        <v>4</v>
      </c>
      <c r="L43" s="1272">
        <v>117</v>
      </c>
      <c r="M43" s="1272">
        <v>372</v>
      </c>
      <c r="N43" s="1272">
        <v>707</v>
      </c>
      <c r="O43" s="1272">
        <v>15</v>
      </c>
      <c r="P43" s="1272">
        <v>44</v>
      </c>
      <c r="Q43" s="1272">
        <v>188</v>
      </c>
      <c r="R43" s="1272">
        <v>8</v>
      </c>
      <c r="S43" s="1272">
        <v>5</v>
      </c>
      <c r="T43" s="1272">
        <v>24</v>
      </c>
      <c r="U43" s="1272">
        <v>12</v>
      </c>
      <c r="V43" s="1272">
        <v>54</v>
      </c>
      <c r="W43" s="1272">
        <v>100</v>
      </c>
      <c r="X43" s="1272">
        <v>4</v>
      </c>
      <c r="Y43" s="1272">
        <v>29</v>
      </c>
      <c r="Z43" s="1272">
        <v>3</v>
      </c>
      <c r="AA43" s="1272">
        <v>1</v>
      </c>
      <c r="AB43" s="1272">
        <v>37</v>
      </c>
      <c r="AC43" s="1272">
        <v>10</v>
      </c>
      <c r="AD43" s="1272">
        <v>764</v>
      </c>
      <c r="AE43" s="1281">
        <f t="shared" si="2"/>
        <v>2654</v>
      </c>
    </row>
    <row r="44" spans="2:44" x14ac:dyDescent="0.3">
      <c r="B44" s="1258" t="s">
        <v>58</v>
      </c>
      <c r="C44" s="1280">
        <v>1044.9000000000001</v>
      </c>
      <c r="D44" s="1272">
        <v>243.4</v>
      </c>
      <c r="E44" s="1272">
        <v>365</v>
      </c>
      <c r="F44" s="1272">
        <v>218.7</v>
      </c>
      <c r="G44" s="1272">
        <v>58.8</v>
      </c>
      <c r="H44" s="1272">
        <v>0</v>
      </c>
      <c r="I44" s="1272">
        <v>96.7</v>
      </c>
      <c r="J44" s="1272">
        <v>6.5</v>
      </c>
      <c r="K44" s="1272">
        <v>65.5</v>
      </c>
      <c r="L44" s="1272">
        <v>674.3</v>
      </c>
      <c r="M44" s="1272">
        <v>3956.6</v>
      </c>
      <c r="N44" s="1272">
        <v>170.9</v>
      </c>
      <c r="O44" s="1272">
        <v>175.2</v>
      </c>
      <c r="P44" s="1272">
        <v>371.9</v>
      </c>
      <c r="Q44" s="1272">
        <v>488.8</v>
      </c>
      <c r="R44" s="1272">
        <v>24.2</v>
      </c>
      <c r="S44" s="1272">
        <v>18.100000000000001</v>
      </c>
      <c r="T44" s="1272">
        <v>89.3</v>
      </c>
      <c r="U44" s="1272">
        <v>9</v>
      </c>
      <c r="V44" s="1272">
        <v>586.79999999999995</v>
      </c>
      <c r="W44" s="1272">
        <v>786.9</v>
      </c>
      <c r="X44" s="1272">
        <v>34.1</v>
      </c>
      <c r="Y44" s="1272">
        <v>77.2</v>
      </c>
      <c r="Z44" s="1272">
        <v>1289.5999999999999</v>
      </c>
      <c r="AA44" s="1272">
        <v>72.099999999999994</v>
      </c>
      <c r="AB44" s="1272">
        <v>319.8</v>
      </c>
      <c r="AC44" s="1272">
        <v>149.5</v>
      </c>
      <c r="AD44" s="1272">
        <v>874.7</v>
      </c>
      <c r="AE44" s="1281">
        <f t="shared" si="2"/>
        <v>12268.5</v>
      </c>
    </row>
    <row r="45" spans="2:44" x14ac:dyDescent="0.3">
      <c r="B45" s="1258" t="s">
        <v>59</v>
      </c>
      <c r="C45" s="1280">
        <v>324.3</v>
      </c>
      <c r="D45" s="1272">
        <v>710</v>
      </c>
      <c r="E45" s="1272">
        <v>132.19999999999999</v>
      </c>
      <c r="F45" s="1272">
        <v>119.6</v>
      </c>
      <c r="G45" s="1272">
        <v>95.9</v>
      </c>
      <c r="H45" s="1272">
        <v>232.3</v>
      </c>
      <c r="I45" s="1272">
        <v>0</v>
      </c>
      <c r="J45" s="1272">
        <v>90</v>
      </c>
      <c r="K45" s="1272">
        <v>491.5</v>
      </c>
      <c r="L45" s="1272">
        <v>1514.5</v>
      </c>
      <c r="M45" s="1272">
        <v>5544.9</v>
      </c>
      <c r="N45" s="1272">
        <v>490.3</v>
      </c>
      <c r="O45" s="1272">
        <v>233.4</v>
      </c>
      <c r="P45" s="1272">
        <v>1007.3</v>
      </c>
      <c r="Q45" s="1272">
        <v>1051.4000000000001</v>
      </c>
      <c r="R45" s="1272">
        <v>239.7</v>
      </c>
      <c r="S45" s="1272">
        <v>312.5</v>
      </c>
      <c r="T45" s="1272">
        <v>445</v>
      </c>
      <c r="U45" s="1272">
        <v>100.4</v>
      </c>
      <c r="V45" s="1272">
        <v>1924.2</v>
      </c>
      <c r="W45" s="1272">
        <v>762.5</v>
      </c>
      <c r="X45" s="1272">
        <v>191.5</v>
      </c>
      <c r="Y45" s="1272">
        <v>137.19999999999999</v>
      </c>
      <c r="Z45" s="1272">
        <v>98.5</v>
      </c>
      <c r="AA45" s="1272">
        <v>47.5</v>
      </c>
      <c r="AB45" s="1272">
        <v>1595.2</v>
      </c>
      <c r="AC45" s="1272">
        <v>4288.8</v>
      </c>
      <c r="AD45" s="1272">
        <v>5159.1000000000004</v>
      </c>
      <c r="AE45" s="1281">
        <f t="shared" si="2"/>
        <v>27339.699999999997</v>
      </c>
    </row>
    <row r="46" spans="2:44" x14ac:dyDescent="0.3">
      <c r="B46" s="1258" t="s">
        <v>60</v>
      </c>
      <c r="C46" s="1280">
        <v>31.3</v>
      </c>
      <c r="D46" s="1272">
        <v>47.8</v>
      </c>
      <c r="E46" s="1272">
        <v>18.3</v>
      </c>
      <c r="F46" s="1272">
        <v>6.9</v>
      </c>
      <c r="G46" s="1272">
        <v>123.4</v>
      </c>
      <c r="H46" s="1272">
        <v>34.5</v>
      </c>
      <c r="I46" s="1272">
        <v>68.900000000000006</v>
      </c>
      <c r="J46" s="1272">
        <v>0</v>
      </c>
      <c r="K46" s="1272">
        <v>502.4</v>
      </c>
      <c r="L46" s="1272">
        <v>57.4</v>
      </c>
      <c r="M46" s="1272">
        <v>244.9</v>
      </c>
      <c r="N46" s="1272">
        <v>17.8</v>
      </c>
      <c r="O46" s="1272">
        <v>21.2</v>
      </c>
      <c r="P46" s="1272">
        <v>34</v>
      </c>
      <c r="Q46" s="1272">
        <v>70.2</v>
      </c>
      <c r="R46" s="1272">
        <v>281.60000000000002</v>
      </c>
      <c r="S46" s="1272">
        <v>181.4</v>
      </c>
      <c r="T46" s="1272">
        <v>19.2</v>
      </c>
      <c r="U46" s="1272">
        <v>9.3000000000000007</v>
      </c>
      <c r="V46" s="1272">
        <v>122.5</v>
      </c>
      <c r="W46" s="1272">
        <v>131.9</v>
      </c>
      <c r="X46" s="1272">
        <v>13.2</v>
      </c>
      <c r="Y46" s="1272">
        <v>11.3</v>
      </c>
      <c r="Z46" s="1272">
        <v>9.1</v>
      </c>
      <c r="AA46" s="1272">
        <v>8.6</v>
      </c>
      <c r="AB46" s="1272">
        <v>75.900000000000006</v>
      </c>
      <c r="AC46" s="1272">
        <v>324.8</v>
      </c>
      <c r="AD46" s="1272">
        <v>230.7</v>
      </c>
      <c r="AE46" s="1281">
        <f t="shared" si="2"/>
        <v>2698.5</v>
      </c>
    </row>
    <row r="47" spans="2:44" x14ac:dyDescent="0.3">
      <c r="B47" s="1258" t="s">
        <v>61</v>
      </c>
      <c r="C47" s="1280">
        <v>248.8</v>
      </c>
      <c r="D47" s="1272">
        <v>363.5</v>
      </c>
      <c r="E47" s="1272">
        <v>0</v>
      </c>
      <c r="F47" s="1272">
        <v>0</v>
      </c>
      <c r="G47" s="1272">
        <v>82.7</v>
      </c>
      <c r="H47" s="1272">
        <v>0</v>
      </c>
      <c r="I47" s="1272">
        <v>1052.7</v>
      </c>
      <c r="J47" s="1272">
        <v>967.7</v>
      </c>
      <c r="K47" s="1272">
        <v>0</v>
      </c>
      <c r="L47" s="1272">
        <v>623.70000000000005</v>
      </c>
      <c r="M47" s="1272">
        <v>2469.5</v>
      </c>
      <c r="N47" s="1272">
        <v>283.60000000000002</v>
      </c>
      <c r="O47" s="1272">
        <v>0</v>
      </c>
      <c r="P47" s="1272">
        <v>546.5</v>
      </c>
      <c r="Q47" s="1272">
        <v>523</v>
      </c>
      <c r="R47" s="1272">
        <v>90.3</v>
      </c>
      <c r="S47" s="1272">
        <v>94.7</v>
      </c>
      <c r="T47" s="1272">
        <v>0</v>
      </c>
      <c r="U47" s="1272">
        <v>0</v>
      </c>
      <c r="V47" s="1272">
        <v>1017.5</v>
      </c>
      <c r="W47" s="1272">
        <v>497.3</v>
      </c>
      <c r="X47" s="1272">
        <v>121.9</v>
      </c>
      <c r="Y47" s="1272">
        <v>0</v>
      </c>
      <c r="Z47" s="1272">
        <v>40.799999999999997</v>
      </c>
      <c r="AA47" s="1272">
        <v>0</v>
      </c>
      <c r="AB47" s="1272">
        <v>694.4</v>
      </c>
      <c r="AC47" s="1272">
        <v>3460.3</v>
      </c>
      <c r="AD47" s="1272">
        <v>1615.8</v>
      </c>
      <c r="AE47" s="1281">
        <f t="shared" si="2"/>
        <v>14794.699999999997</v>
      </c>
    </row>
    <row r="48" spans="2:44" x14ac:dyDescent="0.3">
      <c r="B48" s="1258" t="s">
        <v>48</v>
      </c>
      <c r="C48" s="1280">
        <v>1545</v>
      </c>
      <c r="D48" s="1272">
        <v>13143</v>
      </c>
      <c r="E48" s="1272">
        <v>652</v>
      </c>
      <c r="F48" s="1272">
        <v>332</v>
      </c>
      <c r="G48" s="1272">
        <v>160</v>
      </c>
      <c r="H48" s="1272">
        <v>1103</v>
      </c>
      <c r="I48" s="1272">
        <v>1541</v>
      </c>
      <c r="J48" s="1272">
        <v>110</v>
      </c>
      <c r="K48" s="1272">
        <v>523</v>
      </c>
      <c r="L48" s="1272">
        <v>0</v>
      </c>
      <c r="M48" s="1272">
        <v>27726</v>
      </c>
      <c r="N48" s="1272">
        <v>1650</v>
      </c>
      <c r="O48" s="1272">
        <v>737</v>
      </c>
      <c r="P48" s="1272">
        <v>7029</v>
      </c>
      <c r="Q48" s="1272">
        <v>11207</v>
      </c>
      <c r="R48" s="1272">
        <v>91</v>
      </c>
      <c r="S48" s="1272">
        <v>268</v>
      </c>
      <c r="T48" s="1272">
        <v>5527</v>
      </c>
      <c r="U48" s="1272">
        <v>416</v>
      </c>
      <c r="V48" s="1272">
        <v>10115</v>
      </c>
      <c r="W48" s="1272">
        <v>3046</v>
      </c>
      <c r="X48" s="1272">
        <v>2473</v>
      </c>
      <c r="Y48" s="1272">
        <v>1668</v>
      </c>
      <c r="Z48" s="1272">
        <v>323</v>
      </c>
      <c r="AA48" s="1272">
        <v>139</v>
      </c>
      <c r="AB48" s="1272">
        <v>13142</v>
      </c>
      <c r="AC48" s="1272">
        <v>2428</v>
      </c>
      <c r="AD48" s="1272">
        <v>23156</v>
      </c>
      <c r="AE48" s="1281">
        <f t="shared" si="2"/>
        <v>130250</v>
      </c>
    </row>
    <row r="49" spans="2:31" x14ac:dyDescent="0.3">
      <c r="B49" s="1258" t="s">
        <v>62</v>
      </c>
      <c r="C49" s="1280">
        <v>16180</v>
      </c>
      <c r="D49" s="1272">
        <v>4738</v>
      </c>
      <c r="E49" s="1272">
        <v>892</v>
      </c>
      <c r="F49" s="1272">
        <v>1800</v>
      </c>
      <c r="G49" s="1272">
        <v>0</v>
      </c>
      <c r="H49" s="1272">
        <v>4667</v>
      </c>
      <c r="I49" s="1272">
        <v>3627</v>
      </c>
      <c r="J49" s="1272">
        <v>0</v>
      </c>
      <c r="K49" s="1272">
        <v>0</v>
      </c>
      <c r="L49" s="1272">
        <v>17971</v>
      </c>
      <c r="M49" s="1272">
        <v>0</v>
      </c>
      <c r="N49" s="1272">
        <v>3469</v>
      </c>
      <c r="O49" s="1272">
        <v>2438</v>
      </c>
      <c r="P49" s="1272">
        <v>0</v>
      </c>
      <c r="Q49" s="1272">
        <v>11239</v>
      </c>
      <c r="R49" s="1272">
        <v>0</v>
      </c>
      <c r="S49" s="1272">
        <v>0</v>
      </c>
      <c r="T49" s="1272">
        <v>6247</v>
      </c>
      <c r="U49" s="1272">
        <v>0</v>
      </c>
      <c r="V49" s="1272">
        <v>15553</v>
      </c>
      <c r="W49" s="1272">
        <v>7175</v>
      </c>
      <c r="X49" s="1272">
        <v>1703</v>
      </c>
      <c r="Y49" s="1272">
        <v>0</v>
      </c>
      <c r="Z49" s="1272">
        <v>0</v>
      </c>
      <c r="AA49" s="1272">
        <v>0</v>
      </c>
      <c r="AB49" s="1272">
        <v>11596</v>
      </c>
      <c r="AC49" s="1272">
        <v>0</v>
      </c>
      <c r="AD49" s="1272">
        <v>22767</v>
      </c>
      <c r="AE49" s="1281">
        <f t="shared" si="2"/>
        <v>132062</v>
      </c>
    </row>
    <row r="50" spans="2:31" x14ac:dyDescent="0.3">
      <c r="B50" s="1258" t="s">
        <v>63</v>
      </c>
      <c r="C50" s="1280">
        <v>214.8</v>
      </c>
      <c r="D50" s="1272">
        <v>218.4</v>
      </c>
      <c r="E50" s="1272">
        <v>338.1</v>
      </c>
      <c r="F50" s="1272">
        <v>32.1</v>
      </c>
      <c r="G50" s="1272">
        <v>302.89999999999998</v>
      </c>
      <c r="H50" s="1272">
        <v>61.8</v>
      </c>
      <c r="I50" s="1272">
        <v>104.3</v>
      </c>
      <c r="J50" s="1272">
        <v>10.1</v>
      </c>
      <c r="K50" s="1272">
        <v>25.3</v>
      </c>
      <c r="L50" s="1272">
        <v>395.9</v>
      </c>
      <c r="M50" s="1272">
        <v>1259.2</v>
      </c>
      <c r="N50" s="1272">
        <v>0</v>
      </c>
      <c r="O50" s="1272">
        <v>59.4</v>
      </c>
      <c r="P50" s="1272">
        <v>51.5</v>
      </c>
      <c r="Q50" s="1272">
        <v>609.20000000000005</v>
      </c>
      <c r="R50" s="1272">
        <v>14.6</v>
      </c>
      <c r="S50" s="1272">
        <v>6.8</v>
      </c>
      <c r="T50" s="1272">
        <v>96</v>
      </c>
      <c r="U50" s="1272">
        <v>30.2</v>
      </c>
      <c r="V50" s="1272">
        <v>391.3</v>
      </c>
      <c r="W50" s="1272">
        <v>69.099999999999994</v>
      </c>
      <c r="X50" s="1272">
        <v>23.9</v>
      </c>
      <c r="Y50" s="1272">
        <v>119.6</v>
      </c>
      <c r="Z50" s="1272">
        <v>23.2</v>
      </c>
      <c r="AA50" s="1272">
        <v>21.4</v>
      </c>
      <c r="AB50" s="1272">
        <v>210.5</v>
      </c>
      <c r="AC50" s="1272">
        <v>71.900000000000006</v>
      </c>
      <c r="AD50" s="1272">
        <v>1902.4</v>
      </c>
      <c r="AE50" s="1281">
        <f t="shared" si="2"/>
        <v>6663.9</v>
      </c>
    </row>
    <row r="51" spans="2:31" x14ac:dyDescent="0.3">
      <c r="B51" s="1258" t="s">
        <v>64</v>
      </c>
      <c r="C51" s="1280">
        <v>1095.7</v>
      </c>
      <c r="D51" s="1272">
        <v>320.60000000000002</v>
      </c>
      <c r="E51" s="1272">
        <v>124.7</v>
      </c>
      <c r="F51" s="1272">
        <v>185.7</v>
      </c>
      <c r="G51" s="1272">
        <v>126.4</v>
      </c>
      <c r="H51" s="1272">
        <v>427.3</v>
      </c>
      <c r="I51" s="1272">
        <v>128.80000000000001</v>
      </c>
      <c r="J51" s="1272">
        <v>5.2</v>
      </c>
      <c r="K51" s="1272">
        <v>29.2</v>
      </c>
      <c r="L51" s="1272">
        <v>557.4</v>
      </c>
      <c r="M51" s="1272">
        <v>3087.2</v>
      </c>
      <c r="N51" s="1272">
        <v>69.7</v>
      </c>
      <c r="O51" s="1272">
        <v>0</v>
      </c>
      <c r="P51" s="1272">
        <v>306.89999999999998</v>
      </c>
      <c r="Q51" s="1272">
        <v>414.1</v>
      </c>
      <c r="R51" s="1272">
        <v>10.199999999999999</v>
      </c>
      <c r="S51" s="1272">
        <v>24.4</v>
      </c>
      <c r="T51" s="1272">
        <v>143.9</v>
      </c>
      <c r="U51" s="1272">
        <v>25.4</v>
      </c>
      <c r="V51" s="1272">
        <v>578.5</v>
      </c>
      <c r="W51" s="1272">
        <v>315.7</v>
      </c>
      <c r="X51" s="1272">
        <v>46.7</v>
      </c>
      <c r="Y51" s="1272">
        <v>454.1</v>
      </c>
      <c r="Z51" s="1272">
        <v>505.4</v>
      </c>
      <c r="AA51" s="1272">
        <v>100.5</v>
      </c>
      <c r="AB51" s="1272">
        <v>198.9</v>
      </c>
      <c r="AC51" s="1272">
        <v>164.2</v>
      </c>
      <c r="AD51" s="1272">
        <v>1413.7</v>
      </c>
      <c r="AE51" s="1281">
        <f t="shared" si="2"/>
        <v>10860.5</v>
      </c>
    </row>
    <row r="52" spans="2:31" x14ac:dyDescent="0.3">
      <c r="B52" s="1258" t="s">
        <v>19</v>
      </c>
      <c r="C52" s="1280">
        <v>227</v>
      </c>
      <c r="D52" s="1272">
        <v>1829</v>
      </c>
      <c r="E52" s="1272">
        <v>27</v>
      </c>
      <c r="F52" s="1272">
        <v>57</v>
      </c>
      <c r="G52" s="1272">
        <v>31</v>
      </c>
      <c r="H52" s="1272">
        <v>193</v>
      </c>
      <c r="I52" s="1272">
        <v>477</v>
      </c>
      <c r="J52" s="1272">
        <v>10</v>
      </c>
      <c r="K52" s="1272">
        <v>386</v>
      </c>
      <c r="L52" s="1272">
        <v>2648</v>
      </c>
      <c r="M52" s="1272">
        <v>3055</v>
      </c>
      <c r="N52" s="1272">
        <v>162</v>
      </c>
      <c r="O52" s="1272">
        <v>72</v>
      </c>
      <c r="P52" s="1272">
        <v>0</v>
      </c>
      <c r="Q52" s="1272">
        <v>3182</v>
      </c>
      <c r="R52" s="1272">
        <v>10</v>
      </c>
      <c r="S52" s="1272">
        <v>18</v>
      </c>
      <c r="T52" s="1272">
        <v>6310</v>
      </c>
      <c r="U52" s="1272">
        <v>299</v>
      </c>
      <c r="V52" s="1272">
        <v>19393</v>
      </c>
      <c r="W52" s="1272">
        <v>483</v>
      </c>
      <c r="X52" s="1272">
        <v>395</v>
      </c>
      <c r="Y52" s="1272">
        <v>66</v>
      </c>
      <c r="Z52" s="1272">
        <v>26</v>
      </c>
      <c r="AA52" s="1272">
        <v>23</v>
      </c>
      <c r="AB52" s="1272">
        <v>1823</v>
      </c>
      <c r="AC52" s="1272">
        <v>399</v>
      </c>
      <c r="AD52" s="1272">
        <v>12054</v>
      </c>
      <c r="AE52" s="1281">
        <f t="shared" si="2"/>
        <v>53655</v>
      </c>
    </row>
    <row r="53" spans="2:31" x14ac:dyDescent="0.3">
      <c r="B53" s="1258" t="s">
        <v>66</v>
      </c>
      <c r="C53" s="1280">
        <v>2369.5</v>
      </c>
      <c r="D53" s="1272">
        <v>1943.6</v>
      </c>
      <c r="E53" s="1272">
        <v>377.2</v>
      </c>
      <c r="F53" s="1272">
        <v>414.1</v>
      </c>
      <c r="G53" s="1272">
        <v>132.1</v>
      </c>
      <c r="H53" s="1272">
        <v>618.6</v>
      </c>
      <c r="I53" s="1272">
        <v>471.4</v>
      </c>
      <c r="J53" s="1272">
        <v>41.9</v>
      </c>
      <c r="K53" s="1272">
        <v>358.9</v>
      </c>
      <c r="L53" s="1272">
        <v>8354.1</v>
      </c>
      <c r="M53" s="1272">
        <v>8339.2999999999993</v>
      </c>
      <c r="N53" s="1272">
        <v>1771.9</v>
      </c>
      <c r="O53" s="1272">
        <v>759.7</v>
      </c>
      <c r="P53" s="1272">
        <v>5300.9</v>
      </c>
      <c r="Q53" s="1272">
        <v>0</v>
      </c>
      <c r="R53" s="1272">
        <v>85</v>
      </c>
      <c r="S53" s="1272">
        <v>256.10000000000002</v>
      </c>
      <c r="T53" s="1272">
        <v>4357.6000000000004</v>
      </c>
      <c r="U53" s="1272">
        <v>234.7</v>
      </c>
      <c r="V53" s="1272">
        <v>3689.9</v>
      </c>
      <c r="W53" s="1272">
        <v>1163.5999999999999</v>
      </c>
      <c r="X53" s="1272">
        <v>561</v>
      </c>
      <c r="Y53" s="1272">
        <v>1322.2</v>
      </c>
      <c r="Z53" s="1272">
        <v>443.3</v>
      </c>
      <c r="AA53" s="1272">
        <v>911.4</v>
      </c>
      <c r="AB53" s="1272">
        <v>3773.1</v>
      </c>
      <c r="AC53" s="1272">
        <v>934</v>
      </c>
      <c r="AD53" s="1272">
        <v>7570.7</v>
      </c>
      <c r="AE53" s="1281">
        <f t="shared" si="2"/>
        <v>56555.799999999996</v>
      </c>
    </row>
    <row r="54" spans="2:31" x14ac:dyDescent="0.3">
      <c r="B54" s="1258" t="s">
        <v>69</v>
      </c>
      <c r="C54" s="1280">
        <v>34</v>
      </c>
      <c r="D54" s="1272">
        <v>38</v>
      </c>
      <c r="E54" s="1272">
        <v>5</v>
      </c>
      <c r="F54" s="1272">
        <v>3</v>
      </c>
      <c r="G54" s="1272">
        <v>32</v>
      </c>
      <c r="H54" s="1272">
        <v>25</v>
      </c>
      <c r="I54" s="1272">
        <v>36</v>
      </c>
      <c r="J54" s="1272">
        <v>169</v>
      </c>
      <c r="K54" s="1272">
        <v>82</v>
      </c>
      <c r="L54" s="1272">
        <v>42</v>
      </c>
      <c r="M54" s="1272">
        <v>158</v>
      </c>
      <c r="N54" s="1272">
        <v>12</v>
      </c>
      <c r="O54" s="1272">
        <v>25</v>
      </c>
      <c r="P54" s="1272">
        <v>98</v>
      </c>
      <c r="Q54" s="1272">
        <v>38</v>
      </c>
      <c r="R54" s="1272">
        <v>0</v>
      </c>
      <c r="S54" s="1272">
        <v>281</v>
      </c>
      <c r="T54" s="1272">
        <v>3</v>
      </c>
      <c r="U54" s="1272">
        <v>9</v>
      </c>
      <c r="V54" s="1272">
        <v>55</v>
      </c>
      <c r="W54" s="1272">
        <v>75</v>
      </c>
      <c r="X54" s="1272">
        <v>6</v>
      </c>
      <c r="Y54" s="1272">
        <v>4</v>
      </c>
      <c r="Z54" s="1272">
        <v>10</v>
      </c>
      <c r="AA54" s="1272">
        <v>2</v>
      </c>
      <c r="AB54" s="1272">
        <v>28</v>
      </c>
      <c r="AC54" s="1272">
        <v>76</v>
      </c>
      <c r="AD54" s="1272">
        <v>165</v>
      </c>
      <c r="AE54" s="1281">
        <f t="shared" si="2"/>
        <v>1511</v>
      </c>
    </row>
    <row r="55" spans="2:31" x14ac:dyDescent="0.3">
      <c r="B55" s="1258" t="s">
        <v>489</v>
      </c>
      <c r="C55" s="1280">
        <v>30.8</v>
      </c>
      <c r="D55" s="1272">
        <v>49.9</v>
      </c>
      <c r="E55" s="1272">
        <v>30.7</v>
      </c>
      <c r="F55" s="1272">
        <v>17.7</v>
      </c>
      <c r="G55" s="1272">
        <v>62.2</v>
      </c>
      <c r="H55" s="1272">
        <v>29.4</v>
      </c>
      <c r="I55" s="1272">
        <v>158.4</v>
      </c>
      <c r="J55" s="1272">
        <v>139.1</v>
      </c>
      <c r="K55" s="1272">
        <v>59.4</v>
      </c>
      <c r="L55" s="1272">
        <v>80.7</v>
      </c>
      <c r="M55" s="1272">
        <v>290.5</v>
      </c>
      <c r="N55" s="1272">
        <v>93.5</v>
      </c>
      <c r="O55" s="1272">
        <v>34</v>
      </c>
      <c r="P55" s="1272">
        <v>135.80000000000001</v>
      </c>
      <c r="Q55" s="1272">
        <v>49.9</v>
      </c>
      <c r="R55" s="1272">
        <v>312.2</v>
      </c>
      <c r="S55" s="1272">
        <v>0</v>
      </c>
      <c r="T55" s="1272">
        <v>10.8</v>
      </c>
      <c r="U55" s="1272">
        <v>59.4</v>
      </c>
      <c r="V55" s="1272">
        <v>84.3</v>
      </c>
      <c r="W55" s="1272">
        <v>313.39999999999998</v>
      </c>
      <c r="X55" s="1272">
        <v>5.5</v>
      </c>
      <c r="Y55" s="1272">
        <v>33.5</v>
      </c>
      <c r="Z55" s="1272">
        <v>8.9</v>
      </c>
      <c r="AA55" s="1272">
        <v>7.6</v>
      </c>
      <c r="AB55" s="1272">
        <v>39.6</v>
      </c>
      <c r="AC55" s="1272">
        <v>160.80000000000001</v>
      </c>
      <c r="AD55" s="1272">
        <v>263.2</v>
      </c>
      <c r="AE55" s="1281">
        <f t="shared" si="2"/>
        <v>2561.2000000000003</v>
      </c>
    </row>
    <row r="56" spans="2:31" x14ac:dyDescent="0.3">
      <c r="B56" s="1258" t="s">
        <v>70</v>
      </c>
      <c r="C56" s="1280">
        <v>470</v>
      </c>
      <c r="D56" s="1272">
        <v>2493</v>
      </c>
      <c r="E56" s="1272">
        <v>25</v>
      </c>
      <c r="F56" s="1272">
        <v>13</v>
      </c>
      <c r="G56" s="1272">
        <v>42</v>
      </c>
      <c r="H56" s="1272">
        <v>172</v>
      </c>
      <c r="I56" s="1272">
        <v>461</v>
      </c>
      <c r="J56" s="1272">
        <v>30</v>
      </c>
      <c r="K56" s="1272">
        <v>171</v>
      </c>
      <c r="L56" s="1272">
        <v>4962</v>
      </c>
      <c r="M56" s="1272">
        <v>8882</v>
      </c>
      <c r="N56" s="1272">
        <v>152</v>
      </c>
      <c r="O56" s="1272">
        <v>244</v>
      </c>
      <c r="P56" s="1272">
        <v>3271</v>
      </c>
      <c r="Q56" s="1272">
        <v>2573</v>
      </c>
      <c r="R56" s="1272">
        <v>19</v>
      </c>
      <c r="S56" s="1272">
        <v>31</v>
      </c>
      <c r="T56" s="1272">
        <v>0</v>
      </c>
      <c r="U56" s="1272">
        <v>64</v>
      </c>
      <c r="V56" s="1272">
        <v>2254</v>
      </c>
      <c r="W56" s="1272">
        <v>239</v>
      </c>
      <c r="X56" s="1272">
        <v>356</v>
      </c>
      <c r="Y56" s="1272">
        <v>127</v>
      </c>
      <c r="Z56" s="1272">
        <v>82</v>
      </c>
      <c r="AA56" s="1272">
        <v>19</v>
      </c>
      <c r="AB56" s="1272">
        <v>1237</v>
      </c>
      <c r="AC56" s="1272">
        <v>1242</v>
      </c>
      <c r="AD56" s="1272">
        <v>11766</v>
      </c>
      <c r="AE56" s="1281">
        <f t="shared" si="2"/>
        <v>41397</v>
      </c>
    </row>
    <row r="57" spans="2:31" x14ac:dyDescent="0.3">
      <c r="B57" s="1258" t="s">
        <v>301</v>
      </c>
      <c r="C57" s="1280">
        <v>59</v>
      </c>
      <c r="D57" s="1272">
        <v>16</v>
      </c>
      <c r="E57" s="1272">
        <v>7</v>
      </c>
      <c r="F57" s="1272">
        <v>9</v>
      </c>
      <c r="G57" s="1272">
        <v>278</v>
      </c>
      <c r="H57" s="1272">
        <v>5</v>
      </c>
      <c r="I57" s="1272">
        <v>17</v>
      </c>
      <c r="J57" s="1272">
        <v>1</v>
      </c>
      <c r="K57" s="1272">
        <v>7</v>
      </c>
      <c r="L57" s="1272">
        <v>75</v>
      </c>
      <c r="M57" s="1272">
        <v>186</v>
      </c>
      <c r="N57" s="1272">
        <v>14</v>
      </c>
      <c r="O57" s="1272">
        <v>8</v>
      </c>
      <c r="P57" s="1272">
        <v>18</v>
      </c>
      <c r="Q57" s="1272">
        <v>237</v>
      </c>
      <c r="R57" s="1272">
        <v>1</v>
      </c>
      <c r="S57" s="1272">
        <v>1</v>
      </c>
      <c r="T57" s="1272">
        <v>14</v>
      </c>
      <c r="U57" s="1272">
        <v>0</v>
      </c>
      <c r="V57" s="1272">
        <v>31</v>
      </c>
      <c r="W57" s="1272">
        <v>7</v>
      </c>
      <c r="X57" s="1272">
        <v>5</v>
      </c>
      <c r="Y57" s="1272">
        <v>4</v>
      </c>
      <c r="Z57" s="1272">
        <v>0</v>
      </c>
      <c r="AA57" s="1272">
        <v>2</v>
      </c>
      <c r="AB57" s="1272">
        <v>33</v>
      </c>
      <c r="AC57" s="1272">
        <v>92</v>
      </c>
      <c r="AD57" s="1272">
        <v>650</v>
      </c>
      <c r="AE57" s="1281">
        <f t="shared" si="2"/>
        <v>1777</v>
      </c>
    </row>
    <row r="58" spans="2:31" x14ac:dyDescent="0.3">
      <c r="B58" s="1258" t="s">
        <v>72</v>
      </c>
      <c r="C58" s="1280">
        <v>1202.4000000000001</v>
      </c>
      <c r="D58" s="1272">
        <v>6163.2</v>
      </c>
      <c r="E58" s="1272">
        <v>191.9</v>
      </c>
      <c r="F58" s="1272">
        <v>193.3</v>
      </c>
      <c r="G58" s="1272">
        <v>124.4</v>
      </c>
      <c r="H58" s="1272">
        <v>411.4</v>
      </c>
      <c r="I58" s="1272">
        <v>1037.7</v>
      </c>
      <c r="J58" s="1272">
        <v>28.3</v>
      </c>
      <c r="K58" s="1272">
        <v>961.8</v>
      </c>
      <c r="L58" s="1272">
        <v>5447.4</v>
      </c>
      <c r="M58" s="1272">
        <v>13299</v>
      </c>
      <c r="N58" s="1272">
        <v>567.79999999999995</v>
      </c>
      <c r="O58" s="1272">
        <v>361.8</v>
      </c>
      <c r="P58" s="1272">
        <v>6055.7</v>
      </c>
      <c r="Q58" s="1272">
        <v>2406.9</v>
      </c>
      <c r="R58" s="1272">
        <v>62.8</v>
      </c>
      <c r="S58" s="1272">
        <v>114</v>
      </c>
      <c r="T58" s="1272">
        <v>1296.5999999999999</v>
      </c>
      <c r="U58" s="1272">
        <v>83.7</v>
      </c>
      <c r="V58" s="1272">
        <v>0</v>
      </c>
      <c r="W58" s="1272">
        <v>1207.2</v>
      </c>
      <c r="X58" s="1272">
        <v>459.5</v>
      </c>
      <c r="Y58" s="1272">
        <v>395.7</v>
      </c>
      <c r="Z58" s="1272">
        <v>233.3</v>
      </c>
      <c r="AA58" s="1272">
        <v>80.7</v>
      </c>
      <c r="AB58" s="1272">
        <v>2890.6</v>
      </c>
      <c r="AC58" s="1272">
        <v>1099.5</v>
      </c>
      <c r="AD58" s="1272">
        <v>16283.4</v>
      </c>
      <c r="AE58" s="1281">
        <f t="shared" si="2"/>
        <v>62659.999999999993</v>
      </c>
    </row>
    <row r="59" spans="2:31" x14ac:dyDescent="0.3">
      <c r="B59" s="1258" t="s">
        <v>75</v>
      </c>
      <c r="C59" s="1280">
        <v>850.4</v>
      </c>
      <c r="D59" s="1272">
        <v>700.7</v>
      </c>
      <c r="E59" s="1272">
        <v>162.5</v>
      </c>
      <c r="F59" s="1272">
        <v>320.7</v>
      </c>
      <c r="G59" s="1272">
        <v>356.1</v>
      </c>
      <c r="H59" s="1272">
        <v>1569.5</v>
      </c>
      <c r="I59" s="1272">
        <v>687.8</v>
      </c>
      <c r="J59" s="1272">
        <v>72.400000000000006</v>
      </c>
      <c r="K59" s="1272">
        <v>243.5</v>
      </c>
      <c r="L59" s="1272">
        <v>1743</v>
      </c>
      <c r="M59" s="1272">
        <v>6407.8</v>
      </c>
      <c r="N59" s="1272">
        <v>319.5</v>
      </c>
      <c r="O59" s="1272">
        <v>287</v>
      </c>
      <c r="P59" s="1272">
        <v>864.5</v>
      </c>
      <c r="Q59" s="1272">
        <v>1328.6</v>
      </c>
      <c r="R59" s="1272">
        <v>82.7</v>
      </c>
      <c r="S59" s="1272">
        <v>293.5</v>
      </c>
      <c r="T59" s="1272">
        <v>366.1</v>
      </c>
      <c r="U59" s="1272">
        <v>78.400000000000006</v>
      </c>
      <c r="V59" s="1272">
        <v>1519.6</v>
      </c>
      <c r="W59" s="1272">
        <v>0</v>
      </c>
      <c r="X59" s="1272">
        <v>126.2</v>
      </c>
      <c r="Y59" s="1272">
        <v>158.19999999999999</v>
      </c>
      <c r="Z59" s="1272">
        <v>713.2</v>
      </c>
      <c r="AA59" s="1272">
        <v>50.2</v>
      </c>
      <c r="AB59" s="1272">
        <v>642.9</v>
      </c>
      <c r="AC59" s="1272">
        <v>705.1</v>
      </c>
      <c r="AD59" s="1272">
        <v>2599.6</v>
      </c>
      <c r="AE59" s="1281">
        <f t="shared" si="2"/>
        <v>23249.7</v>
      </c>
    </row>
    <row r="60" spans="2:31" x14ac:dyDescent="0.3">
      <c r="B60" s="1258" t="s">
        <v>76</v>
      </c>
      <c r="C60" s="1280">
        <v>55</v>
      </c>
      <c r="D60" s="1272">
        <v>396</v>
      </c>
      <c r="E60" s="1272">
        <v>4</v>
      </c>
      <c r="F60" s="1272">
        <v>10</v>
      </c>
      <c r="G60" s="1272">
        <v>23</v>
      </c>
      <c r="H60" s="1272">
        <v>19</v>
      </c>
      <c r="I60" s="1272">
        <v>49</v>
      </c>
      <c r="J60" s="1272">
        <v>2</v>
      </c>
      <c r="K60" s="1272">
        <v>27</v>
      </c>
      <c r="L60" s="1272">
        <v>1177</v>
      </c>
      <c r="M60" s="1272">
        <v>940</v>
      </c>
      <c r="N60" s="1272">
        <v>28</v>
      </c>
      <c r="O60" s="1272">
        <v>123</v>
      </c>
      <c r="P60" s="1272">
        <v>329</v>
      </c>
      <c r="Q60" s="1272">
        <v>271</v>
      </c>
      <c r="R60" s="1272">
        <v>3</v>
      </c>
      <c r="S60" s="1272">
        <v>4</v>
      </c>
      <c r="T60" s="1272">
        <v>294</v>
      </c>
      <c r="U60" s="1272">
        <v>40</v>
      </c>
      <c r="V60" s="1272">
        <v>558</v>
      </c>
      <c r="W60" s="1272">
        <v>46</v>
      </c>
      <c r="X60" s="1272">
        <v>0</v>
      </c>
      <c r="Y60" s="1272">
        <v>18</v>
      </c>
      <c r="Z60" s="1272">
        <v>6</v>
      </c>
      <c r="AA60" s="1272">
        <v>6</v>
      </c>
      <c r="AB60" s="1272">
        <v>2381</v>
      </c>
      <c r="AC60" s="1272">
        <v>126</v>
      </c>
      <c r="AD60" s="1272">
        <v>1514</v>
      </c>
      <c r="AE60" s="1281">
        <f t="shared" si="2"/>
        <v>8449</v>
      </c>
    </row>
    <row r="61" spans="2:31" x14ac:dyDescent="0.3">
      <c r="B61" s="1258" t="s">
        <v>359</v>
      </c>
      <c r="C61" s="1280">
        <v>641.1</v>
      </c>
      <c r="D61" s="1272">
        <v>276.5</v>
      </c>
      <c r="E61" s="1272">
        <v>201.1</v>
      </c>
      <c r="F61" s="1272">
        <v>34.9</v>
      </c>
      <c r="G61" s="1272">
        <v>130.9</v>
      </c>
      <c r="H61" s="1272">
        <v>117.9</v>
      </c>
      <c r="I61" s="1272">
        <v>58.7</v>
      </c>
      <c r="J61" s="1272">
        <v>3.4</v>
      </c>
      <c r="K61" s="1272">
        <v>13</v>
      </c>
      <c r="L61" s="1272">
        <v>622.20000000000005</v>
      </c>
      <c r="M61" s="1272">
        <v>1487.4</v>
      </c>
      <c r="N61" s="1272">
        <v>189.9</v>
      </c>
      <c r="O61" s="1272">
        <v>313.39999999999998</v>
      </c>
      <c r="P61" s="1272">
        <v>253.5</v>
      </c>
      <c r="Q61" s="1272">
        <v>752.7</v>
      </c>
      <c r="R61" s="1272">
        <v>2.9</v>
      </c>
      <c r="S61" s="1272">
        <v>13.5</v>
      </c>
      <c r="T61" s="1272">
        <v>136.1</v>
      </c>
      <c r="U61" s="1272">
        <v>96.1</v>
      </c>
      <c r="V61" s="1272">
        <v>516.5</v>
      </c>
      <c r="W61" s="1272">
        <v>170.5</v>
      </c>
      <c r="X61" s="1272">
        <v>39.4</v>
      </c>
      <c r="Y61" s="1272">
        <v>0</v>
      </c>
      <c r="Z61" s="1272">
        <v>147.1</v>
      </c>
      <c r="AA61" s="1272">
        <v>28.3</v>
      </c>
      <c r="AB61" s="1272">
        <v>290</v>
      </c>
      <c r="AC61" s="1272">
        <v>92.9</v>
      </c>
      <c r="AD61" s="1272">
        <v>1041.5</v>
      </c>
      <c r="AE61" s="1281">
        <f t="shared" si="2"/>
        <v>7671.4000000000015</v>
      </c>
    </row>
    <row r="62" spans="2:31" x14ac:dyDescent="0.3">
      <c r="B62" s="1258" t="s">
        <v>96</v>
      </c>
      <c r="C62" s="1280">
        <v>653.5</v>
      </c>
      <c r="D62" s="1272">
        <v>123.6</v>
      </c>
      <c r="E62" s="1272">
        <v>72.8</v>
      </c>
      <c r="F62" s="1272">
        <v>197.7</v>
      </c>
      <c r="G62" s="1272">
        <v>64.5</v>
      </c>
      <c r="H62" s="1272">
        <v>1429.4</v>
      </c>
      <c r="I62" s="1272">
        <v>40</v>
      </c>
      <c r="J62" s="1272">
        <v>3</v>
      </c>
      <c r="K62" s="1272">
        <v>14.2</v>
      </c>
      <c r="L62" s="1272">
        <v>196.6</v>
      </c>
      <c r="M62" s="1272">
        <v>1014.9</v>
      </c>
      <c r="N62" s="1272">
        <v>45.3</v>
      </c>
      <c r="O62" s="1272">
        <v>299.2</v>
      </c>
      <c r="P62" s="1272">
        <v>56.9</v>
      </c>
      <c r="Q62" s="1272">
        <v>453.1</v>
      </c>
      <c r="R62" s="1272">
        <v>5.4</v>
      </c>
      <c r="S62" s="1272">
        <v>9.3000000000000007</v>
      </c>
      <c r="T62" s="1272">
        <v>52.9</v>
      </c>
      <c r="U62" s="1272">
        <v>11.4</v>
      </c>
      <c r="V62" s="1272">
        <v>155.30000000000001</v>
      </c>
      <c r="W62" s="1272">
        <v>586.6</v>
      </c>
      <c r="X62" s="1272">
        <v>59.1</v>
      </c>
      <c r="Y62" s="1272">
        <v>73.7</v>
      </c>
      <c r="Z62" s="1272">
        <v>0</v>
      </c>
      <c r="AA62" s="1272">
        <v>37.4</v>
      </c>
      <c r="AB62" s="1272">
        <v>73</v>
      </c>
      <c r="AC62" s="1272">
        <v>75.400000000000006</v>
      </c>
      <c r="AD62" s="1272">
        <v>203.2</v>
      </c>
      <c r="AE62" s="1281">
        <f t="shared" si="2"/>
        <v>6007.3999999999987</v>
      </c>
    </row>
    <row r="63" spans="2:31" x14ac:dyDescent="0.3">
      <c r="B63" s="1258" t="s">
        <v>78</v>
      </c>
      <c r="C63" s="1280">
        <v>522.4</v>
      </c>
      <c r="D63" s="1272">
        <v>82.1</v>
      </c>
      <c r="E63" s="1272">
        <v>53.7</v>
      </c>
      <c r="F63" s="1272">
        <v>547.5</v>
      </c>
      <c r="G63" s="1272">
        <v>10.7</v>
      </c>
      <c r="H63" s="1272">
        <v>65.2</v>
      </c>
      <c r="I63" s="1272">
        <v>50.2</v>
      </c>
      <c r="J63" s="1272">
        <v>3</v>
      </c>
      <c r="K63" s="1272">
        <v>14.4</v>
      </c>
      <c r="L63" s="1272">
        <v>144.4</v>
      </c>
      <c r="M63" s="1272">
        <v>511.9</v>
      </c>
      <c r="N63" s="1272">
        <v>19.600000000000001</v>
      </c>
      <c r="O63" s="1272">
        <v>88.6</v>
      </c>
      <c r="P63" s="1272">
        <v>58.8</v>
      </c>
      <c r="Q63" s="1272">
        <v>273.39999999999998</v>
      </c>
      <c r="R63" s="1272">
        <v>10.7</v>
      </c>
      <c r="S63" s="1272">
        <v>20.6</v>
      </c>
      <c r="T63" s="1272">
        <v>86.3</v>
      </c>
      <c r="U63" s="1272">
        <v>3.8</v>
      </c>
      <c r="V63" s="1272">
        <v>60.5</v>
      </c>
      <c r="W63" s="1272">
        <v>59.3</v>
      </c>
      <c r="X63" s="1272">
        <v>5.8</v>
      </c>
      <c r="Y63" s="1272">
        <v>51.1</v>
      </c>
      <c r="Z63" s="1272">
        <v>63.3</v>
      </c>
      <c r="AA63" s="1272">
        <v>0</v>
      </c>
      <c r="AB63" s="1272">
        <v>44.1</v>
      </c>
      <c r="AC63" s="1272">
        <v>23.4</v>
      </c>
      <c r="AD63" s="1272">
        <v>162</v>
      </c>
      <c r="AE63" s="1281">
        <f t="shared" si="2"/>
        <v>3036.8000000000011</v>
      </c>
    </row>
    <row r="64" spans="2:31" x14ac:dyDescent="0.3">
      <c r="B64" s="1258" t="s">
        <v>79</v>
      </c>
      <c r="C64" s="1280">
        <v>481.2</v>
      </c>
      <c r="D64" s="1272">
        <v>1850</v>
      </c>
      <c r="E64" s="1272">
        <v>0</v>
      </c>
      <c r="F64" s="1272">
        <v>0</v>
      </c>
      <c r="G64" s="1272">
        <v>0</v>
      </c>
      <c r="H64" s="1272">
        <v>0</v>
      </c>
      <c r="I64" s="1272">
        <v>568.9</v>
      </c>
      <c r="J64" s="1272">
        <v>0</v>
      </c>
      <c r="K64" s="1272">
        <v>0</v>
      </c>
      <c r="L64" s="1272">
        <v>8106</v>
      </c>
      <c r="M64" s="1272">
        <v>6628</v>
      </c>
      <c r="N64" s="1272">
        <v>322.8</v>
      </c>
      <c r="O64" s="1272">
        <v>0</v>
      </c>
      <c r="P64" s="1272">
        <v>0</v>
      </c>
      <c r="Q64" s="1272">
        <v>2836</v>
      </c>
      <c r="R64" s="1272">
        <v>0</v>
      </c>
      <c r="S64" s="1272">
        <v>0</v>
      </c>
      <c r="T64" s="1272">
        <v>0</v>
      </c>
      <c r="U64" s="1272">
        <v>0</v>
      </c>
      <c r="V64" s="1272">
        <v>2465</v>
      </c>
      <c r="W64" s="1272">
        <v>712.8</v>
      </c>
      <c r="X64" s="1272">
        <v>1725</v>
      </c>
      <c r="Y64" s="1272">
        <v>0</v>
      </c>
      <c r="Z64" s="1272">
        <v>0</v>
      </c>
      <c r="AA64" s="1272">
        <v>0</v>
      </c>
      <c r="AB64" s="1272">
        <v>0</v>
      </c>
      <c r="AC64" s="1272">
        <v>0</v>
      </c>
      <c r="AD64" s="1272">
        <v>9026</v>
      </c>
      <c r="AE64" s="1281">
        <f t="shared" si="2"/>
        <v>34721.699999999997</v>
      </c>
    </row>
    <row r="65" spans="2:34" x14ac:dyDescent="0.3">
      <c r="B65" s="1258" t="s">
        <v>80</v>
      </c>
      <c r="C65" s="1280">
        <v>533.20000000000005</v>
      </c>
      <c r="D65" s="1272">
        <v>1073.8</v>
      </c>
      <c r="E65" s="1272">
        <v>97.7</v>
      </c>
      <c r="F65" s="1272">
        <v>171.2</v>
      </c>
      <c r="G65" s="1272">
        <v>167.9</v>
      </c>
      <c r="H65" s="1272">
        <v>266.39999999999998</v>
      </c>
      <c r="I65" s="1272">
        <v>4386.8</v>
      </c>
      <c r="J65" s="1272">
        <v>355.1</v>
      </c>
      <c r="K65" s="1272">
        <v>3045.7</v>
      </c>
      <c r="L65" s="1272">
        <v>2169.6</v>
      </c>
      <c r="M65" s="1272">
        <v>5155.3999999999996</v>
      </c>
      <c r="N65" s="1272">
        <v>307.60000000000002</v>
      </c>
      <c r="O65" s="1272">
        <v>323.5</v>
      </c>
      <c r="P65" s="1272">
        <v>2145.3000000000002</v>
      </c>
      <c r="Q65" s="1272">
        <v>1144.7</v>
      </c>
      <c r="R65" s="1272">
        <v>213.1</v>
      </c>
      <c r="S65" s="1272">
        <v>340.5</v>
      </c>
      <c r="T65" s="1272">
        <v>954.6</v>
      </c>
      <c r="U65" s="1272">
        <v>60</v>
      </c>
      <c r="V65" s="1272">
        <v>1903.7</v>
      </c>
      <c r="W65" s="1272">
        <v>1312.6</v>
      </c>
      <c r="X65" s="1272">
        <v>147.4</v>
      </c>
      <c r="Y65" s="1272">
        <v>190.7</v>
      </c>
      <c r="Z65" s="1272">
        <v>108.5</v>
      </c>
      <c r="AA65" s="1272">
        <v>36.1</v>
      </c>
      <c r="AB65" s="1272">
        <v>1558.3</v>
      </c>
      <c r="AC65" s="1272">
        <v>0</v>
      </c>
      <c r="AD65" s="1272">
        <v>6421.6</v>
      </c>
      <c r="AE65" s="1281">
        <f t="shared" si="2"/>
        <v>34590.999999999993</v>
      </c>
    </row>
    <row r="66" spans="2:34" x14ac:dyDescent="0.3">
      <c r="B66" s="1258" t="s">
        <v>82</v>
      </c>
      <c r="C66" s="1280">
        <v>1299.2</v>
      </c>
      <c r="D66" s="1272">
        <v>3190.8</v>
      </c>
      <c r="E66" s="1272">
        <v>453.3</v>
      </c>
      <c r="F66" s="1272">
        <v>556.6</v>
      </c>
      <c r="G66" s="1272">
        <v>1315.7</v>
      </c>
      <c r="H66" s="1272">
        <v>768.8</v>
      </c>
      <c r="I66" s="1272">
        <v>1534.8</v>
      </c>
      <c r="J66" s="1272">
        <v>42.7</v>
      </c>
      <c r="K66" s="1272">
        <v>739.8</v>
      </c>
      <c r="L66" s="1272">
        <v>17779.400000000001</v>
      </c>
      <c r="M66" s="1272">
        <v>11644.4</v>
      </c>
      <c r="N66" s="1272">
        <v>3245.9</v>
      </c>
      <c r="O66" s="1272">
        <v>781.2</v>
      </c>
      <c r="P66" s="1272">
        <v>6698.4</v>
      </c>
      <c r="Q66" s="1272">
        <v>6416</v>
      </c>
      <c r="R66" s="1272">
        <v>168.1</v>
      </c>
      <c r="S66" s="1272">
        <v>286.60000000000002</v>
      </c>
      <c r="T66" s="1272">
        <v>2759.6</v>
      </c>
      <c r="U66" s="1272">
        <v>534.6</v>
      </c>
      <c r="V66" s="1272">
        <v>7220.6</v>
      </c>
      <c r="W66" s="1272">
        <v>2459.1999999999998</v>
      </c>
      <c r="X66" s="1272">
        <v>3485.6</v>
      </c>
      <c r="Y66" s="1272">
        <v>646.1</v>
      </c>
      <c r="Z66" s="1272">
        <v>300.3</v>
      </c>
      <c r="AA66" s="1272">
        <v>103.3</v>
      </c>
      <c r="AB66" s="1272">
        <v>14664.4</v>
      </c>
      <c r="AC66" s="1272">
        <v>4546.5</v>
      </c>
      <c r="AD66" s="1272">
        <v>0</v>
      </c>
      <c r="AE66" s="1281">
        <f t="shared" si="2"/>
        <v>93641.900000000009</v>
      </c>
    </row>
    <row r="67" spans="2:34" ht="14.5" x14ac:dyDescent="0.35">
      <c r="B67" s="1263" t="s">
        <v>738</v>
      </c>
      <c r="C67" s="1291">
        <v>31628.799999999999</v>
      </c>
      <c r="D67" s="1292">
        <v>43595.4</v>
      </c>
      <c r="E67" s="1292">
        <v>5175.8</v>
      </c>
      <c r="F67" s="1292">
        <v>6517.7</v>
      </c>
      <c r="G67" s="1292">
        <v>5099.8999999999996</v>
      </c>
      <c r="H67" s="1292">
        <v>14870</v>
      </c>
      <c r="I67" s="1292">
        <v>17569.900000000001</v>
      </c>
      <c r="J67" s="1292">
        <v>2715.5</v>
      </c>
      <c r="K67" s="1292">
        <v>10027.5</v>
      </c>
      <c r="L67" s="1292">
        <v>93338.1</v>
      </c>
      <c r="M67" s="1292">
        <v>137888.4</v>
      </c>
      <c r="N67" s="1292">
        <v>15300.1</v>
      </c>
      <c r="O67" s="1292">
        <v>9837.5</v>
      </c>
      <c r="P67" s="1292">
        <v>49764.800000000003</v>
      </c>
      <c r="Q67" s="1292">
        <v>55243.199999999997</v>
      </c>
      <c r="R67" s="1292">
        <v>2101.5</v>
      </c>
      <c r="S67" s="1292">
        <v>3597.2</v>
      </c>
      <c r="T67" s="1292">
        <v>37171.800000000003</v>
      </c>
      <c r="U67" s="1292">
        <v>3681.3</v>
      </c>
      <c r="V67" s="1292">
        <v>86276.4</v>
      </c>
      <c r="W67" s="1292">
        <v>24195</v>
      </c>
      <c r="X67" s="1292">
        <v>13822.5</v>
      </c>
      <c r="Y67" s="1292">
        <v>9259.7999999999993</v>
      </c>
      <c r="Z67" s="1292">
        <v>7628.7</v>
      </c>
      <c r="AA67" s="1292">
        <v>3387.5</v>
      </c>
      <c r="AB67" s="1292">
        <v>62446</v>
      </c>
      <c r="AC67" s="1292">
        <v>26631.4</v>
      </c>
      <c r="AD67" s="1292">
        <v>140928.6</v>
      </c>
      <c r="AE67" s="1288">
        <v>923132</v>
      </c>
      <c r="AH67" s="1250"/>
    </row>
    <row r="68" spans="2:34" ht="14.5" x14ac:dyDescent="0.35">
      <c r="B68" s="1269" t="s">
        <v>736</v>
      </c>
      <c r="C68" s="1291">
        <f t="shared" ref="C68:AE68" si="3">+C67-C58-C57-C56-C52-C43-C40</f>
        <v>28634.399999999998</v>
      </c>
      <c r="D68" s="1292">
        <f t="shared" si="3"/>
        <v>33035.200000000004</v>
      </c>
      <c r="E68" s="1292">
        <f t="shared" si="3"/>
        <v>4576.9000000000005</v>
      </c>
      <c r="F68" s="1292">
        <f t="shared" si="3"/>
        <v>6115.4</v>
      </c>
      <c r="G68" s="1292">
        <f t="shared" si="3"/>
        <v>4306.5</v>
      </c>
      <c r="H68" s="1292">
        <f t="shared" si="3"/>
        <v>13230.6</v>
      </c>
      <c r="I68" s="1292">
        <f t="shared" si="3"/>
        <v>14873.2</v>
      </c>
      <c r="J68" s="1292">
        <f t="shared" si="3"/>
        <v>2594.1999999999998</v>
      </c>
      <c r="K68" s="1292">
        <f t="shared" si="3"/>
        <v>8177.7000000000007</v>
      </c>
      <c r="L68" s="1292">
        <f t="shared" si="3"/>
        <v>65167.700000000012</v>
      </c>
      <c r="M68" s="1292">
        <f t="shared" si="3"/>
        <v>102998.39999999999</v>
      </c>
      <c r="N68" s="1292">
        <f t="shared" si="3"/>
        <v>13105.300000000001</v>
      </c>
      <c r="O68" s="1292">
        <f t="shared" si="3"/>
        <v>8745.7000000000007</v>
      </c>
      <c r="P68" s="1292">
        <f t="shared" si="3"/>
        <v>37683.100000000006</v>
      </c>
      <c r="Q68" s="1292">
        <f t="shared" si="3"/>
        <v>42910.299999999996</v>
      </c>
      <c r="R68" s="1292">
        <f t="shared" si="3"/>
        <v>1938.7</v>
      </c>
      <c r="S68" s="1292">
        <f t="shared" si="3"/>
        <v>3277.2</v>
      </c>
      <c r="T68" s="1292">
        <f t="shared" si="3"/>
        <v>23951.200000000004</v>
      </c>
      <c r="U68" s="1292">
        <f t="shared" si="3"/>
        <v>3130.6000000000004</v>
      </c>
      <c r="V68" s="1292">
        <f t="shared" si="3"/>
        <v>51253.399999999994</v>
      </c>
      <c r="W68" s="1292">
        <f t="shared" si="3"/>
        <v>20933.8</v>
      </c>
      <c r="X68" s="1292">
        <f t="shared" si="3"/>
        <v>11669</v>
      </c>
      <c r="Y68" s="1292">
        <f t="shared" si="3"/>
        <v>8024.0999999999985</v>
      </c>
      <c r="Z68" s="1292">
        <f t="shared" si="3"/>
        <v>6854.4</v>
      </c>
      <c r="AA68" s="1292">
        <f t="shared" si="3"/>
        <v>3152.8</v>
      </c>
      <c r="AB68" s="1292">
        <f t="shared" si="3"/>
        <v>53496.4</v>
      </c>
      <c r="AC68" s="1292">
        <f t="shared" si="3"/>
        <v>22843.9</v>
      </c>
      <c r="AD68" s="1292">
        <f t="shared" si="3"/>
        <v>90390.200000000012</v>
      </c>
      <c r="AE68" s="1288">
        <f t="shared" si="3"/>
        <v>690502</v>
      </c>
      <c r="AH68" s="1254"/>
    </row>
    <row r="69" spans="2:34" ht="14.5" x14ac:dyDescent="0.35">
      <c r="B69" s="1269" t="s">
        <v>737</v>
      </c>
      <c r="C69" s="1291">
        <f t="shared" ref="C69:AE69" si="4">+C67-C68</f>
        <v>2994.4000000000015</v>
      </c>
      <c r="D69" s="1292">
        <f t="shared" si="4"/>
        <v>10560.199999999997</v>
      </c>
      <c r="E69" s="1292">
        <f t="shared" si="4"/>
        <v>598.89999999999964</v>
      </c>
      <c r="F69" s="1292">
        <f t="shared" si="4"/>
        <v>402.30000000000018</v>
      </c>
      <c r="G69" s="1292">
        <f t="shared" si="4"/>
        <v>793.39999999999964</v>
      </c>
      <c r="H69" s="1292">
        <f t="shared" si="4"/>
        <v>1639.3999999999996</v>
      </c>
      <c r="I69" s="1292">
        <f t="shared" si="4"/>
        <v>2696.7000000000007</v>
      </c>
      <c r="J69" s="1292">
        <f t="shared" si="4"/>
        <v>121.30000000000018</v>
      </c>
      <c r="K69" s="1292">
        <f t="shared" si="4"/>
        <v>1849.7999999999993</v>
      </c>
      <c r="L69" s="1292">
        <f t="shared" si="4"/>
        <v>28170.399999999994</v>
      </c>
      <c r="M69" s="1292">
        <f t="shared" si="4"/>
        <v>34890</v>
      </c>
      <c r="N69" s="1292">
        <f t="shared" si="4"/>
        <v>2194.7999999999993</v>
      </c>
      <c r="O69" s="1292">
        <f t="shared" si="4"/>
        <v>1091.7999999999993</v>
      </c>
      <c r="P69" s="1292">
        <f t="shared" si="4"/>
        <v>12081.699999999997</v>
      </c>
      <c r="Q69" s="1292">
        <f t="shared" si="4"/>
        <v>12332.900000000001</v>
      </c>
      <c r="R69" s="1292">
        <f t="shared" si="4"/>
        <v>162.79999999999995</v>
      </c>
      <c r="S69" s="1292">
        <f t="shared" si="4"/>
        <v>320</v>
      </c>
      <c r="T69" s="1292">
        <f t="shared" si="4"/>
        <v>13220.599999999999</v>
      </c>
      <c r="U69" s="1292">
        <f t="shared" si="4"/>
        <v>550.69999999999982</v>
      </c>
      <c r="V69" s="1292">
        <f t="shared" si="4"/>
        <v>35023</v>
      </c>
      <c r="W69" s="1292">
        <f t="shared" si="4"/>
        <v>3261.2000000000007</v>
      </c>
      <c r="X69" s="1292">
        <f t="shared" si="4"/>
        <v>2153.5</v>
      </c>
      <c r="Y69" s="1292">
        <f t="shared" si="4"/>
        <v>1235.7000000000007</v>
      </c>
      <c r="Z69" s="1292">
        <f t="shared" si="4"/>
        <v>774.30000000000018</v>
      </c>
      <c r="AA69" s="1292">
        <f t="shared" si="4"/>
        <v>234.69999999999982</v>
      </c>
      <c r="AB69" s="1292">
        <f t="shared" si="4"/>
        <v>8949.5999999999985</v>
      </c>
      <c r="AC69" s="1292">
        <f t="shared" si="4"/>
        <v>3787.5</v>
      </c>
      <c r="AD69" s="1292">
        <f t="shared" si="4"/>
        <v>50538.399999999994</v>
      </c>
      <c r="AE69" s="1288">
        <f t="shared" si="4"/>
        <v>232630</v>
      </c>
      <c r="AH69" s="1252"/>
    </row>
    <row r="70" spans="2:34" ht="51" customHeight="1" x14ac:dyDescent="0.3">
      <c r="B70" s="1268" t="s">
        <v>744</v>
      </c>
      <c r="C70" s="1280"/>
      <c r="D70" s="1272"/>
      <c r="E70" s="1272"/>
      <c r="F70" s="1272"/>
      <c r="G70" s="1272"/>
      <c r="H70" s="1272"/>
      <c r="I70" s="1272"/>
      <c r="J70" s="1272"/>
      <c r="K70" s="1272"/>
      <c r="L70" s="1272"/>
      <c r="M70" s="1272"/>
      <c r="N70" s="1272"/>
      <c r="O70" s="1272"/>
      <c r="P70" s="1272"/>
      <c r="Q70" s="1272"/>
      <c r="R70" s="1272"/>
      <c r="S70" s="1272"/>
      <c r="T70" s="1272"/>
      <c r="U70" s="1272"/>
      <c r="V70" s="1272"/>
      <c r="W70" s="1272"/>
      <c r="X70" s="1272"/>
      <c r="Y70" s="1272"/>
      <c r="Z70" s="1272"/>
      <c r="AA70" s="1272"/>
      <c r="AB70" s="1272"/>
      <c r="AC70" s="1272"/>
      <c r="AD70" s="1272"/>
      <c r="AE70" s="1281"/>
    </row>
    <row r="71" spans="2:34" x14ac:dyDescent="0.3">
      <c r="B71" s="1258" t="s">
        <v>55</v>
      </c>
      <c r="C71" s="1280">
        <v>0</v>
      </c>
      <c r="D71" s="1272">
        <v>840</v>
      </c>
      <c r="E71" s="1272">
        <v>172.9</v>
      </c>
      <c r="F71" s="1272">
        <v>1044.7</v>
      </c>
      <c r="G71" s="1272">
        <v>38</v>
      </c>
      <c r="H71" s="1272">
        <v>654.9</v>
      </c>
      <c r="I71" s="1272">
        <v>172.8</v>
      </c>
      <c r="J71" s="1272">
        <v>43.3</v>
      </c>
      <c r="K71" s="1272">
        <v>441.4</v>
      </c>
      <c r="L71" s="1272">
        <v>890</v>
      </c>
      <c r="M71" s="1272">
        <v>8109</v>
      </c>
      <c r="N71" s="1272">
        <v>397.5</v>
      </c>
      <c r="O71" s="1272">
        <v>1702.6</v>
      </c>
      <c r="P71" s="1272">
        <v>766</v>
      </c>
      <c r="Q71" s="1272">
        <v>2378.6999999999998</v>
      </c>
      <c r="R71" s="1272">
        <v>46</v>
      </c>
      <c r="S71" s="1272">
        <v>161.5</v>
      </c>
      <c r="T71" s="1272">
        <v>662</v>
      </c>
      <c r="U71" s="1272">
        <v>91</v>
      </c>
      <c r="V71" s="1272">
        <v>809.9</v>
      </c>
      <c r="W71" s="1272">
        <v>863</v>
      </c>
      <c r="X71" s="1272">
        <v>247</v>
      </c>
      <c r="Y71" s="1272">
        <v>949.3</v>
      </c>
      <c r="Z71" s="1272">
        <v>491.5</v>
      </c>
      <c r="AA71" s="1272">
        <v>917.4</v>
      </c>
      <c r="AB71" s="1272">
        <v>740.9</v>
      </c>
      <c r="AC71" s="1272">
        <v>1017.2</v>
      </c>
      <c r="AD71" s="1272">
        <v>1459</v>
      </c>
      <c r="AE71" s="1281">
        <f>+SUM(C71:AD71)</f>
        <v>26107.500000000004</v>
      </c>
    </row>
    <row r="72" spans="2:34" x14ac:dyDescent="0.3">
      <c r="B72" s="1258" t="s">
        <v>2</v>
      </c>
      <c r="C72" s="1280">
        <v>839</v>
      </c>
      <c r="D72" s="1272">
        <v>0</v>
      </c>
      <c r="E72" s="1272">
        <v>203.1</v>
      </c>
      <c r="F72" s="1272">
        <v>235.9</v>
      </c>
      <c r="G72" s="1272">
        <v>39</v>
      </c>
      <c r="H72" s="1272">
        <v>829.9</v>
      </c>
      <c r="I72" s="1272">
        <v>964.1</v>
      </c>
      <c r="J72" s="1272">
        <v>42.2</v>
      </c>
      <c r="K72" s="1272">
        <v>237.8</v>
      </c>
      <c r="L72" s="1272">
        <v>13052</v>
      </c>
      <c r="M72" s="1272">
        <v>6157</v>
      </c>
      <c r="N72" s="1272">
        <v>664.8</v>
      </c>
      <c r="O72" s="1272">
        <v>375.3</v>
      </c>
      <c r="P72" s="1272">
        <v>2363</v>
      </c>
      <c r="Q72" s="1272">
        <v>3043.5</v>
      </c>
      <c r="R72" s="1272">
        <v>57</v>
      </c>
      <c r="S72" s="1272">
        <v>130</v>
      </c>
      <c r="T72" s="1272">
        <v>5377</v>
      </c>
      <c r="U72" s="1272">
        <v>36</v>
      </c>
      <c r="V72" s="1272">
        <v>5627.6</v>
      </c>
      <c r="W72" s="1272">
        <v>1047.0999999999999</v>
      </c>
      <c r="X72" s="1272">
        <v>815</v>
      </c>
      <c r="Y72" s="1272">
        <v>739.2</v>
      </c>
      <c r="Z72" s="1272">
        <v>148.30000000000001</v>
      </c>
      <c r="AA72" s="1272">
        <v>194.8</v>
      </c>
      <c r="AB72" s="1272">
        <v>2998</v>
      </c>
      <c r="AC72" s="1272">
        <v>740</v>
      </c>
      <c r="AD72" s="1272">
        <v>4944.6000000000004</v>
      </c>
      <c r="AE72" s="1281">
        <f>+SUM(C72:AD72)</f>
        <v>51901.2</v>
      </c>
    </row>
    <row r="73" spans="2:34" x14ac:dyDescent="0.3">
      <c r="B73" s="1258" t="s">
        <v>450</v>
      </c>
      <c r="C73" s="1280">
        <v>245</v>
      </c>
      <c r="D73" s="1272">
        <v>141</v>
      </c>
      <c r="E73" s="1272">
        <v>0</v>
      </c>
      <c r="F73" s="1272">
        <v>25.2</v>
      </c>
      <c r="G73" s="1272">
        <v>18</v>
      </c>
      <c r="H73" s="1272">
        <v>91.6</v>
      </c>
      <c r="I73" s="1272">
        <v>66.8</v>
      </c>
      <c r="J73" s="1272">
        <v>12.1</v>
      </c>
      <c r="K73" s="1272">
        <v>0</v>
      </c>
      <c r="L73" s="1272">
        <v>245</v>
      </c>
      <c r="M73" s="1272">
        <v>585</v>
      </c>
      <c r="N73" s="1272">
        <v>327.60000000000002</v>
      </c>
      <c r="O73" s="1272">
        <v>151.5</v>
      </c>
      <c r="P73" s="1272">
        <v>90</v>
      </c>
      <c r="Q73" s="1272">
        <v>254</v>
      </c>
      <c r="R73" s="1272">
        <v>8</v>
      </c>
      <c r="S73" s="1272">
        <v>8.3000000000000007</v>
      </c>
      <c r="T73" s="1272">
        <v>63</v>
      </c>
      <c r="U73" s="1272">
        <v>6</v>
      </c>
      <c r="V73" s="1272">
        <v>141.5</v>
      </c>
      <c r="W73" s="1272">
        <v>123.3</v>
      </c>
      <c r="X73" s="1272">
        <v>10</v>
      </c>
      <c r="Y73" s="1272">
        <v>263.39999999999998</v>
      </c>
      <c r="Z73" s="1272">
        <v>23.1</v>
      </c>
      <c r="AA73" s="1272">
        <v>30.7</v>
      </c>
      <c r="AB73" s="1272">
        <v>0</v>
      </c>
      <c r="AC73" s="1272">
        <v>53.7</v>
      </c>
      <c r="AD73" s="1272">
        <v>628.20000000000005</v>
      </c>
      <c r="AE73" s="1281">
        <f t="shared" ref="AE73:AE98" si="5">+SUM(C73:AD73)</f>
        <v>3612</v>
      </c>
    </row>
    <row r="74" spans="2:34" x14ac:dyDescent="0.3">
      <c r="B74" s="1258" t="s">
        <v>429</v>
      </c>
      <c r="C74" s="1280">
        <v>378</v>
      </c>
      <c r="D74" s="1272">
        <v>59</v>
      </c>
      <c r="E74" s="1272">
        <v>18.600000000000001</v>
      </c>
      <c r="F74" s="1272">
        <v>0</v>
      </c>
      <c r="G74" s="1272">
        <v>0</v>
      </c>
      <c r="H74" s="1272">
        <v>53.6</v>
      </c>
      <c r="I74" s="1272">
        <v>67.8</v>
      </c>
      <c r="J74" s="1272">
        <v>4.2</v>
      </c>
      <c r="K74" s="1272">
        <v>0</v>
      </c>
      <c r="L74" s="1272">
        <v>154</v>
      </c>
      <c r="M74" s="1272">
        <v>316</v>
      </c>
      <c r="N74" s="1272">
        <v>26.9</v>
      </c>
      <c r="O74" s="1272">
        <v>98.8</v>
      </c>
      <c r="P74" s="1272">
        <v>81</v>
      </c>
      <c r="Q74" s="1272">
        <v>277.3</v>
      </c>
      <c r="R74" s="1272">
        <v>1</v>
      </c>
      <c r="S74" s="1272">
        <v>1.8</v>
      </c>
      <c r="T74" s="1272">
        <v>57</v>
      </c>
      <c r="U74" s="1272">
        <v>3</v>
      </c>
      <c r="V74" s="1272">
        <v>105.6</v>
      </c>
      <c r="W74" s="1272">
        <v>57.4</v>
      </c>
      <c r="X74" s="1272">
        <v>8</v>
      </c>
      <c r="Y74" s="1272">
        <v>28.1</v>
      </c>
      <c r="Z74" s="1272">
        <v>26.5</v>
      </c>
      <c r="AA74" s="1272">
        <v>455.7</v>
      </c>
      <c r="AB74" s="1272">
        <v>0</v>
      </c>
      <c r="AC74" s="1272">
        <v>45.9</v>
      </c>
      <c r="AD74" s="1272">
        <v>252.1</v>
      </c>
      <c r="AE74" s="1281">
        <f t="shared" si="5"/>
        <v>2577.2999999999997</v>
      </c>
    </row>
    <row r="75" spans="2:34" x14ac:dyDescent="0.3">
      <c r="B75" s="1258" t="s">
        <v>116</v>
      </c>
      <c r="C75" s="1280">
        <v>141</v>
      </c>
      <c r="D75" s="1272">
        <v>364</v>
      </c>
      <c r="E75" s="1272">
        <v>74.900000000000006</v>
      </c>
      <c r="F75" s="1272">
        <v>7.2</v>
      </c>
      <c r="G75" s="1272">
        <v>0</v>
      </c>
      <c r="H75" s="1272">
        <v>119.8</v>
      </c>
      <c r="I75" s="1272">
        <v>42.5</v>
      </c>
      <c r="J75" s="1272">
        <v>44</v>
      </c>
      <c r="K75" s="1272">
        <v>36.200000000000003</v>
      </c>
      <c r="L75" s="1272">
        <v>91</v>
      </c>
      <c r="M75" s="1272">
        <v>513</v>
      </c>
      <c r="N75" s="1272">
        <v>627.6</v>
      </c>
      <c r="O75" s="1272">
        <v>41.8</v>
      </c>
      <c r="P75" s="1272">
        <v>0</v>
      </c>
      <c r="Q75" s="1272">
        <v>90.3</v>
      </c>
      <c r="R75" s="1272">
        <v>115</v>
      </c>
      <c r="S75" s="1272">
        <v>30</v>
      </c>
      <c r="T75" s="1272">
        <v>176</v>
      </c>
      <c r="U75" s="1272">
        <v>36</v>
      </c>
      <c r="V75" s="1272">
        <v>327.9</v>
      </c>
      <c r="W75" s="1272">
        <v>161.80000000000001</v>
      </c>
      <c r="X75" s="1272">
        <v>35</v>
      </c>
      <c r="Y75" s="1272">
        <v>101.2</v>
      </c>
      <c r="Z75" s="1272">
        <v>87.6</v>
      </c>
      <c r="AA75" s="1272">
        <v>29.9</v>
      </c>
      <c r="AB75" s="1272">
        <v>0</v>
      </c>
      <c r="AC75" s="1272">
        <v>133.1</v>
      </c>
      <c r="AD75" s="1272">
        <v>734.3</v>
      </c>
      <c r="AE75" s="1281">
        <f t="shared" si="5"/>
        <v>4161.1000000000004</v>
      </c>
    </row>
    <row r="76" spans="2:34" x14ac:dyDescent="0.3">
      <c r="B76" s="1258" t="s">
        <v>58</v>
      </c>
      <c r="C76" s="1280">
        <v>1265</v>
      </c>
      <c r="D76" s="1272">
        <v>545</v>
      </c>
      <c r="E76" s="1272">
        <v>142.5</v>
      </c>
      <c r="F76" s="1272">
        <v>167.6</v>
      </c>
      <c r="G76" s="1272">
        <v>31</v>
      </c>
      <c r="H76" s="1272">
        <v>0</v>
      </c>
      <c r="I76" s="1272">
        <v>151.6</v>
      </c>
      <c r="J76" s="1272">
        <v>15.9</v>
      </c>
      <c r="K76" s="1272">
        <v>0</v>
      </c>
      <c r="L76" s="1272">
        <v>774</v>
      </c>
      <c r="M76" s="1272">
        <v>3354</v>
      </c>
      <c r="N76" s="1272">
        <v>233.8</v>
      </c>
      <c r="O76" s="1272">
        <v>492.8</v>
      </c>
      <c r="P76" s="1272">
        <v>309</v>
      </c>
      <c r="Q76" s="1272">
        <v>757.5</v>
      </c>
      <c r="R76" s="1272">
        <v>20</v>
      </c>
      <c r="S76" s="1272">
        <v>26.4</v>
      </c>
      <c r="T76" s="1272">
        <v>327</v>
      </c>
      <c r="U76" s="1272">
        <v>24</v>
      </c>
      <c r="V76" s="1272">
        <v>888.5</v>
      </c>
      <c r="W76" s="1272">
        <v>1371.4</v>
      </c>
      <c r="X76" s="1272">
        <v>41</v>
      </c>
      <c r="Y76" s="1272">
        <v>109.6</v>
      </c>
      <c r="Z76" s="1272">
        <v>1243.3</v>
      </c>
      <c r="AA76" s="1272">
        <v>99.4</v>
      </c>
      <c r="AB76" s="1272">
        <v>0</v>
      </c>
      <c r="AC76" s="1272">
        <v>151.80000000000001</v>
      </c>
      <c r="AD76" s="1272">
        <v>1223.4000000000001</v>
      </c>
      <c r="AE76" s="1281">
        <f t="shared" si="5"/>
        <v>13765.499999999998</v>
      </c>
    </row>
    <row r="77" spans="2:34" x14ac:dyDescent="0.3">
      <c r="B77" s="1258" t="s">
        <v>59</v>
      </c>
      <c r="C77" s="1280">
        <v>317</v>
      </c>
      <c r="D77" s="1272">
        <v>929</v>
      </c>
      <c r="E77" s="1272">
        <v>65</v>
      </c>
      <c r="F77" s="1272">
        <v>116.2</v>
      </c>
      <c r="G77" s="1272">
        <v>566</v>
      </c>
      <c r="H77" s="1272">
        <v>213.9</v>
      </c>
      <c r="I77" s="1272">
        <v>0</v>
      </c>
      <c r="J77" s="1272">
        <v>84.3</v>
      </c>
      <c r="K77" s="1272">
        <v>442.2</v>
      </c>
      <c r="L77" s="1272">
        <v>1979</v>
      </c>
      <c r="M77" s="1272">
        <v>4051</v>
      </c>
      <c r="N77" s="1272">
        <v>215.2</v>
      </c>
      <c r="O77" s="1272">
        <v>354.7</v>
      </c>
      <c r="P77" s="1272">
        <v>1148</v>
      </c>
      <c r="Q77" s="1272">
        <v>668.4</v>
      </c>
      <c r="R77" s="1272">
        <v>98</v>
      </c>
      <c r="S77" s="1272">
        <v>319.7</v>
      </c>
      <c r="T77" s="1272">
        <v>471</v>
      </c>
      <c r="U77" s="1272">
        <v>71</v>
      </c>
      <c r="V77" s="1272">
        <v>1832.5</v>
      </c>
      <c r="W77" s="1272">
        <v>991.4</v>
      </c>
      <c r="X77" s="1272">
        <v>201</v>
      </c>
      <c r="Y77" s="1272">
        <v>177.5</v>
      </c>
      <c r="Z77" s="1272">
        <v>51.5</v>
      </c>
      <c r="AA77" s="1272">
        <v>58.9</v>
      </c>
      <c r="AB77" s="1272">
        <v>1355.1</v>
      </c>
      <c r="AC77" s="1272">
        <v>4190.8</v>
      </c>
      <c r="AD77" s="1272">
        <v>4321.8999999999996</v>
      </c>
      <c r="AE77" s="1281">
        <f t="shared" si="5"/>
        <v>25290.199999999997</v>
      </c>
    </row>
    <row r="78" spans="2:34" x14ac:dyDescent="0.3">
      <c r="B78" s="1258" t="s">
        <v>60</v>
      </c>
      <c r="C78" s="1280">
        <v>32</v>
      </c>
      <c r="D78" s="1272">
        <v>56</v>
      </c>
      <c r="E78" s="1272">
        <v>4.3</v>
      </c>
      <c r="F78" s="1272">
        <v>4.5999999999999996</v>
      </c>
      <c r="G78" s="1272">
        <v>4</v>
      </c>
      <c r="H78" s="1272">
        <v>26.1</v>
      </c>
      <c r="I78" s="1272">
        <v>114.6</v>
      </c>
      <c r="J78" s="1272">
        <v>0</v>
      </c>
      <c r="K78" s="1272">
        <v>443.7</v>
      </c>
      <c r="L78" s="1272">
        <v>33</v>
      </c>
      <c r="M78" s="1272">
        <v>0</v>
      </c>
      <c r="N78" s="1272">
        <v>38.6</v>
      </c>
      <c r="O78" s="1272">
        <v>2</v>
      </c>
      <c r="P78" s="1272">
        <v>15</v>
      </c>
      <c r="Q78" s="1272">
        <v>60.8</v>
      </c>
      <c r="R78" s="1272">
        <v>224</v>
      </c>
      <c r="S78" s="1272">
        <v>182.5</v>
      </c>
      <c r="T78" s="1272">
        <v>97</v>
      </c>
      <c r="U78" s="1272">
        <v>8</v>
      </c>
      <c r="V78" s="1272">
        <v>44.5</v>
      </c>
      <c r="W78" s="1272">
        <v>91.5</v>
      </c>
      <c r="X78" s="1272">
        <v>11</v>
      </c>
      <c r="Y78" s="1272">
        <v>7.9</v>
      </c>
      <c r="Z78" s="1272">
        <v>4.3</v>
      </c>
      <c r="AA78" s="1272">
        <v>9.1999999999999993</v>
      </c>
      <c r="AB78" s="1272">
        <v>0</v>
      </c>
      <c r="AC78" s="1272">
        <v>307.5</v>
      </c>
      <c r="AD78" s="1272">
        <v>133.6</v>
      </c>
      <c r="AE78" s="1281">
        <f t="shared" si="5"/>
        <v>1955.6999999999998</v>
      </c>
    </row>
    <row r="79" spans="2:34" x14ac:dyDescent="0.3">
      <c r="B79" s="1258" t="s">
        <v>61</v>
      </c>
      <c r="C79" s="1280">
        <v>323</v>
      </c>
      <c r="D79" s="1272">
        <v>422</v>
      </c>
      <c r="E79" s="1272">
        <v>34.799999999999997</v>
      </c>
      <c r="F79" s="1272">
        <v>32.299999999999997</v>
      </c>
      <c r="G79" s="1272">
        <v>14</v>
      </c>
      <c r="H79" s="1272">
        <v>169.6</v>
      </c>
      <c r="I79" s="1272">
        <v>978.7</v>
      </c>
      <c r="J79" s="1272">
        <v>1436.5</v>
      </c>
      <c r="K79" s="1272">
        <v>0</v>
      </c>
      <c r="L79" s="1272">
        <v>481</v>
      </c>
      <c r="M79" s="1272">
        <v>0</v>
      </c>
      <c r="N79" s="1272">
        <v>149.30000000000001</v>
      </c>
      <c r="O79" s="1272">
        <v>190.1</v>
      </c>
      <c r="P79" s="1272">
        <v>886</v>
      </c>
      <c r="Q79" s="1272">
        <v>352.1</v>
      </c>
      <c r="R79" s="1272">
        <v>92</v>
      </c>
      <c r="S79" s="1272">
        <v>124.6</v>
      </c>
      <c r="T79" s="1272">
        <v>524</v>
      </c>
      <c r="U79" s="1272">
        <v>31</v>
      </c>
      <c r="V79" s="1272">
        <v>1126.8</v>
      </c>
      <c r="W79" s="1272">
        <v>606.1</v>
      </c>
      <c r="X79" s="1272">
        <v>178</v>
      </c>
      <c r="Y79" s="1272">
        <v>33.5</v>
      </c>
      <c r="Z79" s="1272">
        <v>25.8</v>
      </c>
      <c r="AA79" s="1272">
        <v>15.5</v>
      </c>
      <c r="AB79" s="1272">
        <v>0</v>
      </c>
      <c r="AC79" s="1272">
        <v>4509.3999999999996</v>
      </c>
      <c r="AD79" s="1272">
        <v>1868.2</v>
      </c>
      <c r="AE79" s="1281">
        <f t="shared" si="5"/>
        <v>14604.300000000001</v>
      </c>
    </row>
    <row r="80" spans="2:34" x14ac:dyDescent="0.3">
      <c r="B80" s="1258" t="s">
        <v>48</v>
      </c>
      <c r="C80" s="1280">
        <v>1185</v>
      </c>
      <c r="D80" s="1272">
        <v>14455</v>
      </c>
      <c r="E80" s="1272">
        <v>296.2</v>
      </c>
      <c r="F80" s="1272">
        <v>269.8</v>
      </c>
      <c r="G80" s="1272">
        <v>60</v>
      </c>
      <c r="H80" s="1272">
        <v>759.7</v>
      </c>
      <c r="I80" s="1272">
        <v>1123.5</v>
      </c>
      <c r="J80" s="1272">
        <v>62.6</v>
      </c>
      <c r="K80" s="1272">
        <v>461</v>
      </c>
      <c r="L80" s="1272">
        <v>0</v>
      </c>
      <c r="M80" s="1272">
        <v>13644</v>
      </c>
      <c r="N80" s="1272">
        <v>1696.6</v>
      </c>
      <c r="O80" s="1272">
        <v>574.29999999999995</v>
      </c>
      <c r="P80" s="1272">
        <v>5933</v>
      </c>
      <c r="Q80" s="1272">
        <v>7524</v>
      </c>
      <c r="R80" s="1272">
        <v>97</v>
      </c>
      <c r="S80" s="1272">
        <v>286.39999999999998</v>
      </c>
      <c r="T80" s="1272">
        <v>8513</v>
      </c>
      <c r="U80" s="1272">
        <v>315</v>
      </c>
      <c r="V80" s="1272">
        <v>6493.5</v>
      </c>
      <c r="W80" s="1272">
        <v>1755.7</v>
      </c>
      <c r="X80" s="1272">
        <v>3516</v>
      </c>
      <c r="Y80" s="1272">
        <v>1460.6</v>
      </c>
      <c r="Z80" s="1272">
        <v>232.8</v>
      </c>
      <c r="AA80" s="1272">
        <v>189.1</v>
      </c>
      <c r="AB80" s="1272">
        <v>11916</v>
      </c>
      <c r="AC80" s="1272">
        <v>3023.9</v>
      </c>
      <c r="AD80" s="1272">
        <v>19498.8</v>
      </c>
      <c r="AE80" s="1281">
        <f t="shared" si="5"/>
        <v>105342.50000000001</v>
      </c>
    </row>
    <row r="81" spans="2:31" x14ac:dyDescent="0.3">
      <c r="B81" s="1258" t="s">
        <v>62</v>
      </c>
      <c r="C81" s="1280">
        <v>21268</v>
      </c>
      <c r="D81" s="1272">
        <v>9078</v>
      </c>
      <c r="E81" s="1272">
        <v>967</v>
      </c>
      <c r="F81" s="1272">
        <v>2391.5</v>
      </c>
      <c r="G81" s="1272">
        <v>661</v>
      </c>
      <c r="H81" s="1272">
        <v>4476.8999999999996</v>
      </c>
      <c r="I81" s="1272">
        <v>6468.8</v>
      </c>
      <c r="J81" s="1272">
        <v>246.3</v>
      </c>
      <c r="K81" s="1272">
        <v>1377.3</v>
      </c>
      <c r="L81" s="1272">
        <v>24609</v>
      </c>
      <c r="M81" s="1272">
        <v>0</v>
      </c>
      <c r="N81" s="1272">
        <v>4525.8</v>
      </c>
      <c r="O81" s="1272">
        <v>3633.5</v>
      </c>
      <c r="P81" s="1272">
        <v>9569</v>
      </c>
      <c r="Q81" s="1272">
        <v>10199.299999999999</v>
      </c>
      <c r="R81" s="1272">
        <v>229</v>
      </c>
      <c r="S81" s="1272">
        <v>647.70000000000005</v>
      </c>
      <c r="T81" s="1272">
        <v>13922</v>
      </c>
      <c r="U81" s="1272">
        <v>563</v>
      </c>
      <c r="V81" s="1272">
        <v>17640.3</v>
      </c>
      <c r="W81" s="1272">
        <v>9563.7999999999993</v>
      </c>
      <c r="X81" s="1272">
        <v>2330</v>
      </c>
      <c r="Y81" s="1272">
        <v>2997</v>
      </c>
      <c r="Z81" s="1272">
        <v>1190.3</v>
      </c>
      <c r="AA81" s="1272">
        <v>848.8</v>
      </c>
      <c r="AB81" s="1272">
        <v>11477</v>
      </c>
      <c r="AC81" s="1272">
        <v>4912.1000000000004</v>
      </c>
      <c r="AD81" s="1272">
        <v>19666.900000000001</v>
      </c>
      <c r="AE81" s="1281">
        <f t="shared" si="5"/>
        <v>185459.3</v>
      </c>
    </row>
    <row r="82" spans="2:31" x14ac:dyDescent="0.3">
      <c r="B82" s="1258" t="s">
        <v>63</v>
      </c>
      <c r="C82" s="1280">
        <v>144</v>
      </c>
      <c r="D82" s="1272">
        <v>345</v>
      </c>
      <c r="E82" s="1272">
        <v>367.8</v>
      </c>
      <c r="F82" s="1272">
        <v>11.8</v>
      </c>
      <c r="G82" s="1272">
        <v>194</v>
      </c>
      <c r="H82" s="1272">
        <v>80</v>
      </c>
      <c r="I82" s="1272">
        <v>198.3</v>
      </c>
      <c r="J82" s="1272">
        <v>11.6</v>
      </c>
      <c r="K82" s="1272">
        <v>61.6</v>
      </c>
      <c r="L82" s="1272">
        <v>464</v>
      </c>
      <c r="M82" s="1272">
        <v>1005</v>
      </c>
      <c r="N82" s="1272">
        <v>0</v>
      </c>
      <c r="O82" s="1272">
        <v>58.9</v>
      </c>
      <c r="P82" s="1272">
        <v>318</v>
      </c>
      <c r="Q82" s="1272">
        <v>558.79999999999995</v>
      </c>
      <c r="R82" s="1272">
        <v>8</v>
      </c>
      <c r="S82" s="1272">
        <v>7.9</v>
      </c>
      <c r="T82" s="1272">
        <v>188</v>
      </c>
      <c r="U82" s="1272">
        <v>34</v>
      </c>
      <c r="V82" s="1272">
        <v>496.7</v>
      </c>
      <c r="W82" s="1272">
        <v>60.5</v>
      </c>
      <c r="X82" s="1272">
        <v>48</v>
      </c>
      <c r="Y82" s="1272">
        <v>120.1</v>
      </c>
      <c r="Z82" s="1272">
        <v>22.7</v>
      </c>
      <c r="AA82" s="1272">
        <v>15.4</v>
      </c>
      <c r="AB82" s="1272">
        <v>449.8</v>
      </c>
      <c r="AC82" s="1272">
        <v>94</v>
      </c>
      <c r="AD82" s="1272">
        <v>1696</v>
      </c>
      <c r="AE82" s="1281">
        <f t="shared" si="5"/>
        <v>7059.9</v>
      </c>
    </row>
    <row r="83" spans="2:31" x14ac:dyDescent="0.3">
      <c r="B83" s="1258" t="s">
        <v>64</v>
      </c>
      <c r="C83" s="1280">
        <v>1302</v>
      </c>
      <c r="D83" s="1272">
        <v>323</v>
      </c>
      <c r="E83" s="1272">
        <v>123.3</v>
      </c>
      <c r="F83" s="1272">
        <v>182.8</v>
      </c>
      <c r="G83" s="1272">
        <v>14</v>
      </c>
      <c r="H83" s="1272">
        <v>341.5</v>
      </c>
      <c r="I83" s="1272">
        <v>191.9</v>
      </c>
      <c r="J83" s="1272">
        <v>8.6999999999999993</v>
      </c>
      <c r="K83" s="1272">
        <v>0</v>
      </c>
      <c r="L83" s="1272">
        <v>353</v>
      </c>
      <c r="M83" s="1272">
        <v>2072</v>
      </c>
      <c r="N83" s="1272">
        <v>72.3</v>
      </c>
      <c r="O83" s="1272">
        <v>0</v>
      </c>
      <c r="P83" s="1272">
        <v>0</v>
      </c>
      <c r="Q83" s="1272">
        <v>477</v>
      </c>
      <c r="R83" s="1272">
        <v>5</v>
      </c>
      <c r="S83" s="1272">
        <v>18.5</v>
      </c>
      <c r="T83" s="1272">
        <v>282</v>
      </c>
      <c r="U83" s="1272">
        <v>15</v>
      </c>
      <c r="V83" s="1272">
        <v>460.7</v>
      </c>
      <c r="W83" s="1272">
        <v>404.1</v>
      </c>
      <c r="X83" s="1272">
        <v>35</v>
      </c>
      <c r="Y83" s="1272">
        <v>558.1</v>
      </c>
      <c r="Z83" s="1272">
        <v>358.7</v>
      </c>
      <c r="AA83" s="1272">
        <v>201.7</v>
      </c>
      <c r="AB83" s="1272">
        <v>0</v>
      </c>
      <c r="AC83" s="1272">
        <v>138</v>
      </c>
      <c r="AD83" s="1272">
        <v>666.8</v>
      </c>
      <c r="AE83" s="1281">
        <f t="shared" si="5"/>
        <v>8605.1</v>
      </c>
    </row>
    <row r="84" spans="2:31" x14ac:dyDescent="0.3">
      <c r="B84" s="1258" t="s">
        <v>19</v>
      </c>
      <c r="C84" s="1280">
        <v>347</v>
      </c>
      <c r="D84" s="1272">
        <v>2437</v>
      </c>
      <c r="E84" s="1272">
        <v>84.5</v>
      </c>
      <c r="F84" s="1272">
        <v>76.2</v>
      </c>
      <c r="G84" s="1272">
        <v>9</v>
      </c>
      <c r="H84" s="1272">
        <v>584.70000000000005</v>
      </c>
      <c r="I84" s="1272">
        <v>578.29999999999995</v>
      </c>
      <c r="J84" s="1272">
        <v>27.7</v>
      </c>
      <c r="K84" s="1272">
        <v>379.1</v>
      </c>
      <c r="L84" s="1272">
        <v>4113</v>
      </c>
      <c r="M84" s="1272">
        <v>4272</v>
      </c>
      <c r="N84" s="1272">
        <v>186.4</v>
      </c>
      <c r="O84" s="1272">
        <v>338.7</v>
      </c>
      <c r="P84" s="1272">
        <v>0</v>
      </c>
      <c r="Q84" s="1272">
        <v>2289.1</v>
      </c>
      <c r="R84" s="1272">
        <v>45</v>
      </c>
      <c r="S84" s="1272">
        <v>30.6</v>
      </c>
      <c r="T84" s="1272">
        <v>1002</v>
      </c>
      <c r="U84" s="1272">
        <v>30</v>
      </c>
      <c r="V84" s="1272">
        <v>17987.099999999999</v>
      </c>
      <c r="W84" s="1272">
        <v>980.4</v>
      </c>
      <c r="X84" s="1272">
        <v>575</v>
      </c>
      <c r="Y84" s="1272">
        <v>184</v>
      </c>
      <c r="Z84" s="1272">
        <v>106</v>
      </c>
      <c r="AA84" s="1272">
        <v>52.4</v>
      </c>
      <c r="AB84" s="1272">
        <v>2396.9</v>
      </c>
      <c r="AC84" s="1272">
        <v>1602.4</v>
      </c>
      <c r="AD84" s="1272">
        <v>12841.7</v>
      </c>
      <c r="AE84" s="1281">
        <f t="shared" si="5"/>
        <v>53556.200000000012</v>
      </c>
    </row>
    <row r="85" spans="2:31" x14ac:dyDescent="0.3">
      <c r="B85" s="1258" t="s">
        <v>66</v>
      </c>
      <c r="C85" s="1280">
        <v>2538</v>
      </c>
      <c r="D85" s="1272">
        <v>2740</v>
      </c>
      <c r="E85" s="1272">
        <v>297.5</v>
      </c>
      <c r="F85" s="1272">
        <v>1029.0999999999999</v>
      </c>
      <c r="G85" s="1272">
        <v>28</v>
      </c>
      <c r="H85" s="1272">
        <v>523.79999999999995</v>
      </c>
      <c r="I85" s="1272">
        <v>863.8</v>
      </c>
      <c r="J85" s="1272">
        <v>39</v>
      </c>
      <c r="K85" s="1272">
        <v>345.5</v>
      </c>
      <c r="L85" s="1272">
        <v>10239</v>
      </c>
      <c r="M85" s="1272">
        <v>5857</v>
      </c>
      <c r="N85" s="1272">
        <v>1140.7</v>
      </c>
      <c r="O85" s="1272">
        <v>620.70000000000005</v>
      </c>
      <c r="P85" s="1272">
        <v>6242</v>
      </c>
      <c r="Q85" s="1272">
        <v>0</v>
      </c>
      <c r="R85" s="1272">
        <v>44</v>
      </c>
      <c r="S85" s="1272">
        <v>124</v>
      </c>
      <c r="T85" s="1272">
        <v>6474</v>
      </c>
      <c r="U85" s="1272">
        <v>386</v>
      </c>
      <c r="V85" s="1272">
        <v>3364</v>
      </c>
      <c r="W85" s="1272">
        <v>825</v>
      </c>
      <c r="X85" s="1272">
        <v>646</v>
      </c>
      <c r="Y85" s="1272">
        <v>1985.2</v>
      </c>
      <c r="Z85" s="1272">
        <v>246.5</v>
      </c>
      <c r="AA85" s="1272">
        <v>925.3</v>
      </c>
      <c r="AB85" s="1272">
        <v>4350</v>
      </c>
      <c r="AC85" s="1272">
        <v>896.7</v>
      </c>
      <c r="AD85" s="1272">
        <v>11345.5</v>
      </c>
      <c r="AE85" s="1281">
        <f t="shared" si="5"/>
        <v>64116.3</v>
      </c>
    </row>
    <row r="86" spans="2:31" x14ac:dyDescent="0.3">
      <c r="B86" s="1258" t="s">
        <v>69</v>
      </c>
      <c r="C86" s="1280">
        <v>45</v>
      </c>
      <c r="D86" s="1272">
        <v>53</v>
      </c>
      <c r="E86" s="1272">
        <v>7.2</v>
      </c>
      <c r="F86" s="1272">
        <v>6.6</v>
      </c>
      <c r="G86" s="1272">
        <v>7</v>
      </c>
      <c r="H86" s="1272">
        <v>23.9</v>
      </c>
      <c r="I86" s="1272">
        <v>283.8</v>
      </c>
      <c r="J86" s="1272">
        <v>282.3</v>
      </c>
      <c r="K86" s="1272">
        <v>130.30000000000001</v>
      </c>
      <c r="L86" s="1272">
        <v>57</v>
      </c>
      <c r="M86" s="1272">
        <v>0</v>
      </c>
      <c r="N86" s="1272">
        <v>77.599999999999994</v>
      </c>
      <c r="O86" s="1272">
        <v>27.1</v>
      </c>
      <c r="P86" s="1272">
        <v>53</v>
      </c>
      <c r="Q86" s="1272">
        <v>68.900000000000006</v>
      </c>
      <c r="R86" s="1272">
        <v>0</v>
      </c>
      <c r="S86" s="1272">
        <v>359.8</v>
      </c>
      <c r="T86" s="1272">
        <v>62</v>
      </c>
      <c r="U86" s="1272">
        <v>6</v>
      </c>
      <c r="V86" s="1272">
        <v>62.2</v>
      </c>
      <c r="W86" s="1272">
        <v>165.4</v>
      </c>
      <c r="X86" s="1272">
        <v>15</v>
      </c>
      <c r="Y86" s="1272">
        <v>3.1</v>
      </c>
      <c r="Z86" s="1272">
        <v>7</v>
      </c>
      <c r="AA86" s="1272">
        <v>5.8</v>
      </c>
      <c r="AB86" s="1272">
        <v>0</v>
      </c>
      <c r="AC86" s="1272">
        <v>162.30000000000001</v>
      </c>
      <c r="AD86" s="1272">
        <v>88.2</v>
      </c>
      <c r="AE86" s="1281">
        <f t="shared" si="5"/>
        <v>2059.5</v>
      </c>
    </row>
    <row r="87" spans="2:31" x14ac:dyDescent="0.3">
      <c r="B87" s="1258" t="s">
        <v>489</v>
      </c>
      <c r="C87" s="1280">
        <v>41</v>
      </c>
      <c r="D87" s="1272">
        <v>62</v>
      </c>
      <c r="E87" s="1272">
        <v>8.1999999999999993</v>
      </c>
      <c r="F87" s="1272">
        <v>4.7</v>
      </c>
      <c r="G87" s="1272">
        <v>12</v>
      </c>
      <c r="H87" s="1272">
        <v>43.8</v>
      </c>
      <c r="I87" s="1272">
        <v>203</v>
      </c>
      <c r="J87" s="1272">
        <v>164.7</v>
      </c>
      <c r="K87" s="1272">
        <v>65.5</v>
      </c>
      <c r="L87" s="1272">
        <v>76</v>
      </c>
      <c r="M87" s="1272">
        <v>0</v>
      </c>
      <c r="N87" s="1272">
        <v>37.299999999999997</v>
      </c>
      <c r="O87" s="1272">
        <v>45.8</v>
      </c>
      <c r="P87" s="1272">
        <v>69</v>
      </c>
      <c r="Q87" s="1272">
        <v>117.3</v>
      </c>
      <c r="R87" s="1272">
        <v>291</v>
      </c>
      <c r="S87" s="1272">
        <v>0</v>
      </c>
      <c r="T87" s="1272">
        <v>35</v>
      </c>
      <c r="U87" s="1272">
        <v>8</v>
      </c>
      <c r="V87" s="1272">
        <v>84.8</v>
      </c>
      <c r="W87" s="1272">
        <v>435.5</v>
      </c>
      <c r="X87" s="1272">
        <v>11</v>
      </c>
      <c r="Y87" s="1272">
        <v>33.700000000000003</v>
      </c>
      <c r="Z87" s="1272">
        <v>13.1</v>
      </c>
      <c r="AA87" s="1272">
        <v>9.1</v>
      </c>
      <c r="AB87" s="1272">
        <v>0</v>
      </c>
      <c r="AC87" s="1272">
        <v>181.1</v>
      </c>
      <c r="AD87" s="1272">
        <v>352.7</v>
      </c>
      <c r="AE87" s="1281">
        <f t="shared" si="5"/>
        <v>2405.2999999999993</v>
      </c>
    </row>
    <row r="88" spans="2:31" x14ac:dyDescent="0.3">
      <c r="B88" s="1258" t="s">
        <v>70</v>
      </c>
      <c r="C88" s="1280">
        <v>387</v>
      </c>
      <c r="D88" s="1272">
        <v>4546</v>
      </c>
      <c r="E88" s="1272">
        <v>29.4</v>
      </c>
      <c r="F88" s="1272">
        <v>19.399999999999999</v>
      </c>
      <c r="G88" s="1272">
        <v>54</v>
      </c>
      <c r="H88" s="1272">
        <v>187.4</v>
      </c>
      <c r="I88" s="1272">
        <v>140.6</v>
      </c>
      <c r="J88" s="1272">
        <v>19.399999999999999</v>
      </c>
      <c r="K88" s="1272">
        <v>0</v>
      </c>
      <c r="L88" s="1272">
        <v>6868</v>
      </c>
      <c r="M88" s="1272">
        <v>7924</v>
      </c>
      <c r="N88" s="1272">
        <v>222.6</v>
      </c>
      <c r="O88" s="1272">
        <v>170.2</v>
      </c>
      <c r="P88" s="1272">
        <v>1477</v>
      </c>
      <c r="Q88" s="1272">
        <v>1800.5</v>
      </c>
      <c r="R88" s="1272">
        <v>19</v>
      </c>
      <c r="S88" s="1272">
        <v>38.1</v>
      </c>
      <c r="T88" s="1272">
        <v>0</v>
      </c>
      <c r="U88" s="1272">
        <v>34</v>
      </c>
      <c r="V88" s="1272">
        <v>1472.5</v>
      </c>
      <c r="W88" s="1272">
        <v>698.4</v>
      </c>
      <c r="X88" s="1272">
        <v>374</v>
      </c>
      <c r="Y88" s="1272">
        <v>157.9</v>
      </c>
      <c r="Z88" s="1272">
        <v>57.9</v>
      </c>
      <c r="AA88" s="1272">
        <v>97.3</v>
      </c>
      <c r="AB88" s="1272">
        <v>0</v>
      </c>
      <c r="AC88" s="1272">
        <v>886.9</v>
      </c>
      <c r="AD88" s="1272">
        <v>3044.7</v>
      </c>
      <c r="AE88" s="1281">
        <f t="shared" si="5"/>
        <v>30726.2</v>
      </c>
    </row>
    <row r="89" spans="2:31" x14ac:dyDescent="0.3">
      <c r="B89" s="1258" t="s">
        <v>301</v>
      </c>
      <c r="C89" s="1280">
        <v>125</v>
      </c>
      <c r="D89" s="1272">
        <v>105</v>
      </c>
      <c r="E89" s="1272">
        <v>9.5</v>
      </c>
      <c r="F89" s="1272">
        <v>7.6</v>
      </c>
      <c r="G89" s="1272">
        <v>6</v>
      </c>
      <c r="H89" s="1272">
        <v>12.2</v>
      </c>
      <c r="I89" s="1272">
        <v>85.7</v>
      </c>
      <c r="J89" s="1272">
        <v>23.4</v>
      </c>
      <c r="K89" s="1272">
        <v>0</v>
      </c>
      <c r="L89" s="1272">
        <v>388</v>
      </c>
      <c r="M89" s="1272">
        <v>302</v>
      </c>
      <c r="N89" s="1272">
        <v>134.6</v>
      </c>
      <c r="O89" s="1272">
        <v>47</v>
      </c>
      <c r="P89" s="1272">
        <v>107</v>
      </c>
      <c r="Q89" s="1272">
        <v>127.3</v>
      </c>
      <c r="R89" s="1272">
        <v>33</v>
      </c>
      <c r="S89" s="1272">
        <v>2.1</v>
      </c>
      <c r="T89" s="1272">
        <v>181</v>
      </c>
      <c r="U89" s="1272">
        <v>0</v>
      </c>
      <c r="V89" s="1272">
        <v>50</v>
      </c>
      <c r="W89" s="1272">
        <v>78.400000000000006</v>
      </c>
      <c r="X89" s="1272">
        <v>27</v>
      </c>
      <c r="Y89" s="1272">
        <v>25.6</v>
      </c>
      <c r="Z89" s="1272">
        <v>9.6999999999999993</v>
      </c>
      <c r="AA89" s="1272">
        <v>5.2</v>
      </c>
      <c r="AB89" s="1272">
        <v>0</v>
      </c>
      <c r="AC89" s="1272">
        <v>282</v>
      </c>
      <c r="AD89" s="1272">
        <v>949.2</v>
      </c>
      <c r="AE89" s="1281">
        <f t="shared" si="5"/>
        <v>3123.5</v>
      </c>
    </row>
    <row r="90" spans="2:31" x14ac:dyDescent="0.3">
      <c r="B90" s="1258" t="s">
        <v>72</v>
      </c>
      <c r="C90" s="1280">
        <v>2203</v>
      </c>
      <c r="D90" s="1272">
        <v>14644</v>
      </c>
      <c r="E90" s="1272">
        <v>201.3</v>
      </c>
      <c r="F90" s="1272">
        <v>385.5</v>
      </c>
      <c r="G90" s="1272">
        <v>175</v>
      </c>
      <c r="H90" s="1272">
        <v>686.4</v>
      </c>
      <c r="I90" s="1272">
        <v>1787.4</v>
      </c>
      <c r="J90" s="1272">
        <v>120.1</v>
      </c>
      <c r="K90" s="1272">
        <v>594.4</v>
      </c>
      <c r="L90" s="1272">
        <v>12064</v>
      </c>
      <c r="M90" s="1272">
        <v>13955</v>
      </c>
      <c r="N90" s="1272">
        <v>903.6</v>
      </c>
      <c r="O90" s="1272">
        <v>716.1</v>
      </c>
      <c r="P90" s="1272">
        <v>4009</v>
      </c>
      <c r="Q90" s="1272">
        <v>2654.9</v>
      </c>
      <c r="R90" s="1272">
        <v>121</v>
      </c>
      <c r="S90" s="1272">
        <v>236.9</v>
      </c>
      <c r="T90" s="1272">
        <v>2566</v>
      </c>
      <c r="U90" s="1272">
        <v>84</v>
      </c>
      <c r="V90" s="1272">
        <v>0</v>
      </c>
      <c r="W90" s="1272">
        <v>2330.6999999999998</v>
      </c>
      <c r="X90" s="1272">
        <v>1034</v>
      </c>
      <c r="Y90" s="1272">
        <v>934.2</v>
      </c>
      <c r="Z90" s="1272">
        <v>348.2</v>
      </c>
      <c r="AA90" s="1272">
        <v>146.30000000000001</v>
      </c>
      <c r="AB90" s="1272">
        <v>4927</v>
      </c>
      <c r="AC90" s="1272">
        <v>2099.4</v>
      </c>
      <c r="AD90" s="1272">
        <v>17163.599999999999</v>
      </c>
      <c r="AE90" s="1281">
        <f t="shared" si="5"/>
        <v>87091</v>
      </c>
    </row>
    <row r="91" spans="2:31" x14ac:dyDescent="0.3">
      <c r="B91" s="1258" t="s">
        <v>75</v>
      </c>
      <c r="C91" s="1280">
        <v>817</v>
      </c>
      <c r="D91" s="1272">
        <v>846</v>
      </c>
      <c r="E91" s="1272">
        <v>156.80000000000001</v>
      </c>
      <c r="F91" s="1272">
        <v>216.2</v>
      </c>
      <c r="G91" s="1272">
        <v>55</v>
      </c>
      <c r="H91" s="1272">
        <v>753.5</v>
      </c>
      <c r="I91" s="1272">
        <v>791.7</v>
      </c>
      <c r="J91" s="1272">
        <v>106.6</v>
      </c>
      <c r="K91" s="1272">
        <v>274</v>
      </c>
      <c r="L91" s="1272">
        <v>1453</v>
      </c>
      <c r="M91" s="1272">
        <v>4891</v>
      </c>
      <c r="N91" s="1272">
        <v>431.5</v>
      </c>
      <c r="O91" s="1272">
        <v>500.8</v>
      </c>
      <c r="P91" s="1272">
        <v>880</v>
      </c>
      <c r="Q91" s="1272">
        <v>1561</v>
      </c>
      <c r="R91" s="1272">
        <v>50</v>
      </c>
      <c r="S91" s="1272">
        <v>275.60000000000002</v>
      </c>
      <c r="T91" s="1272">
        <v>418</v>
      </c>
      <c r="U91" s="1272">
        <v>139</v>
      </c>
      <c r="V91" s="1272">
        <v>1548.1</v>
      </c>
      <c r="W91" s="1272">
        <v>0</v>
      </c>
      <c r="X91" s="1272">
        <v>139</v>
      </c>
      <c r="Y91" s="1272">
        <v>186.9</v>
      </c>
      <c r="Z91" s="1272">
        <v>646.79999999999995</v>
      </c>
      <c r="AA91" s="1272">
        <v>70.400000000000006</v>
      </c>
      <c r="AB91" s="1272">
        <v>1084.0999999999999</v>
      </c>
      <c r="AC91" s="1272">
        <v>635.9</v>
      </c>
      <c r="AD91" s="1272">
        <v>2723.7</v>
      </c>
      <c r="AE91" s="1281">
        <f t="shared" si="5"/>
        <v>21651.600000000002</v>
      </c>
    </row>
    <row r="92" spans="2:31" x14ac:dyDescent="0.3">
      <c r="B92" s="1258" t="s">
        <v>76</v>
      </c>
      <c r="C92" s="1280">
        <v>87</v>
      </c>
      <c r="D92" s="1272">
        <v>660</v>
      </c>
      <c r="E92" s="1272">
        <v>14.6</v>
      </c>
      <c r="F92" s="1272">
        <v>21.9</v>
      </c>
      <c r="G92" s="1272">
        <v>9</v>
      </c>
      <c r="H92" s="1272">
        <v>47.5</v>
      </c>
      <c r="I92" s="1272">
        <v>180.3</v>
      </c>
      <c r="J92" s="1272">
        <v>10.199999999999999</v>
      </c>
      <c r="K92" s="1272">
        <v>30.3</v>
      </c>
      <c r="L92" s="1272">
        <v>1873</v>
      </c>
      <c r="M92" s="1272">
        <v>1007</v>
      </c>
      <c r="N92" s="1272">
        <v>65.400000000000006</v>
      </c>
      <c r="O92" s="1272">
        <v>86.1</v>
      </c>
      <c r="P92" s="1272">
        <v>789</v>
      </c>
      <c r="Q92" s="1272">
        <v>399.5</v>
      </c>
      <c r="R92" s="1272">
        <v>4</v>
      </c>
      <c r="S92" s="1272">
        <v>14.7</v>
      </c>
      <c r="T92" s="1272">
        <v>639</v>
      </c>
      <c r="U92" s="1272">
        <v>10</v>
      </c>
      <c r="V92" s="1272">
        <v>455.8</v>
      </c>
      <c r="W92" s="1272">
        <v>90.3</v>
      </c>
      <c r="X92" s="1272">
        <v>0</v>
      </c>
      <c r="Y92" s="1272">
        <v>31</v>
      </c>
      <c r="Z92" s="1272">
        <v>6.9</v>
      </c>
      <c r="AA92" s="1272">
        <v>7.9</v>
      </c>
      <c r="AB92" s="1272">
        <v>3115</v>
      </c>
      <c r="AC92" s="1272">
        <v>192.4</v>
      </c>
      <c r="AD92" s="1272">
        <v>1649.1</v>
      </c>
      <c r="AE92" s="1281">
        <f t="shared" si="5"/>
        <v>11496.9</v>
      </c>
    </row>
    <row r="93" spans="2:31" x14ac:dyDescent="0.3">
      <c r="B93" s="1258" t="s">
        <v>359</v>
      </c>
      <c r="C93" s="1280">
        <v>760</v>
      </c>
      <c r="D93" s="1272">
        <v>428</v>
      </c>
      <c r="E93" s="1272">
        <v>259.8</v>
      </c>
      <c r="F93" s="1272">
        <v>28</v>
      </c>
      <c r="G93" s="1272">
        <v>45</v>
      </c>
      <c r="H93" s="1272">
        <v>174.7</v>
      </c>
      <c r="I93" s="1272">
        <v>135</v>
      </c>
      <c r="J93" s="1272">
        <v>8.4</v>
      </c>
      <c r="K93" s="1272">
        <v>0</v>
      </c>
      <c r="L93" s="1272">
        <v>580</v>
      </c>
      <c r="M93" s="1272">
        <v>0</v>
      </c>
      <c r="N93" s="1272">
        <v>242</v>
      </c>
      <c r="O93" s="1272">
        <v>894.8</v>
      </c>
      <c r="P93" s="1272">
        <v>137</v>
      </c>
      <c r="Q93" s="1272">
        <v>827.3</v>
      </c>
      <c r="R93" s="1272">
        <v>3</v>
      </c>
      <c r="S93" s="1272">
        <v>5.7</v>
      </c>
      <c r="T93" s="1272">
        <v>235</v>
      </c>
      <c r="U93" s="1272">
        <v>12</v>
      </c>
      <c r="V93" s="1272">
        <v>521.5</v>
      </c>
      <c r="W93" s="1272">
        <v>203.6</v>
      </c>
      <c r="X93" s="1272">
        <v>43</v>
      </c>
      <c r="Y93" s="1272">
        <v>0</v>
      </c>
      <c r="Z93" s="1272">
        <v>76.3</v>
      </c>
      <c r="AA93" s="1272">
        <v>49.4</v>
      </c>
      <c r="AB93" s="1272">
        <v>0</v>
      </c>
      <c r="AC93" s="1272">
        <v>95.3</v>
      </c>
      <c r="AD93" s="1272">
        <v>982.3</v>
      </c>
      <c r="AE93" s="1281">
        <f t="shared" si="5"/>
        <v>6747.1</v>
      </c>
    </row>
    <row r="94" spans="2:31" x14ac:dyDescent="0.3">
      <c r="B94" s="1258" t="s">
        <v>96</v>
      </c>
      <c r="C94" s="1280">
        <v>882</v>
      </c>
      <c r="D94" s="1272">
        <v>250</v>
      </c>
      <c r="E94" s="1272">
        <v>55.7</v>
      </c>
      <c r="F94" s="1272">
        <v>225.6</v>
      </c>
      <c r="G94" s="1272">
        <v>6</v>
      </c>
      <c r="H94" s="1272">
        <v>1555.2</v>
      </c>
      <c r="I94" s="1272">
        <v>131.5</v>
      </c>
      <c r="J94" s="1272">
        <v>7.3</v>
      </c>
      <c r="K94" s="1272">
        <v>16.399999999999999</v>
      </c>
      <c r="L94" s="1272">
        <v>339</v>
      </c>
      <c r="M94" s="1272">
        <v>822</v>
      </c>
      <c r="N94" s="1272">
        <v>53.5</v>
      </c>
      <c r="O94" s="1272">
        <v>666.9</v>
      </c>
      <c r="P94" s="1272">
        <v>98</v>
      </c>
      <c r="Q94" s="1272">
        <v>431.2</v>
      </c>
      <c r="R94" s="1272">
        <v>5</v>
      </c>
      <c r="S94" s="1272">
        <v>16.600000000000001</v>
      </c>
      <c r="T94" s="1272">
        <v>154</v>
      </c>
      <c r="U94" s="1272">
        <v>5</v>
      </c>
      <c r="V94" s="1272">
        <v>188.2</v>
      </c>
      <c r="W94" s="1272">
        <v>726.1</v>
      </c>
      <c r="X94" s="1272">
        <v>54</v>
      </c>
      <c r="Y94" s="1272">
        <v>99</v>
      </c>
      <c r="Z94" s="1272">
        <v>0</v>
      </c>
      <c r="AA94" s="1272">
        <v>78.400000000000006</v>
      </c>
      <c r="AB94" s="1272">
        <v>128.9</v>
      </c>
      <c r="AC94" s="1272">
        <v>86.2</v>
      </c>
      <c r="AD94" s="1272">
        <v>582.79999999999995</v>
      </c>
      <c r="AE94" s="1281">
        <f t="shared" si="5"/>
        <v>7664.5</v>
      </c>
    </row>
    <row r="95" spans="2:31" x14ac:dyDescent="0.3">
      <c r="B95" s="1258" t="s">
        <v>78</v>
      </c>
      <c r="C95" s="1280">
        <v>545</v>
      </c>
      <c r="D95" s="1272">
        <v>79</v>
      </c>
      <c r="E95" s="1272">
        <v>50.9</v>
      </c>
      <c r="F95" s="1272">
        <v>771.2</v>
      </c>
      <c r="G95" s="1272">
        <v>1</v>
      </c>
      <c r="H95" s="1272">
        <v>102.2</v>
      </c>
      <c r="I95" s="1272">
        <v>60.5</v>
      </c>
      <c r="J95" s="1272">
        <v>8.8000000000000007</v>
      </c>
      <c r="K95" s="1272">
        <v>0</v>
      </c>
      <c r="L95" s="1272">
        <v>117</v>
      </c>
      <c r="M95" s="1272">
        <v>0</v>
      </c>
      <c r="N95" s="1272">
        <v>29.5</v>
      </c>
      <c r="O95" s="1272">
        <v>81.400000000000006</v>
      </c>
      <c r="P95" s="1272">
        <v>55</v>
      </c>
      <c r="Q95" s="1272">
        <v>438.8</v>
      </c>
      <c r="R95" s="1272">
        <v>7</v>
      </c>
      <c r="S95" s="1272">
        <v>13.6</v>
      </c>
      <c r="T95" s="1272">
        <v>29</v>
      </c>
      <c r="U95" s="1272">
        <v>3</v>
      </c>
      <c r="V95" s="1272">
        <v>57.3</v>
      </c>
      <c r="W95" s="1272">
        <v>67.900000000000006</v>
      </c>
      <c r="X95" s="1272">
        <v>9</v>
      </c>
      <c r="Y95" s="1272">
        <v>38.5</v>
      </c>
      <c r="Z95" s="1272">
        <v>31.7</v>
      </c>
      <c r="AA95" s="1272">
        <v>0</v>
      </c>
      <c r="AB95" s="1272">
        <v>0</v>
      </c>
      <c r="AC95" s="1272">
        <v>34.9</v>
      </c>
      <c r="AD95" s="1272">
        <v>130.9</v>
      </c>
      <c r="AE95" s="1281">
        <f t="shared" si="5"/>
        <v>2763.1000000000004</v>
      </c>
    </row>
    <row r="96" spans="2:31" x14ac:dyDescent="0.3">
      <c r="B96" s="1258" t="s">
        <v>79</v>
      </c>
      <c r="C96" s="1280">
        <v>435</v>
      </c>
      <c r="D96" s="1272">
        <v>1667</v>
      </c>
      <c r="E96" s="1272">
        <v>97.9</v>
      </c>
      <c r="F96" s="1272">
        <v>73.7</v>
      </c>
      <c r="G96" s="1272">
        <v>25</v>
      </c>
      <c r="H96" s="1272">
        <v>360.6</v>
      </c>
      <c r="I96" s="1272">
        <v>964.9</v>
      </c>
      <c r="J96" s="1272">
        <v>33.200000000000003</v>
      </c>
      <c r="K96" s="1272">
        <v>304.89999999999998</v>
      </c>
      <c r="L96" s="1272">
        <v>9183</v>
      </c>
      <c r="M96" s="1272">
        <v>5351</v>
      </c>
      <c r="N96" s="1272">
        <v>211.7</v>
      </c>
      <c r="O96" s="1272">
        <v>355.5</v>
      </c>
      <c r="P96" s="1272">
        <v>3081</v>
      </c>
      <c r="Q96" s="1272">
        <v>2779.8</v>
      </c>
      <c r="R96" s="1272">
        <v>21</v>
      </c>
      <c r="S96" s="1272">
        <v>112.9</v>
      </c>
      <c r="T96" s="1272">
        <v>2200</v>
      </c>
      <c r="U96" s="1272">
        <v>50</v>
      </c>
      <c r="V96" s="1272">
        <v>2592.6</v>
      </c>
      <c r="W96" s="1272">
        <v>489.5</v>
      </c>
      <c r="X96" s="1272">
        <v>3098</v>
      </c>
      <c r="Y96" s="1272">
        <v>757.6</v>
      </c>
      <c r="Z96" s="1272">
        <v>49.7</v>
      </c>
      <c r="AA96" s="1272">
        <v>34.6</v>
      </c>
      <c r="AB96" s="1272">
        <v>0</v>
      </c>
      <c r="AC96" s="1272">
        <v>777.8</v>
      </c>
      <c r="AD96" s="1272">
        <v>7868.1</v>
      </c>
      <c r="AE96" s="1281">
        <f t="shared" si="5"/>
        <v>42975.999999999993</v>
      </c>
    </row>
    <row r="97" spans="1:34" x14ac:dyDescent="0.3">
      <c r="B97" s="1258" t="s">
        <v>80</v>
      </c>
      <c r="C97" s="1280">
        <v>766</v>
      </c>
      <c r="D97" s="1272">
        <v>1665</v>
      </c>
      <c r="E97" s="1272">
        <v>66.8</v>
      </c>
      <c r="F97" s="1272">
        <v>268.7</v>
      </c>
      <c r="G97" s="1272">
        <v>82</v>
      </c>
      <c r="H97" s="1272">
        <v>279</v>
      </c>
      <c r="I97" s="1272">
        <v>5544.3</v>
      </c>
      <c r="J97" s="1272">
        <v>420.2</v>
      </c>
      <c r="K97" s="1272">
        <v>3136.7</v>
      </c>
      <c r="L97" s="1272">
        <v>2556</v>
      </c>
      <c r="M97" s="1272">
        <v>0</v>
      </c>
      <c r="N97" s="1272">
        <v>324.39999999999998</v>
      </c>
      <c r="O97" s="1272">
        <v>350</v>
      </c>
      <c r="P97" s="1272">
        <v>2299</v>
      </c>
      <c r="Q97" s="1272">
        <v>1185.5999999999999</v>
      </c>
      <c r="R97" s="1272">
        <v>232</v>
      </c>
      <c r="S97" s="1272">
        <v>205.4</v>
      </c>
      <c r="T97" s="1272">
        <v>1932</v>
      </c>
      <c r="U97" s="1272">
        <v>262</v>
      </c>
      <c r="V97" s="1272">
        <v>1853.4</v>
      </c>
      <c r="W97" s="1272">
        <v>1233.7</v>
      </c>
      <c r="X97" s="1272">
        <v>229</v>
      </c>
      <c r="Y97" s="1272">
        <v>181.5</v>
      </c>
      <c r="Z97" s="1272">
        <v>62.5</v>
      </c>
      <c r="AA97" s="1272">
        <v>59.7</v>
      </c>
      <c r="AB97" s="1272">
        <v>0</v>
      </c>
      <c r="AC97" s="1272">
        <v>0</v>
      </c>
      <c r="AD97" s="1272">
        <v>5651.4</v>
      </c>
      <c r="AE97" s="1281">
        <f t="shared" si="5"/>
        <v>30846.300000000003</v>
      </c>
    </row>
    <row r="98" spans="1:34" x14ac:dyDescent="0.3">
      <c r="B98" s="1258" t="s">
        <v>82</v>
      </c>
      <c r="C98" s="1280">
        <v>2082</v>
      </c>
      <c r="D98" s="1272">
        <v>8946</v>
      </c>
      <c r="E98" s="1272">
        <v>648.79999999999995</v>
      </c>
      <c r="F98" s="1272">
        <v>505.1</v>
      </c>
      <c r="G98" s="1272">
        <v>1815</v>
      </c>
      <c r="H98" s="1272">
        <v>1202.5</v>
      </c>
      <c r="I98" s="1272">
        <v>4465.8</v>
      </c>
      <c r="J98" s="1272">
        <v>251.4</v>
      </c>
      <c r="K98" s="1272">
        <v>1440.6</v>
      </c>
      <c r="L98" s="1272">
        <v>26044</v>
      </c>
      <c r="M98" s="1272">
        <v>24161</v>
      </c>
      <c r="N98" s="1272">
        <v>4580.7</v>
      </c>
      <c r="O98" s="1272">
        <v>1571.9</v>
      </c>
      <c r="P98" s="1272">
        <v>23535</v>
      </c>
      <c r="Q98" s="1272">
        <v>7390.1</v>
      </c>
      <c r="R98" s="1272">
        <v>427</v>
      </c>
      <c r="S98" s="1272">
        <v>256.7</v>
      </c>
      <c r="T98" s="1272">
        <v>13755</v>
      </c>
      <c r="U98" s="1272">
        <v>1209</v>
      </c>
      <c r="V98" s="1272">
        <v>16458.400000000001</v>
      </c>
      <c r="W98" s="1272">
        <v>2840.3</v>
      </c>
      <c r="X98" s="1272">
        <v>3719</v>
      </c>
      <c r="Y98" s="1272">
        <v>1079.3</v>
      </c>
      <c r="Z98" s="1272">
        <v>209.4</v>
      </c>
      <c r="AA98" s="1272">
        <v>166.2</v>
      </c>
      <c r="AB98" s="1272">
        <v>15922</v>
      </c>
      <c r="AC98" s="1272">
        <v>6344.1</v>
      </c>
      <c r="AD98" s="1272">
        <v>0</v>
      </c>
      <c r="AE98" s="1281">
        <f t="shared" si="5"/>
        <v>171026.3</v>
      </c>
    </row>
    <row r="99" spans="1:34" ht="14.5" x14ac:dyDescent="0.35">
      <c r="A99" s="1249"/>
      <c r="B99" s="1263" t="s">
        <v>738</v>
      </c>
      <c r="C99" s="1293">
        <v>39680</v>
      </c>
      <c r="D99" s="1290">
        <v>69616</v>
      </c>
      <c r="E99" s="1290">
        <v>4470.8</v>
      </c>
      <c r="F99" s="1290">
        <v>8129</v>
      </c>
      <c r="G99" s="1290">
        <v>4517</v>
      </c>
      <c r="H99" s="1290">
        <v>14358</v>
      </c>
      <c r="I99" s="1290">
        <v>26883.8</v>
      </c>
      <c r="J99" s="1290">
        <v>3543.3</v>
      </c>
      <c r="K99" s="1290">
        <v>11781.5</v>
      </c>
      <c r="L99" s="1290">
        <v>119797</v>
      </c>
      <c r="M99" s="1290">
        <v>118095</v>
      </c>
      <c r="N99" s="1290">
        <v>17619</v>
      </c>
      <c r="O99" s="1290">
        <v>14195.7</v>
      </c>
      <c r="P99" s="1290">
        <v>65641</v>
      </c>
      <c r="Q99" s="1290">
        <v>49270.3</v>
      </c>
      <c r="R99" s="1290">
        <v>2313</v>
      </c>
      <c r="S99" s="1290">
        <v>3732.6</v>
      </c>
      <c r="T99" s="1290">
        <v>61021</v>
      </c>
      <c r="U99" s="1290">
        <v>3497</v>
      </c>
      <c r="V99" s="1290">
        <v>83491.7</v>
      </c>
      <c r="W99" s="1290">
        <v>28277</v>
      </c>
      <c r="X99" s="1290">
        <v>19106.099999999999</v>
      </c>
      <c r="Y99" s="1290">
        <v>13244</v>
      </c>
      <c r="Z99" s="1290">
        <v>5778.2</v>
      </c>
      <c r="AA99" s="1290">
        <v>4774.6000000000004</v>
      </c>
      <c r="AB99" s="1290">
        <v>67279</v>
      </c>
      <c r="AC99" s="1290">
        <v>34157.800000000003</v>
      </c>
      <c r="AD99" s="1290">
        <v>122491.2</v>
      </c>
      <c r="AE99" s="1289">
        <v>1016760.6</v>
      </c>
      <c r="AH99" s="1250"/>
    </row>
    <row r="100" spans="1:34" ht="14.5" x14ac:dyDescent="0.35">
      <c r="A100" s="1249"/>
      <c r="B100" s="1269" t="s">
        <v>736</v>
      </c>
      <c r="C100" s="1293">
        <f t="shared" ref="C100:AE100" si="6">+C99-C90-C89-C88-C84-C75-C72</f>
        <v>35638</v>
      </c>
      <c r="D100" s="1290">
        <f t="shared" si="6"/>
        <v>47520</v>
      </c>
      <c r="E100" s="1290">
        <f t="shared" si="6"/>
        <v>3868.1000000000004</v>
      </c>
      <c r="F100" s="1290">
        <f t="shared" si="6"/>
        <v>7397.2000000000007</v>
      </c>
      <c r="G100" s="1290">
        <f t="shared" si="6"/>
        <v>4234</v>
      </c>
      <c r="H100" s="1290">
        <f t="shared" si="6"/>
        <v>11937.6</v>
      </c>
      <c r="I100" s="1290">
        <f t="shared" si="6"/>
        <v>23285.200000000001</v>
      </c>
      <c r="J100" s="1290">
        <f t="shared" si="6"/>
        <v>3266.5000000000005</v>
      </c>
      <c r="K100" s="1290">
        <f t="shared" si="6"/>
        <v>10534</v>
      </c>
      <c r="L100" s="1290">
        <f t="shared" si="6"/>
        <v>83221</v>
      </c>
      <c r="M100" s="1290">
        <f t="shared" si="6"/>
        <v>84972</v>
      </c>
      <c r="N100" s="1290">
        <f t="shared" si="6"/>
        <v>14879.400000000003</v>
      </c>
      <c r="O100" s="1290">
        <f t="shared" si="6"/>
        <v>12506.6</v>
      </c>
      <c r="P100" s="1290">
        <f t="shared" si="6"/>
        <v>57685</v>
      </c>
      <c r="Q100" s="1290">
        <f t="shared" si="6"/>
        <v>39264.699999999997</v>
      </c>
      <c r="R100" s="1290">
        <f t="shared" si="6"/>
        <v>1923</v>
      </c>
      <c r="S100" s="1290">
        <f t="shared" si="6"/>
        <v>3264.9</v>
      </c>
      <c r="T100" s="1290">
        <f t="shared" si="6"/>
        <v>51719</v>
      </c>
      <c r="U100" s="1290">
        <f t="shared" si="6"/>
        <v>3277</v>
      </c>
      <c r="V100" s="1290">
        <f t="shared" si="6"/>
        <v>58026.6</v>
      </c>
      <c r="W100" s="1290">
        <f t="shared" si="6"/>
        <v>22980.199999999997</v>
      </c>
      <c r="X100" s="1290">
        <f t="shared" si="6"/>
        <v>16246.099999999999</v>
      </c>
      <c r="Y100" s="1290">
        <f t="shared" si="6"/>
        <v>11101.899999999998</v>
      </c>
      <c r="Z100" s="1290">
        <f t="shared" si="6"/>
        <v>5020.5</v>
      </c>
      <c r="AA100" s="1290">
        <f t="shared" si="6"/>
        <v>4248.7000000000007</v>
      </c>
      <c r="AB100" s="1290">
        <f t="shared" si="6"/>
        <v>56957.1</v>
      </c>
      <c r="AC100" s="1290">
        <f t="shared" si="6"/>
        <v>28414</v>
      </c>
      <c r="AD100" s="1290">
        <f t="shared" si="6"/>
        <v>82813.100000000006</v>
      </c>
      <c r="AE100" s="1289">
        <f t="shared" si="6"/>
        <v>786201.4</v>
      </c>
    </row>
    <row r="101" spans="1:34" ht="15" thickBot="1" x14ac:dyDescent="0.4">
      <c r="A101" s="1249"/>
      <c r="B101" s="1270" t="s">
        <v>737</v>
      </c>
      <c r="C101" s="1297">
        <f t="shared" ref="C101:AE101" si="7">+C99-C100</f>
        <v>4042</v>
      </c>
      <c r="D101" s="1298">
        <f t="shared" si="7"/>
        <v>22096</v>
      </c>
      <c r="E101" s="1298">
        <f t="shared" si="7"/>
        <v>602.69999999999982</v>
      </c>
      <c r="F101" s="1298">
        <f t="shared" si="7"/>
        <v>731.79999999999927</v>
      </c>
      <c r="G101" s="1298">
        <f t="shared" si="7"/>
        <v>283</v>
      </c>
      <c r="H101" s="1298">
        <f t="shared" si="7"/>
        <v>2420.3999999999996</v>
      </c>
      <c r="I101" s="1298">
        <f t="shared" si="7"/>
        <v>3598.5999999999985</v>
      </c>
      <c r="J101" s="1298">
        <f t="shared" si="7"/>
        <v>276.79999999999973</v>
      </c>
      <c r="K101" s="1298">
        <f t="shared" si="7"/>
        <v>1247.5</v>
      </c>
      <c r="L101" s="1298">
        <f t="shared" si="7"/>
        <v>36576</v>
      </c>
      <c r="M101" s="1298">
        <f t="shared" si="7"/>
        <v>33123</v>
      </c>
      <c r="N101" s="1298">
        <f t="shared" si="7"/>
        <v>2739.5999999999967</v>
      </c>
      <c r="O101" s="1298">
        <f t="shared" si="7"/>
        <v>1689.1000000000004</v>
      </c>
      <c r="P101" s="1298">
        <f t="shared" si="7"/>
        <v>7956</v>
      </c>
      <c r="Q101" s="1298">
        <f t="shared" si="7"/>
        <v>10005.600000000006</v>
      </c>
      <c r="R101" s="1298">
        <f t="shared" si="7"/>
        <v>390</v>
      </c>
      <c r="S101" s="1298">
        <f t="shared" si="7"/>
        <v>467.69999999999982</v>
      </c>
      <c r="T101" s="1298">
        <f t="shared" si="7"/>
        <v>9302</v>
      </c>
      <c r="U101" s="1298">
        <f t="shared" si="7"/>
        <v>220</v>
      </c>
      <c r="V101" s="1298">
        <f t="shared" si="7"/>
        <v>25465.1</v>
      </c>
      <c r="W101" s="1298">
        <f t="shared" si="7"/>
        <v>5296.8000000000029</v>
      </c>
      <c r="X101" s="1298">
        <f t="shared" si="7"/>
        <v>2860</v>
      </c>
      <c r="Y101" s="1298">
        <f t="shared" si="7"/>
        <v>2142.1000000000022</v>
      </c>
      <c r="Z101" s="1298">
        <f t="shared" si="7"/>
        <v>757.69999999999982</v>
      </c>
      <c r="AA101" s="1298">
        <f t="shared" si="7"/>
        <v>525.89999999999964</v>
      </c>
      <c r="AB101" s="1298">
        <f t="shared" si="7"/>
        <v>10321.900000000001</v>
      </c>
      <c r="AC101" s="1298">
        <f t="shared" si="7"/>
        <v>5743.8000000000029</v>
      </c>
      <c r="AD101" s="1298">
        <f t="shared" si="7"/>
        <v>39678.099999999991</v>
      </c>
      <c r="AE101" s="1299">
        <f t="shared" si="7"/>
        <v>230559.19999999995</v>
      </c>
    </row>
    <row r="102" spans="1:34" ht="14.5" thickBot="1" x14ac:dyDescent="0.35">
      <c r="A102" s="1249"/>
      <c r="B102" s="1249"/>
      <c r="C102" s="1249"/>
      <c r="D102" s="1249"/>
      <c r="E102" s="1249"/>
      <c r="F102" s="1249"/>
      <c r="G102" s="1249"/>
      <c r="H102" s="1249"/>
      <c r="I102" s="1249"/>
      <c r="J102" s="1249"/>
      <c r="K102" s="1249"/>
      <c r="L102" s="1249"/>
      <c r="M102" s="1249"/>
      <c r="N102" s="1249"/>
      <c r="O102" s="1249"/>
      <c r="P102" s="1249"/>
      <c r="Q102" s="1249"/>
      <c r="R102" s="1249"/>
      <c r="S102" s="1249"/>
      <c r="T102" s="1249"/>
      <c r="U102" s="1249"/>
      <c r="V102" s="1249"/>
      <c r="W102" s="1249"/>
      <c r="X102" s="1249"/>
      <c r="Y102" s="1249"/>
      <c r="Z102" s="1249"/>
      <c r="AA102" s="1249"/>
      <c r="AB102" s="1249"/>
      <c r="AC102" s="1249"/>
      <c r="AD102" s="1249"/>
      <c r="AE102" s="1249"/>
    </row>
    <row r="103" spans="1:34" x14ac:dyDescent="0.3">
      <c r="A103" s="1249"/>
      <c r="B103" s="2579" t="s">
        <v>775</v>
      </c>
      <c r="C103" s="2580"/>
      <c r="D103" s="2580"/>
      <c r="E103" s="2580"/>
      <c r="F103" s="2580"/>
      <c r="G103" s="2580"/>
      <c r="H103" s="2580"/>
      <c r="I103" s="2580"/>
      <c r="J103" s="2580"/>
      <c r="K103" s="2580"/>
      <c r="L103" s="2580"/>
      <c r="M103" s="2580"/>
      <c r="N103" s="2580"/>
      <c r="O103" s="2580"/>
      <c r="P103" s="2580"/>
      <c r="Q103" s="2580"/>
      <c r="R103" s="2580"/>
      <c r="S103" s="2580"/>
      <c r="T103" s="2580"/>
      <c r="U103" s="2580"/>
      <c r="V103" s="2580"/>
      <c r="W103" s="2580"/>
      <c r="X103" s="2580"/>
      <c r="Y103" s="2580"/>
      <c r="Z103" s="2580"/>
      <c r="AA103" s="2580"/>
      <c r="AB103" s="2580"/>
      <c r="AC103" s="2580"/>
      <c r="AD103" s="2580"/>
      <c r="AE103" s="2581"/>
    </row>
    <row r="104" spans="1:34" ht="14.5" thickBot="1" x14ac:dyDescent="0.35">
      <c r="A104" s="1249"/>
      <c r="B104" s="2582"/>
      <c r="C104" s="2583"/>
      <c r="D104" s="2583"/>
      <c r="E104" s="2583"/>
      <c r="F104" s="2583"/>
      <c r="G104" s="2583"/>
      <c r="H104" s="2583"/>
      <c r="I104" s="2583"/>
      <c r="J104" s="2583"/>
      <c r="K104" s="2583"/>
      <c r="L104" s="2583"/>
      <c r="M104" s="2583"/>
      <c r="N104" s="2583"/>
      <c r="O104" s="2583"/>
      <c r="P104" s="2583"/>
      <c r="Q104" s="2583"/>
      <c r="R104" s="2583"/>
      <c r="S104" s="2583"/>
      <c r="T104" s="2583"/>
      <c r="U104" s="2583"/>
      <c r="V104" s="2583"/>
      <c r="W104" s="2583"/>
      <c r="X104" s="2583"/>
      <c r="Y104" s="2583"/>
      <c r="Z104" s="2583"/>
      <c r="AA104" s="2583"/>
      <c r="AB104" s="2583"/>
      <c r="AC104" s="2583"/>
      <c r="AD104" s="2583"/>
      <c r="AE104" s="2584"/>
    </row>
    <row r="105" spans="1:34" x14ac:dyDescent="0.3">
      <c r="A105" s="1249"/>
      <c r="B105" s="1249"/>
      <c r="C105" s="1249"/>
      <c r="D105" s="1249"/>
      <c r="E105" s="1259"/>
      <c r="F105" s="1249"/>
      <c r="G105" s="1249"/>
      <c r="H105" s="1249"/>
      <c r="I105" s="1249"/>
      <c r="J105" s="1249"/>
      <c r="K105" s="1249"/>
      <c r="L105" s="1249"/>
      <c r="M105" s="1249"/>
      <c r="N105" s="1249"/>
      <c r="O105" s="1249"/>
      <c r="P105" s="1249"/>
      <c r="Q105" s="1249"/>
      <c r="R105" s="1249"/>
      <c r="S105" s="1249"/>
      <c r="T105" s="1249"/>
      <c r="U105" s="1249"/>
      <c r="V105" s="1249"/>
      <c r="W105" s="1249"/>
      <c r="X105" s="1249"/>
      <c r="Y105" s="1249"/>
      <c r="Z105" s="1249"/>
      <c r="AA105" s="1249"/>
      <c r="AB105" s="1249"/>
      <c r="AC105" s="1249"/>
      <c r="AD105" s="1249"/>
      <c r="AE105" s="1249"/>
    </row>
    <row r="106" spans="1:34" x14ac:dyDescent="0.3">
      <c r="A106" s="1249"/>
      <c r="B106" s="1249"/>
      <c r="C106" s="1249"/>
      <c r="D106" s="1249"/>
      <c r="E106" s="1259"/>
      <c r="F106" s="1249"/>
      <c r="G106" s="1249"/>
      <c r="H106" s="1249"/>
      <c r="I106" s="1249"/>
      <c r="J106" s="1249"/>
      <c r="K106" s="1249"/>
      <c r="L106" s="1249"/>
      <c r="M106" s="1249"/>
      <c r="N106" s="1249"/>
      <c r="O106" s="1249"/>
      <c r="P106" s="1249"/>
      <c r="Q106" s="1249"/>
      <c r="R106" s="1249"/>
      <c r="S106" s="1249"/>
      <c r="T106" s="1249"/>
      <c r="U106" s="1249"/>
      <c r="V106" s="1249"/>
      <c r="W106" s="1249"/>
      <c r="X106" s="1249"/>
      <c r="Y106" s="1249"/>
      <c r="Z106" s="1249"/>
      <c r="AA106" s="1249"/>
      <c r="AB106" s="1249"/>
      <c r="AC106" s="1249"/>
      <c r="AD106" s="1249"/>
      <c r="AE106" s="1249"/>
    </row>
    <row r="107" spans="1:34" x14ac:dyDescent="0.3">
      <c r="A107" s="1249"/>
      <c r="B107" s="1249"/>
      <c r="C107" s="1249"/>
      <c r="D107" s="1249"/>
      <c r="E107" s="1259"/>
      <c r="F107" s="1249"/>
      <c r="G107" s="1249"/>
      <c r="H107" s="1249"/>
      <c r="I107" s="1249"/>
      <c r="J107" s="1249"/>
      <c r="K107" s="1249"/>
      <c r="L107" s="1249"/>
      <c r="M107" s="1249"/>
      <c r="N107" s="1249"/>
      <c r="O107" s="1249"/>
      <c r="P107" s="1249"/>
      <c r="Q107" s="1249"/>
      <c r="R107" s="1249"/>
      <c r="S107" s="1249"/>
      <c r="T107" s="1249"/>
      <c r="U107" s="1249"/>
      <c r="V107" s="1249"/>
      <c r="W107" s="1249"/>
      <c r="X107" s="1249"/>
      <c r="Y107" s="1249"/>
      <c r="Z107" s="1249"/>
      <c r="AA107" s="1249"/>
      <c r="AB107" s="1249"/>
      <c r="AC107" s="1249"/>
      <c r="AD107" s="1249"/>
      <c r="AE107" s="1249"/>
    </row>
    <row r="112" spans="1:34" x14ac:dyDescent="0.3">
      <c r="M112" s="1250"/>
      <c r="AE112" s="1250"/>
    </row>
    <row r="113" spans="4:31" x14ac:dyDescent="0.3">
      <c r="L113" s="1250"/>
      <c r="M113" s="1250"/>
      <c r="V113" s="1250"/>
      <c r="AE113" s="1250"/>
    </row>
    <row r="117" spans="4:31" x14ac:dyDescent="0.3">
      <c r="AE117" s="1250"/>
    </row>
    <row r="118" spans="4:31" x14ac:dyDescent="0.3">
      <c r="AE118" s="1250"/>
    </row>
    <row r="121" spans="4:31" x14ac:dyDescent="0.3">
      <c r="M121" s="1250"/>
      <c r="Q121" s="1250"/>
      <c r="T121" s="1250"/>
      <c r="V121" s="1250"/>
      <c r="AE121" s="1250"/>
    </row>
    <row r="122" spans="4:31" x14ac:dyDescent="0.3">
      <c r="D122" s="1250"/>
      <c r="L122" s="1250"/>
      <c r="P122" s="1250"/>
      <c r="T122" s="1250"/>
      <c r="AE122" s="1250"/>
    </row>
    <row r="125" spans="4:31" x14ac:dyDescent="0.3">
      <c r="L125" s="1250"/>
      <c r="Q125" s="1250"/>
      <c r="V125" s="1250"/>
      <c r="AE125" s="1250"/>
    </row>
    <row r="126" spans="4:31" x14ac:dyDescent="0.3">
      <c r="D126" s="1252">
        <f>'Disc. 1'!D36+'Disc. 1'!G36+'Disc. 1'!P36+'Disc. 1'!T36+'Disc. 1'!V36</f>
        <v>-68911.199999999997</v>
      </c>
      <c r="P126" s="1250"/>
      <c r="T126" s="1250"/>
      <c r="AE126" s="1250"/>
    </row>
    <row r="129" spans="2:31" x14ac:dyDescent="0.3">
      <c r="AE129" s="1250"/>
    </row>
    <row r="131" spans="2:31" x14ac:dyDescent="0.3">
      <c r="D131" s="1250"/>
      <c r="L131" s="1250"/>
      <c r="M131" s="1250"/>
      <c r="P131" s="1250"/>
      <c r="T131" s="1250"/>
      <c r="AE131" s="1250"/>
    </row>
    <row r="132" spans="2:31" x14ac:dyDescent="0.3">
      <c r="AE132" s="1250"/>
    </row>
    <row r="137" spans="2:31" x14ac:dyDescent="0.3">
      <c r="AE137" s="1250"/>
    </row>
    <row r="138" spans="2:31" x14ac:dyDescent="0.3">
      <c r="T138" s="1250"/>
      <c r="AE138" s="1250"/>
    </row>
    <row r="140" spans="2:31" x14ac:dyDescent="0.3">
      <c r="C140" s="1250"/>
      <c r="D140" s="1250"/>
      <c r="L140" s="1250"/>
      <c r="M140" s="1250"/>
      <c r="P140" s="1250"/>
      <c r="Q140" s="1250"/>
      <c r="T140" s="1250"/>
      <c r="V140" s="1250"/>
      <c r="W140" s="1250"/>
      <c r="Y140" s="1250"/>
      <c r="AB140" s="1250"/>
      <c r="AC140" s="1250"/>
      <c r="AE140" s="1250"/>
    </row>
    <row r="141" spans="2:31" x14ac:dyDescent="0.3">
      <c r="B141" s="1255"/>
      <c r="C141" s="1255"/>
      <c r="D141" s="1255"/>
      <c r="E141" s="1255"/>
      <c r="F141" s="1255"/>
      <c r="G141" s="1255"/>
      <c r="H141" s="1255"/>
      <c r="I141" s="1255"/>
      <c r="J141" s="1255"/>
      <c r="K141" s="1255"/>
      <c r="L141" s="1255"/>
      <c r="M141" s="1255"/>
      <c r="N141" s="1255"/>
      <c r="O141" s="1255"/>
      <c r="P141" s="1255"/>
      <c r="Q141" s="1255"/>
      <c r="R141" s="1255"/>
      <c r="S141" s="1255"/>
      <c r="T141" s="1255"/>
      <c r="U141" s="1255"/>
      <c r="V141" s="1255"/>
      <c r="W141" s="1255"/>
      <c r="X141" s="1255"/>
      <c r="Y141" s="1255"/>
      <c r="Z141" s="1255"/>
      <c r="AA141" s="1255"/>
      <c r="AB141" s="1255"/>
      <c r="AC141" s="1255"/>
      <c r="AD141" s="1255"/>
      <c r="AE141" s="1255"/>
    </row>
    <row r="142" spans="2:31" x14ac:dyDescent="0.3">
      <c r="B142" s="1255"/>
      <c r="C142" s="1255"/>
      <c r="D142" s="1255"/>
      <c r="E142" s="1255"/>
      <c r="F142" s="1255"/>
      <c r="G142" s="1255"/>
      <c r="H142" s="1255"/>
      <c r="I142" s="1255"/>
      <c r="J142" s="1255"/>
      <c r="K142" s="1255"/>
      <c r="L142" s="1255"/>
      <c r="M142" s="1255"/>
      <c r="N142" s="1255"/>
      <c r="O142" s="1255"/>
      <c r="P142" s="1255"/>
      <c r="Q142" s="1255"/>
      <c r="R142" s="1255"/>
      <c r="S142" s="1255"/>
      <c r="T142" s="1255"/>
      <c r="U142" s="1255"/>
      <c r="V142" s="1255"/>
      <c r="W142" s="1255"/>
      <c r="X142" s="1255"/>
      <c r="Y142" s="1255"/>
      <c r="Z142" s="1255"/>
      <c r="AA142" s="1255"/>
      <c r="AB142" s="1255"/>
      <c r="AC142" s="1255"/>
      <c r="AD142" s="1255"/>
      <c r="AE142" s="1255"/>
    </row>
    <row r="145" spans="4:31" x14ac:dyDescent="0.3">
      <c r="D145" s="1256"/>
      <c r="E145" s="1253"/>
    </row>
    <row r="146" spans="4:31" x14ac:dyDescent="0.3">
      <c r="D146" s="1256"/>
      <c r="E146" s="1253"/>
    </row>
    <row r="147" spans="4:31" x14ac:dyDescent="0.3">
      <c r="D147" s="1256"/>
      <c r="E147" s="1253"/>
    </row>
    <row r="148" spans="4:31" x14ac:dyDescent="0.3">
      <c r="D148" s="1256"/>
      <c r="E148" s="1253"/>
    </row>
    <row r="153" spans="4:31" x14ac:dyDescent="0.3">
      <c r="M153" s="1250"/>
      <c r="AD153" s="1250"/>
      <c r="AE153" s="1250"/>
    </row>
    <row r="154" spans="4:31" x14ac:dyDescent="0.3">
      <c r="L154" s="1250"/>
      <c r="M154" s="1250"/>
      <c r="P154" s="1250"/>
      <c r="Q154" s="1250"/>
      <c r="T154" s="1250"/>
      <c r="V154" s="1250"/>
      <c r="AD154" s="1250"/>
      <c r="AE154" s="1250"/>
    </row>
    <row r="155" spans="4:31" x14ac:dyDescent="0.3">
      <c r="AE155" s="1250"/>
    </row>
    <row r="156" spans="4:31" x14ac:dyDescent="0.3">
      <c r="AE156" s="1250"/>
    </row>
    <row r="157" spans="4:31" x14ac:dyDescent="0.3">
      <c r="AE157" s="1250"/>
    </row>
    <row r="158" spans="4:31" x14ac:dyDescent="0.3">
      <c r="M158" s="1250"/>
      <c r="AE158" s="1250"/>
    </row>
    <row r="159" spans="4:31" x14ac:dyDescent="0.3">
      <c r="M159" s="1250"/>
      <c r="AC159" s="1250"/>
      <c r="AD159" s="1250"/>
      <c r="AE159" s="1250"/>
    </row>
    <row r="162" spans="3:31" x14ac:dyDescent="0.3">
      <c r="D162" s="1250"/>
      <c r="M162" s="1250"/>
      <c r="P162" s="1250"/>
      <c r="Q162" s="1250"/>
      <c r="T162" s="1250"/>
      <c r="V162" s="1250"/>
      <c r="AB162" s="1250"/>
      <c r="AC162" s="1250"/>
      <c r="AD162" s="1250"/>
      <c r="AE162" s="1250"/>
    </row>
    <row r="163" spans="3:31" x14ac:dyDescent="0.3">
      <c r="C163" s="1250"/>
      <c r="D163" s="1250"/>
      <c r="H163" s="1250"/>
      <c r="I163" s="1250"/>
      <c r="L163" s="1250"/>
      <c r="P163" s="1250"/>
      <c r="Q163" s="1250"/>
      <c r="T163" s="1250"/>
      <c r="V163" s="1250"/>
      <c r="W163" s="1250"/>
      <c r="AB163" s="1250"/>
      <c r="AC163" s="1250"/>
      <c r="AD163" s="1250"/>
      <c r="AE163" s="1250"/>
    </row>
    <row r="164" spans="3:31" x14ac:dyDescent="0.3">
      <c r="AE164" s="1250"/>
    </row>
    <row r="165" spans="3:31" x14ac:dyDescent="0.3">
      <c r="M165" s="1250"/>
      <c r="AE165" s="1250"/>
    </row>
    <row r="166" spans="3:31" x14ac:dyDescent="0.3">
      <c r="D166" s="1250"/>
      <c r="L166" s="1250"/>
      <c r="M166" s="1250"/>
      <c r="Q166" s="1250"/>
      <c r="V166" s="1250"/>
      <c r="AD166" s="1250"/>
      <c r="AE166" s="1250"/>
    </row>
    <row r="167" spans="3:31" x14ac:dyDescent="0.3">
      <c r="D167" s="1250"/>
      <c r="L167" s="1250"/>
      <c r="M167" s="1250"/>
      <c r="P167" s="1250"/>
      <c r="T167" s="1250"/>
      <c r="V167" s="1250"/>
      <c r="AB167" s="1250"/>
      <c r="AD167" s="1250"/>
      <c r="AE167" s="1250"/>
    </row>
    <row r="170" spans="3:31" x14ac:dyDescent="0.3">
      <c r="D170" s="1250"/>
      <c r="L170" s="1250"/>
      <c r="M170" s="1250"/>
      <c r="P170" s="1250"/>
      <c r="Q170" s="1250"/>
      <c r="V170" s="1250"/>
      <c r="AC170" s="1250"/>
      <c r="AD170" s="1250"/>
      <c r="AE170" s="1250"/>
    </row>
    <row r="171" spans="3:31" x14ac:dyDescent="0.3">
      <c r="AE171" s="1250"/>
    </row>
    <row r="172" spans="3:31" x14ac:dyDescent="0.3">
      <c r="D172" s="1250"/>
      <c r="L172" s="1250"/>
      <c r="M172" s="1250"/>
      <c r="P172" s="1250"/>
      <c r="Q172" s="1250"/>
      <c r="AD172" s="1250"/>
      <c r="AE172" s="1250"/>
    </row>
    <row r="173" spans="3:31" x14ac:dyDescent="0.3">
      <c r="L173" s="1250"/>
      <c r="M173" s="1250"/>
      <c r="AD173" s="1250"/>
      <c r="AE173" s="1250"/>
    </row>
    <row r="175" spans="3:31" x14ac:dyDescent="0.3">
      <c r="AE175" s="1250"/>
    </row>
    <row r="176" spans="3:31" x14ac:dyDescent="0.3">
      <c r="AE176" s="1250"/>
    </row>
    <row r="177" spans="2:31" x14ac:dyDescent="0.3">
      <c r="AE177" s="1250"/>
    </row>
    <row r="178" spans="2:31" x14ac:dyDescent="0.3">
      <c r="AE178" s="1250"/>
    </row>
    <row r="179" spans="2:31" x14ac:dyDescent="0.3">
      <c r="I179" s="1250"/>
      <c r="K179" s="1250"/>
      <c r="L179" s="1250"/>
      <c r="M179" s="1250"/>
      <c r="P179" s="1250"/>
      <c r="AD179" s="1250"/>
      <c r="AE179" s="1250"/>
    </row>
    <row r="181" spans="2:31" x14ac:dyDescent="0.3">
      <c r="C181" s="1250"/>
      <c r="D181" s="1250"/>
      <c r="E181" s="1250"/>
      <c r="G181" s="1250"/>
      <c r="H181" s="1250"/>
      <c r="I181" s="1250"/>
      <c r="K181" s="1250"/>
      <c r="L181" s="1250"/>
      <c r="M181" s="1250"/>
      <c r="N181" s="1250"/>
      <c r="O181" s="1250"/>
      <c r="P181" s="1250"/>
      <c r="Q181" s="1250"/>
      <c r="T181" s="1250"/>
      <c r="U181" s="1250"/>
      <c r="V181" s="1250"/>
      <c r="W181" s="1250"/>
      <c r="X181" s="1250"/>
      <c r="Y181" s="1250"/>
      <c r="Z181" s="1250"/>
      <c r="AB181" s="1250"/>
      <c r="AC181" s="1250"/>
      <c r="AD181" s="1250"/>
      <c r="AE181" s="1250"/>
    </row>
    <row r="182" spans="2:31" x14ac:dyDescent="0.3">
      <c r="B182" s="1255"/>
      <c r="C182" s="1255"/>
      <c r="D182" s="1255"/>
      <c r="E182" s="1255"/>
      <c r="F182" s="1255"/>
      <c r="G182" s="1255"/>
      <c r="H182" s="1255"/>
      <c r="I182" s="1255"/>
      <c r="J182" s="1255"/>
      <c r="K182" s="1255"/>
      <c r="L182" s="1255"/>
      <c r="M182" s="1255"/>
      <c r="N182" s="1255"/>
      <c r="O182" s="1255"/>
      <c r="P182" s="1255"/>
      <c r="Q182" s="1255"/>
      <c r="R182" s="1255"/>
      <c r="S182" s="1255"/>
      <c r="T182" s="1255"/>
      <c r="U182" s="1255"/>
      <c r="V182" s="1255"/>
      <c r="W182" s="1255"/>
      <c r="X182" s="1255"/>
      <c r="Y182" s="1255"/>
      <c r="Z182" s="1255"/>
      <c r="AA182" s="1255"/>
      <c r="AB182" s="1255"/>
      <c r="AC182" s="1255"/>
      <c r="AD182" s="1255"/>
      <c r="AE182" s="1255"/>
    </row>
    <row r="183" spans="2:31" x14ac:dyDescent="0.3">
      <c r="B183" s="1255"/>
      <c r="C183" s="1255"/>
      <c r="D183" s="1255"/>
      <c r="E183" s="1255"/>
      <c r="F183" s="1255"/>
      <c r="G183" s="1255"/>
      <c r="H183" s="1255"/>
      <c r="I183" s="1255"/>
      <c r="J183" s="1255"/>
      <c r="K183" s="1255"/>
      <c r="L183" s="1255"/>
      <c r="M183" s="1255"/>
      <c r="N183" s="1255"/>
      <c r="O183" s="1255"/>
      <c r="P183" s="1255"/>
      <c r="Q183" s="1255"/>
      <c r="R183" s="1255"/>
      <c r="S183" s="1255"/>
      <c r="T183" s="1255"/>
      <c r="U183" s="1255"/>
      <c r="V183" s="1255"/>
      <c r="W183" s="1255"/>
      <c r="X183" s="1255"/>
      <c r="Y183" s="1255"/>
      <c r="Z183" s="1255"/>
      <c r="AA183" s="1255"/>
      <c r="AB183" s="1255"/>
      <c r="AC183" s="1255"/>
      <c r="AD183" s="1255"/>
      <c r="AE183" s="1255"/>
    </row>
    <row r="186" spans="2:31" x14ac:dyDescent="0.3">
      <c r="D186" s="1256"/>
      <c r="E186" s="1253"/>
    </row>
    <row r="187" spans="2:31" x14ac:dyDescent="0.3">
      <c r="D187" s="1256"/>
      <c r="E187" s="1253"/>
    </row>
    <row r="188" spans="2:31" x14ac:dyDescent="0.3">
      <c r="D188" s="1256"/>
      <c r="E188" s="1253"/>
    </row>
    <row r="189" spans="2:31" x14ac:dyDescent="0.3">
      <c r="D189" s="1256"/>
      <c r="E189" s="1253"/>
    </row>
  </sheetData>
  <mergeCells count="3">
    <mergeCell ref="B2:AE2"/>
    <mergeCell ref="C4:AE4"/>
    <mergeCell ref="B103:AE104"/>
  </mergeCells>
  <pageMargins left="0.7" right="0.7" top="0.75" bottom="0.75" header="0.3" footer="0.3"/>
  <pageSetup paperSize="9" scale="28" orientation="landscape"/>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M35"/>
  <sheetViews>
    <sheetView workbookViewId="0">
      <selection activeCell="G10" sqref="G10"/>
    </sheetView>
  </sheetViews>
  <sheetFormatPr baseColWidth="10" defaultColWidth="8.81640625" defaultRowHeight="15.5" x14ac:dyDescent="0.35"/>
  <cols>
    <col min="1" max="1" width="26.6328125" style="376" bestFit="1" customWidth="1"/>
    <col min="2" max="2" width="21.1796875" style="376" bestFit="1" customWidth="1"/>
    <col min="3" max="3" width="21" style="376" bestFit="1" customWidth="1"/>
    <col min="4" max="4" width="11.1796875" style="376" bestFit="1" customWidth="1"/>
    <col min="5" max="6" width="8.81640625" style="376"/>
    <col min="7" max="7" width="26.453125" style="376" bestFit="1" customWidth="1"/>
    <col min="8" max="11" width="17.36328125" style="376" customWidth="1"/>
    <col min="12" max="15" width="8.81640625" style="376"/>
    <col min="16" max="16" width="26.6328125" style="376" bestFit="1" customWidth="1"/>
    <col min="17" max="16384" width="8.81640625" style="376"/>
  </cols>
  <sheetData>
    <row r="1" spans="1:13" x14ac:dyDescent="0.35">
      <c r="G1" s="1148"/>
      <c r="H1" s="1249"/>
      <c r="I1" s="1249"/>
      <c r="J1" s="1249"/>
      <c r="K1" s="1249"/>
      <c r="L1" s="1148"/>
      <c r="M1" s="1148"/>
    </row>
    <row r="2" spans="1:13" ht="16" thickBot="1" x14ac:dyDescent="0.4">
      <c r="G2" s="409"/>
      <c r="H2" s="409"/>
      <c r="I2" s="409"/>
      <c r="J2" s="409"/>
      <c r="K2" s="1249"/>
      <c r="L2" s="1148"/>
    </row>
    <row r="3" spans="1:13" x14ac:dyDescent="0.35">
      <c r="A3" s="2585" t="s">
        <v>767</v>
      </c>
      <c r="B3" s="2586"/>
      <c r="C3" s="2586"/>
      <c r="D3" s="2587"/>
      <c r="E3" s="1275"/>
      <c r="L3" s="1148"/>
    </row>
    <row r="4" spans="1:13" x14ac:dyDescent="0.35">
      <c r="A4" s="1258"/>
      <c r="B4" s="1148"/>
      <c r="C4" s="1148"/>
      <c r="D4" s="1213"/>
      <c r="L4" s="1148"/>
    </row>
    <row r="5" spans="1:13" ht="16" thickBot="1" x14ac:dyDescent="0.4">
      <c r="A5" s="1147"/>
      <c r="B5" s="409" t="s">
        <v>20</v>
      </c>
      <c r="C5" s="409" t="s">
        <v>21</v>
      </c>
      <c r="D5" s="1208" t="s">
        <v>22</v>
      </c>
      <c r="L5" s="1148"/>
    </row>
    <row r="6" spans="1:13" x14ac:dyDescent="0.35">
      <c r="A6" s="1147"/>
      <c r="B6" s="2588" t="s">
        <v>752</v>
      </c>
      <c r="C6" s="2589"/>
      <c r="D6" s="2590"/>
      <c r="L6" s="1148"/>
    </row>
    <row r="7" spans="1:13" ht="28.5" x14ac:dyDescent="0.35">
      <c r="A7" s="1279" t="s">
        <v>747</v>
      </c>
      <c r="B7" s="1276" t="s">
        <v>742</v>
      </c>
      <c r="C7" s="1277" t="s">
        <v>743</v>
      </c>
      <c r="D7" s="1278" t="s">
        <v>741</v>
      </c>
      <c r="L7" s="1148"/>
    </row>
    <row r="8" spans="1:13" x14ac:dyDescent="0.35">
      <c r="A8" s="1258" t="s">
        <v>749</v>
      </c>
      <c r="B8" s="1280">
        <f>+'Disc. 1'!D68+'Disc. 1'!G68+'Disc. 1'!P68+'Disc. 1'!T68+'Disc. 1'!V68</f>
        <v>150229.40000000002</v>
      </c>
      <c r="C8" s="1272">
        <f>+'Disc. 1'!D100+'Disc. 1'!G100+'Disc. 1'!P100+'Disc. 1'!T100+'Disc. 1'!V100</f>
        <v>219184.6</v>
      </c>
      <c r="D8" s="1281">
        <f>+'Disc. 1'!D36+'Disc. 1'!G36+'Disc. 1'!P36+'Disc. 1'!T36+'Disc. 1'!V36+'Disc. 1'!U36</f>
        <v>-69057.599999999991</v>
      </c>
      <c r="L8" s="1148"/>
    </row>
    <row r="9" spans="1:13" x14ac:dyDescent="0.35">
      <c r="A9" s="1258" t="s">
        <v>748</v>
      </c>
      <c r="B9" s="1280">
        <f>+'Disc. 1'!D69+'Disc. 1'!G69+'Disc. 1'!P69+'Disc. 1'!T69+'Disc. 1'!V69</f>
        <v>71678.899999999994</v>
      </c>
      <c r="C9" s="1272">
        <f>+'Disc. 1'!D101+'Disc. 1'!G101+'Disc. 1'!P101+'Disc. 1'!T101+'Disc. 1'!V101</f>
        <v>65102.1</v>
      </c>
      <c r="D9" s="1281">
        <f>+'Disc. 1'!D37+'Disc. 1'!G37+'Disc. 1'!P37+'Disc. 1'!T37+'Disc. 1'!V37+'Disc. 1'!U37</f>
        <v>6863.4999999999991</v>
      </c>
      <c r="L9" s="1148"/>
    </row>
    <row r="10" spans="1:13" x14ac:dyDescent="0.35">
      <c r="A10" s="1258" t="s">
        <v>750</v>
      </c>
      <c r="B10" s="1280">
        <f>'Disc. 1'!AE68-B8</f>
        <v>540272.6</v>
      </c>
      <c r="C10" s="1272">
        <f>'Disc. 1'!AE100-C8</f>
        <v>567016.80000000005</v>
      </c>
      <c r="D10" s="1281">
        <f>'Disc. 1'!AE36-D8</f>
        <v>-24594.10000000002</v>
      </c>
      <c r="L10" s="1148"/>
    </row>
    <row r="11" spans="1:13" ht="16" thickBot="1" x14ac:dyDescent="0.4">
      <c r="A11" s="1260" t="s">
        <v>751</v>
      </c>
      <c r="B11" s="1282">
        <f>'Disc. 1'!AE69-B9</f>
        <v>160951.1</v>
      </c>
      <c r="C11" s="1273">
        <f>'Disc. 1'!AE101-C9</f>
        <v>165457.09999999995</v>
      </c>
      <c r="D11" s="1283">
        <f>'Disc. 1'!AE37-D9</f>
        <v>-6840.3999999999933</v>
      </c>
      <c r="L11" s="1148"/>
    </row>
    <row r="12" spans="1:13" ht="16" thickBot="1" x14ac:dyDescent="0.4">
      <c r="L12" s="1148"/>
    </row>
    <row r="13" spans="1:13" x14ac:dyDescent="0.35">
      <c r="A13" s="1805" t="s">
        <v>733</v>
      </c>
      <c r="B13" s="1303"/>
      <c r="C13" s="1303"/>
      <c r="D13" s="1806"/>
      <c r="L13" s="1148"/>
    </row>
    <row r="14" spans="1:13" ht="16" thickBot="1" x14ac:dyDescent="0.4">
      <c r="A14" s="1260" t="s">
        <v>734</v>
      </c>
      <c r="B14" s="1714"/>
      <c r="C14" s="1714"/>
      <c r="D14" s="1715"/>
      <c r="L14" s="1148"/>
    </row>
    <row r="15" spans="1:13" x14ac:dyDescent="0.35">
      <c r="L15" s="1148"/>
    </row>
    <row r="16" spans="1:13" x14ac:dyDescent="0.35">
      <c r="G16" s="1249"/>
      <c r="H16" s="1249"/>
      <c r="I16" s="1249"/>
      <c r="J16" s="1249"/>
      <c r="K16" s="1249"/>
      <c r="L16" s="1148"/>
    </row>
    <row r="17" spans="7:12" x14ac:dyDescent="0.35">
      <c r="G17" s="1249"/>
      <c r="H17" s="1249"/>
      <c r="I17" s="1249"/>
      <c r="J17" s="1249"/>
      <c r="K17" s="1249"/>
      <c r="L17" s="1148"/>
    </row>
    <row r="18" spans="7:12" x14ac:dyDescent="0.35">
      <c r="K18" s="1249"/>
      <c r="L18" s="1148"/>
    </row>
    <row r="19" spans="7:12" x14ac:dyDescent="0.35">
      <c r="K19" s="1249"/>
      <c r="L19" s="1148"/>
    </row>
    <row r="20" spans="7:12" x14ac:dyDescent="0.35">
      <c r="K20" s="1249"/>
      <c r="L20" s="1148"/>
    </row>
    <row r="35" spans="7:7" x14ac:dyDescent="0.35">
      <c r="G35" s="1248"/>
    </row>
  </sheetData>
  <mergeCells count="2">
    <mergeCell ref="A3:D3"/>
    <mergeCell ref="B6:D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S100"/>
  <sheetViews>
    <sheetView zoomScale="90" zoomScaleNormal="90" zoomScalePageLayoutView="150" workbookViewId="0">
      <pane xSplit="1" ySplit="8" topLeftCell="B17" activePane="bottomRight" state="frozen"/>
      <selection activeCell="X16" sqref="X16"/>
      <selection pane="topRight" activeCell="X16" sqref="X16"/>
      <selection pane="bottomLeft" activeCell="X16" sqref="X16"/>
      <selection pane="bottomRight" activeCell="H36" sqref="H36"/>
    </sheetView>
  </sheetViews>
  <sheetFormatPr baseColWidth="10" defaultColWidth="10.81640625" defaultRowHeight="15.5" x14ac:dyDescent="0.35"/>
  <cols>
    <col min="1" max="1" width="19" style="1" customWidth="1"/>
    <col min="2" max="2" width="11.36328125" style="1" customWidth="1"/>
    <col min="3" max="3" width="11.81640625" style="1" customWidth="1"/>
    <col min="4" max="5" width="11.36328125" style="1" customWidth="1"/>
    <col min="6" max="6" width="11.81640625" style="1" customWidth="1"/>
    <col min="7" max="9" width="11.36328125" style="1" customWidth="1"/>
    <col min="10" max="16384" width="10.81640625" style="1"/>
  </cols>
  <sheetData>
    <row r="2" spans="1:19" ht="16" thickBot="1" x14ac:dyDescent="0.4"/>
    <row r="3" spans="1:19" ht="32.25" customHeight="1" thickTop="1" x14ac:dyDescent="0.35">
      <c r="A3" s="2048" t="s">
        <v>181</v>
      </c>
      <c r="B3" s="2049"/>
      <c r="C3" s="2049"/>
      <c r="D3" s="2049"/>
      <c r="E3" s="2049"/>
      <c r="F3" s="2049"/>
      <c r="G3" s="2049"/>
      <c r="H3" s="2049"/>
      <c r="I3" s="2049"/>
      <c r="J3" s="2049"/>
      <c r="K3" s="2050"/>
    </row>
    <row r="4" spans="1:19" ht="12" customHeight="1" x14ac:dyDescent="0.35">
      <c r="A4" s="11"/>
      <c r="B4" s="64"/>
      <c r="C4" s="64"/>
      <c r="D4" s="64"/>
      <c r="E4" s="64"/>
      <c r="F4" s="64"/>
      <c r="G4" s="64"/>
      <c r="H4" s="64"/>
      <c r="I4" s="64"/>
      <c r="J4" s="28"/>
      <c r="K4" s="34"/>
    </row>
    <row r="5" spans="1:19" ht="16" thickBot="1" x14ac:dyDescent="0.4">
      <c r="A5" s="13"/>
      <c r="B5" s="10" t="s">
        <v>20</v>
      </c>
      <c r="C5" s="10" t="s">
        <v>21</v>
      </c>
      <c r="D5" s="10" t="s">
        <v>22</v>
      </c>
      <c r="E5" s="10" t="s">
        <v>23</v>
      </c>
      <c r="F5" s="10" t="s">
        <v>24</v>
      </c>
      <c r="G5" s="10" t="s">
        <v>25</v>
      </c>
      <c r="H5" s="10" t="s">
        <v>26</v>
      </c>
      <c r="I5" s="10" t="s">
        <v>33</v>
      </c>
      <c r="J5" s="10" t="s">
        <v>34</v>
      </c>
      <c r="K5" s="14" t="s">
        <v>37</v>
      </c>
    </row>
    <row r="6" spans="1:19" ht="35.25" customHeight="1" x14ac:dyDescent="0.35">
      <c r="A6" s="13"/>
      <c r="B6" s="2127" t="s">
        <v>52</v>
      </c>
      <c r="C6" s="2128"/>
      <c r="D6" s="2128"/>
      <c r="E6" s="2128"/>
      <c r="F6" s="2128"/>
      <c r="G6" s="2128"/>
      <c r="H6" s="2129"/>
      <c r="I6" s="2132" t="s">
        <v>516</v>
      </c>
      <c r="J6" s="2133"/>
      <c r="K6" s="2134"/>
    </row>
    <row r="7" spans="1:19" ht="85" customHeight="1" x14ac:dyDescent="0.35">
      <c r="A7" s="13"/>
      <c r="B7" s="2130" t="s">
        <v>14</v>
      </c>
      <c r="C7" s="2126" t="s">
        <v>41</v>
      </c>
      <c r="D7" s="503" t="s">
        <v>13</v>
      </c>
      <c r="E7" s="63" t="s">
        <v>43</v>
      </c>
      <c r="F7" s="2126" t="s">
        <v>44</v>
      </c>
      <c r="G7" s="503" t="s">
        <v>13</v>
      </c>
      <c r="H7" s="403" t="s">
        <v>43</v>
      </c>
      <c r="I7" s="2130" t="s">
        <v>513</v>
      </c>
      <c r="J7" s="2136" t="s">
        <v>514</v>
      </c>
      <c r="K7" s="2138" t="s">
        <v>515</v>
      </c>
      <c r="N7" s="41" t="s">
        <v>512</v>
      </c>
      <c r="O7" s="41"/>
      <c r="P7" s="708" t="s">
        <v>527</v>
      </c>
      <c r="Q7" s="708" t="s">
        <v>529</v>
      </c>
      <c r="R7" s="982" t="s">
        <v>576</v>
      </c>
      <c r="S7" s="982" t="s">
        <v>598</v>
      </c>
    </row>
    <row r="8" spans="1:19" ht="33" customHeight="1" x14ac:dyDescent="0.35">
      <c r="A8" s="13"/>
      <c r="B8" s="2131"/>
      <c r="C8" s="2126"/>
      <c r="D8" s="5"/>
      <c r="E8" s="5"/>
      <c r="F8" s="2126"/>
      <c r="G8" s="5"/>
      <c r="H8" s="23"/>
      <c r="I8" s="2135"/>
      <c r="J8" s="2137"/>
      <c r="K8" s="2139"/>
      <c r="N8" s="41"/>
      <c r="O8" s="41"/>
      <c r="P8" s="41"/>
      <c r="Q8" s="41"/>
    </row>
    <row r="9" spans="1:19" ht="40" customHeight="1" x14ac:dyDescent="0.35">
      <c r="A9" s="39" t="s">
        <v>98</v>
      </c>
      <c r="B9" s="569">
        <f t="shared" ref="B9:H9" si="0">SUM(B10:B44)</f>
        <v>26359.302824524231</v>
      </c>
      <c r="C9" s="570">
        <f t="shared" si="0"/>
        <v>3955.8909394053185</v>
      </c>
      <c r="D9" s="571">
        <f t="shared" si="0"/>
        <v>2276.3407946990947</v>
      </c>
      <c r="E9" s="571">
        <f t="shared" si="0"/>
        <v>1679.5501447062243</v>
      </c>
      <c r="F9" s="570">
        <f t="shared" si="0"/>
        <v>22403.411885118912</v>
      </c>
      <c r="G9" s="571">
        <f t="shared" si="0"/>
        <v>13106.098911167552</v>
      </c>
      <c r="H9" s="572">
        <f t="shared" si="0"/>
        <v>9297.3123686798081</v>
      </c>
      <c r="I9" s="97">
        <f>C9/B9</f>
        <v>0.15007570441980078</v>
      </c>
      <c r="J9" s="573">
        <f>D9/(D9+G9)</f>
        <v>0.1479830792920924</v>
      </c>
      <c r="K9" s="574">
        <f>E9/(E9+H9)</f>
        <v>0.15300821547669485</v>
      </c>
      <c r="N9" s="594">
        <f>D9+G9-TableA2!C9</f>
        <v>0</v>
      </c>
      <c r="O9" s="594">
        <f>H9+E9-TableA2!G9-TableA2!D9</f>
        <v>0</v>
      </c>
      <c r="P9" s="41"/>
      <c r="Q9" s="41"/>
    </row>
    <row r="10" spans="1:19" ht="14.25" customHeight="1" x14ac:dyDescent="0.35">
      <c r="A10" s="95" t="s">
        <v>54</v>
      </c>
      <c r="B10" s="61">
        <f>+TableA2!B10</f>
        <v>774.05825301069046</v>
      </c>
      <c r="C10" s="174">
        <f>D10+E10</f>
        <v>197.29292981323601</v>
      </c>
      <c r="D10" s="108">
        <f>+TableA6!F10/TableA7!N10</f>
        <v>103.34199428911158</v>
      </c>
      <c r="E10" s="44">
        <f>TableA5!B10</f>
        <v>93.950935524124446</v>
      </c>
      <c r="F10" s="174">
        <f>B10-C10</f>
        <v>576.76532319745445</v>
      </c>
      <c r="G10" s="8">
        <f>+TableA2!C10-TableA4!D10</f>
        <v>393.64258226093392</v>
      </c>
      <c r="H10" s="21">
        <f>+TableA2!D10+TableA2!G10-TableA4!E10</f>
        <v>183.12274093652056</v>
      </c>
      <c r="I10" s="40">
        <f t="shared" ref="I10:I43" si="1">C10/B10</f>
        <v>0.25488124316983574</v>
      </c>
      <c r="J10" s="68">
        <f>D10/(D10+G10)</f>
        <v>0.20793803100790034</v>
      </c>
      <c r="K10" s="104">
        <f>E10/(E10+H10)</f>
        <v>0.33908286317292596</v>
      </c>
      <c r="L10" s="45"/>
      <c r="M10" s="45"/>
      <c r="N10" s="594">
        <f>D10+G10-TableA2!C10</f>
        <v>0</v>
      </c>
      <c r="O10" s="594">
        <f>H10+E10-TableA2!G10-TableA2!D10</f>
        <v>0</v>
      </c>
      <c r="P10" s="709">
        <f>TableB2!K10/TableA1!B10</f>
        <v>0.43561327527257365</v>
      </c>
      <c r="Q10" s="710">
        <f>I10</f>
        <v>0.25488124316983574</v>
      </c>
      <c r="S10" s="1">
        <v>1</v>
      </c>
    </row>
    <row r="11" spans="1:19" ht="14.25" customHeight="1" x14ac:dyDescent="0.35">
      <c r="A11" s="95" t="s">
        <v>55</v>
      </c>
      <c r="B11" s="61">
        <f>+TableA2!B11</f>
        <v>216.83707476995184</v>
      </c>
      <c r="C11" s="174">
        <f t="shared" ref="C11:C44" si="2">D11+E11</f>
        <v>58.214990623901087</v>
      </c>
      <c r="D11" s="44">
        <f>J11*TableA2!C11</f>
        <v>34.166269406006975</v>
      </c>
      <c r="E11" s="44">
        <f>K11*(TableA2!D11+TableA2!G11)</f>
        <v>24.048721217894112</v>
      </c>
      <c r="F11" s="174">
        <f t="shared" ref="F11:F43" si="3">B11-C11</f>
        <v>158.62208414605075</v>
      </c>
      <c r="G11" s="8">
        <f>+TableA2!C11-TableA4!D11</f>
        <v>90.16122025471843</v>
      </c>
      <c r="H11" s="21">
        <f>+TableA2!D11+TableA2!G11-TableA4!E11</f>
        <v>68.46075298465918</v>
      </c>
      <c r="I11" s="40">
        <f t="shared" si="1"/>
        <v>0.26847341805206931</v>
      </c>
      <c r="J11" s="68">
        <f>TableA9!M11/TableA9!E11</f>
        <v>0.27480864850760334</v>
      </c>
      <c r="K11" s="104">
        <f>TableA9!N11/TableA9!J11</f>
        <v>0.25995954928074122</v>
      </c>
      <c r="L11" s="45"/>
      <c r="M11" s="45"/>
      <c r="N11" s="594">
        <f>D11+G11-TableA2!C11</f>
        <v>0</v>
      </c>
      <c r="O11" s="594">
        <f>H11+E11-TableA2!G11-TableA2!D11</f>
        <v>0</v>
      </c>
      <c r="P11" s="709">
        <f>TableB2!K11/TableA1!B11</f>
        <v>0.63707162800450889</v>
      </c>
      <c r="Q11" s="710">
        <f t="shared" ref="Q11:Q52" si="4">I11</f>
        <v>0.26847341805206931</v>
      </c>
      <c r="R11" s="1">
        <v>1</v>
      </c>
    </row>
    <row r="12" spans="1:19" x14ac:dyDescent="0.35">
      <c r="A12" s="95" t="s">
        <v>2</v>
      </c>
      <c r="B12" s="61">
        <f>+TableA2!B12</f>
        <v>283.38418404296965</v>
      </c>
      <c r="C12" s="174">
        <f t="shared" si="2"/>
        <v>77.081904759105726</v>
      </c>
      <c r="D12" s="44">
        <f>J12*TableA2!C12</f>
        <v>47.376726963536328</v>
      </c>
      <c r="E12" s="44">
        <f>K12*(TableA2!D12+TableA2!G12)</f>
        <v>29.705177795569394</v>
      </c>
      <c r="F12" s="174">
        <f t="shared" si="3"/>
        <v>206.30227928386392</v>
      </c>
      <c r="G12" s="8">
        <f>+TableA2!C12-TableA4!D12</f>
        <v>119.14986457494996</v>
      </c>
      <c r="H12" s="21">
        <f>+TableA2!D12+TableA2!G12-TableA4!E12</f>
        <v>87.152414708914009</v>
      </c>
      <c r="I12" s="40">
        <f t="shared" si="1"/>
        <v>0.27200496393058327</v>
      </c>
      <c r="J12" s="68">
        <f>TableA9!M12/TableA9!E12</f>
        <v>0.28449946957922934</v>
      </c>
      <c r="K12" s="104">
        <f>TableA9!N12/TableA9!J12</f>
        <v>0.25419980986198831</v>
      </c>
      <c r="L12" s="45"/>
      <c r="M12" s="45"/>
      <c r="N12" s="594">
        <f>D12+G12-TableA2!C12</f>
        <v>0</v>
      </c>
      <c r="O12" s="594">
        <f>H12+E12-TableA2!G12-TableA2!D12</f>
        <v>0</v>
      </c>
      <c r="P12" s="709"/>
      <c r="Q12" s="710"/>
    </row>
    <row r="13" spans="1:19" x14ac:dyDescent="0.35">
      <c r="A13" s="95" t="s">
        <v>56</v>
      </c>
      <c r="B13" s="61">
        <f>+TableA2!B13</f>
        <v>963.75367641885134</v>
      </c>
      <c r="C13" s="174">
        <f t="shared" si="2"/>
        <v>160.04835909901968</v>
      </c>
      <c r="D13" s="108">
        <f>+TableA6!F13/TableA7!N13</f>
        <v>91.55391880071636</v>
      </c>
      <c r="E13" s="44">
        <f>TableA5!B13</f>
        <v>68.494440298303317</v>
      </c>
      <c r="F13" s="174">
        <f>B13-C13</f>
        <v>803.70531731983169</v>
      </c>
      <c r="G13" s="8">
        <f>+TableA2!C13-TableA4!D13</f>
        <v>521.84036373275637</v>
      </c>
      <c r="H13" s="21">
        <f>+TableA2!D13+TableA2!G13-TableA4!E13</f>
        <v>281.86495358707532</v>
      </c>
      <c r="I13" s="40">
        <f>C13/B13</f>
        <v>0.16606770279075128</v>
      </c>
      <c r="J13" s="68">
        <f>D13/(D13+G13)</f>
        <v>0.14925786139149461</v>
      </c>
      <c r="K13" s="104">
        <f>E13/(E13+H13)</f>
        <v>0.19549765610312572</v>
      </c>
      <c r="L13" s="45"/>
      <c r="M13" s="45"/>
      <c r="N13" s="594">
        <f>D13+G13-TableA2!C13</f>
        <v>0</v>
      </c>
      <c r="O13" s="594">
        <f>H13+E13-TableA2!G13-TableA2!D13</f>
        <v>0</v>
      </c>
      <c r="P13" s="709">
        <f>TableB2!K13/TableA1!B13</f>
        <v>0.51079708096514354</v>
      </c>
      <c r="Q13" s="710">
        <f t="shared" si="4"/>
        <v>0.16606770279075128</v>
      </c>
      <c r="S13" s="1">
        <v>1</v>
      </c>
    </row>
    <row r="14" spans="1:19" x14ac:dyDescent="0.35">
      <c r="A14" s="95" t="s">
        <v>57</v>
      </c>
      <c r="B14" s="61">
        <f>+TableA2!B14</f>
        <v>154.1756815022006</v>
      </c>
      <c r="C14" s="174">
        <f>D14+E14</f>
        <v>27.305278745233569</v>
      </c>
      <c r="D14" s="108">
        <f>+TableA6!F14/TableA7!N14</f>
        <v>9.9875864667598862</v>
      </c>
      <c r="E14" s="44">
        <f>TableA5!B14</f>
        <v>17.317692278473682</v>
      </c>
      <c r="F14" s="174">
        <f>B14-C14</f>
        <v>126.87040275696704</v>
      </c>
      <c r="G14" s="8">
        <f>+TableA2!C14-TableA4!D14</f>
        <v>57.041887054532872</v>
      </c>
      <c r="H14" s="21">
        <f>+TableA2!D14+TableA2!G14-TableA4!E14</f>
        <v>69.82851570243416</v>
      </c>
      <c r="I14" s="40">
        <f>C14/B14</f>
        <v>0.17710496544712098</v>
      </c>
      <c r="J14" s="68">
        <f>D14/(D14+G14)</f>
        <v>0.14900290785645517</v>
      </c>
      <c r="K14" s="104">
        <f>E14/(E14+H14)</f>
        <v>0.19871997508219377</v>
      </c>
      <c r="L14" s="45"/>
      <c r="M14" s="45"/>
      <c r="N14" s="594">
        <f>D14+G14-TableA2!C14</f>
        <v>0</v>
      </c>
      <c r="O14" s="594">
        <f>H14+E14-TableA2!G14-TableA2!D14</f>
        <v>0</v>
      </c>
      <c r="P14" s="709">
        <f>TableB2!K14/TableA1!B14</f>
        <v>1.0459478672026534</v>
      </c>
      <c r="Q14" s="710">
        <f t="shared" si="4"/>
        <v>0.17710496544712098</v>
      </c>
      <c r="S14" s="1">
        <v>1</v>
      </c>
    </row>
    <row r="15" spans="1:19" x14ac:dyDescent="0.35">
      <c r="A15" s="95" t="s">
        <v>58</v>
      </c>
      <c r="B15" s="61">
        <f>+TableA2!B15</f>
        <v>112.15354438741807</v>
      </c>
      <c r="C15" s="174">
        <f t="shared" si="2"/>
        <v>46.856993653406334</v>
      </c>
      <c r="D15" s="44">
        <f>J15*TableA2!C15</f>
        <v>22.880712544827599</v>
      </c>
      <c r="E15" s="44">
        <f>K15*(TableA2!D15+TableA2!G15)</f>
        <v>23.976281108578732</v>
      </c>
      <c r="F15" s="174">
        <f t="shared" si="3"/>
        <v>65.296550734011731</v>
      </c>
      <c r="G15" s="8">
        <f>+TableA2!C15-TableA4!D15</f>
        <v>31.128617197537356</v>
      </c>
      <c r="H15" s="21">
        <f>+TableA2!D15+TableA2!G15-TableA4!E15</f>
        <v>34.167933536474372</v>
      </c>
      <c r="I15" s="40">
        <f t="shared" si="1"/>
        <v>0.41779324861589467</v>
      </c>
      <c r="J15" s="68">
        <f>TableA9!M15/TableA9!E15</f>
        <v>0.4236437047816195</v>
      </c>
      <c r="K15" s="16">
        <f>TableA9!N15/TableA9!J15</f>
        <v>0.41235884352285473</v>
      </c>
      <c r="L15" s="45"/>
      <c r="M15" s="45"/>
      <c r="N15" s="594">
        <f>D15+G15-TableA2!C15</f>
        <v>0</v>
      </c>
      <c r="O15" s="594">
        <f>H15+E15-TableA2!G15-TableA2!D15</f>
        <v>0</v>
      </c>
      <c r="P15" s="709">
        <f>TableB2!K15/TableA1!B15</f>
        <v>0.62424587574706658</v>
      </c>
      <c r="Q15" s="710">
        <f t="shared" si="4"/>
        <v>0.41779324861589467</v>
      </c>
      <c r="R15" s="1">
        <v>1</v>
      </c>
    </row>
    <row r="16" spans="1:19" x14ac:dyDescent="0.35">
      <c r="A16" s="95" t="s">
        <v>59</v>
      </c>
      <c r="B16" s="61">
        <f>+TableA2!B16</f>
        <v>171.31642871995703</v>
      </c>
      <c r="C16" s="174">
        <f t="shared" si="2"/>
        <v>36.60079380297519</v>
      </c>
      <c r="D16" s="44">
        <f>J16*TableA2!C16</f>
        <v>22.761452923037087</v>
      </c>
      <c r="E16" s="44">
        <f>K16*(TableA2!D16+TableA2!G16)</f>
        <v>13.839340879938103</v>
      </c>
      <c r="F16" s="174">
        <f t="shared" si="3"/>
        <v>134.71563491698186</v>
      </c>
      <c r="G16" s="8">
        <f>+TableA2!C16-TableA4!D16</f>
        <v>75.81853636635114</v>
      </c>
      <c r="H16" s="21">
        <f>+TableA2!D16+TableA2!G16-TableA4!E16</f>
        <v>58.897098550630716</v>
      </c>
      <c r="I16" s="40">
        <f t="shared" si="1"/>
        <v>0.21364438937029676</v>
      </c>
      <c r="J16" s="68">
        <f>TableA9!M16/TableA9!E16</f>
        <v>0.23089323793918565</v>
      </c>
      <c r="K16" s="16">
        <f>TableA9!N16/TableA9!J16</f>
        <v>0.19026695543914493</v>
      </c>
      <c r="L16" s="45"/>
      <c r="M16" s="45"/>
      <c r="N16" s="594">
        <f>D16+G16-TableA2!C16</f>
        <v>0</v>
      </c>
      <c r="O16" s="594">
        <f>H16+E16-TableA2!G16-TableA2!D16</f>
        <v>0</v>
      </c>
      <c r="P16" s="709">
        <f>TableB2!K16/TableA1!B16</f>
        <v>0.37469158681083548</v>
      </c>
      <c r="Q16" s="710">
        <f t="shared" si="4"/>
        <v>0.21364438937029676</v>
      </c>
      <c r="R16" s="1">
        <v>1</v>
      </c>
    </row>
    <row r="17" spans="1:19" x14ac:dyDescent="0.35">
      <c r="A17" s="95" t="s">
        <v>60</v>
      </c>
      <c r="B17" s="61">
        <f>+TableA2!B17</f>
        <v>14.300084621791608</v>
      </c>
      <c r="C17" s="174">
        <f t="shared" si="2"/>
        <v>5.8723090121622592</v>
      </c>
      <c r="D17" s="44">
        <f>J17*TableA2!C17</f>
        <v>3.2197474636718431</v>
      </c>
      <c r="E17" s="44">
        <f>K17*(TableA2!D17+TableA2!G17)</f>
        <v>2.6525615484904161</v>
      </c>
      <c r="F17" s="174">
        <f t="shared" si="3"/>
        <v>8.4277756096293501</v>
      </c>
      <c r="G17" s="8">
        <f>+TableA2!C17-TableA4!D17</f>
        <v>4.7380281477289197</v>
      </c>
      <c r="H17" s="21">
        <f>+TableA2!D17+TableA2!G17-TableA4!E17</f>
        <v>3.6895256485541417</v>
      </c>
      <c r="I17" s="40">
        <f t="shared" si="1"/>
        <v>0.41064854981442322</v>
      </c>
      <c r="J17" s="68">
        <f>TableA9!M17/TableA9!E17</f>
        <v>0.40460395227267398</v>
      </c>
      <c r="K17" s="16">
        <f>TableA9!N17/TableA9!J17</f>
        <v>0.41824741068311427</v>
      </c>
      <c r="L17" s="45"/>
      <c r="M17" s="45"/>
      <c r="N17" s="594">
        <f>D17+G17-TableA2!C17</f>
        <v>0</v>
      </c>
      <c r="O17" s="594">
        <f>H17+E17-TableA2!G17-TableA2!D17</f>
        <v>0</v>
      </c>
      <c r="P17" s="709">
        <f>TableB2!K17/TableA1!B17</f>
        <v>0.83980010002856997</v>
      </c>
      <c r="Q17" s="710">
        <f t="shared" si="4"/>
        <v>0.41064854981442322</v>
      </c>
      <c r="R17" s="1">
        <v>1</v>
      </c>
    </row>
    <row r="18" spans="1:19" x14ac:dyDescent="0.35">
      <c r="A18" s="95" t="s">
        <v>61</v>
      </c>
      <c r="B18" s="61">
        <f>+TableA2!B18</f>
        <v>127.77114186183469</v>
      </c>
      <c r="C18" s="174">
        <f t="shared" si="2"/>
        <v>28.12836736505291</v>
      </c>
      <c r="D18" s="44">
        <f>J18*TableA2!C18</f>
        <v>16.339177250094341</v>
      </c>
      <c r="E18" s="44">
        <f>K18*(TableA2!D18+TableA2!G18)</f>
        <v>11.789190114958569</v>
      </c>
      <c r="F18" s="174">
        <f t="shared" si="3"/>
        <v>99.642774496781783</v>
      </c>
      <c r="G18" s="8">
        <f>+TableA2!C18-TableA4!D18</f>
        <v>59.108414356045017</v>
      </c>
      <c r="H18" s="21">
        <f>+TableA2!D18+TableA2!G18-TableA4!E18</f>
        <v>40.534360140736766</v>
      </c>
      <c r="I18" s="40">
        <f t="shared" si="1"/>
        <v>0.22014648186731803</v>
      </c>
      <c r="J18" s="68">
        <f>TableA9!M18/TableA9!E18</f>
        <v>0.21656327130215222</v>
      </c>
      <c r="K18" s="16">
        <f>TableA9!N18/TableA9!J18</f>
        <v>0.22531326825773512</v>
      </c>
      <c r="L18" s="45"/>
      <c r="M18" s="45"/>
      <c r="N18" s="594">
        <f>D18+G18-TableA2!C18</f>
        <v>0</v>
      </c>
      <c r="O18" s="594">
        <f>H18+E18-TableA2!G18-TableA2!D18</f>
        <v>0</v>
      </c>
      <c r="P18" s="709">
        <f>TableB2!K18/TableA1!B18</f>
        <v>0.35113512632375482</v>
      </c>
      <c r="Q18" s="710">
        <f t="shared" si="4"/>
        <v>0.22014648186731803</v>
      </c>
      <c r="R18" s="1">
        <v>1</v>
      </c>
    </row>
    <row r="19" spans="1:19" x14ac:dyDescent="0.35">
      <c r="A19" s="95" t="s">
        <v>48</v>
      </c>
      <c r="B19" s="61">
        <f>+TableA2!B19</f>
        <v>1308.4658390810716</v>
      </c>
      <c r="C19" s="174">
        <f t="shared" si="2"/>
        <v>211.37422828897019</v>
      </c>
      <c r="D19" s="44">
        <f>J19*TableA2!C19</f>
        <v>153.37468637532214</v>
      </c>
      <c r="E19" s="44">
        <f>K19*(TableA2!D19+TableA2!G19)</f>
        <v>57.999541913648059</v>
      </c>
      <c r="F19" s="174">
        <f t="shared" si="3"/>
        <v>1097.0916107921014</v>
      </c>
      <c r="G19" s="8">
        <f>+TableA2!C19-TableA4!D19</f>
        <v>718.0057357132946</v>
      </c>
      <c r="H19" s="21">
        <f>+TableA2!D19+TableA2!G19-TableA4!E19</f>
        <v>379.08587507880696</v>
      </c>
      <c r="I19" s="40">
        <f t="shared" si="1"/>
        <v>0.16154355885776669</v>
      </c>
      <c r="J19" s="68">
        <f>TableA9!M19/TableA9!E19</f>
        <v>0.17601346379540808</v>
      </c>
      <c r="K19" s="16">
        <f>TableA9!N19/TableA9!J19</f>
        <v>0.13269612679539305</v>
      </c>
      <c r="L19" s="45"/>
      <c r="M19" s="45"/>
      <c r="N19" s="594">
        <f>D19+G19-TableA2!C19</f>
        <v>0</v>
      </c>
      <c r="O19" s="594">
        <f>H19+E19-TableA2!G19-TableA2!D19</f>
        <v>0</v>
      </c>
      <c r="P19" s="709">
        <f>TableB2!K19/TableA1!B19</f>
        <v>0.28285909683503752</v>
      </c>
      <c r="Q19" s="710">
        <f t="shared" si="4"/>
        <v>0.16154355885776669</v>
      </c>
      <c r="R19" s="1">
        <v>1</v>
      </c>
    </row>
    <row r="20" spans="1:19" x14ac:dyDescent="0.35">
      <c r="A20" s="95" t="s">
        <v>62</v>
      </c>
      <c r="B20" s="61">
        <f>+TableA2!B20</f>
        <v>2072.973263728305</v>
      </c>
      <c r="C20" s="174">
        <f t="shared" si="2"/>
        <v>418.34195930404996</v>
      </c>
      <c r="D20" s="44">
        <f>J20*TableA2!C20</f>
        <v>234.01373793675208</v>
      </c>
      <c r="E20" s="44">
        <f>K20*(TableA2!D20+TableA2!G20)</f>
        <v>184.32822136729789</v>
      </c>
      <c r="F20" s="174">
        <f t="shared" si="3"/>
        <v>1654.6313044242552</v>
      </c>
      <c r="G20" s="8">
        <f>+TableA2!C20-TableA4!D20</f>
        <v>988.99296415350591</v>
      </c>
      <c r="H20" s="21">
        <f>+TableA2!D20+TableA2!G20-TableA4!E20</f>
        <v>665.63834027074927</v>
      </c>
      <c r="I20" s="40">
        <f t="shared" si="1"/>
        <v>0.20180769652168562</v>
      </c>
      <c r="J20" s="68">
        <f>TableA9!M20/TableA9!E20</f>
        <v>0.1913429726401302</v>
      </c>
      <c r="K20" s="16">
        <f>TableA9!N20/TableA9!J20</f>
        <v>0.21686526233698222</v>
      </c>
      <c r="L20" s="45"/>
      <c r="M20" s="45"/>
      <c r="N20" s="594">
        <f>D20+G20-TableA2!C20</f>
        <v>0</v>
      </c>
      <c r="O20" s="594">
        <f>H20+E20-TableA2!G20-TableA2!D20</f>
        <v>0</v>
      </c>
      <c r="P20" s="709">
        <f>TableB2!K20/TableA1!B20</f>
        <v>0.2338030357460614</v>
      </c>
      <c r="Q20" s="710">
        <f t="shared" si="4"/>
        <v>0.20180769652168562</v>
      </c>
      <c r="R20" s="1">
        <v>1</v>
      </c>
    </row>
    <row r="21" spans="1:19" x14ac:dyDescent="0.35">
      <c r="A21" s="95" t="s">
        <v>63</v>
      </c>
      <c r="B21" s="61">
        <f>+TableA2!B21</f>
        <v>65.374766181006336</v>
      </c>
      <c r="C21" s="174">
        <f t="shared" si="2"/>
        <v>8.6576655673265428</v>
      </c>
      <c r="D21" s="44">
        <f>J21*TableA2!C21</f>
        <v>4.1948249888750162</v>
      </c>
      <c r="E21" s="44">
        <f>K21*(TableA2!D21+TableA2!G21)</f>
        <v>4.4628405784515266</v>
      </c>
      <c r="F21" s="174">
        <f t="shared" si="3"/>
        <v>56.71710061367979</v>
      </c>
      <c r="G21" s="8">
        <f>+TableA2!C21-TableA4!D21</f>
        <v>23.498553993644979</v>
      </c>
      <c r="H21" s="21">
        <f>+TableA2!D21+TableA2!G21-TableA4!E21</f>
        <v>33.218546730941497</v>
      </c>
      <c r="I21" s="40">
        <f t="shared" si="1"/>
        <v>0.13243130450907675</v>
      </c>
      <c r="J21" s="68">
        <f>TableA9!M21/TableA9!E21</f>
        <v>0.1514739314232034</v>
      </c>
      <c r="K21" s="16">
        <f>TableA9!N21/TableA9!J21</f>
        <v>0.11843620676192707</v>
      </c>
      <c r="L21" s="45"/>
      <c r="M21" s="45"/>
      <c r="N21" s="594">
        <f>D21+G21-TableA2!C21</f>
        <v>0</v>
      </c>
      <c r="O21" s="594">
        <f>H21+E21-TableA2!G21-TableA2!D21</f>
        <v>0</v>
      </c>
      <c r="P21" s="709">
        <f>TableB2!K21/TableA1!B21</f>
        <v>0.13830806972928111</v>
      </c>
      <c r="Q21" s="710">
        <f t="shared" si="4"/>
        <v>0.13243130450907675</v>
      </c>
      <c r="R21" s="1">
        <v>1</v>
      </c>
    </row>
    <row r="22" spans="1:19" x14ac:dyDescent="0.35">
      <c r="A22" s="95" t="s">
        <v>64</v>
      </c>
      <c r="B22" s="61">
        <f>+TableA2!B22</f>
        <v>66.600399165868637</v>
      </c>
      <c r="C22" s="174">
        <f t="shared" si="2"/>
        <v>34.774086885014654</v>
      </c>
      <c r="D22" s="44">
        <f>J22*TableA2!C22</f>
        <v>15.828195934347765</v>
      </c>
      <c r="E22" s="44">
        <f>K22*(TableA2!D22+TableA2!G22)</f>
        <v>18.945890950666893</v>
      </c>
      <c r="F22" s="174">
        <f t="shared" si="3"/>
        <v>31.826312280853983</v>
      </c>
      <c r="G22" s="8">
        <f>+TableA2!C22-TableA4!D22</f>
        <v>18.378063630865736</v>
      </c>
      <c r="H22" s="21">
        <f>+TableA2!D22+TableA2!G22-TableA4!E22</f>
        <v>13.448248649988244</v>
      </c>
      <c r="I22" s="40">
        <f t="shared" si="1"/>
        <v>0.52213030733358834</v>
      </c>
      <c r="J22" s="68">
        <f>TableA9!M22/TableA9!E22</f>
        <v>0.46272805432501757</v>
      </c>
      <c r="K22" s="16">
        <f>TableA9!N22/TableA9!J22</f>
        <v>0.58485550733021263</v>
      </c>
      <c r="L22" s="45"/>
      <c r="M22" s="45"/>
      <c r="N22" s="594">
        <f>D22+G22-TableA2!C22</f>
        <v>0</v>
      </c>
      <c r="O22" s="594">
        <f>H22+E22-TableA2!G22-TableA2!D22</f>
        <v>0</v>
      </c>
      <c r="P22" s="709"/>
      <c r="Q22" s="710"/>
      <c r="R22" s="1">
        <v>1</v>
      </c>
    </row>
    <row r="23" spans="1:19" x14ac:dyDescent="0.35">
      <c r="A23" s="95" t="s">
        <v>65</v>
      </c>
      <c r="B23" s="61">
        <f>+TableA2!B23</f>
        <v>8.7968397543178742</v>
      </c>
      <c r="C23" s="174">
        <f>D23+E23</f>
        <v>1.4368665366564288</v>
      </c>
      <c r="D23" s="392">
        <f>+TableA2!C23*AVERAGE(J40,J34)</f>
        <v>1.4154993051686313</v>
      </c>
      <c r="E23" s="44">
        <f>TableA5!B23</f>
        <v>2.1367231487797442E-2</v>
      </c>
      <c r="F23" s="174">
        <f>B23-C23</f>
        <v>7.3599732176614454</v>
      </c>
      <c r="G23" s="8">
        <f>+TableA2!C23-TableA4!D23</f>
        <v>3.7120509929743211</v>
      </c>
      <c r="H23" s="21">
        <f>+TableA2!D23+TableA2!G23-TableA4!E23</f>
        <v>3.6479222246871243</v>
      </c>
      <c r="I23" s="40">
        <f>C23/B23</f>
        <v>0.16333894634731203</v>
      </c>
      <c r="J23" s="68">
        <f>D23/TableA9!B23</f>
        <v>0.27605761481877289</v>
      </c>
      <c r="K23" s="16">
        <f>E23/TableA9!G23</f>
        <v>5.8232613542764412E-3</v>
      </c>
      <c r="L23" s="45"/>
      <c r="M23" s="45"/>
      <c r="N23" s="594">
        <f>D23+G23-TableA2!C23</f>
        <v>0</v>
      </c>
      <c r="O23" s="594">
        <f>H23+E23-TableA2!G23-TableA2!D23</f>
        <v>0</v>
      </c>
      <c r="P23" s="709">
        <f>TableB2!K23/TableA1!B23</f>
        <v>0.67304135369080642</v>
      </c>
      <c r="Q23" s="710">
        <f t="shared" si="4"/>
        <v>0.16333894634731203</v>
      </c>
      <c r="R23" s="1">
        <v>1</v>
      </c>
    </row>
    <row r="24" spans="1:19" x14ac:dyDescent="0.35">
      <c r="A24" s="95" t="s">
        <v>19</v>
      </c>
      <c r="B24" s="61">
        <f>+TableA2!B24</f>
        <v>216.35996679454206</v>
      </c>
      <c r="C24" s="174">
        <f t="shared" si="2"/>
        <v>129.43928440981816</v>
      </c>
      <c r="D24" s="44">
        <f>J24*TableA2!C24</f>
        <v>14.534778765501809</v>
      </c>
      <c r="E24" s="44">
        <f>K24*(TableA2!D24+TableA2!G24)</f>
        <v>114.90450564431634</v>
      </c>
      <c r="F24" s="174">
        <f t="shared" si="3"/>
        <v>86.920682384723904</v>
      </c>
      <c r="G24" s="8">
        <f>+TableA2!C24-TableA4!D24</f>
        <v>46.826255283955916</v>
      </c>
      <c r="H24" s="21">
        <f>+TableA2!D24+TableA2!G24-TableA4!E24</f>
        <v>40.094427100768002</v>
      </c>
      <c r="I24" s="40">
        <f>C24/B24</f>
        <v>0.59825894007801916</v>
      </c>
      <c r="J24" s="68">
        <f>TableA9!M24/TableA9!E24</f>
        <v>0.23687310669808145</v>
      </c>
      <c r="K24" s="16">
        <f>TableA9!N24/TableA9!J24</f>
        <v>0.74132449565502212</v>
      </c>
      <c r="L24" s="45"/>
      <c r="M24" s="45"/>
      <c r="N24" s="594">
        <f>D24+G24-TableA2!C24</f>
        <v>0</v>
      </c>
      <c r="O24" s="594">
        <f>H24+E24-TableA2!G24-TableA2!D24</f>
        <v>0</v>
      </c>
      <c r="P24" s="709"/>
      <c r="Q24" s="710"/>
    </row>
    <row r="25" spans="1:19" x14ac:dyDescent="0.35">
      <c r="A25" s="95" t="s">
        <v>95</v>
      </c>
      <c r="B25" s="61">
        <f>+TableA2!B25</f>
        <v>168.61095158963607</v>
      </c>
      <c r="C25" s="174">
        <f>D25+E25</f>
        <v>20.001467408286921</v>
      </c>
      <c r="D25" s="108">
        <f>+TableA6!F25/TableA7!N25</f>
        <v>11.482695813055287</v>
      </c>
      <c r="E25" s="44">
        <f>TableA5!B25</f>
        <v>8.5187715952316321</v>
      </c>
      <c r="F25" s="174">
        <f>B25-C25</f>
        <v>148.60948418134916</v>
      </c>
      <c r="G25" s="8">
        <f>+TableA2!C25-TableA4!D25</f>
        <v>80.471637161888566</v>
      </c>
      <c r="H25" s="21">
        <f>+TableA2!D25+TableA2!G25-TableA4!E25</f>
        <v>68.137847045188494</v>
      </c>
      <c r="I25" s="40">
        <f>C25/B25</f>
        <v>0.11862496012101471</v>
      </c>
      <c r="J25" s="68">
        <f>D25/TableA9!B25</f>
        <v>0.12487389600427144</v>
      </c>
      <c r="K25" s="16">
        <f>E25/TableA9!G25</f>
        <v>0.11112897681009615</v>
      </c>
      <c r="L25" s="45"/>
      <c r="M25" s="45"/>
      <c r="N25" s="594">
        <f>D25+G25-TableA2!C25</f>
        <v>0</v>
      </c>
      <c r="O25" s="594">
        <f>H25+E25-TableA2!G25-TableA2!D25</f>
        <v>0</v>
      </c>
      <c r="P25" s="709"/>
      <c r="Q25" s="710"/>
      <c r="S25" s="1">
        <v>1</v>
      </c>
    </row>
    <row r="26" spans="1:19" x14ac:dyDescent="0.35">
      <c r="A26" s="95" t="s">
        <v>66</v>
      </c>
      <c r="B26" s="61">
        <f>+TableA2!B26</f>
        <v>872.75122856867165</v>
      </c>
      <c r="C26" s="174">
        <f t="shared" si="2"/>
        <v>133.17920652871467</v>
      </c>
      <c r="D26" s="44">
        <f>J26*TableA2!C26</f>
        <v>81.299813448428011</v>
      </c>
      <c r="E26" s="44">
        <f>K26*(TableA2!D26+TableA2!G26)</f>
        <v>51.879393080286654</v>
      </c>
      <c r="F26" s="174">
        <f t="shared" si="3"/>
        <v>739.57202203995701</v>
      </c>
      <c r="G26" s="8">
        <f>+TableA2!C26-TableA4!D26</f>
        <v>410.39638211996316</v>
      </c>
      <c r="H26" s="21">
        <f>+TableA2!D26+TableA2!G26-TableA4!E26</f>
        <v>329.17552901332084</v>
      </c>
      <c r="I26" s="40">
        <f t="shared" si="1"/>
        <v>0.15259698545154851</v>
      </c>
      <c r="J26" s="68">
        <f>TableA9!M26/TableA9!E26</f>
        <v>0.16534562231958502</v>
      </c>
      <c r="K26" s="16">
        <f>TableA9!N26/TableA9!J26</f>
        <v>0.13614676014483365</v>
      </c>
      <c r="L26" s="45"/>
      <c r="M26" s="45"/>
      <c r="N26" s="594">
        <f>D26+G26-TableA2!C26</f>
        <v>0</v>
      </c>
      <c r="O26" s="594">
        <f>H26+E26-TableA2!G26-TableA2!D26</f>
        <v>0</v>
      </c>
      <c r="P26" s="709">
        <f>TableB2!K26/TableA1!B26</f>
        <v>0.18583546955900887</v>
      </c>
      <c r="Q26" s="710">
        <f t="shared" si="4"/>
        <v>0.15259698545154851</v>
      </c>
      <c r="R26" s="1">
        <v>1</v>
      </c>
    </row>
    <row r="27" spans="1:19" x14ac:dyDescent="0.35">
      <c r="A27" s="95" t="s">
        <v>67</v>
      </c>
      <c r="B27" s="61">
        <f>+TableA2!B27</f>
        <v>2733.7570791303033</v>
      </c>
      <c r="C27" s="174">
        <f>D27+E27</f>
        <v>206.25682932165813</v>
      </c>
      <c r="D27" s="392">
        <f>+TableA2!C27*J44</f>
        <v>135.22206240620594</v>
      </c>
      <c r="E27" s="44">
        <f>TableA5!B27</f>
        <v>71.034766915452195</v>
      </c>
      <c r="F27" s="174">
        <f>B27-C27</f>
        <v>2527.5002498086451</v>
      </c>
      <c r="G27" s="8">
        <f>+TableA2!C27-TableA4!D27</f>
        <v>1378.7962158926975</v>
      </c>
      <c r="H27" s="21">
        <f>+TableA2!D27+TableA2!G27-TableA4!E27</f>
        <v>1148.7040339159478</v>
      </c>
      <c r="I27" s="40">
        <f>C27/B27</f>
        <v>7.5448118962814031E-2</v>
      </c>
      <c r="J27" s="68">
        <f>D27/TableA9!B27</f>
        <v>8.9313361895562174E-2</v>
      </c>
      <c r="K27" s="16">
        <f>E27/TableA9!G27</f>
        <v>5.8237687336857191E-2</v>
      </c>
      <c r="L27" s="45"/>
      <c r="M27" s="45"/>
      <c r="N27" s="594">
        <f>D27+G27-TableA2!C27</f>
        <v>0</v>
      </c>
      <c r="O27" s="594">
        <f>H27+E27-TableA2!G27-TableA2!D27</f>
        <v>0</v>
      </c>
      <c r="P27" s="709">
        <f>TableB2!K27/TableA1!B27</f>
        <v>4.7053689258015251E-2</v>
      </c>
      <c r="Q27" s="710">
        <f t="shared" si="4"/>
        <v>7.5448118962814031E-2</v>
      </c>
      <c r="S27" s="1">
        <v>1</v>
      </c>
    </row>
    <row r="28" spans="1:19" x14ac:dyDescent="0.35">
      <c r="A28" s="95" t="s">
        <v>68</v>
      </c>
      <c r="B28" s="61">
        <f>+TableA2!B28</f>
        <v>843.46264777451415</v>
      </c>
      <c r="C28" s="174">
        <f>D28+E28</f>
        <v>68.707525310376454</v>
      </c>
      <c r="D28" s="392">
        <f>+TableA2!C28*$B$98</f>
        <v>64.003009513839302</v>
      </c>
      <c r="E28" s="44">
        <f>TableA5!B28</f>
        <v>4.7045157965371542</v>
      </c>
      <c r="F28" s="174">
        <f t="shared" si="3"/>
        <v>774.75512246413768</v>
      </c>
      <c r="G28" s="8">
        <f>+TableA2!C28-TableA4!D28</f>
        <v>350.67717428019472</v>
      </c>
      <c r="H28" s="21">
        <f>+TableA2!D28+TableA2!G28-TableA4!E28</f>
        <v>424.07794818394296</v>
      </c>
      <c r="I28" s="40">
        <f>C28/B28</f>
        <v>8.145888320207427E-2</v>
      </c>
      <c r="J28" s="68">
        <f>D28/TableA9!B28</f>
        <v>0.15434306247348614</v>
      </c>
      <c r="K28" s="16">
        <f>E28/TableA9!G28</f>
        <v>1.0971800835472886E-2</v>
      </c>
      <c r="L28" s="45"/>
      <c r="M28" s="45"/>
      <c r="N28" s="594">
        <f>D28+G28-TableA2!C28</f>
        <v>0</v>
      </c>
      <c r="O28" s="594">
        <f>H28+E28-TableA2!G28-TableA2!D28</f>
        <v>0</v>
      </c>
      <c r="P28" s="709">
        <f>TableB2!K28/TableA1!B28</f>
        <v>0.12269555518747587</v>
      </c>
      <c r="Q28" s="710">
        <f t="shared" si="4"/>
        <v>8.145888320207427E-2</v>
      </c>
      <c r="S28" s="1">
        <v>1</v>
      </c>
    </row>
    <row r="29" spans="1:19" x14ac:dyDescent="0.35">
      <c r="A29" s="95" t="s">
        <v>69</v>
      </c>
      <c r="B29" s="61">
        <f>+TableA2!B29</f>
        <v>16.865578894016473</v>
      </c>
      <c r="C29" s="174">
        <f t="shared" si="2"/>
        <v>5.6429965651966789</v>
      </c>
      <c r="D29" s="44">
        <f>J29*TableA2!C29</f>
        <v>2.9223870232507698</v>
      </c>
      <c r="E29" s="44">
        <f>K29*(TableA2!D29+TableA2!G29)</f>
        <v>2.7206095419459095</v>
      </c>
      <c r="F29" s="174">
        <f t="shared" si="3"/>
        <v>11.222582328819794</v>
      </c>
      <c r="G29" s="8">
        <f>+TableA2!C29-TableA4!D29</f>
        <v>6.2797658970882937</v>
      </c>
      <c r="H29" s="21">
        <f>+TableA2!D29+TableA2!G29-TableA4!E29</f>
        <v>4.9428175407982327</v>
      </c>
      <c r="I29" s="40">
        <f t="shared" si="1"/>
        <v>0.33458659205576913</v>
      </c>
      <c r="J29" s="68">
        <f>TableA9!M29/TableA9!E29</f>
        <v>0.31757644635437021</v>
      </c>
      <c r="K29" s="16">
        <f>TableA9!N29/TableA9!J29</f>
        <v>0.35501212611156019</v>
      </c>
      <c r="L29" s="45"/>
      <c r="M29" s="45"/>
      <c r="N29" s="594">
        <f>D29+G29-TableA2!C29</f>
        <v>0</v>
      </c>
      <c r="O29" s="594">
        <f>H29+E29-TableA2!G29-TableA2!D29</f>
        <v>0</v>
      </c>
      <c r="P29" s="709">
        <f>TableB2!K29/TableA1!B29</f>
        <v>0.54583244130060771</v>
      </c>
      <c r="Q29" s="710">
        <f t="shared" si="4"/>
        <v>0.33458659205576913</v>
      </c>
      <c r="R29" s="1">
        <v>1</v>
      </c>
    </row>
    <row r="30" spans="1:19" x14ac:dyDescent="0.35">
      <c r="A30" s="95" t="s">
        <v>70</v>
      </c>
      <c r="B30" s="61">
        <f>+TableA2!B30</f>
        <v>39.231128397764564</v>
      </c>
      <c r="C30" s="174">
        <f t="shared" si="2"/>
        <v>25.429791085099801</v>
      </c>
      <c r="D30" s="44">
        <f>J30*TableA2!C30</f>
        <v>11.134697263599653</v>
      </c>
      <c r="E30" s="44">
        <f>K30*(TableA2!D30+TableA2!G30)</f>
        <v>14.295093821500146</v>
      </c>
      <c r="F30" s="174">
        <f t="shared" si="3"/>
        <v>13.801337312664764</v>
      </c>
      <c r="G30" s="8">
        <f>+TableA2!C30-TableA4!D30</f>
        <v>10.41757471505303</v>
      </c>
      <c r="H30" s="21">
        <f>+TableA2!D30+TableA2!G30-TableA4!E30</f>
        <v>3.3837625976117351</v>
      </c>
      <c r="I30" s="124">
        <f t="shared" si="1"/>
        <v>0.64820442652750254</v>
      </c>
      <c r="J30" s="121">
        <f>(TableA9!M30+TableA9!D30)/TableA9!B30</f>
        <v>0.51663682022148116</v>
      </c>
      <c r="K30" s="125">
        <f>(TableA9!N30+TableA9!I30)/TableA9!G30</f>
        <v>0.80859833252824609</v>
      </c>
      <c r="L30" s="45"/>
      <c r="M30" s="45"/>
      <c r="N30" s="594">
        <f>D30+G30-TableA2!C30</f>
        <v>0</v>
      </c>
      <c r="O30" s="594">
        <f>H30+E30-TableA2!G30-TableA2!D30</f>
        <v>0</v>
      </c>
      <c r="P30" s="709"/>
      <c r="Q30" s="710"/>
    </row>
    <row r="31" spans="1:19" x14ac:dyDescent="0.35">
      <c r="A31" s="13" t="s">
        <v>71</v>
      </c>
      <c r="B31" s="61">
        <f>+TableA2!B31</f>
        <v>580.51899302302263</v>
      </c>
      <c r="C31" s="174">
        <f>D31+E31</f>
        <v>65.009276406836875</v>
      </c>
      <c r="D31" s="108">
        <f>+TableA6!F31/TableA7!N31</f>
        <v>32.357373994477598</v>
      </c>
      <c r="E31" s="44">
        <f>TableA5!B31</f>
        <v>32.651902412359277</v>
      </c>
      <c r="F31" s="174">
        <f>B31-C31</f>
        <v>515.50971661618576</v>
      </c>
      <c r="G31" s="8">
        <f>+TableA2!C31-TableA4!D31</f>
        <v>107.87082887464368</v>
      </c>
      <c r="H31" s="21">
        <f>+TableA2!D31+TableA2!G31-TableA4!E31</f>
        <v>407.63882464316043</v>
      </c>
      <c r="I31" s="40">
        <f>C31/B31</f>
        <v>0.11198475362245158</v>
      </c>
      <c r="J31" s="68">
        <f>D31/TableA9!B31</f>
        <v>0.23074797603073896</v>
      </c>
      <c r="K31" s="16">
        <f>E31/TableA9!G31</f>
        <v>7.415986848217665E-2</v>
      </c>
      <c r="L31" s="45"/>
      <c r="M31" s="45"/>
      <c r="N31" s="594">
        <f>D31+G31-TableA2!C31</f>
        <v>0</v>
      </c>
      <c r="O31" s="594">
        <f>H31+E31-TableA2!G31-TableA2!D31</f>
        <v>0</v>
      </c>
      <c r="P31" s="709"/>
      <c r="Q31" s="710"/>
      <c r="S31" s="1">
        <v>1</v>
      </c>
    </row>
    <row r="32" spans="1:19" x14ac:dyDescent="0.35">
      <c r="A32" s="13" t="s">
        <v>72</v>
      </c>
      <c r="B32" s="61">
        <f>+TableA2!B32</f>
        <v>501.13845699981925</v>
      </c>
      <c r="C32" s="174">
        <f t="shared" si="2"/>
        <v>140.66521226439096</v>
      </c>
      <c r="D32" s="44">
        <f>J32*TableA2!C32</f>
        <v>77.710709775013825</v>
      </c>
      <c r="E32" s="44">
        <f>K32*(TableA2!D32+TableA2!G32)</f>
        <v>62.954502489377148</v>
      </c>
      <c r="F32" s="174">
        <f t="shared" si="3"/>
        <v>360.4732447354283</v>
      </c>
      <c r="G32" s="8">
        <f>+TableA2!C32-TableA4!D32</f>
        <v>204.32828722939695</v>
      </c>
      <c r="H32" s="21">
        <f>+TableA2!D32+TableA2!G32-TableA4!E32</f>
        <v>156.14495750603135</v>
      </c>
      <c r="I32" s="40">
        <f t="shared" si="1"/>
        <v>0.2806913145451172</v>
      </c>
      <c r="J32" s="68">
        <f>TableA9!M32/TableA9!E32</f>
        <v>0.27553179028571895</v>
      </c>
      <c r="K32" s="16">
        <f>TableA9!N32/TableA9!J32</f>
        <v>0.28733298790739348</v>
      </c>
      <c r="L32" s="45"/>
      <c r="M32" s="45"/>
      <c r="N32" s="594">
        <f>D32+G32-TableA2!C32</f>
        <v>0</v>
      </c>
      <c r="O32" s="594">
        <f>H32+E32-TableA2!G32-TableA2!D32</f>
        <v>0</v>
      </c>
      <c r="P32" s="709"/>
      <c r="Q32" s="710"/>
    </row>
    <row r="33" spans="1:19" x14ac:dyDescent="0.35">
      <c r="A33" s="13" t="s">
        <v>73</v>
      </c>
      <c r="B33" s="61">
        <f>+TableA2!B33</f>
        <v>117.72450705207552</v>
      </c>
      <c r="C33" s="174">
        <f>D33+E33</f>
        <v>18.692186411311809</v>
      </c>
      <c r="D33" s="108">
        <f>+TableA6!F33/TableA7!N33</f>
        <v>9.1720055414100905</v>
      </c>
      <c r="E33" s="44">
        <f>TableA5!B33</f>
        <v>9.5201808699017167</v>
      </c>
      <c r="F33" s="174">
        <f>B33-C33</f>
        <v>99.032320640763714</v>
      </c>
      <c r="G33" s="8">
        <f>+TableA2!C33-TableA4!D33</f>
        <v>47.969855369693661</v>
      </c>
      <c r="H33" s="21">
        <f>+TableA2!D33+TableA2!G33-TableA4!E33</f>
        <v>51.06246527107006</v>
      </c>
      <c r="I33" s="40">
        <f>C33/B33</f>
        <v>0.15877905866314909</v>
      </c>
      <c r="J33" s="68">
        <f>D33/TableA9!B33</f>
        <v>0.16051289536543245</v>
      </c>
      <c r="K33" s="16">
        <f>E33/TableA9!G33</f>
        <v>0.1571436950401422</v>
      </c>
      <c r="L33" s="45"/>
      <c r="M33" s="45"/>
      <c r="N33" s="594">
        <f>D33+G33-TableA2!C33</f>
        <v>0</v>
      </c>
      <c r="O33" s="594">
        <f>H33+E33-TableA2!G33-TableA2!D33</f>
        <v>0</v>
      </c>
      <c r="P33" s="709">
        <f>TableB2!K33/TableA1!B33</f>
        <v>0.37935721698885838</v>
      </c>
      <c r="Q33" s="710">
        <f t="shared" si="4"/>
        <v>0.15877905866314909</v>
      </c>
      <c r="S33" s="1">
        <v>1</v>
      </c>
    </row>
    <row r="34" spans="1:19" x14ac:dyDescent="0.35">
      <c r="A34" s="13" t="s">
        <v>74</v>
      </c>
      <c r="B34" s="61">
        <f>+TableA2!B34</f>
        <v>244.0517414879925</v>
      </c>
      <c r="C34" s="174">
        <f t="shared" si="2"/>
        <v>60.982347489637597</v>
      </c>
      <c r="D34" s="44">
        <f>J34*TableA2!C34</f>
        <v>33.195608121398337</v>
      </c>
      <c r="E34" s="44">
        <f>K34*(TableA2!D34+TableA2!G34)</f>
        <v>27.78673936823926</v>
      </c>
      <c r="F34" s="174">
        <f t="shared" si="3"/>
        <v>183.06939399835491</v>
      </c>
      <c r="G34" s="8">
        <f>+TableA2!C34-TableA4!D34</f>
        <v>87.25502242729938</v>
      </c>
      <c r="H34" s="21">
        <f>+TableA2!D34+TableA2!G34-TableA4!E34</f>
        <v>95.814371571055545</v>
      </c>
      <c r="I34" s="40">
        <f t="shared" si="1"/>
        <v>0.24987466640404191</v>
      </c>
      <c r="J34" s="68">
        <f>TableA9!M34/TableA9!E34</f>
        <v>0.27559513777702876</v>
      </c>
      <c r="K34" s="16">
        <f>TableA9!N34/TableA9!J34</f>
        <v>0.22480978655512557</v>
      </c>
      <c r="L34" s="45"/>
      <c r="M34" s="45"/>
      <c r="N34" s="594">
        <f>D34+G34-TableA2!C34</f>
        <v>0</v>
      </c>
      <c r="O34" s="594">
        <f>H34+E34-TableA2!G34-TableA2!D34</f>
        <v>0</v>
      </c>
      <c r="P34" s="709">
        <f>TableB2!K34/TableA1!B34</f>
        <v>0.38665659545495995</v>
      </c>
      <c r="Q34" s="710">
        <f t="shared" si="4"/>
        <v>0.24987466640404191</v>
      </c>
      <c r="S34" s="1">
        <v>1</v>
      </c>
    </row>
    <row r="35" spans="1:19" x14ac:dyDescent="0.35">
      <c r="A35" s="13" t="s">
        <v>75</v>
      </c>
      <c r="B35" s="61">
        <f>+TableA2!B35</f>
        <v>234.89932351770796</v>
      </c>
      <c r="C35" s="174">
        <f t="shared" si="2"/>
        <v>83.337596477929566</v>
      </c>
      <c r="D35" s="44">
        <f>J35*TableA2!C35</f>
        <v>39.193037102238662</v>
      </c>
      <c r="E35" s="44">
        <f>K35*(TableA2!D35+TableA2!G35)</f>
        <v>44.144559375690896</v>
      </c>
      <c r="F35" s="174">
        <f t="shared" si="3"/>
        <v>151.56172703977839</v>
      </c>
      <c r="G35" s="8">
        <f>+TableA2!C35-TableA4!D35</f>
        <v>71.641291057994792</v>
      </c>
      <c r="H35" s="21">
        <f>+TableA2!D35+TableA2!G35-TableA4!E35</f>
        <v>79.920435981783555</v>
      </c>
      <c r="I35" s="40">
        <f t="shared" si="1"/>
        <v>0.3547800616447801</v>
      </c>
      <c r="J35" s="68">
        <f>TableA9!M35/TableA9!E35</f>
        <v>0.35361821335333216</v>
      </c>
      <c r="K35" s="16">
        <f>TableA9!N35/TableA9!J35</f>
        <v>0.3558180069123853</v>
      </c>
      <c r="L35" s="45"/>
      <c r="M35" s="45"/>
      <c r="N35" s="594">
        <f>D35+G35-TableA2!C35</f>
        <v>0</v>
      </c>
      <c r="O35" s="594">
        <f>H35+E35-TableA2!G35-TableA2!D35</f>
        <v>0</v>
      </c>
      <c r="P35" s="709">
        <f>TableB2!K35/TableA1!B35</f>
        <v>0.38815750454674208</v>
      </c>
      <c r="Q35" s="710">
        <f t="shared" si="4"/>
        <v>0.3547800616447801</v>
      </c>
      <c r="R35" s="1">
        <v>1</v>
      </c>
    </row>
    <row r="36" spans="1:19" x14ac:dyDescent="0.35">
      <c r="A36" s="13" t="s">
        <v>76</v>
      </c>
      <c r="B36" s="61">
        <f>+TableA2!B36</f>
        <v>101.75390252856124</v>
      </c>
      <c r="C36" s="2591">
        <f t="shared" si="2"/>
        <v>24.453109744915967</v>
      </c>
      <c r="D36" s="44">
        <f>J36*TableA2!C36</f>
        <v>13.115654195957454</v>
      </c>
      <c r="E36" s="44">
        <f>K36*(TableA2!D36+TableA2!G36)</f>
        <v>11.337455548958513</v>
      </c>
      <c r="F36" s="2591">
        <f t="shared" si="3"/>
        <v>77.300792783645278</v>
      </c>
      <c r="G36" s="8">
        <f>+TableA2!C36-TableA4!D36</f>
        <v>44.878003051405457</v>
      </c>
      <c r="H36" s="21">
        <f>+TableA2!D36+TableA2!G36-TableA4!E36</f>
        <v>32.422789732239821</v>
      </c>
      <c r="I36" s="40">
        <f t="shared" si="1"/>
        <v>0.24031618579004613</v>
      </c>
      <c r="J36" s="68">
        <f>TableA9!M36/TableA9!E36</f>
        <v>0.2261567008960079</v>
      </c>
      <c r="K36" s="16">
        <f>TableA9!N36/TableA9!J36</f>
        <v>0.25908117004613024</v>
      </c>
      <c r="L36" s="45"/>
      <c r="M36" s="45"/>
      <c r="N36" s="594">
        <f>D36+G36-TableA2!C36</f>
        <v>0</v>
      </c>
      <c r="O36" s="594">
        <f>H36+E36-TableA2!G36-TableA2!D36</f>
        <v>0</v>
      </c>
      <c r="P36" s="709">
        <f>TableB2!K36/TableA1!B36</f>
        <v>0.58760425366217361</v>
      </c>
      <c r="Q36" s="710">
        <f t="shared" si="4"/>
        <v>0.24031618579004613</v>
      </c>
      <c r="R36" s="1">
        <v>1</v>
      </c>
    </row>
    <row r="37" spans="1:19" x14ac:dyDescent="0.35">
      <c r="A37" s="13" t="s">
        <v>96</v>
      </c>
      <c r="B37" s="61">
        <f>+TableA2!B37</f>
        <v>43.35690211044308</v>
      </c>
      <c r="C37" s="174">
        <f t="shared" si="2"/>
        <v>19.882539197567318</v>
      </c>
      <c r="D37" s="44">
        <f>J37*TableA2!C37</f>
        <v>9.6007058772968481</v>
      </c>
      <c r="E37" s="44">
        <f>K37*(TableA2!D37+TableA2!G37)</f>
        <v>10.281833320270469</v>
      </c>
      <c r="F37" s="174">
        <f t="shared" si="3"/>
        <v>23.474362912875762</v>
      </c>
      <c r="G37" s="8">
        <f>+TableA2!C37-TableA4!D37</f>
        <v>11.642195263821913</v>
      </c>
      <c r="H37" s="21">
        <f>+TableA2!D37+TableA2!G37-TableA4!E37</f>
        <v>11.832167649053851</v>
      </c>
      <c r="I37" s="40">
        <f t="shared" si="1"/>
        <v>0.45857840919815962</v>
      </c>
      <c r="J37" s="68">
        <f>TableA9!M37/TableA9!E37</f>
        <v>0.4519489034721943</v>
      </c>
      <c r="K37" s="16">
        <f>TableA9!N37/TableA9!J37</f>
        <v>0.46494676990079847</v>
      </c>
      <c r="L37" s="45"/>
      <c r="M37" s="45"/>
      <c r="N37" s="594">
        <f>D37+G37-TableA2!C37</f>
        <v>0</v>
      </c>
      <c r="O37" s="594">
        <f>H37+E37-TableA2!G37-TableA2!D37</f>
        <v>0</v>
      </c>
      <c r="P37" s="709">
        <f>TableB2!K37/TableA1!B37</f>
        <v>0.52588557151835713</v>
      </c>
      <c r="Q37" s="710">
        <f t="shared" si="4"/>
        <v>0.45857840919815962</v>
      </c>
      <c r="R37" s="1">
        <v>1</v>
      </c>
    </row>
    <row r="38" spans="1:19" x14ac:dyDescent="0.35">
      <c r="A38" s="13" t="s">
        <v>78</v>
      </c>
      <c r="B38" s="61">
        <f>+TableA2!B38</f>
        <v>23.475728296395868</v>
      </c>
      <c r="C38" s="174">
        <f t="shared" si="2"/>
        <v>6.1878086902872891</v>
      </c>
      <c r="D38" s="44">
        <f>J38*TableA2!C38</f>
        <v>3.988545148405708</v>
      </c>
      <c r="E38" s="44">
        <f>K38*(TableA2!D38+TableA2!G38)</f>
        <v>2.1992635418815816</v>
      </c>
      <c r="F38" s="174">
        <f t="shared" si="3"/>
        <v>17.287919606108581</v>
      </c>
      <c r="G38" s="8">
        <f>+TableA2!C38-TableA4!D38</f>
        <v>10.95434956012601</v>
      </c>
      <c r="H38" s="21">
        <f>+TableA2!D38+TableA2!G38-TableA4!E38</f>
        <v>6.333570045982567</v>
      </c>
      <c r="I38" s="40">
        <f t="shared" si="1"/>
        <v>0.2635832470099459</v>
      </c>
      <c r="J38" s="68">
        <f>TableA9!M38/TableA9!E38</f>
        <v>0.26691917638477564</v>
      </c>
      <c r="K38" s="16">
        <f>TableA9!N38/TableA9!J38</f>
        <v>0.25774129065513379</v>
      </c>
      <c r="L38" s="45"/>
      <c r="M38" s="45"/>
      <c r="N38" s="594">
        <f>D38+G38-TableA2!C38</f>
        <v>0</v>
      </c>
      <c r="O38" s="594">
        <f>H38+E38-TableA2!G38-TableA2!D38</f>
        <v>0</v>
      </c>
      <c r="P38" s="709">
        <f>TableB2!K38/TableA1!B38</f>
        <v>0.29554344801039062</v>
      </c>
      <c r="Q38" s="710">
        <f t="shared" si="4"/>
        <v>0.2635832470099459</v>
      </c>
      <c r="R38" s="1">
        <v>1</v>
      </c>
    </row>
    <row r="39" spans="1:19" x14ac:dyDescent="0.35">
      <c r="A39" s="13" t="s">
        <v>79</v>
      </c>
      <c r="B39" s="61">
        <f>+TableA2!B39</f>
        <v>678.97508925214515</v>
      </c>
      <c r="C39" s="174">
        <f t="shared" si="2"/>
        <v>149.10309882409237</v>
      </c>
      <c r="D39" s="44">
        <f>J39*TableA2!C39</f>
        <v>84.581926770837981</v>
      </c>
      <c r="E39" s="44">
        <f>K39*(TableA2!D39+TableA2!G39)</f>
        <v>64.521172053254389</v>
      </c>
      <c r="F39" s="174">
        <f t="shared" si="3"/>
        <v>529.87199042805275</v>
      </c>
      <c r="G39" s="8">
        <f>+TableA2!C39-TableA4!D39</f>
        <v>308.58999299040215</v>
      </c>
      <c r="H39" s="21">
        <f>+TableA2!D39+TableA2!G39-TableA4!E39</f>
        <v>221.28199743765074</v>
      </c>
      <c r="I39" s="40">
        <f t="shared" si="1"/>
        <v>0.21960024923494834</v>
      </c>
      <c r="J39" s="68">
        <f>TableA9!M39/TableA9!E39</f>
        <v>0.21512707932499781</v>
      </c>
      <c r="K39" s="16">
        <f>TableA9!N39/TableA9!J39</f>
        <v>0.22575387168793307</v>
      </c>
      <c r="L39" s="45"/>
      <c r="M39" s="45"/>
      <c r="N39" s="594">
        <f>D39+G39-TableA2!C39</f>
        <v>0</v>
      </c>
      <c r="O39" s="594">
        <f>H39+E39-TableA2!G39-TableA2!D39</f>
        <v>0</v>
      </c>
      <c r="P39" s="709">
        <f>TableB2!K39/TableA1!B39</f>
        <v>0.45408528644092888</v>
      </c>
      <c r="Q39" s="710">
        <f t="shared" si="4"/>
        <v>0.21960024923494834</v>
      </c>
      <c r="R39" s="1">
        <v>1</v>
      </c>
    </row>
    <row r="40" spans="1:19" x14ac:dyDescent="0.35">
      <c r="A40" s="13" t="s">
        <v>80</v>
      </c>
      <c r="B40" s="61">
        <f>+TableA2!B40</f>
        <v>287.8253425286855</v>
      </c>
      <c r="C40" s="174">
        <f t="shared" si="2"/>
        <v>78.161963173851206</v>
      </c>
      <c r="D40" s="44">
        <f>J40*TableA2!C40</f>
        <v>45.364312208613207</v>
      </c>
      <c r="E40" s="44">
        <f>K40*(TableA2!D40+TableA2!G40)</f>
        <v>32.797650965237999</v>
      </c>
      <c r="F40" s="174">
        <f t="shared" si="3"/>
        <v>209.66337935483429</v>
      </c>
      <c r="G40" s="8">
        <f>+TableA2!C40-TableA4!D40</f>
        <v>118.68999539481405</v>
      </c>
      <c r="H40" s="21">
        <f>+TableA2!D40+TableA2!G40-TableA4!E40</f>
        <v>90.973383960020215</v>
      </c>
      <c r="I40" s="40">
        <f t="shared" si="1"/>
        <v>0.27156039314384334</v>
      </c>
      <c r="J40" s="68">
        <f>TableA9!M40/TableA9!E40</f>
        <v>0.27652009186051696</v>
      </c>
      <c r="K40" s="16">
        <f>TableA9!N40/TableA9!J40</f>
        <v>0.26498648076299564</v>
      </c>
      <c r="L40" s="45"/>
      <c r="M40" s="45"/>
      <c r="N40" s="594">
        <f>D40+G40-TableA2!C40</f>
        <v>0</v>
      </c>
      <c r="O40" s="594">
        <f>H40+E40-TableA2!G40-TableA2!D40</f>
        <v>0</v>
      </c>
      <c r="P40" s="709">
        <f>TableB2!K40/TableA1!B40</f>
        <v>0.60791032866305494</v>
      </c>
      <c r="Q40" s="710">
        <f t="shared" si="4"/>
        <v>0.27156039314384334</v>
      </c>
      <c r="R40" s="1">
        <v>1</v>
      </c>
    </row>
    <row r="41" spans="1:19" x14ac:dyDescent="0.35">
      <c r="A41" s="13" t="s">
        <v>1</v>
      </c>
      <c r="B41" s="61">
        <f>+TableA2!B41</f>
        <v>483.52057116672086</v>
      </c>
      <c r="C41" s="174">
        <f t="shared" si="2"/>
        <v>79.990300559539349</v>
      </c>
      <c r="D41" s="108">
        <f>+TableA6!F41/TableA7!N41</f>
        <v>18.886427858840669</v>
      </c>
      <c r="E41" s="44">
        <f>TableA5!B41</f>
        <v>61.10387270069868</v>
      </c>
      <c r="F41" s="174">
        <f t="shared" si="3"/>
        <v>403.53027060718148</v>
      </c>
      <c r="G41" s="8">
        <f>+TableA2!C41-TableA4!D41</f>
        <v>302.26740144576951</v>
      </c>
      <c r="H41" s="21">
        <f>+TableA2!D41+TableA2!G41-TableA4!E41</f>
        <v>101.26286936922997</v>
      </c>
      <c r="I41" s="40">
        <f t="shared" si="1"/>
        <v>0.16543308667617826</v>
      </c>
      <c r="J41" s="68">
        <f>D41/TableA9!B41</f>
        <v>5.8808041927244599E-2</v>
      </c>
      <c r="K41" s="16">
        <f>E41/TableA9!G41</f>
        <v>0.37633244297272567</v>
      </c>
      <c r="L41" s="45"/>
      <c r="M41" s="45"/>
      <c r="N41" s="594">
        <f>D41+G41-TableA2!C41</f>
        <v>0</v>
      </c>
      <c r="O41" s="594">
        <f>H41+E41-TableA2!G41-TableA2!D41</f>
        <v>0</v>
      </c>
      <c r="P41" s="709"/>
      <c r="Q41" s="710">
        <f t="shared" si="4"/>
        <v>0.16543308667617826</v>
      </c>
      <c r="S41" s="1">
        <v>1</v>
      </c>
    </row>
    <row r="42" spans="1:19" x14ac:dyDescent="0.35">
      <c r="A42" s="13" t="s">
        <v>81</v>
      </c>
      <c r="B42" s="61">
        <f>+TableA2!B42</f>
        <v>461.75718903871274</v>
      </c>
      <c r="C42" s="174">
        <f t="shared" si="2"/>
        <v>13.18393403924207</v>
      </c>
      <c r="D42" s="108">
        <f>+TableA6!F42/TableA7!N42</f>
        <v>8.3567244424339737</v>
      </c>
      <c r="E42" s="44">
        <f>TableA5!B42</f>
        <v>4.8272095968080961</v>
      </c>
      <c r="F42" s="174">
        <f t="shared" si="3"/>
        <v>448.57325499947069</v>
      </c>
      <c r="G42" s="8">
        <f>+TableA2!C42-TableA4!D42</f>
        <v>172.01765299528776</v>
      </c>
      <c r="H42" s="21">
        <f>+TableA2!D42+TableA2!G42-TableA4!E42</f>
        <v>276.5556020041829</v>
      </c>
      <c r="I42" s="40">
        <f t="shared" si="1"/>
        <v>2.8551659513278864E-2</v>
      </c>
      <c r="J42" s="68">
        <f>D42/TableA9!B42</f>
        <v>4.6329886545661503E-2</v>
      </c>
      <c r="K42" s="16">
        <f>E42/TableA9!G42</f>
        <v>1.715531083559297E-2</v>
      </c>
      <c r="L42" s="45"/>
      <c r="M42" s="45"/>
      <c r="N42" s="594">
        <f>D42+G42-TableA2!C42</f>
        <v>0</v>
      </c>
      <c r="O42" s="594">
        <f>H42+E42-TableA2!G42-TableA2!D42</f>
        <v>0</v>
      </c>
      <c r="P42" s="709">
        <f>TableB2!K42/TableA1!B42</f>
        <v>0.18138526162148752</v>
      </c>
      <c r="Q42" s="710">
        <f t="shared" si="4"/>
        <v>2.8551659513278864E-2</v>
      </c>
      <c r="S42" s="1">
        <v>1</v>
      </c>
    </row>
    <row r="43" spans="1:19" x14ac:dyDescent="0.35">
      <c r="A43" s="13" t="s">
        <v>82</v>
      </c>
      <c r="B43" s="61">
        <f>+TableA2!B43</f>
        <v>1619.5418191262634</v>
      </c>
      <c r="C43" s="174">
        <f t="shared" si="2"/>
        <v>481.06573204045446</v>
      </c>
      <c r="D43" s="44">
        <f>J43*TableA2!C43</f>
        <v>280.65878878006157</v>
      </c>
      <c r="E43" s="44">
        <f>K43*(TableA2!D43+TableA2!G43)</f>
        <v>200.40694326039292</v>
      </c>
      <c r="F43" s="174">
        <f t="shared" si="3"/>
        <v>1138.476087085809</v>
      </c>
      <c r="G43" s="8">
        <f>+TableA2!C43-TableA4!D43</f>
        <v>731.91024772621381</v>
      </c>
      <c r="H43" s="21">
        <f>+TableA2!D43+TableA2!G43-TableA4!E43</f>
        <v>406.56583935959486</v>
      </c>
      <c r="I43" s="40">
        <f t="shared" si="1"/>
        <v>0.29703816620183826</v>
      </c>
      <c r="J43" s="68">
        <f>TableA9!M43/TableA9!E43</f>
        <v>0.27717496650740436</v>
      </c>
      <c r="K43" s="16">
        <f>TableA9!N43/TableA9!J43</f>
        <v>0.33017451358418365</v>
      </c>
      <c r="L43" s="45"/>
      <c r="M43" s="45"/>
      <c r="N43" s="594">
        <f>D43+G43-TableA2!C43</f>
        <v>0</v>
      </c>
      <c r="O43" s="594">
        <f>H43+E43-TableA2!G43-TableA2!D43</f>
        <v>0</v>
      </c>
      <c r="P43" s="709">
        <f>TableB2!K43/TableA1!B43</f>
        <v>0.49212306945558248</v>
      </c>
      <c r="Q43" s="710">
        <f t="shared" si="4"/>
        <v>0.29703816620183826</v>
      </c>
      <c r="R43" s="1">
        <v>1</v>
      </c>
    </row>
    <row r="44" spans="1:19" x14ac:dyDescent="0.35">
      <c r="A44" s="15" t="s">
        <v>0</v>
      </c>
      <c r="B44" s="173">
        <f>+TableA2!B44</f>
        <v>9749.7634999999991</v>
      </c>
      <c r="C44" s="175">
        <f t="shared" si="2"/>
        <v>834.53200000000004</v>
      </c>
      <c r="D44" s="114">
        <f>J44*TableA2!C44</f>
        <v>539.10500000000002</v>
      </c>
      <c r="E44" s="114">
        <f>K44*(TableA2!D44+TableA2!G44)</f>
        <v>295.42700000000002</v>
      </c>
      <c r="F44" s="175">
        <f>B44-C44</f>
        <v>8915.2314999999999</v>
      </c>
      <c r="G44" s="115">
        <f>+TableA2!C44-TableA4!D44</f>
        <v>5497.0019000000011</v>
      </c>
      <c r="H44" s="116">
        <f>+TableA2!D44+TableA2!G44-TableA4!E44</f>
        <v>3418.2294999999999</v>
      </c>
      <c r="I44" s="117">
        <f>C44/B44</f>
        <v>8.5595101870932569E-2</v>
      </c>
      <c r="J44" s="68">
        <f>TableA9!M44/TableA9!E44</f>
        <v>8.9313361895562174E-2</v>
      </c>
      <c r="K44" s="113">
        <f>TableA9!N44/TableA9!J44</f>
        <v>7.9551514794111947E-2</v>
      </c>
      <c r="M44" s="106"/>
      <c r="N44" s="594">
        <f>D44+G44-TableA2!C44</f>
        <v>0</v>
      </c>
      <c r="O44" s="594">
        <f>H44+E44-TableA2!G44-TableA2!D44</f>
        <v>0</v>
      </c>
      <c r="P44" s="709">
        <f>TableB2!K44/TableA1!B44</f>
        <v>0.31509012804501185</v>
      </c>
      <c r="Q44" s="710">
        <f t="shared" si="4"/>
        <v>8.5595101870932569E-2</v>
      </c>
    </row>
    <row r="45" spans="1:19" ht="40" customHeight="1" x14ac:dyDescent="0.35">
      <c r="A45" s="38" t="s">
        <v>99</v>
      </c>
      <c r="B45" s="555">
        <f>SUM(B46:B52)</f>
        <v>9449.600738407149</v>
      </c>
      <c r="C45" s="556">
        <f t="shared" ref="C45:H45" si="5">SUM(C46:C52)</f>
        <v>814.11043913941683</v>
      </c>
      <c r="D45" s="433">
        <f t="shared" si="5"/>
        <v>419.75893109651633</v>
      </c>
      <c r="E45" s="557">
        <f t="shared" si="5"/>
        <v>394.35150804290049</v>
      </c>
      <c r="F45" s="556">
        <f t="shared" si="5"/>
        <v>8635.4902992677326</v>
      </c>
      <c r="G45" s="557">
        <f t="shared" si="5"/>
        <v>4215.6653759356486</v>
      </c>
      <c r="H45" s="558">
        <f t="shared" si="5"/>
        <v>4419.8249233322731</v>
      </c>
      <c r="I45" s="436">
        <f>C45/B45</f>
        <v>8.6152892770435252E-2</v>
      </c>
      <c r="J45" s="68">
        <f>D45/(D45+G45)</f>
        <v>9.0554586439847928E-2</v>
      </c>
      <c r="K45" s="104">
        <f>E45/(E45+H45)</f>
        <v>8.1914635590173757E-2</v>
      </c>
      <c r="N45" s="594">
        <f>D45+G45-TableA2!C45</f>
        <v>0</v>
      </c>
      <c r="O45" s="594">
        <f>H45+E45-TableA2!G45-TableA2!D45</f>
        <v>0</v>
      </c>
      <c r="P45" s="709"/>
      <c r="Q45" s="710"/>
    </row>
    <row r="46" spans="1:19" x14ac:dyDescent="0.35">
      <c r="A46" s="95" t="s">
        <v>92</v>
      </c>
      <c r="B46" s="61">
        <f>+TableA2!B46</f>
        <v>1105.0676793002151</v>
      </c>
      <c r="C46" s="174">
        <f>D46+E46</f>
        <v>171.85972585851067</v>
      </c>
      <c r="D46" s="108">
        <f>+TableA6!F46/TableA7!N46</f>
        <v>104.04870666105121</v>
      </c>
      <c r="E46" s="44">
        <f>TableA5!B46</f>
        <v>67.811019197459444</v>
      </c>
      <c r="F46" s="174">
        <f>B46-C46</f>
        <v>933.20795344170438</v>
      </c>
      <c r="G46" s="8">
        <f>+TableA2!C46-TableA4!D46</f>
        <v>579.79907263916391</v>
      </c>
      <c r="H46" s="21">
        <f>+TableA2!D46+TableA2!G46-TableA4!E46</f>
        <v>353.40888080254058</v>
      </c>
      <c r="I46" s="40">
        <f>C46/B46</f>
        <v>0.15551963836942637</v>
      </c>
      <c r="J46" s="68">
        <f>D46/TableA9!B46</f>
        <v>0.15215185281075969</v>
      </c>
      <c r="K46" s="16">
        <f>E46/TableA9!G46</f>
        <v>0.16098721640990715</v>
      </c>
      <c r="N46" s="594">
        <f>D46+G46-TableA2!C46</f>
        <v>0</v>
      </c>
      <c r="O46" s="594">
        <f>H46+E46-TableA2!G46-TableA2!D46</f>
        <v>0</v>
      </c>
      <c r="P46" s="709">
        <f>TableB2!K46/TableA1!B46</f>
        <v>0.18729308232823494</v>
      </c>
      <c r="Q46" s="710">
        <f t="shared" si="4"/>
        <v>0.15551963836942637</v>
      </c>
    </row>
    <row r="47" spans="1:19" x14ac:dyDescent="0.35">
      <c r="A47" s="31" t="s">
        <v>101</v>
      </c>
      <c r="B47" s="61">
        <f>+TableA2!B47</f>
        <v>6211.8447853385696</v>
      </c>
      <c r="C47" s="174">
        <f t="shared" ref="C47:C52" si="6">D47+E47</f>
        <v>402.25088376888084</v>
      </c>
      <c r="D47" s="108">
        <f>+TableA6!F47/TableA7!N47</f>
        <v>188.62094795395103</v>
      </c>
      <c r="E47" s="44">
        <f>TableA5!B47</f>
        <v>213.62993581492978</v>
      </c>
      <c r="F47" s="174">
        <f t="shared" ref="F47:F52" si="7">B47-C47</f>
        <v>5809.5939015696886</v>
      </c>
      <c r="G47" s="8">
        <f>+TableA2!C47-TableA4!D47</f>
        <v>2811.7259151746216</v>
      </c>
      <c r="H47" s="21">
        <f>+TableA2!D47+TableA2!G47-TableA4!E47</f>
        <v>2997.8679863950674</v>
      </c>
      <c r="I47" s="40">
        <f t="shared" ref="I47:I53" si="8">C47/B47</f>
        <v>6.4755462776257475E-2</v>
      </c>
      <c r="J47" s="68">
        <f>D47/TableA9!B47</f>
        <v>6.2866380641493219E-2</v>
      </c>
      <c r="K47" s="16">
        <f>E47/TableA9!G47</f>
        <v>6.6520340660198837E-2</v>
      </c>
      <c r="M47" s="106"/>
      <c r="N47" s="594">
        <f>D47+G47-TableA2!C47</f>
        <v>0</v>
      </c>
      <c r="O47" s="594">
        <f>H47+E47-TableA2!G47-TableA2!D47</f>
        <v>0</v>
      </c>
      <c r="P47" s="709">
        <f>TableB2!K47/TableA1!B47</f>
        <v>0.23320832282540019</v>
      </c>
      <c r="Q47" s="710">
        <f t="shared" si="4"/>
        <v>6.4755462776257475E-2</v>
      </c>
    </row>
    <row r="48" spans="1:19" x14ac:dyDescent="0.35">
      <c r="A48" s="31" t="s">
        <v>93</v>
      </c>
      <c r="B48" s="61">
        <f>+TableA2!B48</f>
        <v>135.02409969740114</v>
      </c>
      <c r="C48" s="174">
        <f t="shared" si="6"/>
        <v>27.321661734164316</v>
      </c>
      <c r="D48" s="108">
        <f>+TableA6!F48/TableA7!N48</f>
        <v>11.396413822804858</v>
      </c>
      <c r="E48" s="44">
        <f>TableA5!B48</f>
        <v>15.925247911359456</v>
      </c>
      <c r="F48" s="174">
        <f t="shared" si="7"/>
        <v>107.70243796323683</v>
      </c>
      <c r="G48" s="8">
        <f>+TableA2!C48-TableA4!D48</f>
        <v>42.774064552094643</v>
      </c>
      <c r="H48" s="21">
        <f>+TableA2!D48+TableA2!G48-TableA4!E48</f>
        <v>64.928373411142189</v>
      </c>
      <c r="I48" s="40">
        <f t="shared" si="8"/>
        <v>0.2023465573582357</v>
      </c>
      <c r="J48" s="68">
        <f>D48/TableA9!B48</f>
        <v>0.21038052763598103</v>
      </c>
      <c r="K48" s="16">
        <f>E48/TableA9!G48</f>
        <v>0.19696394114294846</v>
      </c>
      <c r="N48" s="594">
        <f>D48+G48-TableA2!C48</f>
        <v>0</v>
      </c>
      <c r="O48" s="594">
        <f>H48+E48-TableA2!G48-TableA2!D48</f>
        <v>0</v>
      </c>
      <c r="P48" s="709">
        <f>TableB2!K48/TableA1!B48</f>
        <v>0.12897932451908642</v>
      </c>
      <c r="Q48" s="710">
        <f t="shared" si="4"/>
        <v>0.2023465573582357</v>
      </c>
    </row>
    <row r="49" spans="1:17" x14ac:dyDescent="0.35">
      <c r="A49" s="31" t="s">
        <v>94</v>
      </c>
      <c r="B49" s="61">
        <f>+TableA2!B49</f>
        <v>29.987501894855708</v>
      </c>
      <c r="C49" s="174">
        <f t="shared" si="6"/>
        <v>5.2422977692851846</v>
      </c>
      <c r="D49" s="108">
        <f>+TableA6!F49/TableA7!N49</f>
        <v>1.8941195373363828</v>
      </c>
      <c r="E49" s="44">
        <f>TableA5!B49</f>
        <v>3.3481782319488018</v>
      </c>
      <c r="F49" s="174">
        <f t="shared" si="7"/>
        <v>24.745204125570524</v>
      </c>
      <c r="G49" s="8">
        <f>+TableA2!C49-TableA4!D49</f>
        <v>13.737700166719861</v>
      </c>
      <c r="H49" s="21">
        <f>+TableA2!D49+TableA2!G49-TableA4!E49</f>
        <v>11.007503959037725</v>
      </c>
      <c r="I49" s="40">
        <f t="shared" si="8"/>
        <v>0.17481608797111872</v>
      </c>
      <c r="J49" s="68">
        <f>D49/TableA9!B49</f>
        <v>0.12117076406945025</v>
      </c>
      <c r="K49" s="16">
        <f>E49/TableA9!G49</f>
        <v>0.23323017237390609</v>
      </c>
      <c r="N49" s="594">
        <f>D49+G49-TableA2!C49</f>
        <v>0</v>
      </c>
      <c r="O49" s="594">
        <f>H49+E49-TableA2!G49-TableA2!D49</f>
        <v>0</v>
      </c>
      <c r="P49" s="709">
        <f>TableB2!K49/TableA1!B49</f>
        <v>0.55897274397359109</v>
      </c>
      <c r="Q49" s="710">
        <f t="shared" si="4"/>
        <v>0.17481608797111872</v>
      </c>
    </row>
    <row r="50" spans="1:17" x14ac:dyDescent="0.35">
      <c r="A50" s="31" t="s">
        <v>102</v>
      </c>
      <c r="B50" s="61">
        <f>+TableA2!B50</f>
        <v>919.01579786888453</v>
      </c>
      <c r="C50" s="174">
        <f>D50+E50</f>
        <v>40.810781580339878</v>
      </c>
      <c r="D50" s="108">
        <f>+TableA6!F50/TableA7!N50</f>
        <v>21.047688887867366</v>
      </c>
      <c r="E50" s="44">
        <f>TableA5!B50</f>
        <v>19.763092692472515</v>
      </c>
      <c r="F50" s="174">
        <f t="shared" si="7"/>
        <v>878.2050162885447</v>
      </c>
      <c r="G50" s="8">
        <f>+TableA2!C50-TableA4!D50</f>
        <v>297.57804130044929</v>
      </c>
      <c r="H50" s="21">
        <f>+TableA2!D50+TableA2!G50-TableA4!E50</f>
        <v>580.62697498809541</v>
      </c>
      <c r="I50" s="40">
        <f>C50/B50</f>
        <v>4.4407051189953896E-2</v>
      </c>
      <c r="J50" s="68">
        <f>D50/TableA9!B50</f>
        <v>6.6057718802017648E-2</v>
      </c>
      <c r="K50" s="16">
        <f>E50/TableA9!G50</f>
        <v>3.2917088000508514E-2</v>
      </c>
      <c r="N50" s="594">
        <f>D50+G50-TableA2!C50</f>
        <v>0</v>
      </c>
      <c r="O50" s="594">
        <f>H50+E50-TableA2!G50-TableA2!D50</f>
        <v>0</v>
      </c>
      <c r="P50" s="709">
        <f>TableB2!K50/TableA1!B50</f>
        <v>0.14628968956737795</v>
      </c>
      <c r="Q50" s="710">
        <f t="shared" si="4"/>
        <v>4.4407051189953896E-2</v>
      </c>
    </row>
    <row r="51" spans="1:17" x14ac:dyDescent="0.35">
      <c r="A51" s="31" t="s">
        <v>103</v>
      </c>
      <c r="B51" s="61">
        <f>+TableA2!B51</f>
        <v>856.3415010588692</v>
      </c>
      <c r="C51" s="174">
        <f t="shared" si="6"/>
        <v>126.88808218662315</v>
      </c>
      <c r="D51" s="108">
        <f>+TableA6!F51/TableA7!N51</f>
        <v>64.762767723495699</v>
      </c>
      <c r="E51" s="44">
        <f>TableA5!B51</f>
        <v>62.125314463127452</v>
      </c>
      <c r="F51" s="174">
        <f t="shared" si="7"/>
        <v>729.45341887224606</v>
      </c>
      <c r="G51" s="8">
        <f>+TableA2!C51-TableA4!D51</f>
        <v>400.90172541005973</v>
      </c>
      <c r="H51" s="21">
        <f>+TableA2!D51+TableA2!G51-TableA4!E51</f>
        <v>328.55169346218634</v>
      </c>
      <c r="I51" s="40">
        <f t="shared" si="8"/>
        <v>0.14817462662935943</v>
      </c>
      <c r="J51" s="68">
        <f>D51/TableA9!B51</f>
        <v>0.13907602722228887</v>
      </c>
      <c r="K51" s="16">
        <f>E51/TableA9!G51</f>
        <v>0.1590196331057292</v>
      </c>
      <c r="N51" s="594">
        <f>D51+G51-TableA2!C51</f>
        <v>0</v>
      </c>
      <c r="O51" s="594">
        <f>H51+E51-TableA2!G51-TableA2!D51</f>
        <v>0</v>
      </c>
      <c r="P51" s="709">
        <f>TableB2!K51/TableA1!B51</f>
        <v>0.18815911779605865</v>
      </c>
      <c r="Q51" s="710">
        <f t="shared" si="4"/>
        <v>0.14817462662935943</v>
      </c>
    </row>
    <row r="52" spans="1:17" x14ac:dyDescent="0.35">
      <c r="A52" s="13" t="s">
        <v>97</v>
      </c>
      <c r="B52" s="61">
        <f>+TableA2!B52</f>
        <v>192.31937324835505</v>
      </c>
      <c r="C52" s="174">
        <f t="shared" si="6"/>
        <v>39.737006241612832</v>
      </c>
      <c r="D52" s="108">
        <f>+TableA6!F52/TableA7!N52</f>
        <v>27.988286510009779</v>
      </c>
      <c r="E52" s="44">
        <f>TableA5!B52</f>
        <v>11.748719731603057</v>
      </c>
      <c r="F52" s="174">
        <f t="shared" si="7"/>
        <v>152.58236700674223</v>
      </c>
      <c r="G52" s="8">
        <f>+TableA2!C52-TableA4!D52</f>
        <v>69.14885669253897</v>
      </c>
      <c r="H52" s="21">
        <f>+TableA2!D52+TableA2!G52-TableA4!E52</f>
        <v>83.433510314203232</v>
      </c>
      <c r="I52" s="40">
        <f t="shared" si="8"/>
        <v>0.20661988218055255</v>
      </c>
      <c r="J52" s="68">
        <f>D52/TableA9!B52</f>
        <v>0.28813166197042739</v>
      </c>
      <c r="K52" s="16">
        <f>E52/TableA9!G52</f>
        <v>0.12343396163284895</v>
      </c>
      <c r="N52" s="594">
        <f>D52+G52-TableA2!C52</f>
        <v>0</v>
      </c>
      <c r="O52" s="594">
        <f>H52+E52-TableA2!G52-TableA2!D52</f>
        <v>0</v>
      </c>
      <c r="P52" s="709">
        <f>TableB2!K52/TableA1!B52</f>
        <v>0.363045392813305</v>
      </c>
      <c r="Q52" s="710">
        <f t="shared" si="4"/>
        <v>0.20661988218055255</v>
      </c>
    </row>
    <row r="53" spans="1:17" ht="40" customHeight="1" x14ac:dyDescent="0.35">
      <c r="A53" s="38" t="s">
        <v>100</v>
      </c>
      <c r="B53" s="555">
        <f>SUM(B54:B89)</f>
        <v>687.54671431433303</v>
      </c>
      <c r="C53" s="556">
        <f t="shared" ref="C53:H53" si="9">SUM(C54:C89)</f>
        <v>303.6332367588368</v>
      </c>
      <c r="D53" s="433">
        <f t="shared" si="9"/>
        <v>93.59346009202666</v>
      </c>
      <c r="E53" s="557">
        <f t="shared" si="9"/>
        <v>210.03977666681013</v>
      </c>
      <c r="F53" s="556">
        <f t="shared" si="9"/>
        <v>383.91347755549617</v>
      </c>
      <c r="G53" s="557">
        <f t="shared" si="9"/>
        <v>221.08100266005408</v>
      </c>
      <c r="H53" s="558">
        <f t="shared" si="9"/>
        <v>162.83247489544209</v>
      </c>
      <c r="I53" s="436">
        <f t="shared" si="8"/>
        <v>0.4416183372523857</v>
      </c>
      <c r="J53" s="68">
        <f>D53/(D53+G53)</f>
        <v>0.29742947449080148</v>
      </c>
      <c r="K53" s="104">
        <f>E53/(E53+H53)</f>
        <v>0.56330224570691423</v>
      </c>
      <c r="N53" s="594">
        <f>D53+G53-TableA2!C53</f>
        <v>0</v>
      </c>
      <c r="O53" s="594">
        <f>H53+E53-TableA2!G53-TableA2!D53</f>
        <v>0</v>
      </c>
    </row>
    <row r="54" spans="1:17" x14ac:dyDescent="0.35">
      <c r="A54" s="264" t="s">
        <v>272</v>
      </c>
      <c r="B54" s="61">
        <f>TableA2!B54</f>
        <v>1.8902000000000001</v>
      </c>
      <c r="C54" s="676">
        <f t="shared" ref="C54:C88" si="10">D54+E54</f>
        <v>0.16140384864391827</v>
      </c>
      <c r="D54" s="392">
        <f>TableA2!C54*$B$97</f>
        <v>0.20364200000000002</v>
      </c>
      <c r="E54" s="678">
        <f>TableA5!B54</f>
        <v>-4.2238151356081763E-2</v>
      </c>
      <c r="F54" s="676">
        <f>B54-C54</f>
        <v>1.7287961513560819</v>
      </c>
      <c r="G54" s="263">
        <f>+TableA2!C54-TableA4!D54</f>
        <v>0.30546300000000004</v>
      </c>
      <c r="H54" s="677">
        <f>+TableA2!D54+TableA2!G54-TableA4!E54</f>
        <v>1.4233331513560818</v>
      </c>
      <c r="I54" s="40">
        <f>C54/B54</f>
        <v>8.5389825755961407E-2</v>
      </c>
      <c r="J54" s="68">
        <f>D54/TableA9!B54</f>
        <v>0.4</v>
      </c>
      <c r="K54" s="16">
        <f>E54/TableA9!G54</f>
        <v>-3.0583089038829159E-2</v>
      </c>
      <c r="M54" s="1627"/>
      <c r="N54" s="594">
        <f>D54+G54-TableA2!C54</f>
        <v>0</v>
      </c>
      <c r="O54" s="594">
        <f>H54+E54-TableA2!G54-TableA2!D54</f>
        <v>0</v>
      </c>
    </row>
    <row r="55" spans="1:17" x14ac:dyDescent="0.35">
      <c r="A55" s="264" t="s">
        <v>273</v>
      </c>
      <c r="B55" s="61">
        <f>TableA2!B55</f>
        <v>0.17888200000000001</v>
      </c>
      <c r="C55" s="676">
        <f t="shared" si="10"/>
        <v>0.14529533849679047</v>
      </c>
      <c r="D55" s="392">
        <f>TableA2!C55*$B$97</f>
        <v>1.9271961600000002E-2</v>
      </c>
      <c r="E55" s="678">
        <f>TableA5!B55</f>
        <v>0.12602337689679047</v>
      </c>
      <c r="F55" s="676">
        <f>B55-C55</f>
        <v>3.3586661503209547E-2</v>
      </c>
      <c r="G55" s="263">
        <f>+TableA2!C55-TableA4!D55</f>
        <v>2.8907942400000001E-2</v>
      </c>
      <c r="H55" s="677">
        <f>+TableA2!D55+TableA2!G55-TableA4!E55</f>
        <v>4.6787191032095499E-3</v>
      </c>
      <c r="I55" s="40">
        <f t="shared" ref="I55:I90" si="11">C55/B55</f>
        <v>0.81224124560766575</v>
      </c>
      <c r="J55" s="68">
        <f>D55/TableA9!B55</f>
        <v>0.4</v>
      </c>
      <c r="K55" s="16">
        <f>E55/TableA9!G55</f>
        <v>0.96420318230237445</v>
      </c>
      <c r="M55" s="1627"/>
      <c r="N55" s="594">
        <f>D55+G55-TableA2!C55</f>
        <v>0</v>
      </c>
      <c r="O55" s="594">
        <f>H55+E55-TableA2!G55-TableA2!D55</f>
        <v>0</v>
      </c>
    </row>
    <row r="56" spans="1:17" x14ac:dyDescent="0.35">
      <c r="A56" s="264" t="s">
        <v>274</v>
      </c>
      <c r="B56" s="61">
        <f>TableA2!B56</f>
        <v>0.91761499999999996</v>
      </c>
      <c r="C56" s="174">
        <f t="shared" si="10"/>
        <v>0.13299863583449367</v>
      </c>
      <c r="D56" s="392">
        <f>TableA2!C56*$B$97</f>
        <v>3.7688159999999998E-2</v>
      </c>
      <c r="E56" s="678">
        <f>TableA5!B56</f>
        <v>9.5310475834493674E-2</v>
      </c>
      <c r="F56" s="174">
        <f>B56-C56</f>
        <v>0.78461636416550629</v>
      </c>
      <c r="G56" s="8">
        <f>+TableA2!C56-TableA4!D56</f>
        <v>5.6532239999999997E-2</v>
      </c>
      <c r="H56" s="21">
        <f>+TableA2!D56+TableA2!G56-TableA4!E56</f>
        <v>0.72808412416550627</v>
      </c>
      <c r="I56" s="40">
        <f t="shared" si="11"/>
        <v>0.14493947443589489</v>
      </c>
      <c r="J56" s="68">
        <f>D56/TableA9!B56</f>
        <v>0.4</v>
      </c>
      <c r="K56" s="16">
        <f>E56/TableA9!G56</f>
        <v>0.11575309800974366</v>
      </c>
      <c r="M56" s="1627"/>
      <c r="N56" s="594">
        <f>D56+G56-TableA2!C56</f>
        <v>0</v>
      </c>
      <c r="O56" s="594">
        <f>H56+E56-TableA2!G56-TableA2!D56</f>
        <v>0</v>
      </c>
    </row>
    <row r="57" spans="1:17" x14ac:dyDescent="0.35">
      <c r="A57" s="289" t="str">
        <f>+TableA1!A56</f>
        <v>Antigua and Barbuda</v>
      </c>
      <c r="B57" s="61">
        <f>TableA2!B57</f>
        <v>1.6807799999999999</v>
      </c>
      <c r="C57" s="174">
        <f t="shared" si="10"/>
        <v>0.23496326669783862</v>
      </c>
      <c r="D57" s="392">
        <f>TableA2!C57*$B$97</f>
        <v>0.18108040000000003</v>
      </c>
      <c r="E57" s="678">
        <f>TableA5!B57</f>
        <v>5.388286669783858E-2</v>
      </c>
      <c r="F57" s="174">
        <f t="shared" ref="F57:F69" si="12">B57-C57</f>
        <v>1.4458167333021614</v>
      </c>
      <c r="G57" s="8">
        <f>+TableA2!C57-TableA4!D57</f>
        <v>0.27162059999999999</v>
      </c>
      <c r="H57" s="21">
        <f>+TableA2!D57+TableA2!G57-TableA4!E57</f>
        <v>1.1741961333021613</v>
      </c>
      <c r="I57" s="40">
        <f t="shared" si="11"/>
        <v>0.13979418287809151</v>
      </c>
      <c r="J57" s="68">
        <f>D57/TableA9!B57</f>
        <v>0.4</v>
      </c>
      <c r="K57" s="16">
        <f>E57/TableA9!G57</f>
        <v>4.3875733318327718E-2</v>
      </c>
      <c r="M57" s="1627"/>
      <c r="N57" s="594">
        <f>D57+G57-TableA2!C57</f>
        <v>0</v>
      </c>
      <c r="O57" s="594">
        <f>H57+E57-TableA2!G57-TableA2!D57</f>
        <v>0</v>
      </c>
    </row>
    <row r="58" spans="1:17" x14ac:dyDescent="0.35">
      <c r="A58" s="264" t="s">
        <v>275</v>
      </c>
      <c r="B58" s="61">
        <f>TableA2!B58</f>
        <v>7.5567900000000003</v>
      </c>
      <c r="C58" s="174">
        <f t="shared" si="10"/>
        <v>1.0606760880178145</v>
      </c>
      <c r="D58" s="392">
        <f>TableA2!C58*$B$97</f>
        <v>0.19690840000000001</v>
      </c>
      <c r="E58" s="678">
        <f>TableA5!B58</f>
        <v>0.86376768801781456</v>
      </c>
      <c r="F58" s="174">
        <f t="shared" si="12"/>
        <v>6.496113911982186</v>
      </c>
      <c r="G58" s="8">
        <f>+TableA2!C58-TableA4!D58</f>
        <v>0.29536260000000003</v>
      </c>
      <c r="H58" s="21">
        <f>+TableA2!D58+TableA2!G58-TableA4!E58</f>
        <v>6.2007513119821862</v>
      </c>
      <c r="I58" s="40">
        <f t="shared" si="11"/>
        <v>0.14036066742860587</v>
      </c>
      <c r="J58" s="68">
        <f>D58/TableA9!B58</f>
        <v>0.4</v>
      </c>
      <c r="K58" s="16">
        <f>E58/TableA9!G58</f>
        <v>0.12226843582950439</v>
      </c>
      <c r="M58" s="1627"/>
      <c r="N58" s="594">
        <f>D58+G58-TableA2!C58</f>
        <v>0</v>
      </c>
      <c r="O58" s="594">
        <f>H58+E58-TableA2!G58-TableA2!D58</f>
        <v>0</v>
      </c>
    </row>
    <row r="59" spans="1:17" x14ac:dyDescent="0.35">
      <c r="A59" s="264" t="s">
        <v>276</v>
      </c>
      <c r="B59" s="61">
        <f>TableA2!B59</f>
        <v>22.1172</v>
      </c>
      <c r="C59" s="174">
        <f t="shared" si="10"/>
        <v>4.7529171260279162</v>
      </c>
      <c r="D59" s="392">
        <f>TableA2!C59*$B$97</f>
        <v>4.0490153658990335</v>
      </c>
      <c r="E59" s="678">
        <f>TableA5!B59</f>
        <v>0.70390176012888261</v>
      </c>
      <c r="F59" s="174">
        <f t="shared" si="12"/>
        <v>17.364282873972083</v>
      </c>
      <c r="G59" s="8">
        <f>+TableA2!C59-TableA4!D59</f>
        <v>6.0735230488485508</v>
      </c>
      <c r="H59" s="21">
        <f>+TableA2!D59+TableA2!G59-TableA4!E59</f>
        <v>11.290759825123533</v>
      </c>
      <c r="I59" s="40">
        <f t="shared" si="11"/>
        <v>0.21489687329444576</v>
      </c>
      <c r="J59" s="68">
        <f>D59/TableA9!B59</f>
        <v>0.39999999999999997</v>
      </c>
      <c r="K59" s="16">
        <f>E59/TableA9!G59</f>
        <v>5.8684586899420195E-2</v>
      </c>
      <c r="M59" s="1627"/>
      <c r="N59" s="594">
        <f>D59+G59-TableA2!C59</f>
        <v>0</v>
      </c>
      <c r="O59" s="594">
        <f>H59+E59-TableA2!G59-TableA2!D59</f>
        <v>0</v>
      </c>
    </row>
    <row r="60" spans="1:17" x14ac:dyDescent="0.35">
      <c r="A60" s="289" t="str">
        <f>+TableA1!A60</f>
        <v>Barbados</v>
      </c>
      <c r="B60" s="61">
        <f>TableA2!B60</f>
        <v>3.0819800000000002</v>
      </c>
      <c r="C60" s="174">
        <f t="shared" si="10"/>
        <v>2.4919779098343042</v>
      </c>
      <c r="D60" s="392">
        <f>TableA2!C60*$B$97</f>
        <v>0.13797319999999999</v>
      </c>
      <c r="E60" s="678">
        <f>TableA5!B60</f>
        <v>2.3540047098343044</v>
      </c>
      <c r="F60" s="174">
        <f t="shared" si="12"/>
        <v>0.59000209016569594</v>
      </c>
      <c r="G60" s="8">
        <f>+TableA2!C60-TableA4!D60</f>
        <v>0.2069598</v>
      </c>
      <c r="H60" s="21">
        <f>+TableA2!D60+TableA2!G60-TableA4!E60</f>
        <v>0.38304229016569558</v>
      </c>
      <c r="I60" s="40">
        <f t="shared" si="11"/>
        <v>0.80856394585114244</v>
      </c>
      <c r="J60" s="68">
        <f>D60/TableA9!B60</f>
        <v>0.39999999999999997</v>
      </c>
      <c r="K60" s="16">
        <f>E60/TableA9!G60</f>
        <v>0.86005271733890742</v>
      </c>
      <c r="M60" s="1627"/>
      <c r="N60" s="594">
        <f>D60+G60-TableA2!C60</f>
        <v>0</v>
      </c>
      <c r="O60" s="594">
        <f>H60+E60-TableA2!G60-TableA2!D60</f>
        <v>0</v>
      </c>
    </row>
    <row r="61" spans="1:17" x14ac:dyDescent="0.35">
      <c r="A61" s="264" t="s">
        <v>277</v>
      </c>
      <c r="B61" s="61">
        <f>TableA2!B61</f>
        <v>1.17154</v>
      </c>
      <c r="C61" s="174">
        <f t="shared" si="10"/>
        <v>0.13025787396569335</v>
      </c>
      <c r="D61" s="392">
        <f>TableA2!C61*$B$97</f>
        <v>5.3558399999999999E-2</v>
      </c>
      <c r="E61" s="678">
        <f>TableA5!B61</f>
        <v>7.6699473965693349E-2</v>
      </c>
      <c r="F61" s="174">
        <f t="shared" si="12"/>
        <v>1.0412821260343066</v>
      </c>
      <c r="G61" s="8">
        <f>+TableA2!C61-TableA4!D61</f>
        <v>8.0337599999999981E-2</v>
      </c>
      <c r="H61" s="21">
        <f>+TableA2!D61+TableA2!G61-TableA4!E61</f>
        <v>0.96094452603430669</v>
      </c>
      <c r="I61" s="40">
        <f t="shared" si="11"/>
        <v>0.11118516991796554</v>
      </c>
      <c r="J61" s="68">
        <f>D61/TableA9!B61</f>
        <v>0.4</v>
      </c>
      <c r="K61" s="16">
        <f>E61/TableA9!G61</f>
        <v>7.3916944506683749E-2</v>
      </c>
      <c r="M61" s="1627"/>
      <c r="N61" s="594">
        <f>D61+G61-TableA2!C61</f>
        <v>0</v>
      </c>
      <c r="O61" s="594">
        <f>H61+E61-TableA2!G61-TableA2!D61</f>
        <v>0</v>
      </c>
    </row>
    <row r="62" spans="1:17" x14ac:dyDescent="0.35">
      <c r="A62" s="457" t="s">
        <v>213</v>
      </c>
      <c r="B62" s="61">
        <f>TableA2!B62</f>
        <v>4.8467700000000002</v>
      </c>
      <c r="C62" s="175">
        <f t="shared" si="10"/>
        <v>1.2395480000000001</v>
      </c>
      <c r="D62" s="392">
        <f>TableA2!C62*$B$97</f>
        <v>1.2395480000000001</v>
      </c>
      <c r="E62" s="678">
        <v>0</v>
      </c>
      <c r="F62" s="175">
        <f t="shared" si="12"/>
        <v>3.6072220000000002</v>
      </c>
      <c r="G62" s="115">
        <f>+TableA2!C62-TableA4!D62</f>
        <v>1.8593219999999997</v>
      </c>
      <c r="H62" s="116">
        <f>+TableA2!D62+TableA2!G62-TableA4!E62</f>
        <v>1.7479000000000005</v>
      </c>
      <c r="I62" s="117">
        <f t="shared" si="11"/>
        <v>0.25574722959826857</v>
      </c>
      <c r="J62" s="68">
        <f>D62/TableA9!B62</f>
        <v>0.40000000000000008</v>
      </c>
      <c r="K62" s="16">
        <f>E62/TableA9!G62</f>
        <v>0</v>
      </c>
      <c r="M62" s="1627"/>
      <c r="N62" s="594">
        <f>D62+G62-TableA2!C62</f>
        <v>0</v>
      </c>
      <c r="O62" s="594">
        <f>H62+E62-TableA2!G62-TableA2!D62</f>
        <v>0</v>
      </c>
    </row>
    <row r="63" spans="1:17" x14ac:dyDescent="0.35">
      <c r="A63" s="264" t="s">
        <v>278</v>
      </c>
      <c r="B63" s="61">
        <f>TableA2!B63</f>
        <v>0.26904600000000001</v>
      </c>
      <c r="C63" s="174">
        <f t="shared" si="10"/>
        <v>1.6844057443692596E-2</v>
      </c>
      <c r="D63" s="392">
        <f>TableA2!C63*$B$97</f>
        <v>2.8985919999999998E-2</v>
      </c>
      <c r="E63" s="678">
        <f>TableA5!B63</f>
        <v>-1.2141862556307403E-2</v>
      </c>
      <c r="F63" s="174">
        <f t="shared" si="12"/>
        <v>0.2522019425563074</v>
      </c>
      <c r="G63" s="8">
        <f>+TableA2!C63-TableA4!D63</f>
        <v>4.3478879999999998E-2</v>
      </c>
      <c r="H63" s="21">
        <f>+TableA2!D63+TableA2!G63-TableA4!E63</f>
        <v>0.2087230625563074</v>
      </c>
      <c r="I63" s="40">
        <f t="shared" si="11"/>
        <v>6.2606607954374324E-2</v>
      </c>
      <c r="J63" s="68">
        <f>D63/TableA9!B63</f>
        <v>0.4</v>
      </c>
      <c r="K63" s="16">
        <f>E63/TableA9!G63</f>
        <v>-6.176512584269199E-2</v>
      </c>
      <c r="M63" s="1627"/>
      <c r="N63" s="594">
        <f>D63+G63-TableA2!C63</f>
        <v>0</v>
      </c>
      <c r="O63" s="594">
        <f>H63+E63-TableA2!G63-TableA2!D63</f>
        <v>0</v>
      </c>
    </row>
    <row r="64" spans="1:17" x14ac:dyDescent="0.35">
      <c r="A64" s="264" t="s">
        <v>279</v>
      </c>
      <c r="B64" s="61">
        <f>TableA2!B64</f>
        <v>0.60508099999999998</v>
      </c>
      <c r="C64" s="174">
        <f t="shared" si="10"/>
        <v>-4.8543913474907159</v>
      </c>
      <c r="D64" s="392">
        <f>TableA2!C64*$B$97</f>
        <v>6.5188800000000005E-2</v>
      </c>
      <c r="E64" s="678">
        <f>TableA5!B64</f>
        <v>-4.9195801474907155</v>
      </c>
      <c r="F64" s="174">
        <f t="shared" si="12"/>
        <v>5.4594723474907161</v>
      </c>
      <c r="G64" s="8">
        <f>+TableA2!C64-TableA4!D64</f>
        <v>9.7783200000000001E-2</v>
      </c>
      <c r="H64" s="21">
        <f>+TableA2!D64+TableA2!G64-TableA4!E64</f>
        <v>5.3616891474907158</v>
      </c>
      <c r="I64" s="40">
        <f t="shared" si="11"/>
        <v>-8.0227132358985269</v>
      </c>
      <c r="J64" s="68">
        <f>D64/TableA9!B64</f>
        <v>0.4</v>
      </c>
      <c r="K64" s="16">
        <f>E64/TableA9!G64</f>
        <v>-11.127527708078134</v>
      </c>
      <c r="M64" s="1627"/>
      <c r="N64" s="594">
        <f>D64+G64-TableA2!C64</f>
        <v>0</v>
      </c>
      <c r="O64" s="594">
        <f>H64+E64-TableA2!G64-TableA2!D64</f>
        <v>0</v>
      </c>
    </row>
    <row r="65" spans="1:15" x14ac:dyDescent="0.35">
      <c r="A65" s="282" t="s">
        <v>291</v>
      </c>
      <c r="B65" s="61">
        <f>TableA2!B65</f>
        <v>2.3189600000000001</v>
      </c>
      <c r="C65" s="174">
        <f t="shared" si="10"/>
        <v>25.149475082111486</v>
      </c>
      <c r="D65" s="392">
        <f>TableA2!C65*$B$97</f>
        <v>0.56655600000000006</v>
      </c>
      <c r="E65" s="678">
        <f>TableA5!B65</f>
        <v>24.582919082111488</v>
      </c>
      <c r="F65" s="174">
        <f t="shared" si="12"/>
        <v>-22.830515082111486</v>
      </c>
      <c r="G65" s="8">
        <f>+TableA2!C65-TableA4!D65</f>
        <v>0.84983399999999998</v>
      </c>
      <c r="H65" s="21">
        <f>+TableA2!D65+TableA2!G65-TableA4!E65</f>
        <v>-23.680349082111487</v>
      </c>
      <c r="I65" s="40">
        <f t="shared" si="11"/>
        <v>10.845152603801482</v>
      </c>
      <c r="J65" s="68">
        <f>D65/TableA9!B65</f>
        <v>0.4</v>
      </c>
      <c r="K65" s="16">
        <f>E65/TableA9!G65</f>
        <v>27.236578971283652</v>
      </c>
      <c r="M65" s="1627"/>
      <c r="N65" s="594">
        <f>D65+G65-TableA2!C65</f>
        <v>0</v>
      </c>
      <c r="O65" s="594">
        <f>H65+E65-TableA2!G65-TableA2!D65</f>
        <v>0</v>
      </c>
    </row>
    <row r="66" spans="1:15" x14ac:dyDescent="0.35">
      <c r="A66" s="264" t="s">
        <v>280</v>
      </c>
      <c r="B66" s="61">
        <f>TableA2!B66</f>
        <v>2.0247299999999999</v>
      </c>
      <c r="C66" s="174">
        <f t="shared" si="10"/>
        <v>-3.7772554797817461</v>
      </c>
      <c r="D66" s="392">
        <f>TableA2!C66*$B$97</f>
        <v>0.54332400000000003</v>
      </c>
      <c r="E66" s="678">
        <f>TableA5!B66</f>
        <v>-4.3205794797817463</v>
      </c>
      <c r="F66" s="174">
        <f t="shared" si="12"/>
        <v>5.8019854797817461</v>
      </c>
      <c r="G66" s="8">
        <f>+TableA2!C66-TableA4!D66</f>
        <v>0.81498599999999988</v>
      </c>
      <c r="H66" s="21">
        <f>+TableA2!D66+TableA2!G66-TableA4!E66</f>
        <v>4.9869994797817458</v>
      </c>
      <c r="I66" s="40">
        <f t="shared" si="11"/>
        <v>-1.8655600893856199</v>
      </c>
      <c r="J66" s="68">
        <f>D66/TableA9!B66</f>
        <v>0.4</v>
      </c>
      <c r="K66" s="16">
        <f>E66/TableA9!G66</f>
        <v>-6.4832680288432911</v>
      </c>
      <c r="M66" s="1627"/>
      <c r="N66" s="594">
        <f>D66+G66-TableA2!C66</f>
        <v>0</v>
      </c>
      <c r="O66" s="594">
        <f>H66+E66-TableA2!G66-TableA2!D66</f>
        <v>-4.4408920985006262E-16</v>
      </c>
    </row>
    <row r="67" spans="1:15" x14ac:dyDescent="0.35">
      <c r="A67" s="458" t="str">
        <f>+TableA1!A67</f>
        <v>Cyprus</v>
      </c>
      <c r="B67" s="61">
        <f>TableA2!B67</f>
        <v>9.9627499999999998</v>
      </c>
      <c r="C67" s="175">
        <f t="shared" si="10"/>
        <v>7.3633393969721084</v>
      </c>
      <c r="D67" s="392">
        <f>TableA2!C67*$B$97</f>
        <v>2.2181320000000002</v>
      </c>
      <c r="E67" s="678">
        <f>TableA5!B67</f>
        <v>5.1452073969721077</v>
      </c>
      <c r="F67" s="175">
        <f t="shared" si="12"/>
        <v>2.5994106030278914</v>
      </c>
      <c r="G67" s="115">
        <f>+TableA2!C67-TableA4!D67</f>
        <v>3.3271979999999997</v>
      </c>
      <c r="H67" s="116">
        <f>+TableA2!D67+TableA2!G67-TableA4!E67</f>
        <v>-0.72778739697210781</v>
      </c>
      <c r="I67" s="117">
        <f t="shared" si="11"/>
        <v>0.73908703891717731</v>
      </c>
      <c r="J67" s="68">
        <f>D67/TableA9!B67</f>
        <v>0.4</v>
      </c>
      <c r="K67" s="16">
        <f>E67/TableA9!G67</f>
        <v>1.1647539507160531</v>
      </c>
      <c r="M67" s="1627"/>
      <c r="N67" s="594">
        <f>D67+G67-TableA2!C67</f>
        <v>0</v>
      </c>
      <c r="O67" s="594">
        <f>H67+E67-TableA2!G67-TableA2!D67</f>
        <v>0</v>
      </c>
    </row>
    <row r="68" spans="1:15" x14ac:dyDescent="0.35">
      <c r="A68" s="264" t="s">
        <v>281</v>
      </c>
      <c r="B68" s="61">
        <f>TableA2!B68</f>
        <v>4.6878599999999997</v>
      </c>
      <c r="C68" s="174">
        <f t="shared" si="10"/>
        <v>3.1336845789067267</v>
      </c>
      <c r="D68" s="392">
        <f>TableA2!C68*$B$97</f>
        <v>0.50505199999999995</v>
      </c>
      <c r="E68" s="678">
        <f>TableA5!B68</f>
        <v>2.6286325789067266</v>
      </c>
      <c r="F68" s="174">
        <f t="shared" si="12"/>
        <v>1.554175421093273</v>
      </c>
      <c r="G68" s="8">
        <f>+TableA2!C68-TableA4!D68</f>
        <v>0.75757799999999997</v>
      </c>
      <c r="H68" s="21">
        <f>+TableA2!D68+TableA2!G68-TableA4!E68</f>
        <v>0.79659742109327336</v>
      </c>
      <c r="I68" s="40">
        <f t="shared" si="11"/>
        <v>0.66846803848807923</v>
      </c>
      <c r="J68" s="68">
        <f>D68/TableA9!B68</f>
        <v>0.39999999999999997</v>
      </c>
      <c r="K68" s="16">
        <f>E68/TableA9!G68</f>
        <v>0.76743242903592657</v>
      </c>
      <c r="M68" s="1627"/>
      <c r="N68" s="594">
        <f>D68+G68-TableA2!C68</f>
        <v>0</v>
      </c>
      <c r="O68" s="594">
        <f>H68+E68-TableA2!G68-TableA2!D68</f>
        <v>0</v>
      </c>
    </row>
    <row r="69" spans="1:15" x14ac:dyDescent="0.35">
      <c r="A69" s="289" t="str">
        <f>+TableA1!A69</f>
        <v>Grenada</v>
      </c>
      <c r="B69" s="61">
        <f>TableA2!B69</f>
        <v>0.50683400000000001</v>
      </c>
      <c r="C69" s="174">
        <f t="shared" si="10"/>
        <v>4.8885746177407069E-2</v>
      </c>
      <c r="D69" s="392">
        <f>TableA2!C69*$B$97</f>
        <v>2.9562819200000003E-2</v>
      </c>
      <c r="E69" s="678">
        <f>TableA5!B69</f>
        <v>1.9322926977407062E-2</v>
      </c>
      <c r="F69" s="174">
        <f t="shared" si="12"/>
        <v>0.45794825382259297</v>
      </c>
      <c r="G69" s="8">
        <f>+TableA2!C69-TableA4!D69</f>
        <v>4.4344228799999996E-2</v>
      </c>
      <c r="H69" s="21">
        <f>+TableA2!D69+TableA2!G69-TableA4!E69</f>
        <v>0.41360402502259291</v>
      </c>
      <c r="I69" s="40">
        <f t="shared" si="11"/>
        <v>9.6453170421493165E-2</v>
      </c>
      <c r="J69" s="68">
        <f>D69/TableA9!B69</f>
        <v>0.4</v>
      </c>
      <c r="K69" s="16">
        <f>E69/TableA9!G69</f>
        <v>4.4633227125593845E-2</v>
      </c>
      <c r="M69" s="1627"/>
      <c r="N69" s="594">
        <f>D69+G69-TableA2!C69</f>
        <v>0</v>
      </c>
      <c r="O69" s="594">
        <f>H69+E69-TableA2!G69-TableA2!D69</f>
        <v>0</v>
      </c>
    </row>
    <row r="70" spans="1:15" x14ac:dyDescent="0.35">
      <c r="A70" s="264" t="s">
        <v>282</v>
      </c>
      <c r="B70" s="61">
        <f>TableA2!B70</f>
        <v>3.1522600000000001</v>
      </c>
      <c r="C70" s="174">
        <f t="shared" si="10"/>
        <v>-2.0687888906068452</v>
      </c>
      <c r="D70" s="392">
        <f>TableA2!C70*$B$97</f>
        <v>0.33961160000000001</v>
      </c>
      <c r="E70" s="678">
        <f>TableA5!B70</f>
        <v>-2.4084004906068452</v>
      </c>
      <c r="F70" s="174">
        <f t="shared" ref="F70:F81" si="13">B70-C70</f>
        <v>5.2210488906068449</v>
      </c>
      <c r="G70" s="8">
        <f>+TableA2!C70-TableA4!D70</f>
        <v>0.50941740000000002</v>
      </c>
      <c r="H70" s="21">
        <f>+TableA2!D70+TableA2!G70-TableA4!E70</f>
        <v>4.7116314906068455</v>
      </c>
      <c r="I70" s="40">
        <f t="shared" si="11"/>
        <v>-0.65628751771961868</v>
      </c>
      <c r="J70" s="68">
        <f>D70/TableA9!B70</f>
        <v>0.4</v>
      </c>
      <c r="K70" s="16">
        <f>E70/TableA9!G70</f>
        <v>-1.0456617206901284</v>
      </c>
      <c r="M70" s="1627"/>
      <c r="N70" s="594">
        <f>D70+G70-TableA2!C70</f>
        <v>0</v>
      </c>
      <c r="O70" s="594">
        <f>H70+E70-TableA2!G70-TableA2!D70</f>
        <v>0</v>
      </c>
    </row>
    <row r="71" spans="1:15" x14ac:dyDescent="0.35">
      <c r="A71" s="264" t="s">
        <v>283</v>
      </c>
      <c r="B71" s="61">
        <f>TableA2!B71</f>
        <v>1.6875</v>
      </c>
      <c r="C71" s="174">
        <f t="shared" si="10"/>
        <v>-3.4119978828111419</v>
      </c>
      <c r="D71" s="392">
        <f>TableA2!C71*$B$97</f>
        <v>0.18180480000000002</v>
      </c>
      <c r="E71" s="678">
        <f>TableA5!B71</f>
        <v>-3.593802682811142</v>
      </c>
      <c r="F71" s="174">
        <f t="shared" si="13"/>
        <v>5.0994978828111419</v>
      </c>
      <c r="G71" s="8">
        <f>+TableA2!C71-TableA4!D71</f>
        <v>0.27270720000000004</v>
      </c>
      <c r="H71" s="21">
        <f>+TableA2!D71+TableA2!G71-TableA4!E71</f>
        <v>4.8267906828111418</v>
      </c>
      <c r="I71" s="40">
        <f t="shared" si="11"/>
        <v>-2.0219246712954915</v>
      </c>
      <c r="J71" s="68">
        <f>D71/TableA9!B71</f>
        <v>0.4</v>
      </c>
      <c r="K71" s="16">
        <f>E71/TableA9!G71</f>
        <v>-2.9147101859962481</v>
      </c>
      <c r="M71" s="1627"/>
      <c r="N71" s="594">
        <f>D71+G71-TableA2!C71</f>
        <v>0</v>
      </c>
      <c r="O71" s="594">
        <f>H71+E71-TableA2!G71-TableA2!D71</f>
        <v>0</v>
      </c>
    </row>
    <row r="72" spans="1:15" x14ac:dyDescent="0.35">
      <c r="A72" s="264" t="s">
        <v>220</v>
      </c>
      <c r="B72" s="61">
        <f>TableA2!B72</f>
        <v>219.09200000000001</v>
      </c>
      <c r="C72" s="174">
        <f t="shared" si="10"/>
        <v>51.525126827377107</v>
      </c>
      <c r="D72" s="392">
        <f>TableA6!F72/TableA7!N72</f>
        <v>23.587237340311784</v>
      </c>
      <c r="E72" s="678">
        <f>TableA5!B72</f>
        <v>27.93788948706532</v>
      </c>
      <c r="F72" s="174">
        <f t="shared" si="13"/>
        <v>167.56687317262291</v>
      </c>
      <c r="G72" s="8">
        <f>+TableA2!C72-TableA4!D72</f>
        <v>93.481762659688215</v>
      </c>
      <c r="H72" s="21">
        <f>+TableA2!D72+TableA2!G72-TableA4!E72</f>
        <v>74.085110512934691</v>
      </c>
      <c r="I72" s="40">
        <f t="shared" si="11"/>
        <v>0.23517575642824523</v>
      </c>
      <c r="J72" s="68">
        <f>D72/TableA9!B72</f>
        <v>0.20148149672681737</v>
      </c>
      <c r="K72" s="16">
        <f>E72/TableA9!G72</f>
        <v>0.27383912928521331</v>
      </c>
      <c r="M72" s="1627"/>
      <c r="N72" s="594">
        <f>D72+G72-TableA2!C72</f>
        <v>0</v>
      </c>
      <c r="O72" s="594">
        <f>H72+E72-TableA2!G72-TableA2!D72</f>
        <v>0</v>
      </c>
    </row>
    <row r="73" spans="1:15" x14ac:dyDescent="0.35">
      <c r="A73" s="264" t="s">
        <v>284</v>
      </c>
      <c r="B73" s="61">
        <f>TableA2!B73</f>
        <v>4.56663</v>
      </c>
      <c r="C73" s="174">
        <f t="shared" si="10"/>
        <v>1.2034496315253735</v>
      </c>
      <c r="D73" s="392">
        <f>TableA2!C73*$B$97</f>
        <v>0.49198800000000004</v>
      </c>
      <c r="E73" s="678">
        <f>TableA5!B73</f>
        <v>0.71146163152537345</v>
      </c>
      <c r="F73" s="174">
        <f t="shared" si="13"/>
        <v>3.3631803684746266</v>
      </c>
      <c r="G73" s="8">
        <f>+TableA2!C73-TableA4!D73</f>
        <v>0.73798199999999992</v>
      </c>
      <c r="H73" s="21">
        <f>+TableA2!D73+TableA2!G73-TableA4!E73</f>
        <v>2.625198368474627</v>
      </c>
      <c r="I73" s="40">
        <f t="shared" si="11"/>
        <v>0.26353123233661879</v>
      </c>
      <c r="J73" s="68">
        <f>D73/TableA9!B73</f>
        <v>0.4</v>
      </c>
      <c r="K73" s="16">
        <f>E73/TableA9!G73</f>
        <v>0.21322569021877369</v>
      </c>
      <c r="M73" s="1627"/>
      <c r="N73" s="594">
        <f>D73+G73-TableA2!C73</f>
        <v>0</v>
      </c>
      <c r="O73" s="594">
        <f>H73+E73-TableA2!G73-TableA2!D73</f>
        <v>0</v>
      </c>
    </row>
    <row r="74" spans="1:15" x14ac:dyDescent="0.35">
      <c r="A74" s="264" t="s">
        <v>285</v>
      </c>
      <c r="B74" s="61">
        <f>TableA2!B74</f>
        <v>33.252099999999999</v>
      </c>
      <c r="C74" s="174">
        <f t="shared" si="10"/>
        <v>6.0152157422435497</v>
      </c>
      <c r="D74" s="392">
        <f>TableA2!C74*$B$97</f>
        <v>6.0874913573332634</v>
      </c>
      <c r="E74" s="678">
        <f>TableA5!B74</f>
        <v>-7.2275615089713682E-2</v>
      </c>
      <c r="F74" s="174">
        <f t="shared" si="13"/>
        <v>27.236884257756451</v>
      </c>
      <c r="G74" s="8">
        <f>+TableA2!C74-TableA4!D74</f>
        <v>9.1312370359998933</v>
      </c>
      <c r="H74" s="21">
        <f>+TableA2!D74+TableA2!G74-TableA4!E74</f>
        <v>18.105647221756552</v>
      </c>
      <c r="I74" s="40">
        <f t="shared" si="11"/>
        <v>0.18089731903379186</v>
      </c>
      <c r="J74" s="68">
        <f>D74/TableA9!B74</f>
        <v>0.4</v>
      </c>
      <c r="K74" s="16">
        <f>E74/TableA9!G74</f>
        <v>-4.0078814248464649E-3</v>
      </c>
      <c r="M74" s="1627"/>
      <c r="N74" s="594">
        <f>D74+G74-TableA2!C74</f>
        <v>0</v>
      </c>
      <c r="O74" s="594">
        <f>H74+E74-TableA2!G74-TableA2!D74</f>
        <v>0</v>
      </c>
    </row>
    <row r="75" spans="1:15" x14ac:dyDescent="0.35">
      <c r="A75" s="264" t="s">
        <v>286</v>
      </c>
      <c r="B75" s="61">
        <f>TableA2!B75</f>
        <v>4.7388899999999996</v>
      </c>
      <c r="C75" s="174">
        <f t="shared" si="10"/>
        <v>-1.8038415681969429</v>
      </c>
      <c r="D75" s="392">
        <f>TableA2!C75*$B$97</f>
        <v>1.1673600000000002</v>
      </c>
      <c r="E75" s="678">
        <f>TableA5!B75</f>
        <v>-2.971201568196943</v>
      </c>
      <c r="F75" s="174">
        <f t="shared" si="13"/>
        <v>6.5427315681969427</v>
      </c>
      <c r="G75" s="8">
        <f>+TableA2!C75-TableA4!D75</f>
        <v>1.7510399999999999</v>
      </c>
      <c r="H75" s="21">
        <f>+TableA2!D75+TableA2!G75-TableA4!E75</f>
        <v>4.7916915681969421</v>
      </c>
      <c r="I75" s="40">
        <f t="shared" si="11"/>
        <v>-0.38064643158987505</v>
      </c>
      <c r="J75" s="68">
        <f>D75/TableA9!B75</f>
        <v>0.4</v>
      </c>
      <c r="K75" s="16">
        <f>E75/TableA9!G75</f>
        <v>-1.6320889256172479</v>
      </c>
      <c r="M75" s="1627"/>
      <c r="N75" s="594">
        <f>D75+G75-TableA2!C75</f>
        <v>0</v>
      </c>
      <c r="O75" s="594">
        <f>H75+E75-TableA2!G75-TableA2!D75</f>
        <v>0</v>
      </c>
    </row>
    <row r="76" spans="1:15" x14ac:dyDescent="0.35">
      <c r="A76" s="264" t="s">
        <v>287</v>
      </c>
      <c r="B76" s="61">
        <f>TableA2!B76</f>
        <v>25.217500000000001</v>
      </c>
      <c r="C76" s="174">
        <f t="shared" si="10"/>
        <v>12.385535326215198</v>
      </c>
      <c r="D76" s="392">
        <f>TableA6!F76/TableA7!N76</f>
        <v>3.7507153715351045</v>
      </c>
      <c r="E76" s="678">
        <f>TableA5!B76</f>
        <v>8.6348199546800934</v>
      </c>
      <c r="F76" s="174">
        <f t="shared" si="13"/>
        <v>12.831964673784803</v>
      </c>
      <c r="G76" s="8">
        <f>+TableA2!C76-TableA4!D76</f>
        <v>6.3518846284648962</v>
      </c>
      <c r="H76" s="21">
        <f>+TableA2!D76+TableA2!G76-TableA4!E76</f>
        <v>6.480080045319907</v>
      </c>
      <c r="I76" s="40">
        <f t="shared" si="11"/>
        <v>0.49114842177912948</v>
      </c>
      <c r="J76" s="68">
        <f>D76/TableA9!B76</f>
        <v>0.37126238508256332</v>
      </c>
      <c r="K76" s="16">
        <f>E76/TableA9!G76</f>
        <v>0.57127866904048941</v>
      </c>
      <c r="M76" s="1627"/>
      <c r="N76" s="594">
        <f>D76+G76-TableA2!C76</f>
        <v>0</v>
      </c>
      <c r="O76" s="594">
        <f>H76+E76-TableA2!G76-TableA2!D76</f>
        <v>0</v>
      </c>
    </row>
    <row r="77" spans="1:15" x14ac:dyDescent="0.35">
      <c r="A77" s="458" t="s">
        <v>301</v>
      </c>
      <c r="B77" s="61">
        <f>TableA2!B77</f>
        <v>5.8736199999999998</v>
      </c>
      <c r="C77" s="175">
        <f t="shared" si="10"/>
        <v>1.0993080000000002</v>
      </c>
      <c r="D77" s="392">
        <f>TableA2!C77*$B$97</f>
        <v>1.0993080000000002</v>
      </c>
      <c r="E77" s="678">
        <f>TableA5!B77</f>
        <v>0</v>
      </c>
      <c r="F77" s="175">
        <f t="shared" si="13"/>
        <v>4.7743120000000001</v>
      </c>
      <c r="G77" s="115">
        <f>+TableA2!C77-TableA4!D77</f>
        <v>1.648962</v>
      </c>
      <c r="H77" s="116">
        <f>+TableA2!D77+TableA2!G77-TableA4!E77</f>
        <v>3.1253499999999996</v>
      </c>
      <c r="I77" s="117">
        <f t="shared" si="11"/>
        <v>0.18716021805973151</v>
      </c>
      <c r="J77" s="68">
        <f>D77/TableA9!B77</f>
        <v>0.4</v>
      </c>
      <c r="K77" s="16">
        <f>E77/TableA9!G77</f>
        <v>0</v>
      </c>
      <c r="M77" s="1627"/>
      <c r="N77" s="594">
        <f>D77+G77-TableA2!C77</f>
        <v>0</v>
      </c>
      <c r="O77" s="594">
        <f>H77+E77-TableA2!G77-TableA2!D77</f>
        <v>0</v>
      </c>
    </row>
    <row r="78" spans="1:15" x14ac:dyDescent="0.35">
      <c r="A78" s="289" t="s">
        <v>302</v>
      </c>
      <c r="B78" s="61">
        <f>TableA2!B78</f>
        <v>0.12894600000000001</v>
      </c>
      <c r="C78" s="174">
        <f t="shared" si="10"/>
        <v>-0.42258460190344499</v>
      </c>
      <c r="D78" s="392">
        <f>TableA2!C78*$B$97</f>
        <v>3.3394457600000003E-2</v>
      </c>
      <c r="E78" s="678">
        <f>TableA5!B78</f>
        <v>-0.45597905950344497</v>
      </c>
      <c r="F78" s="174">
        <f t="shared" si="13"/>
        <v>0.55153060190344494</v>
      </c>
      <c r="G78" s="8">
        <f>+TableA2!C78-TableA4!D78</f>
        <v>5.0091686399999995E-2</v>
      </c>
      <c r="H78" s="21">
        <f>+TableA2!D78+TableA2!G78-TableA4!E78</f>
        <v>0.50143891550344499</v>
      </c>
      <c r="I78" s="40">
        <f t="shared" si="11"/>
        <v>-3.2772214873159693</v>
      </c>
      <c r="J78" s="68">
        <f>D78/TableA9!B78</f>
        <v>0.4</v>
      </c>
      <c r="K78" s="16">
        <f>E78/TableA9!G78</f>
        <v>-10.030367441186899</v>
      </c>
      <c r="M78" s="1627"/>
      <c r="N78" s="594">
        <f>D78+G78-TableA2!C78</f>
        <v>0</v>
      </c>
      <c r="O78" s="594">
        <f>H78+E78-TableA2!G78-TableA2!D78</f>
        <v>0</v>
      </c>
    </row>
    <row r="79" spans="1:15" x14ac:dyDescent="0.35">
      <c r="A79" s="289" t="str">
        <f>+TableA1!A79</f>
        <v>Monaco</v>
      </c>
      <c r="B79" s="61">
        <f>TableA2!B79</f>
        <v>3.85907</v>
      </c>
      <c r="C79" s="174">
        <f t="shared" si="10"/>
        <v>0.41576000000000007</v>
      </c>
      <c r="D79" s="392">
        <f>TableA2!C79*$B$97</f>
        <v>0.41576000000000007</v>
      </c>
      <c r="E79" s="678">
        <f>TableA5!B79</f>
        <v>0</v>
      </c>
      <c r="F79" s="174">
        <f t="shared" si="13"/>
        <v>3.4433099999999999</v>
      </c>
      <c r="G79" s="8">
        <f>+TableA2!C79-TableA4!D79</f>
        <v>0.62363999999999997</v>
      </c>
      <c r="H79" s="21">
        <f>+TableA2!D79+TableA2!G79-TableA4!E79</f>
        <v>2.8196699999999999</v>
      </c>
      <c r="I79" s="40">
        <f t="shared" si="11"/>
        <v>0.10773580163096291</v>
      </c>
      <c r="J79" s="68">
        <f>D79/TableA9!B79</f>
        <v>0.4</v>
      </c>
      <c r="K79" s="16">
        <f>E79/TableA9!G79</f>
        <v>0</v>
      </c>
      <c r="M79" s="1627"/>
      <c r="N79" s="594">
        <f>D79+G79-TableA2!C79</f>
        <v>0</v>
      </c>
      <c r="O79" s="594">
        <f>H79+E79-TableA2!G79-TableA2!D79</f>
        <v>0</v>
      </c>
    </row>
    <row r="80" spans="1:15" x14ac:dyDescent="0.35">
      <c r="A80" s="264" t="s">
        <v>288</v>
      </c>
      <c r="B80" s="61">
        <f>TableA2!B80</f>
        <v>0.53428699999999996</v>
      </c>
      <c r="C80" s="174">
        <f t="shared" si="10"/>
        <v>6.2111048138080972E-2</v>
      </c>
      <c r="D80" s="392">
        <f>TableA2!C80*$B$97</f>
        <v>5.7562000000000002E-2</v>
      </c>
      <c r="E80" s="678">
        <f>TableA5!B80</f>
        <v>4.5490481380809685E-3</v>
      </c>
      <c r="F80" s="174">
        <f t="shared" si="13"/>
        <v>0.47217595186191896</v>
      </c>
      <c r="G80" s="8">
        <f>+TableA2!C80-TableA4!D80</f>
        <v>8.6343000000000003E-2</v>
      </c>
      <c r="H80" s="21">
        <f>+TableA2!D80+TableA2!G80-TableA4!E80</f>
        <v>0.38583295186191896</v>
      </c>
      <c r="I80" s="40">
        <f t="shared" si="11"/>
        <v>0.11625034511055103</v>
      </c>
      <c r="J80" s="68">
        <f>D80/TableA9!B80</f>
        <v>0.4</v>
      </c>
      <c r="K80" s="16">
        <f>E80/TableA9!G80</f>
        <v>1.1652812214909932E-2</v>
      </c>
      <c r="M80" s="1627"/>
      <c r="N80" s="594">
        <f>D80+G80-TableA2!C80</f>
        <v>0</v>
      </c>
      <c r="O80" s="594">
        <f>H80+E80-TableA2!G80-TableA2!D80</f>
        <v>0</v>
      </c>
    </row>
    <row r="81" spans="1:15" x14ac:dyDescent="0.35">
      <c r="A81" s="264" t="s">
        <v>289</v>
      </c>
      <c r="B81" s="61">
        <f>TableA2!B81</f>
        <v>7.8608700000000002</v>
      </c>
      <c r="C81" s="174">
        <f t="shared" si="10"/>
        <v>0.57881763996199997</v>
      </c>
      <c r="D81" s="392">
        <f>TableA6!F81/TableA7!N81</f>
        <v>0.18809294843367241</v>
      </c>
      <c r="E81" s="678">
        <f>TableA5!B81</f>
        <v>0.39072469152832756</v>
      </c>
      <c r="F81" s="174">
        <f t="shared" si="13"/>
        <v>7.2820523600380005</v>
      </c>
      <c r="G81" s="8">
        <f>+TableA2!C81-TableA4!D81</f>
        <v>0.1749870515663276</v>
      </c>
      <c r="H81" s="21">
        <f>+TableA2!D81+TableA2!G81-TableA4!E81</f>
        <v>7.1070653084716726</v>
      </c>
      <c r="I81" s="40">
        <f t="shared" si="11"/>
        <v>7.3632770922556906E-2</v>
      </c>
      <c r="J81" s="68">
        <f>D81/TableA9!B81</f>
        <v>0.51804822197221656</v>
      </c>
      <c r="K81" s="16">
        <f>E81/TableA9!G81</f>
        <v>5.2111981200904205E-2</v>
      </c>
      <c r="M81" s="1627"/>
      <c r="N81" s="594">
        <f>D81+G81-TableA2!C81</f>
        <v>0</v>
      </c>
      <c r="O81" s="594">
        <f>H81+E81-TableA2!G81-TableA2!D81</f>
        <v>0</v>
      </c>
    </row>
    <row r="82" spans="1:15" x14ac:dyDescent="0.35">
      <c r="A82" s="289" t="str">
        <f>+TableA1!A82</f>
        <v>Seychelles</v>
      </c>
      <c r="B82" s="61">
        <f>TableA2!B82</f>
        <v>0.96659899999999999</v>
      </c>
      <c r="C82" s="174">
        <f t="shared" si="10"/>
        <v>0.12415270981953189</v>
      </c>
      <c r="D82" s="392">
        <f>TableA6!F82/TableA7!N82</f>
        <v>4.0218179796021394E-2</v>
      </c>
      <c r="E82" s="678">
        <f>TableA5!B82</f>
        <v>8.3934530023510492E-2</v>
      </c>
      <c r="F82" s="174">
        <f t="shared" ref="F82:F88" si="14">B82-C82</f>
        <v>0.84244629018046813</v>
      </c>
      <c r="G82" s="8">
        <f>+TableA2!C82-TableA4!D82</f>
        <v>2.9622644203978601E-2</v>
      </c>
      <c r="H82" s="21">
        <f>+TableA2!D82+TableA2!G82-TableA4!E82</f>
        <v>0.81282364597648959</v>
      </c>
      <c r="I82" s="40">
        <f t="shared" si="11"/>
        <v>0.1284428287423553</v>
      </c>
      <c r="J82" s="68">
        <f>D82/TableA9!B82</f>
        <v>0.57585488676395624</v>
      </c>
      <c r="K82" s="16">
        <f>E82/TableA9!G82</f>
        <v>9.3597730435981533E-2</v>
      </c>
      <c r="M82" s="1627"/>
      <c r="N82" s="594">
        <f>D82+G82-TableA2!C82</f>
        <v>0</v>
      </c>
      <c r="O82" s="594">
        <f>H82+E82-TableA2!G82-TableA2!D82</f>
        <v>0</v>
      </c>
    </row>
    <row r="83" spans="1:15" x14ac:dyDescent="0.35">
      <c r="A83" s="264" t="s">
        <v>225</v>
      </c>
      <c r="B83" s="61">
        <f>TableA2!B83</f>
        <v>193.44101831433295</v>
      </c>
      <c r="C83" s="1626">
        <f t="shared" si="10"/>
        <v>148.14040087715458</v>
      </c>
      <c r="D83" s="392">
        <f>TableA2!C83*$B$97</f>
        <v>41.384517600000002</v>
      </c>
      <c r="E83" s="678">
        <f>TableA5!B83</f>
        <v>106.75588327715457</v>
      </c>
      <c r="F83" s="174">
        <f t="shared" si="14"/>
        <v>45.300617437178374</v>
      </c>
      <c r="G83" s="8">
        <f>+TableA2!C83-TableA4!D83</f>
        <v>62.076776399999993</v>
      </c>
      <c r="H83" s="21">
        <f>+TableA2!D83+TableA2!G83-TableA4!E83</f>
        <v>-16.776158962821611</v>
      </c>
      <c r="I83" s="40">
        <f t="shared" si="11"/>
        <v>0.7658168994769925</v>
      </c>
      <c r="J83" s="68">
        <f>D83/TableA9!B83</f>
        <v>0.4</v>
      </c>
      <c r="K83" s="16">
        <f>E83/TableA9!G83</f>
        <v>1.1864437693120307</v>
      </c>
      <c r="M83" s="1627"/>
      <c r="N83" s="594">
        <f>D83+G83-TableA2!C83</f>
        <v>0</v>
      </c>
      <c r="O83" s="594">
        <f>H83+E83-TableA2!G83-TableA2!D83</f>
        <v>0</v>
      </c>
    </row>
    <row r="84" spans="1:15" x14ac:dyDescent="0.35">
      <c r="A84" s="289" t="str">
        <f>+TableA1!A84</f>
        <v>St. Kitts and Nevis</v>
      </c>
      <c r="B84" s="61">
        <f>TableA2!B84</f>
        <v>0.59048</v>
      </c>
      <c r="C84" s="174">
        <f t="shared" si="10"/>
        <v>2.9868655712276579E-2</v>
      </c>
      <c r="D84" s="392">
        <f>TableA2!C84*$B$97</f>
        <v>2.9495152000000004E-2</v>
      </c>
      <c r="E84" s="678">
        <f>TableA5!B84</f>
        <v>3.7350371227657623E-4</v>
      </c>
      <c r="F84" s="174">
        <f t="shared" si="14"/>
        <v>0.56061134428772341</v>
      </c>
      <c r="G84" s="8">
        <f>+TableA2!C84-TableA4!D84</f>
        <v>4.4242728000000002E-2</v>
      </c>
      <c r="H84" s="21">
        <f>+TableA2!D84+TableA2!G84-TableA4!E84</f>
        <v>0.51636861628772335</v>
      </c>
      <c r="I84" s="40">
        <f t="shared" si="11"/>
        <v>5.0583687359904789E-2</v>
      </c>
      <c r="J84" s="68">
        <f>D84/TableA9!B84</f>
        <v>0.4</v>
      </c>
      <c r="K84" s="16">
        <f>E84/TableA9!G84</f>
        <v>7.2280485336975481E-4</v>
      </c>
      <c r="M84" s="1627"/>
      <c r="N84" s="594">
        <f>D84+G84-TableA2!C84</f>
        <v>0</v>
      </c>
      <c r="O84" s="594">
        <f>H84+E84-TableA2!G84-TableA2!D84</f>
        <v>0</v>
      </c>
    </row>
    <row r="85" spans="1:15" x14ac:dyDescent="0.35">
      <c r="A85" s="289" t="str">
        <f>+TableA1!A85</f>
        <v>St. Lucia</v>
      </c>
      <c r="B85" s="61">
        <f>TableA2!B85</f>
        <v>1.1087400000000001</v>
      </c>
      <c r="C85" s="174">
        <f t="shared" si="10"/>
        <v>0.13212946557604072</v>
      </c>
      <c r="D85" s="392">
        <f>TableA2!C85*$B$97</f>
        <v>4.6093200000000001E-2</v>
      </c>
      <c r="E85" s="678">
        <f>TableA5!B85</f>
        <v>8.6036265576040702E-2</v>
      </c>
      <c r="F85" s="174">
        <f t="shared" si="14"/>
        <v>0.97661053442395929</v>
      </c>
      <c r="G85" s="8">
        <f>+TableA2!C85-TableA4!D85</f>
        <v>6.9139800000000001E-2</v>
      </c>
      <c r="H85" s="21">
        <f>+TableA2!D85+TableA2!G85-TableA4!E85</f>
        <v>0.90747073442395931</v>
      </c>
      <c r="I85" s="40">
        <f t="shared" si="11"/>
        <v>0.11917082956873633</v>
      </c>
      <c r="J85" s="68">
        <f>D85/TableA9!B85</f>
        <v>0.4</v>
      </c>
      <c r="K85" s="16">
        <f>E85/TableA9!G85</f>
        <v>8.6598549960937063E-2</v>
      </c>
      <c r="M85" s="1627"/>
      <c r="N85" s="594">
        <f>D85+G85-TableA2!C85</f>
        <v>0</v>
      </c>
      <c r="O85" s="594">
        <f>H85+E85-TableA2!G85-TableA2!D85</f>
        <v>0</v>
      </c>
    </row>
    <row r="86" spans="1:15" x14ac:dyDescent="0.35">
      <c r="A86" s="289" t="str">
        <f>+TableA1!A86</f>
        <v>St. Vincent and the Grenadines</v>
      </c>
      <c r="B86" s="61">
        <f>TableA2!B86</f>
        <v>0.50773400000000002</v>
      </c>
      <c r="C86" s="174">
        <f t="shared" si="10"/>
        <v>4.9949939900137338E-2</v>
      </c>
      <c r="D86" s="392">
        <f>TableA2!C86*$B$97</f>
        <v>2.9565977600000001E-2</v>
      </c>
      <c r="E86" s="678">
        <f>TableA5!B86</f>
        <v>2.0383962300137334E-2</v>
      </c>
      <c r="F86" s="174">
        <f t="shared" si="14"/>
        <v>0.45778406009986267</v>
      </c>
      <c r="G86" s="8">
        <f>+TableA2!C86-TableA4!D86</f>
        <v>4.4348966399999995E-2</v>
      </c>
      <c r="H86" s="21">
        <f>+TableA2!D86+TableA2!G86-TableA4!E86</f>
        <v>0.4134350936998627</v>
      </c>
      <c r="I86" s="40">
        <f t="shared" si="11"/>
        <v>9.8378166323581512E-2</v>
      </c>
      <c r="J86" s="68">
        <f>D86/TableA9!B86</f>
        <v>0.4</v>
      </c>
      <c r="K86" s="16">
        <f>E86/TableA9!G86</f>
        <v>4.698724506960647E-2</v>
      </c>
      <c r="M86" s="1627"/>
      <c r="N86" s="594">
        <f>D86+G86-TableA2!C86</f>
        <v>0</v>
      </c>
      <c r="O86" s="594">
        <f>H86+E86-TableA2!G86-TableA2!D86</f>
        <v>0</v>
      </c>
    </row>
    <row r="87" spans="1:15" x14ac:dyDescent="0.35">
      <c r="A87" s="289" t="str">
        <f>+TableA1!A87</f>
        <v>Turks and Caicos</v>
      </c>
      <c r="B87" s="61">
        <f>TableA2!B87</f>
        <v>0.424902</v>
      </c>
      <c r="C87" s="676">
        <f t="shared" si="10"/>
        <v>4.5777200000000004E-2</v>
      </c>
      <c r="D87" s="392">
        <f>TableA2!C87*$B$97</f>
        <v>4.5777200000000004E-2</v>
      </c>
      <c r="E87" s="678">
        <f>TableA5!B87</f>
        <v>0</v>
      </c>
      <c r="F87" s="676">
        <f t="shared" si="14"/>
        <v>0.37912479999999998</v>
      </c>
      <c r="G87" s="263">
        <f>+TableA2!C87-TableA4!D87</f>
        <v>6.8665799999999999E-2</v>
      </c>
      <c r="H87" s="677">
        <f>+TableA2!D87+TableA2!G87-TableA4!E87</f>
        <v>0.31045899999999998</v>
      </c>
      <c r="I87" s="40">
        <f t="shared" si="11"/>
        <v>0.10773590145492373</v>
      </c>
      <c r="J87" s="68">
        <f>D87/TableA9!B87</f>
        <v>0.4</v>
      </c>
      <c r="K87" s="16">
        <f>E87/TableA9!G87</f>
        <v>0</v>
      </c>
      <c r="M87" s="1627"/>
      <c r="N87" s="594">
        <f>D87+G87-TableA2!C87</f>
        <v>0</v>
      </c>
      <c r="O87" s="594">
        <f>H87+E87-TableA2!G87-TableA2!D87</f>
        <v>0</v>
      </c>
    </row>
    <row r="88" spans="1:15" x14ac:dyDescent="0.35">
      <c r="A88" s="289" t="str">
        <f>+TableA1!A88</f>
        <v>Panama</v>
      </c>
      <c r="B88" s="61">
        <f>TableA2!B88</f>
        <v>35.049199999999999</v>
      </c>
      <c r="C88" s="174">
        <f t="shared" si="10"/>
        <v>6.3425300869724222</v>
      </c>
      <c r="D88" s="392">
        <f>TableA6!F88/TableA7!N88</f>
        <v>1.9793235988718809</v>
      </c>
      <c r="E88" s="678">
        <f>TableA5!B88</f>
        <v>4.3632064881005412</v>
      </c>
      <c r="F88" s="174">
        <f t="shared" si="14"/>
        <v>28.706669913027575</v>
      </c>
      <c r="G88" s="8">
        <f>+TableA2!C88-TableA4!D88</f>
        <v>8.2887764011281195</v>
      </c>
      <c r="H88" s="21">
        <f>+TableA2!D88+TableA2!G88-TableA4!E88</f>
        <v>20.417893511899461</v>
      </c>
      <c r="I88" s="40">
        <f t="shared" si="11"/>
        <v>0.18096076620785703</v>
      </c>
      <c r="J88" s="68">
        <f>D88/TableA9!B88</f>
        <v>0.19276434772468917</v>
      </c>
      <c r="K88" s="16">
        <f>E88/TableA9!G88</f>
        <v>0.176069927811943</v>
      </c>
      <c r="M88" s="1627"/>
      <c r="N88" s="594">
        <f>D88+G88-TableA2!C88</f>
        <v>0</v>
      </c>
      <c r="O88" s="594">
        <f>H88+E88-TableA2!G88-TableA2!D88</f>
        <v>0</v>
      </c>
    </row>
    <row r="89" spans="1:15" x14ac:dyDescent="0.35">
      <c r="A89" s="264" t="s">
        <v>290</v>
      </c>
      <c r="B89" s="61">
        <f>TableA2!B89</f>
        <v>81.677350000000004</v>
      </c>
      <c r="C89" s="174">
        <f>D89+E89</f>
        <v>45.759696429901176</v>
      </c>
      <c r="D89" s="392">
        <f>TableA6!F89/TableA7!N89</f>
        <v>2.5626558818459046</v>
      </c>
      <c r="E89" s="678">
        <f>TableA5!B89</f>
        <v>43.19704054805527</v>
      </c>
      <c r="F89" s="174">
        <f>B89-C89</f>
        <v>35.917653570098828</v>
      </c>
      <c r="G89" s="8">
        <f>+TableA2!C89-TableA4!D89</f>
        <v>20.526144118154097</v>
      </c>
      <c r="H89" s="21">
        <f>+TableA2!D89+TableA2!G89-TableA4!E89</f>
        <v>15.391509451944728</v>
      </c>
      <c r="I89" s="40">
        <f t="shared" si="11"/>
        <v>0.56024952364273783</v>
      </c>
      <c r="J89" s="68">
        <f>D89/TableA9!B89</f>
        <v>0.11099129802527218</v>
      </c>
      <c r="K89" s="16">
        <f>E89/TableA9!G89</f>
        <v>0.73729492448704181</v>
      </c>
      <c r="M89" s="1627"/>
      <c r="N89" s="594">
        <f>D89+G89-TableA2!C89</f>
        <v>0</v>
      </c>
      <c r="O89" s="594">
        <f>H89+E89-TableA2!G89-TableA2!D89</f>
        <v>0</v>
      </c>
    </row>
    <row r="90" spans="1:15" ht="40" customHeight="1" x14ac:dyDescent="0.35">
      <c r="A90" s="38" t="s">
        <v>498</v>
      </c>
      <c r="B90" s="555">
        <f>TableA2!B90</f>
        <v>4259.654706389314</v>
      </c>
      <c r="C90" s="556">
        <f>D90+E90</f>
        <v>366.98157515863141</v>
      </c>
      <c r="D90" s="433">
        <f>J90*TableA2!C90</f>
        <v>189.21731784147516</v>
      </c>
      <c r="E90" s="433">
        <f>K90*(TableA2!D90+TableA2!G90)</f>
        <v>177.76425731715625</v>
      </c>
      <c r="F90" s="556">
        <f>B90-C90</f>
        <v>3892.6731312306824</v>
      </c>
      <c r="G90" s="557">
        <f>+TableA2!C90-TableA4!D90</f>
        <v>1900.3214375164907</v>
      </c>
      <c r="H90" s="558">
        <f>+TableA2!D90+TableA2!G90-TableA4!E90</f>
        <v>1992.3516937141919</v>
      </c>
      <c r="I90" s="436">
        <f t="shared" si="11"/>
        <v>8.6152892770433601E-2</v>
      </c>
      <c r="J90" s="559">
        <f>J45</f>
        <v>9.0554586439847928E-2</v>
      </c>
      <c r="K90" s="595">
        <f>K45</f>
        <v>8.1914635590173757E-2</v>
      </c>
      <c r="N90" s="594">
        <f>D90+G90-TableA2!C90</f>
        <v>0</v>
      </c>
      <c r="O90" s="594">
        <f>H90+E90-TableA2!G90-TableA2!D90</f>
        <v>0</v>
      </c>
    </row>
    <row r="91" spans="1:15" ht="40" customHeight="1" thickBot="1" x14ac:dyDescent="0.4">
      <c r="A91" s="560" t="s">
        <v>499</v>
      </c>
      <c r="B91" s="561">
        <f>TableA2!B91</f>
        <v>40756.104983635028</v>
      </c>
      <c r="C91" s="562">
        <f t="shared" ref="C91:H91" si="15">C90+C53+C45+C9</f>
        <v>5440.616190462204</v>
      </c>
      <c r="D91" s="563">
        <f t="shared" si="15"/>
        <v>2978.9105037291129</v>
      </c>
      <c r="E91" s="564">
        <f t="shared" si="15"/>
        <v>2461.7056867330912</v>
      </c>
      <c r="F91" s="562">
        <f t="shared" si="15"/>
        <v>35315.488793172823</v>
      </c>
      <c r="G91" s="564">
        <f t="shared" si="15"/>
        <v>19443.166727279746</v>
      </c>
      <c r="H91" s="565">
        <f t="shared" si="15"/>
        <v>15872.321460621715</v>
      </c>
      <c r="I91" s="566">
        <f>C91/B91</f>
        <v>0.13349205456818794</v>
      </c>
      <c r="J91" s="567">
        <f>D91/(D91+G91)</f>
        <v>0.13285613429291895</v>
      </c>
      <c r="K91" s="568">
        <f>E91/(E91+H91)</f>
        <v>0.13426977428078374</v>
      </c>
      <c r="N91" s="594">
        <f>D91+G91-TableA2!C91</f>
        <v>0</v>
      </c>
      <c r="O91" s="594">
        <f>H91+E91-TableA2!G91-TableA2!D91</f>
        <v>0</v>
      </c>
    </row>
    <row r="92" spans="1:15" ht="18" customHeight="1" thickTop="1" x14ac:dyDescent="0.35">
      <c r="A92" s="502"/>
      <c r="B92" s="557"/>
      <c r="C92" s="557"/>
      <c r="D92" s="433"/>
      <c r="E92" s="557"/>
      <c r="F92" s="557"/>
      <c r="G92" s="557"/>
      <c r="H92" s="557"/>
      <c r="I92" s="436"/>
      <c r="J92" s="559"/>
      <c r="K92" s="436"/>
    </row>
    <row r="93" spans="1:15" s="2" customFormat="1" ht="16" thickBot="1" x14ac:dyDescent="0.4">
      <c r="B93" s="1"/>
      <c r="C93" s="1"/>
      <c r="D93" s="1"/>
      <c r="E93" s="1"/>
      <c r="F93" s="1"/>
      <c r="G93" s="1"/>
      <c r="H93" s="1"/>
      <c r="I93" s="1"/>
      <c r="J93" s="1"/>
    </row>
    <row r="94" spans="1:15" s="2" customFormat="1" ht="47.25" customHeight="1" thickBot="1" x14ac:dyDescent="0.4">
      <c r="A94" s="2123" t="s">
        <v>176</v>
      </c>
      <c r="B94" s="2124"/>
      <c r="C94" s="2124"/>
      <c r="D94" s="2124"/>
      <c r="E94" s="2124"/>
      <c r="F94" s="2124"/>
      <c r="G94" s="2124"/>
      <c r="H94" s="2124"/>
      <c r="I94" s="2124"/>
      <c r="J94" s="2124"/>
      <c r="K94" s="2125"/>
    </row>
    <row r="95" spans="1:15" s="2" customFormat="1" x14ac:dyDescent="0.35">
      <c r="A95" s="1"/>
      <c r="B95" s="1"/>
      <c r="C95" s="1"/>
      <c r="D95" s="1"/>
      <c r="E95" s="1"/>
      <c r="F95" s="1"/>
      <c r="G95" s="1"/>
      <c r="H95" s="1"/>
      <c r="I95" s="1"/>
      <c r="J95" s="1"/>
    </row>
    <row r="96" spans="1:15" s="2" customFormat="1" x14ac:dyDescent="0.35">
      <c r="A96" s="27" t="s">
        <v>162</v>
      </c>
      <c r="B96" s="1">
        <v>0.90165899999999999</v>
      </c>
      <c r="C96" s="1"/>
      <c r="D96" s="1"/>
      <c r="E96" s="1"/>
      <c r="F96" s="1"/>
      <c r="G96" s="1"/>
      <c r="H96" s="1"/>
      <c r="I96" s="1"/>
      <c r="J96" s="1"/>
    </row>
    <row r="97" spans="1:10" s="2" customFormat="1" x14ac:dyDescent="0.35">
      <c r="A97" s="376" t="s">
        <v>323</v>
      </c>
      <c r="B97" s="596">
        <v>0.4</v>
      </c>
      <c r="C97" s="1"/>
      <c r="D97" s="1"/>
      <c r="E97" s="1"/>
      <c r="F97" s="1"/>
      <c r="G97" s="1"/>
      <c r="H97" s="1"/>
      <c r="I97" s="1"/>
      <c r="J97" s="1"/>
    </row>
    <row r="98" spans="1:10" s="2" customFormat="1" x14ac:dyDescent="0.35">
      <c r="A98" s="376" t="s">
        <v>502</v>
      </c>
      <c r="B98" s="596">
        <f>+SUM(D10:D22,D24:D26,D29:D44)/(SUM(G29:G44,G24:G26,G10:G22)+SUM(D10:D22,D24:D26,D29:D44))</f>
        <v>0.15434306247348614</v>
      </c>
      <c r="C98" s="1"/>
      <c r="D98" s="1"/>
      <c r="E98" s="1"/>
      <c r="F98" s="1"/>
      <c r="G98" s="1"/>
      <c r="H98" s="1"/>
      <c r="I98" s="1"/>
      <c r="J98" s="1"/>
    </row>
    <row r="99" spans="1:10" x14ac:dyDescent="0.35">
      <c r="A99" s="675" t="s">
        <v>528</v>
      </c>
    </row>
    <row r="100" spans="1:10" s="2" customFormat="1" x14ac:dyDescent="0.35">
      <c r="A100" s="1"/>
      <c r="B100" s="1"/>
      <c r="C100" s="1"/>
      <c r="D100" s="1"/>
      <c r="E100" s="1"/>
      <c r="F100" s="1"/>
      <c r="G100" s="1"/>
      <c r="H100" s="1"/>
      <c r="I100" s="1"/>
      <c r="J100" s="1"/>
    </row>
  </sheetData>
  <mergeCells count="10">
    <mergeCell ref="A94:K94"/>
    <mergeCell ref="A3:K3"/>
    <mergeCell ref="F7:F8"/>
    <mergeCell ref="B6:H6"/>
    <mergeCell ref="B7:B8"/>
    <mergeCell ref="C7:C8"/>
    <mergeCell ref="I6:K6"/>
    <mergeCell ref="I7:I8"/>
    <mergeCell ref="J7:J8"/>
    <mergeCell ref="K7:K8"/>
  </mergeCells>
  <phoneticPr fontId="62" type="noConversion"/>
  <pageMargins left="0.75" right="0.75" top="1" bottom="1" header="0.5" footer="0.5"/>
  <pageSetup scale="63" fitToHeight="2" orientation="portrait" horizontalDpi="4294967292" verticalDpi="4294967292" r:id="rId1"/>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V100"/>
  <sheetViews>
    <sheetView workbookViewId="0">
      <pane xSplit="1" ySplit="8" topLeftCell="B9" activePane="bottomRight" state="frozen"/>
      <selection activeCell="AR8" sqref="AR8"/>
      <selection pane="topRight" activeCell="AR8" sqref="AR8"/>
      <selection pane="bottomLeft" activeCell="AR8" sqref="AR8"/>
      <selection pane="bottomRight" activeCell="O15" sqref="O15"/>
    </sheetView>
  </sheetViews>
  <sheetFormatPr baseColWidth="10" defaultColWidth="10.81640625" defaultRowHeight="15.5" x14ac:dyDescent="0.35"/>
  <cols>
    <col min="1" max="1" width="19" style="1" customWidth="1"/>
    <col min="2" max="11" width="11.36328125" style="1" customWidth="1"/>
    <col min="12" max="13" width="10.81640625" style="1"/>
    <col min="14" max="14" width="11.1796875" style="1" customWidth="1"/>
    <col min="15" max="17" width="11.36328125" style="1" customWidth="1"/>
    <col min="18" max="16384" width="10.81640625" style="1"/>
  </cols>
  <sheetData>
    <row r="1" spans="1:22" x14ac:dyDescent="0.35">
      <c r="A1" s="27"/>
      <c r="C1" s="27"/>
      <c r="D1" s="27"/>
      <c r="E1" s="27"/>
      <c r="F1" s="27"/>
      <c r="G1" s="27"/>
      <c r="H1" s="92"/>
      <c r="I1" s="27"/>
      <c r="J1" s="27"/>
      <c r="K1" s="27"/>
      <c r="O1" s="27"/>
      <c r="P1" s="27"/>
      <c r="Q1" s="27"/>
    </row>
    <row r="2" spans="1:22" ht="16" thickBot="1" x14ac:dyDescent="0.4"/>
    <row r="3" spans="1:22" ht="32.25" customHeight="1" thickTop="1" x14ac:dyDescent="0.35">
      <c r="A3" s="2048" t="s">
        <v>521</v>
      </c>
      <c r="B3" s="2049"/>
      <c r="C3" s="2049"/>
      <c r="D3" s="2049"/>
      <c r="E3" s="2049"/>
      <c r="F3" s="2049"/>
      <c r="G3" s="2049"/>
      <c r="H3" s="2049"/>
      <c r="I3" s="2049"/>
      <c r="J3" s="2049"/>
      <c r="K3" s="2049"/>
      <c r="L3" s="2049"/>
      <c r="M3" s="2049"/>
      <c r="N3" s="2049"/>
      <c r="O3" s="2049"/>
      <c r="P3" s="2049"/>
      <c r="Q3" s="2050"/>
    </row>
    <row r="4" spans="1:22" ht="12" customHeight="1" x14ac:dyDescent="0.35">
      <c r="A4" s="11"/>
      <c r="B4" s="504"/>
      <c r="C4" s="504"/>
      <c r="D4" s="504"/>
      <c r="E4" s="504"/>
      <c r="F4" s="504"/>
      <c r="G4" s="504"/>
      <c r="H4" s="504"/>
      <c r="I4" s="504"/>
      <c r="J4" s="504"/>
      <c r="K4" s="504"/>
      <c r="L4" s="28"/>
      <c r="M4" s="28"/>
      <c r="N4" s="28"/>
      <c r="O4" s="504"/>
      <c r="P4" s="504"/>
      <c r="Q4" s="12"/>
    </row>
    <row r="5" spans="1:22" x14ac:dyDescent="0.35">
      <c r="A5" s="13"/>
      <c r="B5" s="10" t="s">
        <v>20</v>
      </c>
      <c r="C5" s="10" t="s">
        <v>21</v>
      </c>
      <c r="D5" s="10" t="s">
        <v>22</v>
      </c>
      <c r="E5" s="10" t="s">
        <v>23</v>
      </c>
      <c r="F5" s="10" t="s">
        <v>24</v>
      </c>
      <c r="G5" s="10" t="s">
        <v>25</v>
      </c>
      <c r="H5" s="10" t="s">
        <v>26</v>
      </c>
      <c r="I5" s="10" t="s">
        <v>33</v>
      </c>
      <c r="J5" s="10" t="s">
        <v>34</v>
      </c>
      <c r="K5" s="10" t="s">
        <v>37</v>
      </c>
      <c r="L5" s="10" t="s">
        <v>105</v>
      </c>
      <c r="M5" s="10" t="s">
        <v>138</v>
      </c>
      <c r="N5" s="10" t="s">
        <v>139</v>
      </c>
      <c r="O5" s="10" t="s">
        <v>140</v>
      </c>
      <c r="P5" s="10" t="s">
        <v>141</v>
      </c>
      <c r="Q5" s="14" t="s">
        <v>255</v>
      </c>
    </row>
    <row r="6" spans="1:22" ht="21" customHeight="1" x14ac:dyDescent="0.35">
      <c r="A6" s="13"/>
      <c r="B6" s="2149" t="s">
        <v>52</v>
      </c>
      <c r="C6" s="2150"/>
      <c r="D6" s="2150"/>
      <c r="E6" s="2150"/>
      <c r="F6" s="2150"/>
      <c r="G6" s="2150"/>
      <c r="H6" s="2150"/>
      <c r="I6" s="2150"/>
      <c r="J6" s="2150"/>
      <c r="K6" s="2151"/>
      <c r="L6" s="2164" t="s">
        <v>517</v>
      </c>
      <c r="M6" s="2165"/>
      <c r="N6" s="2165"/>
      <c r="O6" s="2164" t="s">
        <v>180</v>
      </c>
      <c r="P6" s="2165"/>
      <c r="Q6" s="2168"/>
    </row>
    <row r="7" spans="1:22" ht="85" customHeight="1" x14ac:dyDescent="0.35">
      <c r="A7" s="13"/>
      <c r="B7" s="2152" t="s">
        <v>43</v>
      </c>
      <c r="C7" s="2154" t="s">
        <v>45</v>
      </c>
      <c r="D7" s="503" t="s">
        <v>46</v>
      </c>
      <c r="E7" s="503" t="s">
        <v>47</v>
      </c>
      <c r="F7" s="2156" t="s">
        <v>5</v>
      </c>
      <c r="G7" s="505" t="s">
        <v>7</v>
      </c>
      <c r="H7" s="505" t="s">
        <v>6</v>
      </c>
      <c r="I7" s="2158" t="s">
        <v>4</v>
      </c>
      <c r="J7" s="2160" t="s">
        <v>3</v>
      </c>
      <c r="K7" s="2162" t="s">
        <v>10</v>
      </c>
      <c r="L7" s="2166" t="s">
        <v>519</v>
      </c>
      <c r="M7" s="2167" t="s">
        <v>518</v>
      </c>
      <c r="N7" s="2167" t="s">
        <v>520</v>
      </c>
      <c r="O7" s="2166" t="s">
        <v>519</v>
      </c>
      <c r="P7" s="2167" t="s">
        <v>518</v>
      </c>
      <c r="Q7" s="2169" t="s">
        <v>520</v>
      </c>
      <c r="T7" s="431" t="s">
        <v>512</v>
      </c>
      <c r="U7" s="431"/>
      <c r="V7" s="431"/>
    </row>
    <row r="8" spans="1:22" ht="33" customHeight="1" x14ac:dyDescent="0.35">
      <c r="A8" s="13"/>
      <c r="B8" s="2153"/>
      <c r="C8" s="2155"/>
      <c r="D8" s="505"/>
      <c r="E8" s="505"/>
      <c r="F8" s="2157"/>
      <c r="G8" s="505"/>
      <c r="H8" s="505"/>
      <c r="I8" s="2159"/>
      <c r="J8" s="2161"/>
      <c r="K8" s="2163"/>
      <c r="L8" s="2166"/>
      <c r="M8" s="2167"/>
      <c r="N8" s="2167"/>
      <c r="O8" s="2166"/>
      <c r="P8" s="2167"/>
      <c r="Q8" s="2170"/>
      <c r="T8" s="601">
        <f>B9-TableA4!E9</f>
        <v>0</v>
      </c>
      <c r="U8" s="431"/>
      <c r="V8" s="431"/>
    </row>
    <row r="9" spans="1:22" ht="40" customHeight="1" x14ac:dyDescent="0.35">
      <c r="A9" s="39" t="s">
        <v>98</v>
      </c>
      <c r="B9" s="587">
        <f>SUM(B10:B44)</f>
        <v>1679.5501447062243</v>
      </c>
      <c r="C9" s="571">
        <f t="shared" ref="C9:K9" si="0">SUM(C10:C44)</f>
        <v>48.015250291333032</v>
      </c>
      <c r="D9" s="571"/>
      <c r="E9" s="571"/>
      <c r="F9" s="587">
        <f t="shared" si="0"/>
        <v>379.60356846747055</v>
      </c>
      <c r="G9" s="571"/>
      <c r="H9" s="571"/>
      <c r="I9" s="569">
        <f t="shared" si="0"/>
        <v>274.13126541645181</v>
      </c>
      <c r="J9" s="571">
        <f t="shared" si="0"/>
        <v>177.34893927090505</v>
      </c>
      <c r="K9" s="571">
        <f t="shared" si="0"/>
        <v>800.45112126006347</v>
      </c>
      <c r="L9" s="633">
        <f>K9/B9</f>
        <v>0.47658661682892062</v>
      </c>
      <c r="M9" s="634">
        <f>TableA2!G9/(TableA2!G9+TableA2!D9)</f>
        <v>0.42418128336172195</v>
      </c>
      <c r="N9" s="634">
        <f>SUMPRODUCT(N10:N43,B10:B43)/SUM(B10:B43)</f>
        <v>0.31379048469641779</v>
      </c>
      <c r="O9" s="97">
        <f>P9</f>
        <v>0.18850111911926007</v>
      </c>
      <c r="P9" s="573">
        <f>TableA3!H9/TableA3!B9</f>
        <v>0.18850111911926007</v>
      </c>
      <c r="Q9" s="635"/>
      <c r="T9" s="431"/>
      <c r="U9" s="600">
        <f>B9-C9-F9-I9-J9-K9</f>
        <v>0</v>
      </c>
      <c r="V9" s="431"/>
    </row>
    <row r="10" spans="1:22" ht="14.25" customHeight="1" x14ac:dyDescent="0.35">
      <c r="A10" s="95" t="s">
        <v>54</v>
      </c>
      <c r="B10" s="311">
        <f>C10+F10+I10+J10+K10</f>
        <v>93.950935524124446</v>
      </c>
      <c r="C10" s="91">
        <f>TableB2!E10-TableB5!D10</f>
        <v>4.0739349312495001</v>
      </c>
      <c r="D10" s="46">
        <f>TableB4!I10+TableB4!L10-TableB5!D10</f>
        <v>4.0756630851303477</v>
      </c>
      <c r="E10" s="48">
        <f>D10-C10</f>
        <v>1.7281538808475716E-3</v>
      </c>
      <c r="F10" s="398">
        <f>TableB2!D10-TableB5!C10</f>
        <v>8.7955518821850003</v>
      </c>
      <c r="G10" s="46">
        <f>TableB4!D10+TableB4!G10-TableB5!C10</f>
        <v>8.7910436546697994</v>
      </c>
      <c r="H10" s="46">
        <f>G10-F10</f>
        <v>-4.5082275152008577E-3</v>
      </c>
      <c r="I10" s="399">
        <f>+TableB2!F10-TableB5!E10</f>
        <v>11.103764369975</v>
      </c>
      <c r="J10" s="46">
        <f>O10/(1-O10)*(F10+I10)</f>
        <v>8.3997938172648166</v>
      </c>
      <c r="K10" s="46">
        <f>N10/(1-N10)*(I10+F10+C10+J10)</f>
        <v>61.577890523450137</v>
      </c>
      <c r="L10" s="400">
        <f t="shared" ref="L10:L43" si="1">K10/B10</f>
        <v>0.65542604956433181</v>
      </c>
      <c r="M10" s="9">
        <f>TableA2!G10/(TableA2!G10+TableA2!D10)</f>
        <v>0.41166183129524692</v>
      </c>
      <c r="N10" s="9">
        <f>VLOOKUP(A10,TableA10!$A$8:$G$95,7,)/(VLOOKUP(A10,TableA10!$A$8:$G$95,7,)+VLOOKUP(A10,TableA10!$A$8:$G$95,4,)+VLOOKUP(A10,TableA10!$A$8:$G$95,5,))</f>
        <v>0.65542604956433181</v>
      </c>
      <c r="O10" s="631">
        <f>P10</f>
        <v>0.29682183632835152</v>
      </c>
      <c r="P10" s="68">
        <f>TableA3!H10/TableA3!B10</f>
        <v>0.29682183632835152</v>
      </c>
      <c r="Q10" s="104"/>
      <c r="R10" s="28"/>
      <c r="T10" s="597">
        <f>C10-(D10-E10)</f>
        <v>0</v>
      </c>
      <c r="U10" s="600">
        <f t="shared" ref="U10:U73" si="2">B10-C10-F10-I10-J10-K10</f>
        <v>0</v>
      </c>
      <c r="V10" s="431"/>
    </row>
    <row r="11" spans="1:22" ht="14.25" customHeight="1" x14ac:dyDescent="0.35">
      <c r="A11" s="95" t="s">
        <v>55</v>
      </c>
      <c r="B11" s="311">
        <f>+TableA4!E11</f>
        <v>24.048721217894112</v>
      </c>
      <c r="C11" s="91">
        <f>TableB2!E11-TableB5!D11</f>
        <v>0.49029395452023894</v>
      </c>
      <c r="D11" s="46">
        <f>TableB4!I11+TableB4!L11-TableB5!D11</f>
        <v>1.1625069328896289</v>
      </c>
      <c r="E11" s="48">
        <f t="shared" ref="E11:E40" si="3">D11-C11</f>
        <v>0.67221297836938998</v>
      </c>
      <c r="F11" s="398">
        <f>TableB2!D11-TableB5!C11</f>
        <v>8.7221297836938039</v>
      </c>
      <c r="G11" s="46">
        <f>TableB4!D11+TableB4!G11-TableB5!C11</f>
        <v>8.7221297836938039</v>
      </c>
      <c r="H11" s="46">
        <f t="shared" ref="H11:H44" si="4">G11-F11</f>
        <v>0</v>
      </c>
      <c r="I11" s="399">
        <f>+TableB2!F11-TableB5!E11</f>
        <v>0.63227953410980042</v>
      </c>
      <c r="J11" s="46">
        <f t="shared" ref="J11:J43" si="5">O11/(1-O11)*(F11+I11)</f>
        <v>2.013623739659256</v>
      </c>
      <c r="K11" s="46">
        <f t="shared" ref="K11:K43" si="6">B11-C11-F11-I11-J11</f>
        <v>12.190394205911012</v>
      </c>
      <c r="L11" s="400">
        <f t="shared" si="1"/>
        <v>0.50690405096635305</v>
      </c>
      <c r="M11" s="9">
        <f>TableA2!G11/(TableA2!G11+TableA2!D11)</f>
        <v>0.48523713614348057</v>
      </c>
      <c r="N11" s="9">
        <f>VLOOKUP(A11,TableA10!$A$8:$G$95,7,)/(VLOOKUP(A11,TableA10!$A$8:$G$95,7,)+VLOOKUP(A11,TableA10!$A$8:$G$95,4,)+VLOOKUP(A11,TableA10!$A$8:$G$95,5,))</f>
        <v>1.0253164556962024</v>
      </c>
      <c r="O11" s="631">
        <f t="shared" ref="O11:O44" si="7">IF(Q11="",P11,Q11)</f>
        <v>0.1771303557511523</v>
      </c>
      <c r="P11" s="68">
        <f>TableA3!H11/TableA3!B11</f>
        <v>0.1771303557511523</v>
      </c>
      <c r="Q11" s="576"/>
      <c r="R11" s="28"/>
      <c r="S11" s="107"/>
      <c r="T11" s="597">
        <f t="shared" ref="T11:T29" si="8">C11-(D11-E11)</f>
        <v>0</v>
      </c>
      <c r="U11" s="600">
        <f t="shared" si="2"/>
        <v>0</v>
      </c>
      <c r="V11" s="431"/>
    </row>
    <row r="12" spans="1:22" ht="14.25" customHeight="1" x14ac:dyDescent="0.35">
      <c r="A12" s="95" t="s">
        <v>2</v>
      </c>
      <c r="B12" s="311">
        <f>+TableA4!E12</f>
        <v>29.705177795569394</v>
      </c>
      <c r="C12" s="91">
        <f>TableB2!E12-TableB5!D12</f>
        <v>0.22331555995923003</v>
      </c>
      <c r="D12" s="46">
        <f>TableB4!I12+TableB4!L12-TableB5!D12</f>
        <v>8.3397881057163303</v>
      </c>
      <c r="E12" s="48">
        <f t="shared" si="3"/>
        <v>8.1164725457570999</v>
      </c>
      <c r="F12" s="398">
        <f>TableB2!D12-TableB5!C12</f>
        <v>21.689437719470767</v>
      </c>
      <c r="G12" s="46">
        <f>TableB4!D12+TableB4!G12-TableB5!C12</f>
        <v>21.702748867557165</v>
      </c>
      <c r="H12" s="46">
        <f t="shared" si="4"/>
        <v>1.3311148086398106E-2</v>
      </c>
      <c r="I12" s="399">
        <f>+TableB2!F12-TableB5!E12</f>
        <v>-2.3656157498780246</v>
      </c>
      <c r="J12" s="46">
        <f t="shared" si="5"/>
        <v>4.7151652784843856</v>
      </c>
      <c r="K12" s="46">
        <f t="shared" si="6"/>
        <v>5.4428749875330373</v>
      </c>
      <c r="L12" s="384">
        <f t="shared" si="1"/>
        <v>0.18322984043357102</v>
      </c>
      <c r="M12" s="9">
        <f>TableA2!G12/(TableA2!G12+TableA2!D12)</f>
        <v>0.48988902460667944</v>
      </c>
      <c r="N12" s="9">
        <f>VLOOKUP(A12,TableA10!$A$8:$G$95,7,)/(VLOOKUP(A12,TableA10!$A$8:$G$95,7,)+VLOOKUP(A12,TableA10!$A$8:$G$95,4,)+VLOOKUP(A12,TableA10!$A$8:$G$95,5,))</f>
        <v>0.25222589671839224</v>
      </c>
      <c r="O12" s="631">
        <f t="shared" si="7"/>
        <v>0.19614658595326434</v>
      </c>
      <c r="P12" s="68">
        <f>TableA3!H12/TableA3!B12</f>
        <v>0.19614658595326434</v>
      </c>
      <c r="Q12" s="576"/>
      <c r="R12" s="28"/>
      <c r="S12" s="107"/>
      <c r="T12" s="597">
        <f t="shared" si="8"/>
        <v>-4.4408920985006262E-16</v>
      </c>
      <c r="U12" s="600">
        <f t="shared" si="2"/>
        <v>0</v>
      </c>
      <c r="V12" s="431"/>
    </row>
    <row r="13" spans="1:22" ht="14.25" customHeight="1" x14ac:dyDescent="0.35">
      <c r="A13" s="95" t="s">
        <v>56</v>
      </c>
      <c r="B13" s="311">
        <f>C13+F13+I13+J13+K13</f>
        <v>68.494440298303317</v>
      </c>
      <c r="C13" s="91">
        <f>TableB2!E13-TableB5!D13</f>
        <v>3.7753266056481003</v>
      </c>
      <c r="D13" s="46"/>
      <c r="E13" s="48"/>
      <c r="F13" s="398">
        <f>TableB2!D13-TableB5!C13</f>
        <v>17.312837362122</v>
      </c>
      <c r="G13" s="46"/>
      <c r="H13" s="46"/>
      <c r="I13" s="399">
        <f>+TableB2!F13-TableB5!E13</f>
        <v>13.377923805054001</v>
      </c>
      <c r="J13" s="46">
        <f>O13/(1-O13)*(F13+I13)</f>
        <v>16.245181224831274</v>
      </c>
      <c r="K13" s="46">
        <f>N13/(1-N13)*(I13+F13+C13+J13)</f>
        <v>17.78317130064794</v>
      </c>
      <c r="L13" s="400">
        <f>K13/B13</f>
        <v>0.25962941259465183</v>
      </c>
      <c r="M13" s="9">
        <f>TableA2!G13/(TableA2!G13+TableA2!D13)</f>
        <v>0.48244983755221532</v>
      </c>
      <c r="N13" s="9">
        <f>AVERAGE(VLOOKUP(A13,TableA10!$A$8:$G$95,7,)/(VLOOKUP(A13,TableA10!$A$8:$G$95,7,)+VLOOKUP(A13,TableA10!$A$8:$G$95,4,)+VLOOKUP(A13,TableA10!$A$8:$G$95,5,)),VLOOKUP(A13,TableA10b!$A$8:$G$95,7,)/(VLOOKUP(A13,TableA10b!$A$8:$G$95,7,)+VLOOKUP(A13,TableA10b!$A$8:$G$95,4,)+VLOOKUP(A13,TableA10b!$A$8:$G$95,5,)))</f>
        <v>0.25962941259465189</v>
      </c>
      <c r="O13" s="631">
        <f>P13</f>
        <v>0.34611388196176218</v>
      </c>
      <c r="P13" s="68">
        <f>TableA3!H13/TableA3!B13</f>
        <v>0.34611388196176218</v>
      </c>
      <c r="Q13" s="576"/>
      <c r="R13" s="28"/>
      <c r="T13" s="597"/>
      <c r="U13" s="600">
        <f t="shared" si="2"/>
        <v>0</v>
      </c>
      <c r="V13" s="431"/>
    </row>
    <row r="14" spans="1:22" ht="14.25" customHeight="1" x14ac:dyDescent="0.35">
      <c r="A14" s="95" t="s">
        <v>57</v>
      </c>
      <c r="B14" s="311">
        <f>C14+F14+I14+J14+K14</f>
        <v>17.317692278473682</v>
      </c>
      <c r="C14" s="91">
        <f>TableB2!E14-TableB5!D14</f>
        <v>1.9709003885879</v>
      </c>
      <c r="D14" s="46">
        <f>TableB4!I14+TableB4!L14-TableB5!D14</f>
        <v>2.0279178106692726</v>
      </c>
      <c r="E14" s="48">
        <f>D14-C14</f>
        <v>5.7017422081372615E-2</v>
      </c>
      <c r="F14" s="398">
        <f>TableB2!D14-TableB5!C14</f>
        <v>4.5824140671539997</v>
      </c>
      <c r="G14" s="46">
        <f>TableB4!D14+TableB4!G14-TableB5!C14</f>
        <v>4.5837248192016</v>
      </c>
      <c r="H14" s="46">
        <f>G14-F14</f>
        <v>1.3107520476003387E-3</v>
      </c>
      <c r="I14" s="399">
        <f>+TableB2!F14-TableB5!E14</f>
        <v>3.7810573591850001</v>
      </c>
      <c r="J14" s="46">
        <f>O14/(1-O14)*(F14+I14)</f>
        <v>1.5317561622283966</v>
      </c>
      <c r="K14" s="46">
        <f>N14/(1-N14)*(I14+F14+C14+J14)</f>
        <v>5.4515643013183839</v>
      </c>
      <c r="L14" s="400">
        <f>K14/B14</f>
        <v>0.31479738833879223</v>
      </c>
      <c r="M14" s="9">
        <f>TableA2!G14/(TableA2!G14+TableA2!D14)</f>
        <v>0.24030649738182491</v>
      </c>
      <c r="N14" s="9">
        <f>AVERAGE(VLOOKUP(A14,TableA10!$A$8:$G$95,7,)/(VLOOKUP(A14,TableA10!$A$8:$G$95,7,)+VLOOKUP(A14,TableA10!$A$8:$G$95,4,)+VLOOKUP(A14,TableA10!$A$8:$G$95,5,)),VLOOKUP(A14,TableA10b!$A$8:$G$95,7,)/(VLOOKUP(A14,TableA10b!$A$8:$G$95,7,)+VLOOKUP(A14,TableA10b!$A$8:$G$95,4,)+VLOOKUP(A14,TableA10b!$A$8:$G$95,5,)))</f>
        <v>0.31479738833879228</v>
      </c>
      <c r="O14" s="631">
        <f>P14</f>
        <v>0.15479746660886656</v>
      </c>
      <c r="P14" s="68">
        <f>TableA3!H14/TableA3!B14</f>
        <v>0.15479746660886656</v>
      </c>
      <c r="Q14" s="576"/>
      <c r="R14" s="28"/>
      <c r="T14" s="597">
        <f t="shared" si="8"/>
        <v>0</v>
      </c>
      <c r="U14" s="600">
        <f t="shared" si="2"/>
        <v>0</v>
      </c>
      <c r="V14" s="431"/>
    </row>
    <row r="15" spans="1:22" ht="14.25" customHeight="1" x14ac:dyDescent="0.35">
      <c r="A15" s="95" t="s">
        <v>58</v>
      </c>
      <c r="B15" s="311">
        <f>+TableA4!E15</f>
        <v>23.976281108578732</v>
      </c>
      <c r="C15" s="91">
        <f>TableB2!E15-TableB5!D15</f>
        <v>0.47867279307119998</v>
      </c>
      <c r="D15" s="46">
        <f>TableB4!I15+TableB4!L15-TableB5!D15</f>
        <v>0.58927337047127004</v>
      </c>
      <c r="E15" s="48">
        <f t="shared" si="3"/>
        <v>0.11060057740007007</v>
      </c>
      <c r="F15" s="398">
        <f>TableB2!D15-TableB5!C15</f>
        <v>10.907534664335</v>
      </c>
      <c r="G15" s="46">
        <f>TableB4!D15+TableB4!G15-TableB5!C15</f>
        <v>10.907534664335</v>
      </c>
      <c r="H15" s="46">
        <f t="shared" si="4"/>
        <v>0</v>
      </c>
      <c r="I15" s="399">
        <f>+TableB2!F15-TableB5!E15</f>
        <v>3.0872606026104998</v>
      </c>
      <c r="J15" s="46">
        <f t="shared" si="5"/>
        <v>3.4959831511583643</v>
      </c>
      <c r="K15" s="46">
        <f t="shared" si="6"/>
        <v>6.0068298974036676</v>
      </c>
      <c r="L15" s="400">
        <f t="shared" si="1"/>
        <v>0.25053217678760109</v>
      </c>
      <c r="M15" s="9">
        <f>TableA2!G15/(TableA2!G15+TableA2!D15)</f>
        <v>0.43865410497981161</v>
      </c>
      <c r="N15" s="9">
        <f>VLOOKUP(A15,TableA10!$A$8:$G$95,7,)/(VLOOKUP(A15,TableA10!$A$8:$G$95,7,)+VLOOKUP(A15,TableA10!$A$8:$G$95,4,)+VLOOKUP(A15,TableA10!$A$8:$G$95,5,))</f>
        <v>0.3233654333502281</v>
      </c>
      <c r="O15" s="631">
        <f t="shared" si="7"/>
        <v>0.19987578983562221</v>
      </c>
      <c r="P15" s="68">
        <f>TableA3!H15/TableA3!B15</f>
        <v>0.19987578983562221</v>
      </c>
      <c r="Q15" s="576"/>
      <c r="R15" s="28"/>
      <c r="T15" s="597">
        <f t="shared" si="8"/>
        <v>0</v>
      </c>
      <c r="U15" s="600">
        <f t="shared" si="2"/>
        <v>0</v>
      </c>
      <c r="V15" s="431"/>
    </row>
    <row r="16" spans="1:22" ht="14.25" customHeight="1" x14ac:dyDescent="0.35">
      <c r="A16" s="95" t="s">
        <v>59</v>
      </c>
      <c r="B16" s="311">
        <f>+TableA4!E16</f>
        <v>13.839340879938103</v>
      </c>
      <c r="C16" s="91">
        <f>TableB2!E16-TableB5!D16</f>
        <v>0.26808814345614751</v>
      </c>
      <c r="D16" s="46">
        <f>TableB4!I16+TableB4!L16-TableB5!D16</f>
        <v>0.34183840366372148</v>
      </c>
      <c r="E16" s="48">
        <f t="shared" si="3"/>
        <v>7.375026020757397E-2</v>
      </c>
      <c r="F16" s="398">
        <f>TableB2!D16-TableB5!C16</f>
        <v>4.7846968210069205</v>
      </c>
      <c r="G16" s="46">
        <f>TableB4!D16+TableB4!G16-TableB5!C16</f>
        <v>4.7846968210069205</v>
      </c>
      <c r="H16" s="46">
        <f t="shared" si="4"/>
        <v>0</v>
      </c>
      <c r="I16" s="399">
        <f>+TableB2!F16-TableB5!E16</f>
        <v>-0.48606774318256002</v>
      </c>
      <c r="J16" s="46">
        <f t="shared" si="5"/>
        <v>0.75565065007342747</v>
      </c>
      <c r="K16" s="46">
        <f t="shared" si="6"/>
        <v>8.5169730085841664</v>
      </c>
      <c r="L16" s="400">
        <f t="shared" si="1"/>
        <v>0.61541753198164295</v>
      </c>
      <c r="M16" s="9">
        <f>TableA2!G16/(TableA2!G16+TableA2!D16)</f>
        <v>0.43278622865596977</v>
      </c>
      <c r="N16" s="9">
        <f>VLOOKUP(A16,TableA10!$A$8:$G$95,7,)/(VLOOKUP(A16,TableA10!$A$8:$G$95,7,)+VLOOKUP(A16,TableA10!$A$8:$G$95,4,)+VLOOKUP(A16,TableA10!$A$8:$G$95,5,))</f>
        <v>0.41478555304740405</v>
      </c>
      <c r="O16" s="631">
        <f t="shared" si="7"/>
        <v>0.14950708919067349</v>
      </c>
      <c r="P16" s="68">
        <f>TableA3!H16/TableA3!B16</f>
        <v>0.14950708919067349</v>
      </c>
      <c r="Q16" s="576"/>
      <c r="R16" s="28"/>
      <c r="T16" s="597">
        <f t="shared" si="8"/>
        <v>0</v>
      </c>
      <c r="U16" s="600">
        <f t="shared" si="2"/>
        <v>0</v>
      </c>
      <c r="V16" s="431"/>
    </row>
    <row r="17" spans="1:22" ht="14.25" customHeight="1" x14ac:dyDescent="0.35">
      <c r="A17" s="455" t="s">
        <v>60</v>
      </c>
      <c r="B17" s="583">
        <f>+TableA4!E17</f>
        <v>2.6525615484904161</v>
      </c>
      <c r="C17" s="91">
        <f>TableB2!E17-TableB5!D17</f>
        <v>1.4843039378812999E-2</v>
      </c>
      <c r="D17" s="46">
        <f>TableB4!I17+TableB4!L17-TableB5!D17</f>
        <v>4.5082640044370695E-2</v>
      </c>
      <c r="E17" s="48">
        <f t="shared" si="3"/>
        <v>3.0239600665557698E-2</v>
      </c>
      <c r="F17" s="398">
        <f>TableB2!D17-TableB5!C17</f>
        <v>0.72318469217970005</v>
      </c>
      <c r="G17" s="46">
        <f>TableB4!D17+TableB4!G17-TableB5!C17</f>
        <v>0.72318469217970005</v>
      </c>
      <c r="H17" s="46">
        <f t="shared" si="4"/>
        <v>0</v>
      </c>
      <c r="I17" s="399">
        <f>+TableB2!F17-TableB5!E17</f>
        <v>0.56524126455906698</v>
      </c>
      <c r="J17" s="103">
        <f>O17/(1-O17)*(F17+I17)</f>
        <v>0.1679873914666514</v>
      </c>
      <c r="K17" s="46">
        <f>B17-C17-F17-I17-J17</f>
        <v>1.1813051609061846</v>
      </c>
      <c r="L17" s="384">
        <f t="shared" si="1"/>
        <v>0.445345052060515</v>
      </c>
      <c r="M17" s="119">
        <f>TableA2!G17/(TableA2!G17+TableA2!D17)</f>
        <v>0.36389549524342479</v>
      </c>
      <c r="N17" s="9"/>
      <c r="O17" s="631">
        <f t="shared" si="7"/>
        <v>0.11534321054777766</v>
      </c>
      <c r="P17" s="68">
        <f>TableA3!H17/TableA3!B17</f>
        <v>0.11534321054777766</v>
      </c>
      <c r="Q17" s="577"/>
      <c r="R17" s="29"/>
      <c r="S17" s="27"/>
      <c r="T17" s="597">
        <f t="shared" si="8"/>
        <v>0</v>
      </c>
      <c r="U17" s="600">
        <f t="shared" si="2"/>
        <v>0</v>
      </c>
      <c r="V17" s="431"/>
    </row>
    <row r="18" spans="1:22" ht="14.25" customHeight="1" x14ac:dyDescent="0.35">
      <c r="A18" s="95" t="s">
        <v>61</v>
      </c>
      <c r="B18" s="311">
        <f>+TableA4!E18</f>
        <v>11.789190114958569</v>
      </c>
      <c r="C18" s="91">
        <f>TableB2!E18-TableB5!D18</f>
        <v>0.69661674986134003</v>
      </c>
      <c r="D18" s="46"/>
      <c r="E18" s="48"/>
      <c r="F18" s="398">
        <f>TableB2!D18-TableB5!C18</f>
        <v>5.4220743205768001</v>
      </c>
      <c r="G18" s="46">
        <f>TableB4!D18+TableB4!G18-TableB5!C18</f>
        <v>5.4220743205768001</v>
      </c>
      <c r="H18" s="46">
        <f t="shared" si="4"/>
        <v>0</v>
      </c>
      <c r="I18" s="399">
        <f>+TableB2!F18-TableB5!E18</f>
        <v>-2.0288408208541</v>
      </c>
      <c r="J18" s="46">
        <f t="shared" si="5"/>
        <v>0.85337570371897753</v>
      </c>
      <c r="K18" s="46">
        <f t="shared" si="6"/>
        <v>6.8459641616555515</v>
      </c>
      <c r="L18" s="400">
        <f t="shared" si="1"/>
        <v>0.58069842753397749</v>
      </c>
      <c r="M18" s="9">
        <f>TableA2!G18/(TableA2!G18+TableA2!D18)</f>
        <v>0.49260248420874131</v>
      </c>
      <c r="N18" s="9">
        <f>VLOOKUP(A18,TableA10!$A$8:$G$95,7,)/(VLOOKUP(A18,TableA10!$A$8:$G$95,7,)+VLOOKUP(A18,TableA10!$A$8:$G$95,4,)+VLOOKUP(A18,TableA10!$A$8:$G$95,5,))</f>
        <v>-0.18588873812754408</v>
      </c>
      <c r="O18" s="631">
        <f t="shared" si="7"/>
        <v>0.20095461174702786</v>
      </c>
      <c r="P18" s="68">
        <f>TableA3!H18/TableA3!B18</f>
        <v>0.20095461174702786</v>
      </c>
      <c r="Q18" s="576"/>
      <c r="R18" s="28"/>
      <c r="T18" s="597"/>
      <c r="U18" s="600">
        <f t="shared" si="2"/>
        <v>0</v>
      </c>
      <c r="V18" s="431"/>
    </row>
    <row r="19" spans="1:22" ht="14.25" customHeight="1" x14ac:dyDescent="0.35">
      <c r="A19" s="455" t="s">
        <v>48</v>
      </c>
      <c r="B19" s="583">
        <f>+TableA4!E19</f>
        <v>57.999541913648059</v>
      </c>
      <c r="C19" s="91">
        <f>TableB2!E19-TableB5!D19</f>
        <v>2.8098090929952</v>
      </c>
      <c r="D19" s="46">
        <f>TableB4!I19+TableB4!L19-TableB5!D19</f>
        <v>4.1614240421225999</v>
      </c>
      <c r="E19" s="48">
        <f t="shared" si="3"/>
        <v>1.3516149491273999</v>
      </c>
      <c r="F19" s="398">
        <f>TableB2!D19-TableB5!C19</f>
        <v>15.593480865224999</v>
      </c>
      <c r="G19" s="46">
        <f>TableB4!D19+TableB4!G19-TableB5!C19</f>
        <v>15.593480865224999</v>
      </c>
      <c r="H19" s="46">
        <f t="shared" si="4"/>
        <v>0</v>
      </c>
      <c r="I19" s="399">
        <f>+TableB2!F19-TableB5!E19</f>
        <v>7.5611680532446002</v>
      </c>
      <c r="J19" s="103">
        <f t="shared" si="5"/>
        <v>8.624166082052362</v>
      </c>
      <c r="K19" s="46">
        <f t="shared" si="6"/>
        <v>23.410917820130898</v>
      </c>
      <c r="L19" s="384">
        <f t="shared" si="1"/>
        <v>0.40363970210292299</v>
      </c>
      <c r="M19" s="119">
        <f>TableA2!G19/(TableA2!G19+TableA2!D19)</f>
        <v>0.60035726791541277</v>
      </c>
      <c r="N19" s="9">
        <f>VLOOKUP(A19,TableA10!$A$8:$G$95,7,)/(VLOOKUP(A19,TableA10!$A$8:$G$95,7,)+VLOOKUP(A19,TableA10!$A$8:$G$95,4,)+VLOOKUP(A19,TableA10!$A$8:$G$95,5,))</f>
        <v>0.39348118279569894</v>
      </c>
      <c r="O19" s="631">
        <f t="shared" si="7"/>
        <v>0.27138098390108983</v>
      </c>
      <c r="P19" s="68">
        <f>TableA3!H19/TableA3!B19</f>
        <v>0.27138098390108983</v>
      </c>
      <c r="Q19" s="578"/>
      <c r="R19" s="29"/>
      <c r="T19" s="597">
        <f t="shared" si="8"/>
        <v>0</v>
      </c>
      <c r="U19" s="600">
        <f t="shared" si="2"/>
        <v>0</v>
      </c>
      <c r="V19" s="431"/>
    </row>
    <row r="20" spans="1:22" ht="14.25" customHeight="1" x14ac:dyDescent="0.35">
      <c r="A20" s="95" t="s">
        <v>62</v>
      </c>
      <c r="B20" s="311">
        <f>+TableA4!E20</f>
        <v>184.32822136729789</v>
      </c>
      <c r="C20" s="91">
        <f>TableB2!E20-TableB5!D20</f>
        <v>6.8208541320021991</v>
      </c>
      <c r="D20" s="46">
        <f>TableB4!I20+TableB4!L20-TableB5!D20</f>
        <v>8.0354963948974003</v>
      </c>
      <c r="E20" s="48">
        <f t="shared" si="3"/>
        <v>1.2146422628952012</v>
      </c>
      <c r="F20" s="398">
        <f>TableB2!D20-TableB5!C20</f>
        <v>21.960066555739999</v>
      </c>
      <c r="G20" s="46">
        <f>TableB4!D20+TableB4!G20-TableB5!C20</f>
        <v>21.960066555739999</v>
      </c>
      <c r="H20" s="46">
        <f t="shared" si="4"/>
        <v>0</v>
      </c>
      <c r="I20" s="399">
        <f>+TableB2!F20-TableB5!E20</f>
        <v>4.8530227398779999</v>
      </c>
      <c r="J20" s="46">
        <f t="shared" si="5"/>
        <v>16.022776454540054</v>
      </c>
      <c r="K20" s="46">
        <f t="shared" si="6"/>
        <v>134.67150148513764</v>
      </c>
      <c r="L20" s="384">
        <f t="shared" si="1"/>
        <v>0.73060706866360525</v>
      </c>
      <c r="M20" s="9">
        <f>TableA2!G20/(TableA2!G20+TableA2!D20)</f>
        <v>0.40333385526762178</v>
      </c>
      <c r="N20" s="9">
        <f>VLOOKUP(A20,TableA10!$A$8:$G$95,7,)/(VLOOKUP(A20,TableA10!$A$8:$G$95,7,)+VLOOKUP(A20,TableA10!$A$8:$G$95,4,)+VLOOKUP(A20,TableA10!$A$8:$G$95,5,))</f>
        <v>0.34050092224055917</v>
      </c>
      <c r="O20" s="631">
        <f t="shared" si="7"/>
        <v>0.37405048722473722</v>
      </c>
      <c r="P20" s="68">
        <f>TableA3!H20/TableA3!B20</f>
        <v>0.10568882329112707</v>
      </c>
      <c r="Q20" s="104">
        <f>VLOOKUP(A20,TableA11!$A$9:$L$96,12,)</f>
        <v>0.37405048722473722</v>
      </c>
      <c r="R20" s="28"/>
      <c r="T20" s="597">
        <f>C20-(D20-E20)</f>
        <v>0</v>
      </c>
      <c r="U20" s="600">
        <f t="shared" si="2"/>
        <v>0</v>
      </c>
      <c r="V20" s="431"/>
    </row>
    <row r="21" spans="1:22" ht="14.25" customHeight="1" x14ac:dyDescent="0.35">
      <c r="A21" s="95" t="s">
        <v>63</v>
      </c>
      <c r="B21" s="311">
        <f>+TableA4!E21</f>
        <v>4.4628405784515266</v>
      </c>
      <c r="C21" s="91">
        <f>TableB2!E21-TableB5!D21</f>
        <v>6.4186108707708994E-2</v>
      </c>
      <c r="D21" s="46">
        <f>TableB4!I21+TableB4!L21-TableB5!D21</f>
        <v>6.4186108707708994E-2</v>
      </c>
      <c r="E21" s="48">
        <f t="shared" si="3"/>
        <v>0</v>
      </c>
      <c r="F21" s="398">
        <f>TableB2!D21-TableB5!C21</f>
        <v>0.62594856905157992</v>
      </c>
      <c r="G21" s="46">
        <f>TableB4!D21+TableB4!G21-TableB5!C21</f>
        <v>0.62594856905157992</v>
      </c>
      <c r="H21" s="46">
        <f t="shared" si="4"/>
        <v>0</v>
      </c>
      <c r="I21" s="399">
        <f>+TableB2!F21-TableB5!E21</f>
        <v>0.46668885191347997</v>
      </c>
      <c r="J21" s="46">
        <f t="shared" si="5"/>
        <v>0.25035540386519833</v>
      </c>
      <c r="K21" s="46">
        <f t="shared" si="6"/>
        <v>3.0556616449135592</v>
      </c>
      <c r="L21" s="400">
        <f t="shared" si="1"/>
        <v>0.68468984970415037</v>
      </c>
      <c r="M21" s="9">
        <f>TableA2!G21/(TableA2!G21+TableA2!D21)</f>
        <v>0.4735022867183965</v>
      </c>
      <c r="N21" s="9">
        <f>VLOOKUP(A21,TableA10!$A$8:$G$95,7,)/(VLOOKUP(A21,TableA10!$A$8:$G$95,7,)+VLOOKUP(A21,TableA10!$A$8:$G$95,4,)+VLOOKUP(A21,TableA10!$A$8:$G$95,5,))</f>
        <v>0.12211080571847459</v>
      </c>
      <c r="O21" s="631">
        <f t="shared" si="7"/>
        <v>0.18641603978549989</v>
      </c>
      <c r="P21" s="68">
        <f>TableA3!H21/TableA3!B21</f>
        <v>0.18641603978549989</v>
      </c>
      <c r="Q21" s="576"/>
      <c r="R21" s="28"/>
      <c r="T21" s="597">
        <f t="shared" si="8"/>
        <v>0</v>
      </c>
      <c r="U21" s="600">
        <f t="shared" si="2"/>
        <v>0</v>
      </c>
      <c r="V21" s="431"/>
    </row>
    <row r="22" spans="1:22" ht="14.25" customHeight="1" x14ac:dyDescent="0.35">
      <c r="A22" s="95" t="s">
        <v>64</v>
      </c>
      <c r="B22" s="311">
        <f>+TableA4!E22</f>
        <v>18.945890950666893</v>
      </c>
      <c r="C22" s="91">
        <f>TableB2!E22-TableB5!D22</f>
        <v>0.56776232297255991</v>
      </c>
      <c r="D22" s="46">
        <f>TableB4!I22+TableB4!L22-TableB5!D22</f>
        <v>1.8162109823277</v>
      </c>
      <c r="E22" s="48">
        <f t="shared" si="3"/>
        <v>1.24844865935514</v>
      </c>
      <c r="F22" s="398">
        <f>TableB2!D22-TableB5!C22</f>
        <v>3.7422123935328995</v>
      </c>
      <c r="G22" s="46">
        <f>TableB4!D22+TableB4!G22-TableB5!C22</f>
        <v>3.7422123935328648</v>
      </c>
      <c r="H22" s="46">
        <f t="shared" si="4"/>
        <v>-3.4638958368304884E-14</v>
      </c>
      <c r="I22" s="399">
        <f>+TableB2!F22-TableB5!E22</f>
        <v>4.442505748690901</v>
      </c>
      <c r="J22" s="46">
        <f t="shared" si="5"/>
        <v>0.97319696973962588</v>
      </c>
      <c r="K22" s="46">
        <f t="shared" si="6"/>
        <v>9.220213515730908</v>
      </c>
      <c r="L22" s="400">
        <f t="shared" si="1"/>
        <v>0.48666032860314534</v>
      </c>
      <c r="M22" s="9">
        <f>TableA2!G22/(TableA2!G22+TableA2!D22)</f>
        <v>0.39670811481294177</v>
      </c>
      <c r="N22" s="9">
        <f>VLOOKUP(A22,TableA10!$A$8:$G$95,7,)/(VLOOKUP(A22,TableA10!$A$8:$G$95,7,)+VLOOKUP(A22,TableA10!$A$8:$G$95,4,)+VLOOKUP(A22,TableA10!$A$8:$G$95,5,))</f>
        <v>4.327076041998091E-2</v>
      </c>
      <c r="O22" s="631">
        <f t="shared" si="7"/>
        <v>0.10626839819341541</v>
      </c>
      <c r="P22" s="68">
        <f>TableA3!H22/TableA3!B22</f>
        <v>0.10626839819341541</v>
      </c>
      <c r="Q22" s="576"/>
      <c r="R22" s="28"/>
      <c r="T22" s="597">
        <f t="shared" si="8"/>
        <v>0</v>
      </c>
      <c r="U22" s="600">
        <f t="shared" si="2"/>
        <v>0</v>
      </c>
      <c r="V22" s="431"/>
    </row>
    <row r="23" spans="1:22" ht="14.25" customHeight="1" x14ac:dyDescent="0.35">
      <c r="A23" s="95" t="s">
        <v>65</v>
      </c>
      <c r="B23" s="311">
        <f>C23+F23+I23+J23+K23</f>
        <v>2.1367231487797442E-2</v>
      </c>
      <c r="C23" s="91">
        <f>TableB2!E23-TableB5!D23</f>
        <v>0.1130207792345674</v>
      </c>
      <c r="D23" s="46">
        <f>TableB4!I23+TableB4!L23-TableB5!D23</f>
        <v>0.30075187969924438</v>
      </c>
      <c r="E23" s="48">
        <f>D23-C23</f>
        <v>0.187731100464677</v>
      </c>
      <c r="F23" s="398">
        <f>TableB2!D23-TableB5!C23</f>
        <v>1.0265656073226997E-2</v>
      </c>
      <c r="G23" s="46">
        <f>TableB4!D23+TableB4!G23-TableB5!C23</f>
        <v>1.0265656073226997E-2</v>
      </c>
      <c r="H23" s="46">
        <f>G23-F23</f>
        <v>0</v>
      </c>
      <c r="I23" s="399">
        <f>+TableB2!F23-TableB5!E23</f>
        <v>-9.2133125998418053E-2</v>
      </c>
      <c r="J23" s="46">
        <f>O23/(1-O23)*(F23+I23)</f>
        <v>-1.8625788557370529E-2</v>
      </c>
      <c r="K23" s="46">
        <f>M23/(1-M23)*(I23+F23+C23+J23)</f>
        <v>8.8397107357916366E-3</v>
      </c>
      <c r="L23" s="400">
        <f t="shared" si="1"/>
        <v>0.41370407489804584</v>
      </c>
      <c r="M23" s="9">
        <f>TableA2!G23/(TableA2!G23+TableA2!D23)</f>
        <v>0.41370407489804589</v>
      </c>
      <c r="N23" s="9"/>
      <c r="O23" s="631">
        <f>P23</f>
        <v>0.18534366223782692</v>
      </c>
      <c r="P23" s="68">
        <f>TableA3!H23/TableA3!B23</f>
        <v>0.18534366223782692</v>
      </c>
      <c r="Q23" s="576"/>
      <c r="R23" s="28"/>
      <c r="T23" s="597">
        <f t="shared" si="8"/>
        <v>0</v>
      </c>
      <c r="U23" s="600">
        <f t="shared" si="2"/>
        <v>0</v>
      </c>
      <c r="V23" s="431"/>
    </row>
    <row r="24" spans="1:22" ht="14.25" customHeight="1" x14ac:dyDescent="0.35">
      <c r="A24" s="95" t="s">
        <v>19</v>
      </c>
      <c r="B24" s="311">
        <f>+TableA4!E24</f>
        <v>114.90450564431634</v>
      </c>
      <c r="C24" s="91">
        <f>TableB2!E24-TableB5!D24</f>
        <v>0.92734331669439996</v>
      </c>
      <c r="D24" s="46">
        <f>TableB4!I24+TableB4!L24-TableB5!D24</f>
        <v>5.2499223516361999</v>
      </c>
      <c r="E24" s="48">
        <f t="shared" si="3"/>
        <v>4.3225790349417998</v>
      </c>
      <c r="F24" s="398">
        <f>TableB2!D24-TableB5!C24</f>
        <v>17.189129229062999</v>
      </c>
      <c r="G24" s="46">
        <f>TableB4!D24+TableB4!G24-TableB5!C24</f>
        <v>17.183582917359999</v>
      </c>
      <c r="H24" s="46">
        <f t="shared" si="4"/>
        <v>-5.5463117030001285E-3</v>
      </c>
      <c r="I24" s="399">
        <f>+TableB2!F24-TableB5!E24</f>
        <v>46.587909040488</v>
      </c>
      <c r="J24" s="46">
        <f t="shared" si="5"/>
        <v>3.7256292575956804</v>
      </c>
      <c r="K24" s="46">
        <f t="shared" si="6"/>
        <v>46.474494800475263</v>
      </c>
      <c r="L24" s="400">
        <f t="shared" si="1"/>
        <v>0.40446190112279629</v>
      </c>
      <c r="M24" s="9">
        <f>TableA2!G24/(TableA2!G24+TableA2!D24)</f>
        <v>0.34923976068215834</v>
      </c>
      <c r="N24" s="9">
        <f>VLOOKUP(A24,TableA10!$A$8:$G$95,7,)/(VLOOKUP(A24,TableA10!$A$8:$G$95,7,)+VLOOKUP(A24,TableA10!$A$8:$G$95,4,)+VLOOKUP(A24,TableA10!$A$8:$G$95,5,))</f>
        <v>7.7716949996070928E-2</v>
      </c>
      <c r="O24" s="631">
        <f t="shared" si="7"/>
        <v>5.5192326378767059E-2</v>
      </c>
      <c r="P24" s="68">
        <f>TableA3!H24/TableA3!B24</f>
        <v>6.0720568130957837E-2</v>
      </c>
      <c r="Q24" s="104">
        <f>VLOOKUP(A24,TableA11!$A$9:$L$96,12,)</f>
        <v>5.5192326378767059E-2</v>
      </c>
      <c r="R24" s="28"/>
      <c r="S24" s="107"/>
      <c r="T24" s="597">
        <f t="shared" si="8"/>
        <v>0</v>
      </c>
      <c r="U24" s="600">
        <f t="shared" si="2"/>
        <v>0</v>
      </c>
      <c r="V24" s="431"/>
    </row>
    <row r="25" spans="1:22" ht="14.25" customHeight="1" x14ac:dyDescent="0.35">
      <c r="A25" s="95" t="s">
        <v>95</v>
      </c>
      <c r="B25" s="311">
        <f>C25+F25+I25+J25+K25</f>
        <v>8.5187715952316321</v>
      </c>
      <c r="C25" s="91">
        <f>TableB2!E25-TableB5!D25</f>
        <v>0.15850000000000009</v>
      </c>
      <c r="D25" s="46"/>
      <c r="E25" s="48"/>
      <c r="F25" s="398">
        <f>TableB2!D25-TableB5!C25</f>
        <v>1.1495</v>
      </c>
      <c r="G25" s="46"/>
      <c r="H25" s="46"/>
      <c r="I25" s="399">
        <f>+TableB2!F25-TableB5!E25</f>
        <v>3.7119999999999997</v>
      </c>
      <c r="J25" s="46">
        <f>O25/(1-O25)*(F25+I25)</f>
        <v>0.96596267482376685</v>
      </c>
      <c r="K25" s="46">
        <f>M25/(1-M25)*(I25+F25+C25+J25)</f>
        <v>2.5328089204078661</v>
      </c>
      <c r="L25" s="400">
        <f>K25/B25</f>
        <v>0.29732090972196057</v>
      </c>
      <c r="M25" s="9">
        <f>TableA2!G25/(TableA2!G25+TableA2!D25)</f>
        <v>0.29732090972196057</v>
      </c>
      <c r="N25" s="9">
        <f>VLOOKUP(A25,TableA10!$A$8:$G$95,7,)/(VLOOKUP(A25,TableA10!$A$8:$G$95,7,)+VLOOKUP(A25,TableA10!$A$8:$G$95,4,)+VLOOKUP(A25,TableA10!$A$8:$G$95,5,))</f>
        <v>0.23702224757558471</v>
      </c>
      <c r="O25" s="631">
        <f>P25</f>
        <v>0.16576042245572675</v>
      </c>
      <c r="P25" s="68">
        <f>TableA3!H25/TableA3!B25</f>
        <v>0.16576042245572675</v>
      </c>
      <c r="Q25" s="576"/>
      <c r="R25" s="28"/>
      <c r="T25" s="597"/>
      <c r="U25" s="600">
        <f t="shared" si="2"/>
        <v>0</v>
      </c>
      <c r="V25" s="431"/>
    </row>
    <row r="26" spans="1:22" ht="14.25" customHeight="1" x14ac:dyDescent="0.35">
      <c r="A26" s="95" t="s">
        <v>66</v>
      </c>
      <c r="B26" s="311">
        <f>+TableA4!E26</f>
        <v>51.879393080286654</v>
      </c>
      <c r="C26" s="91">
        <f>TableB2!E26-TableB5!D26</f>
        <v>0.80985579589572998</v>
      </c>
      <c r="D26" s="46">
        <f>TableB4!I26+TableB4!L26-TableB5!D26</f>
        <v>2.1051092623405303</v>
      </c>
      <c r="E26" s="48">
        <f t="shared" si="3"/>
        <v>1.2952534664448003</v>
      </c>
      <c r="F26" s="398">
        <f>TableB2!D26-TableB5!C26</f>
        <v>3.4079789240155001</v>
      </c>
      <c r="G26" s="46">
        <f>TableB4!D26+TableB4!G26-TableB5!C26</f>
        <v>3.4079789240155001</v>
      </c>
      <c r="H26" s="46">
        <f t="shared" si="4"/>
        <v>0</v>
      </c>
      <c r="I26" s="399">
        <f>+TableB2!F26-TableB5!E26</f>
        <v>7.4674919578479999</v>
      </c>
      <c r="J26" s="46">
        <f t="shared" si="5"/>
        <v>2.3224178068507029</v>
      </c>
      <c r="K26" s="46">
        <f t="shared" si="6"/>
        <v>37.871648595676724</v>
      </c>
      <c r="L26" s="400">
        <f t="shared" si="1"/>
        <v>0.72999405635042691</v>
      </c>
      <c r="M26" s="9">
        <f>TableA2!G26/(TableA2!G26+TableA2!D26)</f>
        <v>0.48989497691378109</v>
      </c>
      <c r="N26" s="9">
        <f>VLOOKUP(A26,TableA10!$A$8:$G$95,7,)/(VLOOKUP(A26,TableA10!$A$8:$G$95,7,)+VLOOKUP(A26,TableA10!$A$8:$G$95,4,)+VLOOKUP(A26,TableA10!$A$8:$G$95,5,))</f>
        <v>0.35769784172661873</v>
      </c>
      <c r="O26" s="631">
        <f t="shared" si="7"/>
        <v>0.17596888878420774</v>
      </c>
      <c r="P26" s="68">
        <f>TableA3!H26/TableA3!B26</f>
        <v>0.17596888878420774</v>
      </c>
      <c r="Q26" s="576"/>
      <c r="R26" s="28"/>
      <c r="T26" s="597">
        <f t="shared" si="8"/>
        <v>0</v>
      </c>
      <c r="U26" s="600">
        <f t="shared" si="2"/>
        <v>0</v>
      </c>
      <c r="V26" s="431"/>
    </row>
    <row r="27" spans="1:22" ht="14.25" customHeight="1" x14ac:dyDescent="0.35">
      <c r="A27" s="95" t="s">
        <v>67</v>
      </c>
      <c r="B27" s="311">
        <f>C27+F27+I27+J27+K27</f>
        <v>71.034766915452195</v>
      </c>
      <c r="C27" s="91">
        <f>TableB2!E27-TableB5!D27</f>
        <v>0.50577551005228993</v>
      </c>
      <c r="D27" s="46">
        <f>TableB4!I27+TableB4!L27-TableB5!D27</f>
        <v>0.50577551005228993</v>
      </c>
      <c r="E27" s="48">
        <f>D27-C27</f>
        <v>0</v>
      </c>
      <c r="F27" s="398">
        <f>TableB2!D27-TableB5!C27</f>
        <v>12.265056118767999</v>
      </c>
      <c r="G27" s="46">
        <f>TableB4!D27+TableB4!G27-TableB5!C27</f>
        <v>12.265056118767999</v>
      </c>
      <c r="H27" s="46">
        <f>G27-F27</f>
        <v>0</v>
      </c>
      <c r="I27" s="399">
        <f>+TableB2!F27-TableB5!E27</f>
        <v>11.420444074204001</v>
      </c>
      <c r="J27" s="46">
        <f>O27/(1-O27)*(F27+I27)</f>
        <v>8.4061652134379425</v>
      </c>
      <c r="K27" s="46">
        <f>M27/(1-M27)*(I27+F27+C27+J27)</f>
        <v>38.437325998989955</v>
      </c>
      <c r="L27" s="400">
        <f t="shared" si="1"/>
        <v>0.54110582279715602</v>
      </c>
      <c r="M27" s="9">
        <f>TableA2!G27/(TableA2!G27+TableA2!D27)</f>
        <v>0.54110582279715602</v>
      </c>
      <c r="N27" s="9">
        <f>AVERAGE(VLOOKUP(A27,TableA10!$A$8:$G$95,7,)/(VLOOKUP(A27,TableA10!$A$8:$G$95,7,)+VLOOKUP(A27,TableA10!$A$8:$G$95,4,)+VLOOKUP(A27,TableA10!$A$8:$G$95,5,)),VLOOKUP(A27,TableA10b!$A$8:$G$95,7,)/(VLOOKUP(A27,TableA10b!$A$8:$G$95,7,)+VLOOKUP(A27,TableA10b!$A$8:$G$95,4,)+VLOOKUP(A27,TableA10b!$A$8:$G$95,5,)))</f>
        <v>0.17859505957305163</v>
      </c>
      <c r="O27" s="631">
        <f>P27</f>
        <v>0.26194231763861364</v>
      </c>
      <c r="P27" s="68">
        <f>TableA3!H27/TableA3!B27</f>
        <v>0.26194231763861364</v>
      </c>
      <c r="Q27" s="576"/>
      <c r="R27" s="28"/>
      <c r="T27" s="597">
        <f t="shared" si="8"/>
        <v>0</v>
      </c>
      <c r="U27" s="600">
        <f t="shared" si="2"/>
        <v>0</v>
      </c>
      <c r="V27" s="431"/>
    </row>
    <row r="28" spans="1:22" ht="14.25" customHeight="1" x14ac:dyDescent="0.35">
      <c r="A28" s="95" t="s">
        <v>68</v>
      </c>
      <c r="B28" s="311">
        <f>C28+F28+I28+J28+K28</f>
        <v>4.7045157965371542</v>
      </c>
      <c r="C28" s="91">
        <f>TableB2!E28-TableB5!D28</f>
        <v>0.1707720848056547</v>
      </c>
      <c r="D28" s="46"/>
      <c r="E28" s="48"/>
      <c r="F28" s="398">
        <f>TableB2!D28-TableB5!C28</f>
        <v>0.68805830388692679</v>
      </c>
      <c r="G28" s="46">
        <f>TableB4!D28+TableB4!G28-TableB5!C28</f>
        <v>8.3500667844522951</v>
      </c>
      <c r="H28" s="46">
        <f t="shared" si="4"/>
        <v>7.6620084805653681</v>
      </c>
      <c r="I28" s="399">
        <f>+TableB2!F28-TableB5!E28</f>
        <v>1.366923519876345</v>
      </c>
      <c r="J28" s="46">
        <f t="shared" si="5"/>
        <v>0.46215700438711022</v>
      </c>
      <c r="K28" s="46">
        <f>M28/(1-M28)*(I28+F28+C28+J28)</f>
        <v>2.0166048835811177</v>
      </c>
      <c r="L28" s="400">
        <f t="shared" si="1"/>
        <v>0.42865301569727471</v>
      </c>
      <c r="M28" s="9">
        <f>TableA2!G28/(TableA2!G28+TableA2!D28)</f>
        <v>0.42865301569727471</v>
      </c>
      <c r="N28" s="9">
        <f>VLOOKUP(A28,TableA10!$A$8:$G$95,7,)/(VLOOKUP(A28,TableA10!$A$8:$G$95,7,)+VLOOKUP(A28,TableA10!$A$8:$G$95,4,)+VLOOKUP(A28,TableA10!$A$8:$G$95,5,))</f>
        <v>0.26543535620052772</v>
      </c>
      <c r="O28" s="631">
        <f t="shared" si="7"/>
        <v>0.18360409812068557</v>
      </c>
      <c r="P28" s="68">
        <f>TableA3!H28/TableA3!B28</f>
        <v>0.18360409812068557</v>
      </c>
      <c r="Q28" s="576"/>
      <c r="R28" s="28"/>
      <c r="T28" s="431"/>
      <c r="U28" s="600">
        <f t="shared" si="2"/>
        <v>0</v>
      </c>
      <c r="V28" s="431"/>
    </row>
    <row r="29" spans="1:22" ht="14.25" customHeight="1" x14ac:dyDescent="0.35">
      <c r="A29" s="13" t="s">
        <v>69</v>
      </c>
      <c r="B29" s="311">
        <f>+TableA4!E29</f>
        <v>2.7206095419459095</v>
      </c>
      <c r="C29" s="91">
        <f>TableB2!E29-TableB5!D29</f>
        <v>5.3244592346090004E-2</v>
      </c>
      <c r="D29" s="46">
        <f>TableB4!I29+TableB4!L29-TableB5!D29</f>
        <v>6.7665002773155999E-2</v>
      </c>
      <c r="E29" s="48">
        <f t="shared" si="3"/>
        <v>1.4420410427065995E-2</v>
      </c>
      <c r="F29" s="398">
        <f>TableB2!D29-TableB5!C29</f>
        <v>0.62229617304493001</v>
      </c>
      <c r="G29" s="46">
        <f>TableB4!D29+TableB4!G29-TableB5!C29</f>
        <v>0.62229617304493001</v>
      </c>
      <c r="H29" s="46">
        <f t="shared" si="4"/>
        <v>0</v>
      </c>
      <c r="I29" s="399">
        <f>+TableB2!F29-TableB5!E29</f>
        <v>0.47587354409318</v>
      </c>
      <c r="J29" s="46">
        <f t="shared" si="5"/>
        <v>0.12605495370513631</v>
      </c>
      <c r="K29" s="46">
        <f t="shared" si="6"/>
        <v>1.4431402787565735</v>
      </c>
      <c r="L29" s="400">
        <f t="shared" si="1"/>
        <v>0.53044740765129084</v>
      </c>
      <c r="M29" s="9">
        <f>TableA2!G29/(TableA2!G29+TableA2!D29)</f>
        <v>0.47147890575093504</v>
      </c>
      <c r="N29" s="9"/>
      <c r="O29" s="631">
        <f t="shared" si="7"/>
        <v>0.10296717318914152</v>
      </c>
      <c r="P29" s="68">
        <f>TableA3!H29/TableA3!B29</f>
        <v>0.10296717318914152</v>
      </c>
      <c r="Q29" s="576"/>
      <c r="R29" s="28"/>
      <c r="T29" s="597">
        <f t="shared" si="8"/>
        <v>0</v>
      </c>
      <c r="U29" s="600">
        <f t="shared" si="2"/>
        <v>0</v>
      </c>
      <c r="V29" s="431"/>
    </row>
    <row r="30" spans="1:22" ht="14.25" customHeight="1" x14ac:dyDescent="0.35">
      <c r="A30" s="13" t="s">
        <v>70</v>
      </c>
      <c r="B30" s="311">
        <f>+TableA4!E30</f>
        <v>14.295093821500146</v>
      </c>
      <c r="C30" s="123">
        <f>B30-F30-I30-J30-K30</f>
        <v>-7.9148775720845004</v>
      </c>
      <c r="D30" s="46"/>
      <c r="E30" s="48"/>
      <c r="F30" s="398">
        <f>TableB2!D30-TableB5!C30</f>
        <v>9.1858014420409972</v>
      </c>
      <c r="G30" s="46">
        <f>TableB4!D30+TableB4!G30-TableB5!C30</f>
        <v>13.636161952301997</v>
      </c>
      <c r="H30" s="46">
        <f t="shared" si="4"/>
        <v>4.4503605102609995</v>
      </c>
      <c r="I30" s="399">
        <f>+TableB2!F30-TableB5!E30</f>
        <v>8.930671103716012</v>
      </c>
      <c r="J30" s="46">
        <f>0.05*B30</f>
        <v>0.71475469107500733</v>
      </c>
      <c r="K30" s="46">
        <f>TableA2!G30/(TableA2!G30+TableA2!D30)*B30</f>
        <v>3.3787441567526297</v>
      </c>
      <c r="L30" s="384">
        <f t="shared" si="1"/>
        <v>0.23635690670815479</v>
      </c>
      <c r="M30" s="9">
        <f>TableA2!G30/(TableA2!G30+TableA2!D30)</f>
        <v>0.23635690670815479</v>
      </c>
      <c r="N30" s="9">
        <f>VLOOKUP(A30,TableA10!$A$8:$G$95,7,)/(VLOOKUP(A30,TableA10!$A$8:$G$95,7,)+VLOOKUP(A30,TableA10!$A$8:$G$95,4,)+VLOOKUP(A30,TableA10!$A$8:$G$95,5,))</f>
        <v>0.2268370607028754</v>
      </c>
      <c r="O30" s="631">
        <f t="shared" si="7"/>
        <v>8.8413018127849047E-2</v>
      </c>
      <c r="P30" s="68">
        <f>TableA3!H30/TableA3!B30</f>
        <v>4.2940762652087926E-2</v>
      </c>
      <c r="Q30" s="104">
        <f>VLOOKUP(A30,TableA11!$A$9:$L$96,12,)</f>
        <v>8.8413018127849047E-2</v>
      </c>
      <c r="R30" s="28"/>
      <c r="S30" s="107"/>
      <c r="T30" s="431"/>
      <c r="U30" s="600">
        <f t="shared" si="2"/>
        <v>0</v>
      </c>
      <c r="V30" s="431"/>
    </row>
    <row r="31" spans="1:22" ht="14.25" customHeight="1" x14ac:dyDescent="0.35">
      <c r="A31" s="13" t="s">
        <v>71</v>
      </c>
      <c r="B31" s="311">
        <f>C31+F31+I31+J31+K31</f>
        <v>32.651902412359277</v>
      </c>
      <c r="C31" s="91">
        <f>TableB2!E31-TableB5!D31</f>
        <v>0.151843042200003</v>
      </c>
      <c r="D31" s="46"/>
      <c r="E31" s="48"/>
      <c r="F31" s="398">
        <f>TableB2!D31-TableB5!C31</f>
        <v>5.4101154658999997</v>
      </c>
      <c r="G31" s="46"/>
      <c r="H31" s="46"/>
      <c r="I31" s="399">
        <f>+TableB2!F31-TableB5!E31</f>
        <v>10.738041491899999</v>
      </c>
      <c r="J31" s="46">
        <f>O31/(1-O31)*(F31+I31)</f>
        <v>7.3123167631465442</v>
      </c>
      <c r="K31" s="46">
        <f>N31/(1-N31)*(I31+F31+C31+J31)</f>
        <v>9.0395856492127358</v>
      </c>
      <c r="L31" s="400">
        <f>K31/B31</f>
        <v>0.2768471354303419</v>
      </c>
      <c r="M31" s="9">
        <f>TableA2!G31/(TableA2!G31+TableA2!D31)</f>
        <v>0.2324763591051392</v>
      </c>
      <c r="N31" s="9">
        <f>VLOOKUP(A31,TableA10!$A$8:$G$95,7,)/(VLOOKUP(A31,TableA10!$A$8:$G$95,7,)+VLOOKUP(A31,TableA10!$A$8:$G$95,4,)+VLOOKUP(A31,TableA10!$A$8:$G$95,5,))</f>
        <v>0.27684713543034184</v>
      </c>
      <c r="O31" s="631">
        <f>IF(Q31="",P31,Q31)</f>
        <v>0.31168666285786834</v>
      </c>
      <c r="P31" s="68">
        <f>TableA3!H31/TableA3!B31</f>
        <v>0.11500632352983997</v>
      </c>
      <c r="Q31" s="104">
        <f>VLOOKUP(A31,TableA11!$A$9:$L$96,12,)</f>
        <v>0.31168666285786834</v>
      </c>
      <c r="R31" s="28"/>
      <c r="T31" s="431"/>
      <c r="U31" s="600">
        <f t="shared" si="2"/>
        <v>0</v>
      </c>
      <c r="V31" s="431"/>
    </row>
    <row r="32" spans="1:22" ht="14.25" customHeight="1" x14ac:dyDescent="0.35">
      <c r="A32" s="13" t="s">
        <v>72</v>
      </c>
      <c r="B32" s="311">
        <f>+TableA4!E32</f>
        <v>62.954502489377148</v>
      </c>
      <c r="C32" s="91">
        <f>TableB2!E32-TableB5!D32</f>
        <v>-10.86291038528082</v>
      </c>
      <c r="D32" s="46"/>
      <c r="E32" s="48"/>
      <c r="F32" s="398">
        <f>TableB2!D32-TableB5!C32</f>
        <v>41.808479050428616</v>
      </c>
      <c r="G32" s="46">
        <f>TableB4!D32+TableB4!G32-TableB5!C32</f>
        <v>41.867380880708609</v>
      </c>
      <c r="H32" s="46">
        <f t="shared" si="4"/>
        <v>5.8901830279992851E-2</v>
      </c>
      <c r="I32" s="399">
        <f>+TableB2!F32-TableB5!E32</f>
        <v>9.3816637253162014</v>
      </c>
      <c r="J32" s="103">
        <f t="shared" si="5"/>
        <v>6.6924673222321109</v>
      </c>
      <c r="K32" s="46">
        <f t="shared" si="6"/>
        <v>15.934802776681046</v>
      </c>
      <c r="L32" s="384">
        <f t="shared" si="1"/>
        <v>0.25311617353135085</v>
      </c>
      <c r="M32" s="9">
        <f>TableA2!G32/(TableA2!G32+TableA2!D32)</f>
        <v>0.32766903058925961</v>
      </c>
      <c r="N32" s="9">
        <f>VLOOKUP(A32,TableA10!$A$8:$G$95,7,)/(VLOOKUP(A32,TableA10!$A$8:$G$95,7,)+VLOOKUP(A32,TableA10!$A$8:$G$95,4,)+VLOOKUP(A32,TableA10!$A$8:$G$95,5,))</f>
        <v>0.14944719786504004</v>
      </c>
      <c r="O32" s="631">
        <f t="shared" si="7"/>
        <v>0.11562138111781557</v>
      </c>
      <c r="P32" s="68">
        <f>TableA3!H32/TableA3!B32</f>
        <v>0.12804954248184505</v>
      </c>
      <c r="Q32" s="104">
        <f>VLOOKUP(A32,TableA11!$A$9:$L$96,12,)</f>
        <v>0.11562138111781557</v>
      </c>
      <c r="R32" s="28"/>
      <c r="S32" s="27"/>
      <c r="T32" s="431"/>
      <c r="U32" s="600">
        <f t="shared" si="2"/>
        <v>0</v>
      </c>
      <c r="V32" s="431"/>
    </row>
    <row r="33" spans="1:22" ht="14.25" customHeight="1" x14ac:dyDescent="0.35">
      <c r="A33" s="13" t="s">
        <v>73</v>
      </c>
      <c r="B33" s="311">
        <f>C33+F33+I33+J33+K33</f>
        <v>9.5201808699017167</v>
      </c>
      <c r="C33" s="91">
        <f>TableB2!E33-TableB5!D33</f>
        <v>0.64286710361176991</v>
      </c>
      <c r="D33" s="46"/>
      <c r="E33" s="48"/>
      <c r="F33" s="398">
        <f>TableB2!D33-TableB5!C33</f>
        <v>4.2455724445684</v>
      </c>
      <c r="G33" s="46">
        <f>TableB4!D33+TableB4!G33-TableB5!C33</f>
        <v>4.2455724445684</v>
      </c>
      <c r="H33" s="46">
        <f>G33-F33</f>
        <v>0</v>
      </c>
      <c r="I33" s="399">
        <f>+TableB2!F33-TableB5!E33</f>
        <v>0.99846604378747994</v>
      </c>
      <c r="J33" s="46">
        <f>O33/(1-O33)*(F33+I33)</f>
        <v>0.99211538968895019</v>
      </c>
      <c r="K33" s="46">
        <f>N33/(1-N33)*(I33+F33+C33+J33)</f>
        <v>2.641159888245117</v>
      </c>
      <c r="L33" s="400">
        <f>K33/B33</f>
        <v>0.27742749054224464</v>
      </c>
      <c r="M33" s="9">
        <f>TableA2!G33/(TableA2!G33+TableA2!D33)</f>
        <v>0.27942490264636138</v>
      </c>
      <c r="N33" s="9">
        <f>VLOOKUP(A33,TableA10!$A$8:$G$95,7,)/(VLOOKUP(A33,TableA10!$A$8:$G$95,7,)+VLOOKUP(A33,TableA10!$A$8:$G$95,4,)+VLOOKUP(A33,TableA10!$A$8:$G$95,5,))</f>
        <v>0.27742749054224464</v>
      </c>
      <c r="O33" s="631">
        <f>IF(Q33="",P33,Q33)</f>
        <v>0.15909090909090909</v>
      </c>
      <c r="P33" s="68">
        <f>TableA3!H33/TableA3!B33</f>
        <v>0.18235080869942946</v>
      </c>
      <c r="Q33" s="104">
        <f>VLOOKUP(A33,TableA11!$A$9:$L$96,12,)</f>
        <v>0.15909090909090909</v>
      </c>
      <c r="R33" s="28"/>
      <c r="T33" s="431"/>
      <c r="U33" s="600">
        <f t="shared" si="2"/>
        <v>0</v>
      </c>
      <c r="V33" s="431"/>
    </row>
    <row r="34" spans="1:22" ht="14.25" customHeight="1" x14ac:dyDescent="0.35">
      <c r="A34" s="13" t="s">
        <v>74</v>
      </c>
      <c r="B34" s="311">
        <f>+TableA4!E34</f>
        <v>27.78673936823926</v>
      </c>
      <c r="C34" s="91">
        <f>TableB2!E34-TableB5!D34</f>
        <v>2.1879146361122421</v>
      </c>
      <c r="D34" s="46">
        <f>TableB4!I34+TableB4!L34-TableB5!D34</f>
        <v>3.6362734521285418</v>
      </c>
      <c r="E34" s="48">
        <f t="shared" si="3"/>
        <v>1.4483588160162997</v>
      </c>
      <c r="F34" s="398">
        <f>TableB2!D34-TableB5!C34</f>
        <v>5.170070557891</v>
      </c>
      <c r="G34" s="46">
        <f>TableB4!D34+TableB4!G34-TableB5!C34</f>
        <v>4.8090968837965002</v>
      </c>
      <c r="H34" s="46">
        <f t="shared" si="4"/>
        <v>-0.36097367409449976</v>
      </c>
      <c r="I34" s="399">
        <f>+TableB2!F34-TableB5!E34</f>
        <v>-1.15087484344585</v>
      </c>
      <c r="J34" s="46">
        <f t="shared" si="5"/>
        <v>3.0760040994166489</v>
      </c>
      <c r="K34" s="46">
        <f t="shared" si="6"/>
        <v>18.503624918265217</v>
      </c>
      <c r="L34" s="384">
        <f t="shared" si="1"/>
        <v>0.66591566117380407</v>
      </c>
      <c r="M34" s="9">
        <f>TableA2!G34/(TableA2!G34+TableA2!D34)</f>
        <v>0.35339807773341092</v>
      </c>
      <c r="N34" s="9">
        <f>VLOOKUP(A34,TableA10!$A$8:$G$95,7,)/(VLOOKUP(A34,TableA10!$A$8:$G$95,7,)+VLOOKUP(A34,TableA10!$A$8:$G$95,4,)+VLOOKUP(A34,TableA10!$A$8:$G$95,5,))</f>
        <v>0.32750582750582752</v>
      </c>
      <c r="O34" s="631">
        <f t="shared" si="7"/>
        <v>0.43353311818042106</v>
      </c>
      <c r="P34" s="68">
        <f>TableA3!H34/TableA3!B34</f>
        <v>0.22304226581791881</v>
      </c>
      <c r="Q34" s="104">
        <f>VLOOKUP(A34,TableA11!$A$9:$L$96,12,)</f>
        <v>0.43353311818042106</v>
      </c>
      <c r="R34" s="28"/>
      <c r="T34" s="597">
        <f t="shared" ref="T34:T44" si="9">C34-(D34-E34)</f>
        <v>0</v>
      </c>
      <c r="U34" s="600">
        <f t="shared" si="2"/>
        <v>0</v>
      </c>
      <c r="V34" s="431"/>
    </row>
    <row r="35" spans="1:22" ht="14.25" customHeight="1" x14ac:dyDescent="0.35">
      <c r="A35" s="13" t="s">
        <v>75</v>
      </c>
      <c r="B35" s="311">
        <f>+TableA4!E35</f>
        <v>44.144559375690896</v>
      </c>
      <c r="C35" s="91">
        <f>TableB2!E35-TableB5!D35</f>
        <v>2.1004721234948001</v>
      </c>
      <c r="D35" s="46">
        <f>TableB4!I35+TableB4!L35-TableB5!D35</f>
        <v>2.393878308843</v>
      </c>
      <c r="E35" s="48">
        <f t="shared" si="3"/>
        <v>0.29340618534819995</v>
      </c>
      <c r="F35" s="398">
        <f>TableB2!D35-TableB5!C35</f>
        <v>7.9486043509484769</v>
      </c>
      <c r="G35" s="46">
        <f>TableB4!D35+TableB4!G35-TableB5!C35</f>
        <v>8.0063731695788025</v>
      </c>
      <c r="H35" s="46">
        <f t="shared" si="4"/>
        <v>5.7768818630325569E-2</v>
      </c>
      <c r="I35" s="399">
        <f>+TableB2!F35-TableB5!E35</f>
        <v>8.0731216591474855</v>
      </c>
      <c r="J35" s="46">
        <f t="shared" si="5"/>
        <v>3.3605942327678067</v>
      </c>
      <c r="K35" s="46">
        <f t="shared" si="6"/>
        <v>22.661767009332323</v>
      </c>
      <c r="L35" s="400">
        <f t="shared" si="1"/>
        <v>0.51335356677750621</v>
      </c>
      <c r="M35" s="9">
        <f>TableA2!G35/(TableA2!G35+TableA2!D35)</f>
        <v>0.29287328696090992</v>
      </c>
      <c r="N35" s="9">
        <f>VLOOKUP(A35,TableA10!$A$8:$G$95,7,)/(VLOOKUP(A35,TableA10!$A$8:$G$95,7,)+VLOOKUP(A35,TableA10!$A$8:$G$95,4,)+VLOOKUP(A35,TableA10!$A$8:$G$95,5,))</f>
        <v>0.66448903406439574</v>
      </c>
      <c r="O35" s="631">
        <f t="shared" si="7"/>
        <v>0.17338451695457455</v>
      </c>
      <c r="P35" s="68">
        <f>TableA3!H35/TableA3!B35</f>
        <v>0.10004109953339942</v>
      </c>
      <c r="Q35" s="104">
        <f>VLOOKUP(A35,TableA11!$A$9:$L$96,12,)</f>
        <v>0.17338451695457455</v>
      </c>
      <c r="R35" s="28"/>
      <c r="T35" s="597">
        <f t="shared" si="9"/>
        <v>0</v>
      </c>
      <c r="U35" s="600">
        <f t="shared" si="2"/>
        <v>0</v>
      </c>
      <c r="V35" s="431"/>
    </row>
    <row r="36" spans="1:22" ht="14.25" customHeight="1" x14ac:dyDescent="0.35">
      <c r="A36" s="13" t="s">
        <v>76</v>
      </c>
      <c r="B36" s="311">
        <f>+TableA4!E36</f>
        <v>11.337455548958513</v>
      </c>
      <c r="C36" s="91">
        <f>TableB2!E36-TableB5!D36</f>
        <v>0.80080258729554354</v>
      </c>
      <c r="D36" s="46">
        <f>TableB4!I36+TableB4!L36-TableB5!D36</f>
        <v>0.9061825096471785</v>
      </c>
      <c r="E36" s="48">
        <f t="shared" si="3"/>
        <v>0.10537992235163496</v>
      </c>
      <c r="F36" s="398">
        <f>TableB2!D36-TableB5!C36</f>
        <v>2.677852516870836</v>
      </c>
      <c r="G36" s="46">
        <f>TableB4!D36+TableB4!G36-TableB5!C36</f>
        <v>2.6967099766601201</v>
      </c>
      <c r="H36" s="46">
        <f t="shared" si="4"/>
        <v>1.8857459789284103E-2</v>
      </c>
      <c r="I36" s="399">
        <f>+TableB2!F36-TableB5!E36</f>
        <v>0.79986726856092261</v>
      </c>
      <c r="J36" s="46">
        <f t="shared" si="5"/>
        <v>1.0617617733842262</v>
      </c>
      <c r="K36" s="46">
        <f t="shared" si="6"/>
        <v>5.9971714028469858</v>
      </c>
      <c r="L36" s="400">
        <f t="shared" si="1"/>
        <v>0.52896978311839127</v>
      </c>
      <c r="M36" s="9">
        <f>TableA2!G36/(TableA2!G36+TableA2!D36)</f>
        <v>0.39538093529536672</v>
      </c>
      <c r="N36" s="9">
        <f>VLOOKUP(A36,TableA10!$A$8:$G$95,7,)/(VLOOKUP(A36,TableA10!$A$8:$G$95,7,)+VLOOKUP(A36,TableA10!$A$8:$G$95,4,)+VLOOKUP(A36,TableA10!$A$8:$G$95,5,))</f>
        <v>0.18945935470831041</v>
      </c>
      <c r="O36" s="631">
        <f t="shared" si="7"/>
        <v>0.23389494144374526</v>
      </c>
      <c r="P36" s="68">
        <f>TableA3!H36/TableA3!B36</f>
        <v>0.23389494144374526</v>
      </c>
      <c r="Q36" s="576"/>
      <c r="R36" s="28"/>
      <c r="T36" s="597">
        <f t="shared" si="9"/>
        <v>0</v>
      </c>
      <c r="U36" s="600">
        <f t="shared" si="2"/>
        <v>0</v>
      </c>
      <c r="V36" s="431"/>
    </row>
    <row r="37" spans="1:22" ht="14.25" customHeight="1" x14ac:dyDescent="0.35">
      <c r="A37" s="13" t="s">
        <v>96</v>
      </c>
      <c r="B37" s="311">
        <f>+TableA4!E37</f>
        <v>10.281833320270469</v>
      </c>
      <c r="C37" s="91">
        <f>TableB2!E37-TableB5!D37</f>
        <v>0.30803216860788002</v>
      </c>
      <c r="D37" s="46">
        <f>TableB4!I37+TableB4!L37-TableB5!D37</f>
        <v>0.39175929007210397</v>
      </c>
      <c r="E37" s="48">
        <f t="shared" si="3"/>
        <v>8.3727121464223953E-2</v>
      </c>
      <c r="F37" s="398">
        <f>TableB2!D37-TableB5!C37</f>
        <v>3.3260375463117002</v>
      </c>
      <c r="G37" s="46">
        <f>TableB4!D37+TableB4!G37-TableB5!C37</f>
        <v>3.3260375463117002</v>
      </c>
      <c r="H37" s="46">
        <f t="shared" si="4"/>
        <v>0</v>
      </c>
      <c r="I37" s="399">
        <f>+TableB2!F37-TableB5!E37</f>
        <v>0.78691503605103008</v>
      </c>
      <c r="J37" s="46">
        <f t="shared" si="5"/>
        <v>1.3809972436184166</v>
      </c>
      <c r="K37" s="46">
        <f t="shared" si="6"/>
        <v>4.479851325681441</v>
      </c>
      <c r="L37" s="400">
        <f t="shared" si="1"/>
        <v>0.43570549980123546</v>
      </c>
      <c r="M37" s="9">
        <f>TableA2!G37/(TableA2!G37+TableA2!D37)</f>
        <v>0.50682597091731674</v>
      </c>
      <c r="N37" s="9"/>
      <c r="O37" s="631">
        <f t="shared" si="7"/>
        <v>0.25136691949526291</v>
      </c>
      <c r="P37" s="68">
        <f>TableA3!H37/TableA3!B37</f>
        <v>0.25136691949526291</v>
      </c>
      <c r="Q37" s="576"/>
      <c r="R37" s="28"/>
      <c r="T37" s="597">
        <f t="shared" si="9"/>
        <v>0</v>
      </c>
      <c r="U37" s="600">
        <f t="shared" si="2"/>
        <v>0</v>
      </c>
      <c r="V37" s="431"/>
    </row>
    <row r="38" spans="1:22" ht="14.25" customHeight="1" x14ac:dyDescent="0.35">
      <c r="A38" s="13" t="s">
        <v>78</v>
      </c>
      <c r="B38" s="311">
        <f>+TableA4!E38</f>
        <v>2.1992635418815816</v>
      </c>
      <c r="C38" s="91">
        <f>TableB2!E38-TableB5!D38</f>
        <v>5.6714364947310004E-2</v>
      </c>
      <c r="D38" s="46">
        <f>TableB4!I38+TableB4!L38-TableB5!D38</f>
        <v>6.7855795895729001E-2</v>
      </c>
      <c r="E38" s="48">
        <f t="shared" si="3"/>
        <v>1.1141430948418997E-2</v>
      </c>
      <c r="F38" s="398">
        <f>TableB2!D38-TableB5!C38</f>
        <v>0.53209095951191998</v>
      </c>
      <c r="G38" s="46">
        <f>TableB4!D38+TableB4!G38-TableB5!C38</f>
        <v>0.53209095951191998</v>
      </c>
      <c r="H38" s="46">
        <f t="shared" si="4"/>
        <v>0</v>
      </c>
      <c r="I38" s="399">
        <f>+TableB2!F38-TableB5!E38</f>
        <v>0.48937104825291</v>
      </c>
      <c r="J38" s="46">
        <f t="shared" si="5"/>
        <v>0.23079922528268637</v>
      </c>
      <c r="K38" s="46">
        <f t="shared" si="6"/>
        <v>0.89028794388675536</v>
      </c>
      <c r="L38" s="400">
        <f t="shared" si="1"/>
        <v>0.40481185039109446</v>
      </c>
      <c r="M38" s="9">
        <f>TableA2!G38/(TableA2!G38+TableA2!D38)</f>
        <v>0.63850917520089345</v>
      </c>
      <c r="N38" s="9"/>
      <c r="O38" s="631">
        <f t="shared" si="7"/>
        <v>0.18430597322014902</v>
      </c>
      <c r="P38" s="68">
        <f>TableA3!H38/TableA3!B38</f>
        <v>0.18430597322014902</v>
      </c>
      <c r="Q38" s="576"/>
      <c r="R38" s="28"/>
      <c r="T38" s="597">
        <f t="shared" si="9"/>
        <v>0</v>
      </c>
      <c r="U38" s="600">
        <f t="shared" si="2"/>
        <v>0</v>
      </c>
      <c r="V38" s="431"/>
    </row>
    <row r="39" spans="1:22" ht="14.25" customHeight="1" x14ac:dyDescent="0.35">
      <c r="A39" s="13" t="s">
        <v>79</v>
      </c>
      <c r="B39" s="311">
        <f>+TableA4!E39</f>
        <v>64.521172053254389</v>
      </c>
      <c r="C39" s="91">
        <f>TableB2!E39-TableB5!D39</f>
        <v>3.1103716028840998</v>
      </c>
      <c r="D39" s="46">
        <f>TableB4!I39+TableB4!L39-TableB5!D39</f>
        <v>3.6400665557404479</v>
      </c>
      <c r="E39" s="48">
        <f t="shared" si="3"/>
        <v>0.52969495285634816</v>
      </c>
      <c r="F39" s="398">
        <f>TableB2!D39-TableB5!C39</f>
        <v>11.929694564502592</v>
      </c>
      <c r="G39" s="46"/>
      <c r="H39" s="46"/>
      <c r="I39" s="399">
        <f>+TableB2!F39-TableB5!E39</f>
        <v>5.1158385806265523</v>
      </c>
      <c r="J39" s="46">
        <f t="shared" si="5"/>
        <v>3.7048865002834503</v>
      </c>
      <c r="K39" s="46">
        <f t="shared" si="6"/>
        <v>40.660380804957697</v>
      </c>
      <c r="L39" s="400">
        <f t="shared" si="1"/>
        <v>0.630186642787541</v>
      </c>
      <c r="M39" s="9">
        <f>TableA2!G39/(TableA2!G39+TableA2!D39)</f>
        <v>0.46747148783260961</v>
      </c>
      <c r="N39" s="9">
        <f>VLOOKUP(A39,TableA10!$A$8:$G$95,7,)/(VLOOKUP(A39,TableA10!$A$8:$G$95,7,)+VLOOKUP(A39,TableA10!$A$8:$G$95,4,)+VLOOKUP(A39,TableA10!$A$8:$G$95,5,))</f>
        <v>0.52029914529914534</v>
      </c>
      <c r="O39" s="631">
        <f t="shared" si="7"/>
        <v>0.17854513612704259</v>
      </c>
      <c r="P39" s="68">
        <f>TableA3!H39/TableA3!B39</f>
        <v>0.17854513612704259</v>
      </c>
      <c r="Q39" s="576"/>
      <c r="R39" s="28"/>
      <c r="T39" s="597">
        <f t="shared" si="9"/>
        <v>0</v>
      </c>
      <c r="U39" s="600">
        <f t="shared" si="2"/>
        <v>0</v>
      </c>
      <c r="V39" s="431"/>
    </row>
    <row r="40" spans="1:22" s="118" customFormat="1" ht="14.25" customHeight="1" x14ac:dyDescent="0.35">
      <c r="A40" s="15" t="s">
        <v>80</v>
      </c>
      <c r="B40" s="583">
        <f>+TableA4!E40</f>
        <v>32.797650965237999</v>
      </c>
      <c r="C40" s="91">
        <f>TableB2!E40-TableB5!D40</f>
        <v>1.6901759339447371</v>
      </c>
      <c r="D40" s="46">
        <f>TableB4!I40+TableB4!L40-TableB5!D40</f>
        <v>1.9604237599800871</v>
      </c>
      <c r="E40" s="48">
        <f t="shared" si="3"/>
        <v>0.27024782603535003</v>
      </c>
      <c r="F40" s="398">
        <f>TableB2!D40-TableB5!C40</f>
        <v>13.151945057247262</v>
      </c>
      <c r="G40" s="46">
        <f>TableB4!D40+TableB4!G40-TableB5!C40</f>
        <v>13.151945057247262</v>
      </c>
      <c r="H40" s="46">
        <f t="shared" si="4"/>
        <v>0</v>
      </c>
      <c r="I40" s="399">
        <f>+TableB2!F40-TableB5!E40</f>
        <v>5.326446345945306</v>
      </c>
      <c r="J40" s="103">
        <f t="shared" si="5"/>
        <v>5.5947645348617669</v>
      </c>
      <c r="K40" s="46">
        <f t="shared" si="6"/>
        <v>7.0343190932389277</v>
      </c>
      <c r="L40" s="384">
        <f t="shared" si="1"/>
        <v>0.21447630809580093</v>
      </c>
      <c r="M40" s="119">
        <f>TableA2!G40/(TableA2!G40+TableA2!D40)</f>
        <v>0.46579226409473662</v>
      </c>
      <c r="N40" s="9">
        <f>VLOOKUP(A40,TableA10!$A$8:$G$95,7,)/(VLOOKUP(A40,TableA10!$A$8:$G$95,7,)+VLOOKUP(A40,TableA10!$A$8:$G$95,4,)+VLOOKUP(A40,TableA10!$A$8:$G$95,5,))</f>
        <v>0.27582697201017814</v>
      </c>
      <c r="O40" s="631">
        <f t="shared" si="7"/>
        <v>0.23240677496786705</v>
      </c>
      <c r="P40" s="68">
        <f>TableA3!H40/TableA3!B40</f>
        <v>0.23240677496786705</v>
      </c>
      <c r="Q40" s="578"/>
      <c r="R40" s="29"/>
      <c r="T40" s="597">
        <f t="shared" si="9"/>
        <v>0</v>
      </c>
      <c r="U40" s="600">
        <f t="shared" si="2"/>
        <v>0</v>
      </c>
      <c r="V40" s="598"/>
    </row>
    <row r="41" spans="1:22" ht="14.25" customHeight="1" x14ac:dyDescent="0.35">
      <c r="A41" s="13" t="s">
        <v>1</v>
      </c>
      <c r="B41" s="311">
        <f>C41+F41+I41+J41+K41</f>
        <v>61.10387270069868</v>
      </c>
      <c r="C41" s="91">
        <f>TableB2!E41-TableB5!D41</f>
        <v>1.1460089806645679</v>
      </c>
      <c r="D41" s="46"/>
      <c r="E41" s="48"/>
      <c r="F41" s="398">
        <f>TableB2!D41-TableB5!C41</f>
        <v>37.309486417956798</v>
      </c>
      <c r="G41" s="46">
        <f>TableB4!D41+TableB4!G41-TableB5!C41</f>
        <v>37.309486417956798</v>
      </c>
      <c r="H41" s="46">
        <f t="shared" si="4"/>
        <v>0</v>
      </c>
      <c r="I41" s="399">
        <f>+TableB2!F41-TableB5!E41</f>
        <v>15.4414533513454</v>
      </c>
      <c r="J41" s="46">
        <f t="shared" si="5"/>
        <v>4.5709485020815599</v>
      </c>
      <c r="K41" s="46">
        <f>N41/(1-N41)*(I41+F41+C41+J41)</f>
        <v>2.6359754486503468</v>
      </c>
      <c r="L41" s="400">
        <f t="shared" si="1"/>
        <v>4.3139253408077463E-2</v>
      </c>
      <c r="M41" s="9">
        <f>TableA2!G41/(TableA2!G41+TableA2!D41)</f>
        <v>0.6006530648287699</v>
      </c>
      <c r="N41" s="9">
        <f>VLOOKUP(A41,TableA10!$A$8:$G$95,7,)/(VLOOKUP(A41,TableA10!$A$8:$G$95,7,)+VLOOKUP(A41,TableA10!$A$8:$G$95,4,)+VLOOKUP(A41,TableA10!$A$8:$G$95,5,))</f>
        <v>4.3139253408077463E-2</v>
      </c>
      <c r="O41" s="631">
        <f t="shared" si="7"/>
        <v>7.974176427058613E-2</v>
      </c>
      <c r="P41" s="68">
        <f>TableA3!H41/TableA3!B41</f>
        <v>0.21188216848158226</v>
      </c>
      <c r="Q41" s="104">
        <f>VLOOKUP(A41,TableA11!$A$9:$L$96,12,)</f>
        <v>7.974176427058613E-2</v>
      </c>
      <c r="R41" s="28"/>
      <c r="T41" s="597"/>
      <c r="U41" s="600">
        <f t="shared" si="2"/>
        <v>7.5495165674510645E-15</v>
      </c>
      <c r="V41" s="431"/>
    </row>
    <row r="42" spans="1:22" ht="14.25" customHeight="1" x14ac:dyDescent="0.35">
      <c r="A42" s="13" t="s">
        <v>81</v>
      </c>
      <c r="B42" s="311">
        <f>C42+F42+I42+J42+K42</f>
        <v>4.8272095968080961</v>
      </c>
      <c r="C42" s="91">
        <f>TableB2!E42-TableB5!D42</f>
        <v>0.14249000000000001</v>
      </c>
      <c r="D42" s="46">
        <f>TableB4!I42+TableB4!L42-TableB5!D42</f>
        <v>0.14251</v>
      </c>
      <c r="E42" s="48">
        <f>D42-C42</f>
        <v>1.9999999999992246E-5</v>
      </c>
      <c r="F42" s="398">
        <f>TableB2!D42-TableB5!C42</f>
        <v>3.0356700000000001</v>
      </c>
      <c r="G42" s="46">
        <f>TableB4!D42+TableB4!G42-TableB5!C42</f>
        <v>3.0356700000000001</v>
      </c>
      <c r="H42" s="46">
        <f t="shared" si="4"/>
        <v>0</v>
      </c>
      <c r="I42" s="399">
        <f>+TableB2!F42-TableB5!E42</f>
        <v>0.36410999999999999</v>
      </c>
      <c r="J42" s="46">
        <f t="shared" si="5"/>
        <v>0.20832375469878761</v>
      </c>
      <c r="K42" s="46">
        <f>M42/(1-M42)*(I42+F42+C42+J42)</f>
        <v>1.0766158421093079</v>
      </c>
      <c r="L42" s="400">
        <f t="shared" si="1"/>
        <v>0.22303068066926293</v>
      </c>
      <c r="M42" s="9">
        <f>TableA2!G42/(TableA2!G42+TableA2!D42)</f>
        <v>0.22303068066926296</v>
      </c>
      <c r="N42" s="9">
        <f>VLOOKUP(A42,TableA10!$A$8:$G$95,7,)/(VLOOKUP(A42,TableA10!$A$8:$G$95,7,)+VLOOKUP(A42,TableA10!$A$8:$G$95,4,)+VLOOKUP(A42,TableA10!$A$8:$G$95,5,))</f>
        <v>-0.46680244267943616</v>
      </c>
      <c r="O42" s="631">
        <f t="shared" si="7"/>
        <v>5.7737739505824968E-2</v>
      </c>
      <c r="P42" s="68">
        <f>TableA3!H42/TableA3!B42</f>
        <v>5.7737739505824968E-2</v>
      </c>
      <c r="Q42" s="576"/>
      <c r="R42" s="28"/>
      <c r="T42" s="597">
        <f t="shared" si="9"/>
        <v>0</v>
      </c>
      <c r="U42" s="600">
        <f t="shared" si="2"/>
        <v>0</v>
      </c>
      <c r="V42" s="431"/>
    </row>
    <row r="43" spans="1:22" ht="14.25" customHeight="1" x14ac:dyDescent="0.35">
      <c r="A43" s="13" t="s">
        <v>82</v>
      </c>
      <c r="B43" s="311">
        <f>+TableA4!E43</f>
        <v>200.40694326039292</v>
      </c>
      <c r="C43" s="91">
        <f>TableB2!E43-TableB5!D43</f>
        <v>12.867229803496533</v>
      </c>
      <c r="D43" s="46"/>
      <c r="E43" s="48"/>
      <c r="F43" s="398">
        <f>TableB2!D43-TableB5!C43</f>
        <v>23.188293992166898</v>
      </c>
      <c r="G43" s="46"/>
      <c r="H43" s="46"/>
      <c r="I43" s="399">
        <f>+TableB2!F43-TableB5!E43</f>
        <v>37.084277579431578</v>
      </c>
      <c r="J43" s="46">
        <f t="shared" si="5"/>
        <v>11.922432087041344</v>
      </c>
      <c r="K43" s="46">
        <f t="shared" si="6"/>
        <v>115.34470979825655</v>
      </c>
      <c r="L43" s="400">
        <f t="shared" si="1"/>
        <v>0.57555246301215601</v>
      </c>
      <c r="M43" s="9">
        <f>TableA2!G43/(TableA2!G43+TableA2!D43)</f>
        <v>0.33744786567025187</v>
      </c>
      <c r="N43" s="9">
        <f>VLOOKUP(A43,TableA10!$A$8:$G$95,7,)/(VLOOKUP(A43,TableA10!$A$8:$G$95,7,)+VLOOKUP(A43,TableA10!$A$8:$G$95,4,)+VLOOKUP(A43,TableA10!$A$8:$G$95,5,))</f>
        <v>0.33808755760368664</v>
      </c>
      <c r="O43" s="631">
        <f t="shared" si="7"/>
        <v>0.16514206638750611</v>
      </c>
      <c r="P43" s="68">
        <f>TableA3!H43/TableA3!B43</f>
        <v>0.16514206638750611</v>
      </c>
      <c r="Q43" s="576"/>
      <c r="R43" s="28"/>
      <c r="T43" s="597"/>
      <c r="U43" s="600">
        <f t="shared" si="2"/>
        <v>0</v>
      </c>
      <c r="V43" s="431"/>
    </row>
    <row r="44" spans="1:22" ht="14.25" customHeight="1" x14ac:dyDescent="0.35">
      <c r="A44" s="13" t="s">
        <v>0</v>
      </c>
      <c r="B44" s="311">
        <f>+TableA4!E44</f>
        <v>295.42700000000002</v>
      </c>
      <c r="C44" s="91">
        <v>16.594999999999999</v>
      </c>
      <c r="D44" s="46">
        <f>TableB4!I44+TableB4!L44-TableB5!D44</f>
        <v>32.843000000000004</v>
      </c>
      <c r="E44" s="48">
        <f>D44-C44</f>
        <v>16.248000000000005</v>
      </c>
      <c r="F44" s="398">
        <f>TableB2!D44-TableB5!C44</f>
        <v>50.49</v>
      </c>
      <c r="G44" s="46">
        <f>TableB4!D44+TableB4!G44-TableB5!C44</f>
        <v>50.49</v>
      </c>
      <c r="H44" s="46">
        <f t="shared" si="4"/>
        <v>0</v>
      </c>
      <c r="I44" s="399">
        <f>B44-C44-F44-J44-K44</f>
        <v>55.822999999999979</v>
      </c>
      <c r="J44" s="46">
        <v>46.487000000000002</v>
      </c>
      <c r="K44" s="46">
        <f>L44*B44</f>
        <v>126.03200000000001</v>
      </c>
      <c r="L44" s="400">
        <v>0.42660961929681446</v>
      </c>
      <c r="M44" s="9">
        <f>TableA2!G44/(TableA2!G44+TableA2!D44)</f>
        <v>0.41761878084308546</v>
      </c>
      <c r="N44" s="9"/>
      <c r="O44" s="631">
        <f t="shared" si="7"/>
        <v>0.21434974303175788</v>
      </c>
      <c r="P44" s="68">
        <f>TableA3!H44/TableA3!B44</f>
        <v>0.21434974303175788</v>
      </c>
      <c r="Q44" s="576"/>
      <c r="R44" s="28"/>
      <c r="S44" s="107"/>
      <c r="T44" s="597">
        <f t="shared" si="9"/>
        <v>0</v>
      </c>
      <c r="U44" s="600">
        <f t="shared" si="2"/>
        <v>0</v>
      </c>
      <c r="V44" s="431"/>
    </row>
    <row r="45" spans="1:22" ht="40" customHeight="1" x14ac:dyDescent="0.35">
      <c r="A45" s="38" t="s">
        <v>99</v>
      </c>
      <c r="B45" s="602">
        <f>SUM(B46:B52)</f>
        <v>394.35150804290049</v>
      </c>
      <c r="C45" s="604">
        <f t="shared" ref="C45:K45" si="10">SUM(C46:C52)</f>
        <v>22.82465141286</v>
      </c>
      <c r="D45" s="604"/>
      <c r="E45" s="604"/>
      <c r="F45" s="602">
        <f t="shared" si="10"/>
        <v>158.23601881126663</v>
      </c>
      <c r="G45" s="604">
        <f t="shared" si="10"/>
        <v>158.23601881126663</v>
      </c>
      <c r="H45" s="604">
        <f t="shared" si="10"/>
        <v>0</v>
      </c>
      <c r="I45" s="605">
        <f t="shared" si="10"/>
        <v>45.804153928091431</v>
      </c>
      <c r="J45" s="604">
        <f t="shared" si="10"/>
        <v>49.263309456083995</v>
      </c>
      <c r="K45" s="604">
        <f t="shared" si="10"/>
        <v>118.22337443459845</v>
      </c>
      <c r="L45" s="588">
        <f t="shared" ref="L45:L52" si="11">K45/B45</f>
        <v>0.29979186594548851</v>
      </c>
      <c r="M45" s="589">
        <f>TableA2!G45/(TableA2!G45+TableA2!D45)</f>
        <v>0.30998685314336416</v>
      </c>
      <c r="N45" s="589">
        <f>SUMPRODUCT(N46:N52,B46:B52)/SUM(B46:B52)</f>
        <v>0.29979186594548851</v>
      </c>
      <c r="O45" s="404">
        <f>IF(Q45="",P45,Q45)</f>
        <v>0.18757638370366683</v>
      </c>
      <c r="P45" s="559">
        <f>TableA3!J45</f>
        <v>0.18757638370366683</v>
      </c>
      <c r="Q45" s="35"/>
      <c r="T45" s="431"/>
      <c r="U45" s="600">
        <f t="shared" si="2"/>
        <v>0</v>
      </c>
      <c r="V45" s="431"/>
    </row>
    <row r="46" spans="1:22" x14ac:dyDescent="0.35">
      <c r="A46" s="95" t="s">
        <v>92</v>
      </c>
      <c r="B46" s="311">
        <f>C46+F46+I46+J46+K46</f>
        <v>67.811019197459444</v>
      </c>
      <c r="C46" s="91">
        <f>TableB2!E46-TableB5!D46</f>
        <v>4.7060989875599999</v>
      </c>
      <c r="D46" s="46"/>
      <c r="E46" s="48"/>
      <c r="F46" s="398">
        <f>TableB2!D46-TableB5!C46</f>
        <v>16.713376362039998</v>
      </c>
      <c r="G46" s="46">
        <f>TableB4!D46+TableB4!G46-TableB5!C46</f>
        <v>16.713376362039998</v>
      </c>
      <c r="H46" s="46">
        <f>G46-F46</f>
        <v>0</v>
      </c>
      <c r="I46" s="399">
        <f>+TableB2!F46-TableB5!E46</f>
        <v>7.1451487725799998</v>
      </c>
      <c r="J46" s="46">
        <f t="shared" ref="J46:J52" si="12">O46/(1-O46)*(F46+I46)</f>
        <v>5.7838550202794909</v>
      </c>
      <c r="K46" s="46">
        <f>N46/(1-N46)*(I46+F46+C46+J46)</f>
        <v>33.462540054999955</v>
      </c>
      <c r="L46" s="400">
        <f t="shared" si="11"/>
        <v>0.49346758758425557</v>
      </c>
      <c r="M46" s="9">
        <f>TableA2!G46/(TableA2!G46+TableA2!D46)</f>
        <v>0.45808282087337276</v>
      </c>
      <c r="N46" s="9">
        <f>VLOOKUP(A46,TableA10b!$A$8:$G$95,7,)/(VLOOKUP(A46,TableA10b!$A$8:$G$95,7,)+VLOOKUP(A46,TableA10b!$A$8:$G$95,4,)+VLOOKUP(A46,TableA10b!$A$8:$G$95,5,))</f>
        <v>0.49346758758425563</v>
      </c>
      <c r="O46" s="631">
        <f>IF(Q46="",P46,Q46)</f>
        <v>0.19512114040962047</v>
      </c>
      <c r="P46" s="68">
        <f>TableA3!J46</f>
        <v>0.19512114040962047</v>
      </c>
      <c r="Q46" s="579"/>
      <c r="T46" s="431"/>
      <c r="U46" s="600">
        <f t="shared" si="2"/>
        <v>0</v>
      </c>
      <c r="V46" s="431"/>
    </row>
    <row r="47" spans="1:22" x14ac:dyDescent="0.35">
      <c r="A47" s="31" t="s">
        <v>101</v>
      </c>
      <c r="B47" s="311">
        <f t="shared" ref="B47:B89" si="13">C47+F47+I47+J47+K47</f>
        <v>213.62993581492978</v>
      </c>
      <c r="C47" s="91">
        <f>TableB2!E47-TableB5!D47</f>
        <v>0</v>
      </c>
      <c r="D47" s="46"/>
      <c r="E47" s="48"/>
      <c r="F47" s="398">
        <f>TableB2!D47-TableB5!C47</f>
        <v>90.433140021026631</v>
      </c>
      <c r="G47" s="46">
        <f>TableB4!D47+TableB4!G47-TableB5!C47</f>
        <v>90.433140021026631</v>
      </c>
      <c r="H47" s="46">
        <f t="shared" ref="H47:H52" si="14">G47-F47</f>
        <v>0</v>
      </c>
      <c r="I47" s="399">
        <f>+TableB2!F47-TableB5!E47</f>
        <v>38.757060009011425</v>
      </c>
      <c r="J47" s="46">
        <f t="shared" si="12"/>
        <v>33.10205055920742</v>
      </c>
      <c r="K47" s="46">
        <f t="shared" ref="K47:K52" si="15">N47/(1-N47)*(I47+F47+C47+J47)</f>
        <v>51.337685225684304</v>
      </c>
      <c r="L47" s="400">
        <f t="shared" si="11"/>
        <v>0.24031128891111386</v>
      </c>
      <c r="M47" s="9">
        <f>TableA2!G47/(TableA2!G47+TableA2!D47)</f>
        <v>0.29560875219623423</v>
      </c>
      <c r="N47" s="9">
        <f>VLOOKUP(A47,TableA10!$A$8:$G$95,7,)/(VLOOKUP(A47,TableA10!$A$8:$G$95,7,)+VLOOKUP(A47,TableA10!$A$8:$G$95,4,)+VLOOKUP(A47,TableA10!$A$8:$G$95,5,))</f>
        <v>0.24031128891111389</v>
      </c>
      <c r="O47" s="631">
        <f t="shared" ref="O47:O89" si="16">IF(Q47="",P47,Q47)</f>
        <v>0.20396568806595239</v>
      </c>
      <c r="P47" s="68">
        <f>TableA3!J47</f>
        <v>0.20396568806595239</v>
      </c>
      <c r="Q47" s="579"/>
      <c r="T47" s="431"/>
      <c r="U47" s="600">
        <f t="shared" si="2"/>
        <v>0</v>
      </c>
      <c r="V47" s="431"/>
    </row>
    <row r="48" spans="1:22" x14ac:dyDescent="0.35">
      <c r="A48" s="31" t="s">
        <v>93</v>
      </c>
      <c r="B48" s="311">
        <f t="shared" si="13"/>
        <v>15.925247911359456</v>
      </c>
      <c r="C48" s="91">
        <f>TableB2!E48-TableB5!D48</f>
        <v>0.51574077109999994</v>
      </c>
      <c r="D48" s="46"/>
      <c r="E48" s="48"/>
      <c r="F48" s="398">
        <f>TableB2!D48-TableB5!C48</f>
        <v>3.2548936231000001</v>
      </c>
      <c r="G48" s="46">
        <f>TableB4!D48+TableB4!G48-TableB5!C48</f>
        <v>3.2548936231000001</v>
      </c>
      <c r="H48" s="46">
        <f t="shared" si="14"/>
        <v>0</v>
      </c>
      <c r="I48" s="399">
        <f>+TableB2!F48-TableB5!E48</f>
        <v>1.5393656057999996</v>
      </c>
      <c r="J48" s="46">
        <f t="shared" si="12"/>
        <v>1.9638992736254883</v>
      </c>
      <c r="K48" s="46">
        <f t="shared" si="15"/>
        <v>8.6513486377339675</v>
      </c>
      <c r="L48" s="400">
        <f t="shared" si="11"/>
        <v>0.54324734446130496</v>
      </c>
      <c r="M48" s="9">
        <f>TableA2!G48/(TableA2!G48+TableA2!D48)</f>
        <v>0.2135439293576194</v>
      </c>
      <c r="N48" s="9">
        <f>VLOOKUP(A48,TableA10!$A$8:$G$95,7,)/(VLOOKUP(A48,TableA10!$A$8:$G$95,7,)+VLOOKUP(A48,TableA10!$A$8:$G$95,4,)+VLOOKUP(A48,TableA10!$A$8:$G$95,5,))</f>
        <v>0.54324734446130496</v>
      </c>
      <c r="O48" s="631">
        <f t="shared" si="16"/>
        <v>0.29059680575582675</v>
      </c>
      <c r="P48" s="68">
        <f>TableA3!J48</f>
        <v>0.29059680575582675</v>
      </c>
      <c r="Q48" s="579"/>
      <c r="T48" s="431"/>
      <c r="U48" s="600">
        <f t="shared" si="2"/>
        <v>0</v>
      </c>
      <c r="V48" s="431"/>
    </row>
    <row r="49" spans="1:22" x14ac:dyDescent="0.35">
      <c r="A49" s="31" t="s">
        <v>94</v>
      </c>
      <c r="B49" s="311">
        <f t="shared" si="13"/>
        <v>3.3481782319488018</v>
      </c>
      <c r="C49" s="91">
        <f>TableB2!E49-TableB5!D49</f>
        <v>1.0689373862</v>
      </c>
      <c r="D49" s="46"/>
      <c r="E49" s="48"/>
      <c r="F49" s="398">
        <f>TableB2!D49-TableB5!C49</f>
        <v>1.9856036526</v>
      </c>
      <c r="G49" s="46">
        <f>TableB4!D49+TableB4!G49-TableB5!C49</f>
        <v>1.9856036526</v>
      </c>
      <c r="H49" s="46">
        <f t="shared" si="14"/>
        <v>0</v>
      </c>
      <c r="I49" s="399">
        <f>+TableB2!F49-TableB5!E49</f>
        <v>-1.0145410388</v>
      </c>
      <c r="J49" s="46">
        <f t="shared" si="12"/>
        <v>0.12816879227453803</v>
      </c>
      <c r="K49" s="46">
        <f t="shared" si="15"/>
        <v>1.1800094396742637</v>
      </c>
      <c r="L49" s="400">
        <f t="shared" si="11"/>
        <v>0.35243328100470955</v>
      </c>
      <c r="M49" s="9">
        <f>TableA2!G49/(TableA2!G49+TableA2!D49)</f>
        <v>0.18119883843187923</v>
      </c>
      <c r="N49" s="9">
        <f>VLOOKUP(A49,TableA10!$A$8:$G$95,7,)/(VLOOKUP(A49,TableA10!$A$8:$G$95,7,)+VLOOKUP(A49,TableA10!$A$8:$G$95,4,)+VLOOKUP(A49,TableA10!$A$8:$G$95,5,))</f>
        <v>0.35243328100470955</v>
      </c>
      <c r="O49" s="631">
        <f t="shared" si="16"/>
        <v>0.1165985538315733</v>
      </c>
      <c r="P49" s="68">
        <f>TableA3!J49</f>
        <v>0.1165985538315733</v>
      </c>
      <c r="Q49" s="579"/>
      <c r="T49" s="431"/>
      <c r="U49" s="600">
        <f t="shared" si="2"/>
        <v>0</v>
      </c>
      <c r="V49" s="431"/>
    </row>
    <row r="50" spans="1:22" ht="14.25" customHeight="1" x14ac:dyDescent="0.35">
      <c r="A50" s="31" t="s">
        <v>102</v>
      </c>
      <c r="B50" s="311">
        <f t="shared" si="13"/>
        <v>19.763092692472515</v>
      </c>
      <c r="C50" s="91">
        <f>TableB2!E50-TableB5!D50</f>
        <v>6.7355001169000008</v>
      </c>
      <c r="D50" s="46"/>
      <c r="E50" s="48"/>
      <c r="F50" s="398">
        <f>TableB2!D50-TableB5!C50</f>
        <v>10.231280761199999</v>
      </c>
      <c r="G50" s="46">
        <f>TableB4!D50+TableB4!G50-TableB5!C50</f>
        <v>10.231280761199999</v>
      </c>
      <c r="H50" s="46">
        <f t="shared" si="14"/>
        <v>0</v>
      </c>
      <c r="I50" s="399">
        <f>+TableB2!F50-TableB5!E50</f>
        <v>-3.2667808781000005</v>
      </c>
      <c r="J50" s="46">
        <f t="shared" si="12"/>
        <v>0.76847104276502376</v>
      </c>
      <c r="K50" s="46">
        <f t="shared" si="15"/>
        <v>5.2946216497074916</v>
      </c>
      <c r="L50" s="400">
        <f t="shared" si="11"/>
        <v>0.26790450928381965</v>
      </c>
      <c r="M50" s="9">
        <f>TableA2!G50/(TableA2!G50+TableA2!D50)</f>
        <v>0.34684271730926658</v>
      </c>
      <c r="N50" s="9">
        <f>VLOOKUP(A50,TableA10!$A$8:$G$95,7,)/(VLOOKUP(A50,TableA10!$A$8:$G$95,7,)+VLOOKUP(A50,TableA10!$A$8:$G$95,4,)+VLOOKUP(A50,TableA10!$A$8:$G$95,5,))</f>
        <v>0.26790450928381965</v>
      </c>
      <c r="O50" s="631">
        <f t="shared" si="16"/>
        <v>9.9375912586799398E-2</v>
      </c>
      <c r="P50" s="68">
        <f>TableA3!J50</f>
        <v>9.9375912586799398E-2</v>
      </c>
      <c r="Q50" s="579"/>
      <c r="T50" s="431"/>
      <c r="U50" s="600">
        <f t="shared" si="2"/>
        <v>0</v>
      </c>
      <c r="V50" s="431"/>
    </row>
    <row r="51" spans="1:22" ht="14.25" customHeight="1" x14ac:dyDescent="0.35">
      <c r="A51" s="31" t="s">
        <v>103</v>
      </c>
      <c r="B51" s="311">
        <f t="shared" si="13"/>
        <v>62.125314463127452</v>
      </c>
      <c r="C51" s="91">
        <f>TableB2!E51-TableB5!D51</f>
        <v>9.3334899999999994</v>
      </c>
      <c r="D51" s="46"/>
      <c r="E51" s="48"/>
      <c r="F51" s="398">
        <f>TableB2!D51-TableB5!C51</f>
        <v>28.695729999999998</v>
      </c>
      <c r="G51" s="46">
        <f>TableB4!D51+TableB4!G51-TableB5!C51</f>
        <v>28.695729999999998</v>
      </c>
      <c r="H51" s="46">
        <f t="shared" si="14"/>
        <v>0</v>
      </c>
      <c r="I51" s="399">
        <f>+TableB2!F51-TableB5!E51</f>
        <v>2.9707800000000031</v>
      </c>
      <c r="J51" s="46">
        <f t="shared" si="12"/>
        <v>5.3687967070604961</v>
      </c>
      <c r="K51" s="46">
        <f t="shared" si="15"/>
        <v>15.756517756066952</v>
      </c>
      <c r="L51" s="400">
        <f t="shared" si="11"/>
        <v>0.25362475654620215</v>
      </c>
      <c r="M51" s="9">
        <f>TableA2!G51/(TableA2!G51+TableA2!D51)</f>
        <v>0.22034472051356951</v>
      </c>
      <c r="N51" s="9">
        <f>VLOOKUP(A51,TableA10b!$A$8:$G$95,7,)/(VLOOKUP(A51,TableA10b!$A$8:$G$95,7,)+VLOOKUP(A51,TableA10b!$A$8:$G$95,4,)+VLOOKUP(A51,TableA10b!$A$8:$G$95,5,))</f>
        <v>0.25362475654620215</v>
      </c>
      <c r="O51" s="631">
        <f t="shared" si="16"/>
        <v>0.14496428366386327</v>
      </c>
      <c r="P51" s="68">
        <f>TableA3!J51</f>
        <v>0.14496428366386327</v>
      </c>
      <c r="Q51" s="579"/>
      <c r="T51" s="431"/>
      <c r="U51" s="600">
        <f t="shared" si="2"/>
        <v>0</v>
      </c>
      <c r="V51" s="431"/>
    </row>
    <row r="52" spans="1:22" ht="14.25" customHeight="1" x14ac:dyDescent="0.35">
      <c r="A52" s="13" t="s">
        <v>97</v>
      </c>
      <c r="B52" s="311">
        <f t="shared" si="13"/>
        <v>11.748719731603057</v>
      </c>
      <c r="C52" s="91">
        <f>TableB2!E52-TableB5!D52</f>
        <v>0.46488415110000003</v>
      </c>
      <c r="D52" s="46"/>
      <c r="E52" s="48"/>
      <c r="F52" s="398">
        <f>TableB2!D52-TableB5!C52</f>
        <v>6.9219943913000002</v>
      </c>
      <c r="G52" s="46">
        <f>TableB4!D52+TableB4!G52-TableB5!C52</f>
        <v>6.9219943913000002</v>
      </c>
      <c r="H52" s="46">
        <f t="shared" si="14"/>
        <v>0</v>
      </c>
      <c r="I52" s="399">
        <f>+TableB2!F52-TableB5!E52</f>
        <v>-0.32687854240000058</v>
      </c>
      <c r="J52" s="46">
        <f t="shared" si="12"/>
        <v>2.1480680608715463</v>
      </c>
      <c r="K52" s="46">
        <f t="shared" si="15"/>
        <v>2.5406516707315103</v>
      </c>
      <c r="L52" s="400">
        <f t="shared" si="11"/>
        <v>0.21624923640806354</v>
      </c>
      <c r="M52" s="9">
        <f>TableA2!G52/(TableA2!G52+TableA2!D52)</f>
        <v>0.37653391159557786</v>
      </c>
      <c r="N52" s="9">
        <f>VLOOKUP(A52,TableA10!$A$8:$G$95,7,)/(VLOOKUP(A52,TableA10!$A$8:$G$95,7,)+VLOOKUP(A52,TableA10!$A$8:$G$95,4,)+VLOOKUP(A52,TableA10!$A$8:$G$95,5,))</f>
        <v>0.21624923640806354</v>
      </c>
      <c r="O52" s="631">
        <f t="shared" si="16"/>
        <v>0.24568487670387729</v>
      </c>
      <c r="P52" s="68">
        <f>TableA3!J52</f>
        <v>0.24568487670387729</v>
      </c>
      <c r="Q52" s="579"/>
      <c r="T52" s="431"/>
      <c r="U52" s="600">
        <f t="shared" si="2"/>
        <v>0</v>
      </c>
      <c r="V52" s="431"/>
    </row>
    <row r="53" spans="1:22" ht="40" customHeight="1" x14ac:dyDescent="0.35">
      <c r="A53" s="38" t="s">
        <v>100</v>
      </c>
      <c r="B53" s="311">
        <f>SUM(B54:B89)</f>
        <v>227.63993459990377</v>
      </c>
      <c r="C53" s="606">
        <f t="shared" ref="C53:K53" si="17">SUM(C54:C89)</f>
        <v>0</v>
      </c>
      <c r="D53" s="120"/>
      <c r="E53" s="120"/>
      <c r="F53" s="603">
        <f t="shared" si="17"/>
        <v>92.933473247224967</v>
      </c>
      <c r="G53" s="120">
        <f t="shared" si="17"/>
        <v>239.77133365139244</v>
      </c>
      <c r="H53" s="120">
        <f t="shared" si="17"/>
        <v>146.83786040416743</v>
      </c>
      <c r="I53" s="607">
        <f t="shared" si="17"/>
        <v>39.828631391667841</v>
      </c>
      <c r="J53" s="120">
        <f t="shared" si="17"/>
        <v>15.767035008629795</v>
      </c>
      <c r="K53" s="120">
        <f t="shared" si="17"/>
        <v>79.110794952381184</v>
      </c>
      <c r="L53" s="400"/>
      <c r="M53" s="9"/>
      <c r="N53" s="9"/>
      <c r="O53" s="631"/>
      <c r="P53" s="68"/>
      <c r="Q53" s="35"/>
      <c r="T53" s="431"/>
      <c r="U53" s="600">
        <f t="shared" si="2"/>
        <v>0</v>
      </c>
      <c r="V53" s="431"/>
    </row>
    <row r="54" spans="1:22" ht="14.25" customHeight="1" x14ac:dyDescent="0.35">
      <c r="A54" s="264" t="s">
        <v>272</v>
      </c>
      <c r="B54" s="311">
        <f t="shared" si="13"/>
        <v>-4.2238151356081763E-2</v>
      </c>
      <c r="C54" s="91">
        <f>D54-E54</f>
        <v>0</v>
      </c>
      <c r="D54" s="46">
        <f>TableB2!E54</f>
        <v>0</v>
      </c>
      <c r="E54" s="48">
        <f>TableB2!I54</f>
        <v>0</v>
      </c>
      <c r="F54" s="398">
        <f>G54-H54</f>
        <v>-2.2890000000000001E-2</v>
      </c>
      <c r="G54" s="46">
        <f>TableB2!D54</f>
        <v>2.5340000000000001E-2</v>
      </c>
      <c r="H54" s="46">
        <f>TableB2!H54</f>
        <v>4.8230000000000002E-2</v>
      </c>
      <c r="I54" s="399">
        <f>+TableB2!F54-TableB2!J54</f>
        <v>-9.810000000000001E-3</v>
      </c>
      <c r="J54" s="46">
        <f>O54/(1-O54)*(F54+I54)</f>
        <v>-1.7210526315789476E-3</v>
      </c>
      <c r="K54" s="46">
        <f>M54/(1-M54)*(I54+F54+C54+J54)</f>
        <v>-7.8170987245028099E-3</v>
      </c>
      <c r="L54" s="400"/>
      <c r="M54" s="9">
        <f>TableA2!G54/(TableA2!G54+TableA2!D54)</f>
        <v>0.18507198997896593</v>
      </c>
      <c r="N54" s="285"/>
      <c r="O54" s="631">
        <f t="shared" si="16"/>
        <v>0.05</v>
      </c>
      <c r="P54" s="68">
        <f>TableA3!J54</f>
        <v>0.05</v>
      </c>
      <c r="Q54" s="35"/>
      <c r="R54" s="376"/>
      <c r="T54" s="431"/>
      <c r="U54" s="600">
        <f t="shared" si="2"/>
        <v>0</v>
      </c>
      <c r="V54" s="431"/>
    </row>
    <row r="55" spans="1:22" ht="14.25" customHeight="1" x14ac:dyDescent="0.35">
      <c r="A55" s="264" t="s">
        <v>273</v>
      </c>
      <c r="B55" s="311">
        <f t="shared" si="13"/>
        <v>0.12602337689679047</v>
      </c>
      <c r="C55" s="91">
        <f>D55-E55</f>
        <v>0</v>
      </c>
      <c r="D55" s="46">
        <f>TableB2!E55</f>
        <v>0</v>
      </c>
      <c r="E55" s="48">
        <f>TableB2!I55</f>
        <v>0</v>
      </c>
      <c r="F55" s="398">
        <f>G55-H55</f>
        <v>7.1890000000000009E-2</v>
      </c>
      <c r="G55" s="46">
        <f>TableB2!D55</f>
        <v>7.5950000000000004E-2</v>
      </c>
      <c r="H55" s="46">
        <f>TableB2!H55</f>
        <v>4.0599999999999994E-3</v>
      </c>
      <c r="I55" s="399">
        <f>+TableB2!F55-TableB2!J55</f>
        <v>3.0809999999999997E-2</v>
      </c>
      <c r="J55" s="46">
        <f>O55/(1-O55)*(F55+I55)</f>
        <v>0</v>
      </c>
      <c r="K55" s="46">
        <f t="shared" ref="K55:K89" si="18">M55/(1-M55)*(I55+F55+C55+J55)</f>
        <v>2.3323376896790451E-2</v>
      </c>
      <c r="L55" s="400"/>
      <c r="M55" s="9">
        <f>TableA2!G55/(TableA2!G55+TableA2!D55)</f>
        <v>0.18507182929950869</v>
      </c>
      <c r="N55" s="285"/>
      <c r="O55" s="631">
        <f t="shared" si="16"/>
        <v>0</v>
      </c>
      <c r="P55" s="68">
        <f>TableA3!J55</f>
        <v>0</v>
      </c>
      <c r="Q55" s="35"/>
      <c r="T55" s="431"/>
      <c r="U55" s="600">
        <f t="shared" si="2"/>
        <v>0</v>
      </c>
      <c r="V55" s="431"/>
    </row>
    <row r="56" spans="1:22" ht="14.25" customHeight="1" x14ac:dyDescent="0.35">
      <c r="A56" s="289" t="str">
        <f>+TableA1!A56</f>
        <v>Antigua and Barbuda</v>
      </c>
      <c r="B56" s="311">
        <f t="shared" si="13"/>
        <v>9.5310475834493674E-2</v>
      </c>
      <c r="C56" s="91">
        <f t="shared" ref="C56:C88" si="19">D56-E56</f>
        <v>0</v>
      </c>
      <c r="D56" s="46">
        <f>TableB2!E56</f>
        <v>0</v>
      </c>
      <c r="E56" s="48">
        <f>TableB2!I56</f>
        <v>0</v>
      </c>
      <c r="F56" s="398">
        <f t="shared" ref="F56:F88" si="20">G56-H56</f>
        <v>5.3830000000000003E-2</v>
      </c>
      <c r="G56" s="46">
        <f>TableB2!D56</f>
        <v>5.3830000000000003E-2</v>
      </c>
      <c r="H56" s="46">
        <f>TableB2!H56</f>
        <v>0</v>
      </c>
      <c r="I56" s="399">
        <f>+TableB2!F56-TableB2!J56</f>
        <v>2.3070000000000004E-2</v>
      </c>
      <c r="J56" s="46">
        <f t="shared" ref="J56:J88" si="21">O56/(1-O56)*(F56+I56)</f>
        <v>4.0473684210526328E-3</v>
      </c>
      <c r="K56" s="46">
        <f t="shared" si="18"/>
        <v>1.4363107413441031E-2</v>
      </c>
      <c r="L56" s="400"/>
      <c r="M56" s="9">
        <f>TableA2!G56/(TableA2!G56+TableA2!D56)</f>
        <v>0.15069809785004662</v>
      </c>
      <c r="N56" s="285"/>
      <c r="O56" s="631">
        <f t="shared" si="16"/>
        <v>0.05</v>
      </c>
      <c r="P56" s="68">
        <f>TableA3!J56</f>
        <v>0.05</v>
      </c>
      <c r="Q56" s="35"/>
      <c r="T56" s="599"/>
      <c r="U56" s="600">
        <f t="shared" si="2"/>
        <v>0</v>
      </c>
      <c r="V56" s="431"/>
    </row>
    <row r="57" spans="1:22" ht="14.25" customHeight="1" x14ac:dyDescent="0.35">
      <c r="A57" s="264" t="s">
        <v>274</v>
      </c>
      <c r="B57" s="311">
        <f t="shared" si="13"/>
        <v>5.388286669783858E-2</v>
      </c>
      <c r="C57" s="91">
        <f t="shared" si="19"/>
        <v>0</v>
      </c>
      <c r="D57" s="46">
        <f>TableB2!E57</f>
        <v>0</v>
      </c>
      <c r="E57" s="48">
        <f>TableB2!I57</f>
        <v>0</v>
      </c>
      <c r="F57" s="398">
        <f t="shared" si="20"/>
        <v>2.9200558660000001E-2</v>
      </c>
      <c r="G57" s="46">
        <f>TableB2!D57</f>
        <v>6.9100558660000005E-2</v>
      </c>
      <c r="H57" s="46">
        <f>TableB2!H57</f>
        <v>3.9900000000000005E-2</v>
      </c>
      <c r="I57" s="399">
        <f>+TableB2!F57-TableB2!J57</f>
        <v>1.251452514E-2</v>
      </c>
      <c r="J57" s="46">
        <f t="shared" si="21"/>
        <v>2.1955307263157894E-3</v>
      </c>
      <c r="K57" s="46">
        <f t="shared" si="18"/>
        <v>9.9722521715227986E-3</v>
      </c>
      <c r="L57" s="400">
        <f>K57/B57</f>
        <v>0.18507278440556355</v>
      </c>
      <c r="M57" s="9">
        <f>TableA2!G57/(TableA2!G57+TableA2!D57)</f>
        <v>0.18507278440556352</v>
      </c>
      <c r="N57" s="285"/>
      <c r="O57" s="631">
        <f t="shared" si="16"/>
        <v>0.05</v>
      </c>
      <c r="P57" s="68">
        <f>TableA3!J57</f>
        <v>0.05</v>
      </c>
      <c r="Q57" s="35"/>
      <c r="T57" s="599"/>
      <c r="U57" s="600">
        <f t="shared" si="2"/>
        <v>0</v>
      </c>
      <c r="V57" s="431"/>
    </row>
    <row r="58" spans="1:22" ht="14.25" customHeight="1" x14ac:dyDescent="0.35">
      <c r="A58" s="264" t="s">
        <v>275</v>
      </c>
      <c r="B58" s="311">
        <f t="shared" si="13"/>
        <v>0.86376768801781456</v>
      </c>
      <c r="C58" s="91">
        <f t="shared" si="19"/>
        <v>0</v>
      </c>
      <c r="D58" s="46">
        <f>TableB2!E58</f>
        <v>0</v>
      </c>
      <c r="E58" s="48">
        <f>TableB2!I58</f>
        <v>0</v>
      </c>
      <c r="F58" s="398">
        <f t="shared" si="20"/>
        <v>0.51717766904770324</v>
      </c>
      <c r="G58" s="46">
        <f>TableB2!D58</f>
        <v>1.7087601109938677</v>
      </c>
      <c r="H58" s="46">
        <f>TableB2!H58</f>
        <v>1.1915824419461645</v>
      </c>
      <c r="I58" s="399">
        <f>+TableB2!F58-TableB2!J58</f>
        <v>0.22164757244901567</v>
      </c>
      <c r="J58" s="46">
        <f t="shared" si="21"/>
        <v>0</v>
      </c>
      <c r="K58" s="46">
        <f t="shared" si="18"/>
        <v>0.12494244652109564</v>
      </c>
      <c r="L58" s="400"/>
      <c r="M58" s="9">
        <f>TableA2!G58/(TableA2!G58+TableA2!D58)</f>
        <v>0.14464820605620848</v>
      </c>
      <c r="N58" s="285"/>
      <c r="O58" s="631">
        <f t="shared" si="16"/>
        <v>0</v>
      </c>
      <c r="P58" s="68">
        <f>TableA3!J58</f>
        <v>0</v>
      </c>
      <c r="Q58" s="35"/>
      <c r="T58" s="599"/>
      <c r="U58" s="600">
        <f t="shared" si="2"/>
        <v>0</v>
      </c>
      <c r="V58" s="431"/>
    </row>
    <row r="59" spans="1:22" ht="14.25" customHeight="1" x14ac:dyDescent="0.35">
      <c r="A59" s="264" t="s">
        <v>276</v>
      </c>
      <c r="B59" s="311">
        <f t="shared" si="13"/>
        <v>0.70390176012888261</v>
      </c>
      <c r="C59" s="91">
        <f t="shared" si="19"/>
        <v>0</v>
      </c>
      <c r="D59" s="46">
        <f>TableB2!E59</f>
        <v>0</v>
      </c>
      <c r="E59" s="48">
        <f>TableB2!I59</f>
        <v>0</v>
      </c>
      <c r="F59" s="398">
        <f t="shared" si="20"/>
        <v>0.44982563954713994</v>
      </c>
      <c r="G59" s="46">
        <f>TableB2!D59</f>
        <v>0.50400563954713995</v>
      </c>
      <c r="H59" s="46">
        <f>TableB2!H59</f>
        <v>5.4180000000000006E-2</v>
      </c>
      <c r="I59" s="399">
        <f>+TableB2!F59-TableB2!J59</f>
        <v>0.19278241694877424</v>
      </c>
      <c r="J59" s="46">
        <f t="shared" si="21"/>
        <v>0</v>
      </c>
      <c r="K59" s="46">
        <f t="shared" si="18"/>
        <v>6.1293703632968426E-2</v>
      </c>
      <c r="L59" s="400"/>
      <c r="M59" s="9">
        <f>TableA2!G59/(TableA2!G59+TableA2!D59)</f>
        <v>8.7077071126723277E-2</v>
      </c>
      <c r="N59" s="285"/>
      <c r="O59" s="631">
        <f t="shared" si="16"/>
        <v>0</v>
      </c>
      <c r="P59" s="68">
        <f>TableA3!J59</f>
        <v>0</v>
      </c>
      <c r="Q59" s="35"/>
      <c r="T59" s="599"/>
      <c r="U59" s="600">
        <f t="shared" si="2"/>
        <v>0</v>
      </c>
      <c r="V59" s="431"/>
    </row>
    <row r="60" spans="1:22" ht="14.25" customHeight="1" x14ac:dyDescent="0.35">
      <c r="A60" s="289" t="str">
        <f>+TableA1!A60</f>
        <v>Barbados</v>
      </c>
      <c r="B60" s="311">
        <f t="shared" si="13"/>
        <v>2.3540047098343044</v>
      </c>
      <c r="C60" s="91">
        <f t="shared" si="19"/>
        <v>0</v>
      </c>
      <c r="D60" s="46">
        <f>TableB2!E60</f>
        <v>0</v>
      </c>
      <c r="E60" s="48">
        <f>TableB2!I60</f>
        <v>0</v>
      </c>
      <c r="F60" s="398">
        <f t="shared" si="20"/>
        <v>1.327052905736777</v>
      </c>
      <c r="G60" s="46">
        <f>TableB2!D60</f>
        <v>1.4915056965555711</v>
      </c>
      <c r="H60" s="46">
        <f>TableB2!H60</f>
        <v>0.16445279081879405</v>
      </c>
      <c r="I60" s="399">
        <f>+TableB2!F60-TableB2!J60</f>
        <v>0.56873695960147586</v>
      </c>
      <c r="J60" s="46">
        <f t="shared" si="21"/>
        <v>9.9778413965171203E-2</v>
      </c>
      <c r="K60" s="46">
        <f t="shared" si="18"/>
        <v>0.35843643053088037</v>
      </c>
      <c r="L60" s="400"/>
      <c r="M60" s="9">
        <f>TableA2!G60/(TableA2!G60+TableA2!D60)</f>
        <v>0.15226665819037816</v>
      </c>
      <c r="N60" s="9">
        <f>VLOOKUP(A60,TableA10!$A$8:$G$95,7,)/(VLOOKUP(A60,TableA10!$A$8:$G$95,7,)+VLOOKUP(A60,TableA10!$A$8:$G$95,4,)+VLOOKUP(A60,TableA10!$A$8:$G$95,5,))</f>
        <v>0.11591355599214145</v>
      </c>
      <c r="O60" s="631">
        <f t="shared" si="16"/>
        <v>0.05</v>
      </c>
      <c r="P60" s="68">
        <f>TableA3!J60</f>
        <v>0.05</v>
      </c>
      <c r="Q60" s="35"/>
      <c r="T60" s="599"/>
      <c r="U60" s="600">
        <f t="shared" si="2"/>
        <v>0</v>
      </c>
      <c r="V60" s="431"/>
    </row>
    <row r="61" spans="1:22" ht="14.25" customHeight="1" x14ac:dyDescent="0.35">
      <c r="A61" s="264" t="s">
        <v>277</v>
      </c>
      <c r="B61" s="311">
        <f t="shared" si="13"/>
        <v>7.6699473965693349E-2</v>
      </c>
      <c r="C61" s="91">
        <f t="shared" si="19"/>
        <v>0</v>
      </c>
      <c r="D61" s="46">
        <f>TableB2!E61</f>
        <v>0</v>
      </c>
      <c r="E61" s="48">
        <f>TableB2!I61</f>
        <v>0</v>
      </c>
      <c r="F61" s="398">
        <f t="shared" si="20"/>
        <v>4.5492634390000009E-2</v>
      </c>
      <c r="G61" s="46">
        <f>TableB2!D61</f>
        <v>4.6340000000000006E-2</v>
      </c>
      <c r="H61" s="46">
        <f>TableB2!H61</f>
        <v>8.4736561000000005E-4</v>
      </c>
      <c r="I61" s="399">
        <f>+TableB2!F61-TableB2!J61</f>
        <v>1.9496843310000001E-2</v>
      </c>
      <c r="J61" s="46">
        <f t="shared" si="21"/>
        <v>0</v>
      </c>
      <c r="K61" s="46">
        <f t="shared" si="18"/>
        <v>1.1709996265693346E-2</v>
      </c>
      <c r="L61" s="400">
        <f>K61/B61</f>
        <v>0.15267374937839953</v>
      </c>
      <c r="M61" s="9">
        <f>TableA2!G61/(TableA2!G61+TableA2!D61)</f>
        <v>0.15267374937839953</v>
      </c>
      <c r="N61" s="285"/>
      <c r="O61" s="631">
        <f t="shared" si="16"/>
        <v>0</v>
      </c>
      <c r="P61" s="68">
        <f>TableA3!J61</f>
        <v>0</v>
      </c>
      <c r="Q61" s="35"/>
      <c r="T61" s="599"/>
      <c r="U61" s="600">
        <f t="shared" si="2"/>
        <v>0</v>
      </c>
      <c r="V61" s="431"/>
    </row>
    <row r="62" spans="1:22" ht="14.25" customHeight="1" x14ac:dyDescent="0.35">
      <c r="A62" s="264" t="s">
        <v>213</v>
      </c>
      <c r="B62" s="311">
        <f t="shared" si="13"/>
        <v>17.600157933093634</v>
      </c>
      <c r="C62" s="91">
        <f t="shared" si="19"/>
        <v>0</v>
      </c>
      <c r="D62" s="46">
        <f>TableB2!E62</f>
        <v>0</v>
      </c>
      <c r="E62" s="48">
        <f>TableB2!I62</f>
        <v>0</v>
      </c>
      <c r="F62" s="398">
        <f t="shared" si="20"/>
        <v>10.813178969205666</v>
      </c>
      <c r="G62" s="46">
        <f>TableB2!D62</f>
        <v>33.405915985248917</v>
      </c>
      <c r="H62" s="46">
        <f>TableB2!H62</f>
        <v>22.592737016043252</v>
      </c>
      <c r="I62" s="399">
        <f>+TableB2!F62-TableB2!J62</f>
        <v>4.6342195582309973</v>
      </c>
      <c r="J62" s="46">
        <f t="shared" si="21"/>
        <v>0</v>
      </c>
      <c r="K62" s="46">
        <f t="shared" si="18"/>
        <v>2.1527594056569712</v>
      </c>
      <c r="L62" s="400">
        <f>K62/B62</f>
        <v>0.12231477773327992</v>
      </c>
      <c r="M62" s="9">
        <f>TableA2!G62/(TableA2!G62+TableA2!D62)</f>
        <v>0.12231477773327991</v>
      </c>
      <c r="N62" s="9">
        <f>VLOOKUP(A62,TableA10!$A$8:$G$95,7,)/(VLOOKUP(A62,TableA10!$A$8:$G$95,7,)+VLOOKUP(A62,TableA10!$A$8:$G$95,4,)+VLOOKUP(A62,TableA10!$A$8:$G$95,5,))</f>
        <v>-0.13774787535410765</v>
      </c>
      <c r="O62" s="631">
        <f t="shared" si="16"/>
        <v>0</v>
      </c>
      <c r="P62" s="68">
        <f>TableA3!J62</f>
        <v>0</v>
      </c>
      <c r="Q62" s="35"/>
      <c r="T62" s="599"/>
      <c r="U62" s="600">
        <f t="shared" si="2"/>
        <v>0</v>
      </c>
      <c r="V62" s="431"/>
    </row>
    <row r="63" spans="1:22" ht="14.25" customHeight="1" x14ac:dyDescent="0.35">
      <c r="A63" s="264" t="s">
        <v>278</v>
      </c>
      <c r="B63" s="311">
        <f t="shared" si="13"/>
        <v>-1.2141862556307403E-2</v>
      </c>
      <c r="C63" s="91">
        <f t="shared" si="19"/>
        <v>0</v>
      </c>
      <c r="D63" s="46">
        <f>TableB2!E63</f>
        <v>0</v>
      </c>
      <c r="E63" s="48">
        <f>TableB2!I63</f>
        <v>0</v>
      </c>
      <c r="F63" s="398">
        <f t="shared" si="20"/>
        <v>-6.5799999999999999E-3</v>
      </c>
      <c r="G63" s="46">
        <f>TableB2!D63</f>
        <v>7.0000000000000007E-5</v>
      </c>
      <c r="H63" s="46">
        <f>TableB2!H63</f>
        <v>6.6499999999999997E-3</v>
      </c>
      <c r="I63" s="399">
        <f>+TableB2!F63-TableB2!J63</f>
        <v>-2.8199999999999996E-3</v>
      </c>
      <c r="J63" s="46">
        <f t="shared" si="21"/>
        <v>-4.9473684210526309E-4</v>
      </c>
      <c r="K63" s="46">
        <f t="shared" si="18"/>
        <v>-2.247125714202141E-3</v>
      </c>
      <c r="L63" s="400"/>
      <c r="M63" s="9">
        <f>TableA2!G63/(TableA2!G63+TableA2!D63)</f>
        <v>0.18507257052047701</v>
      </c>
      <c r="N63" s="285"/>
      <c r="O63" s="631">
        <f t="shared" si="16"/>
        <v>0.05</v>
      </c>
      <c r="P63" s="68">
        <f>TableA3!J63</f>
        <v>0.05</v>
      </c>
      <c r="Q63" s="35"/>
      <c r="T63" s="599"/>
      <c r="U63" s="600">
        <f t="shared" si="2"/>
        <v>0</v>
      </c>
      <c r="V63" s="431"/>
    </row>
    <row r="64" spans="1:22" ht="14.25" customHeight="1" x14ac:dyDescent="0.35">
      <c r="A64" s="264" t="s">
        <v>279</v>
      </c>
      <c r="B64" s="311">
        <f t="shared" si="13"/>
        <v>-4.9195801474907155</v>
      </c>
      <c r="C64" s="91">
        <f t="shared" si="19"/>
        <v>0</v>
      </c>
      <c r="D64" s="46">
        <f>TableB2!E64</f>
        <v>0</v>
      </c>
      <c r="E64" s="48">
        <f>TableB2!I64</f>
        <v>0</v>
      </c>
      <c r="F64" s="398">
        <f t="shared" si="20"/>
        <v>-2.8063716303540702</v>
      </c>
      <c r="G64" s="46">
        <f>TableB2!D64</f>
        <v>0.37491732214233509</v>
      </c>
      <c r="H64" s="46">
        <f>TableB2!H64</f>
        <v>3.1812889524964052</v>
      </c>
      <c r="I64" s="399">
        <f>+TableB2!F64-TableB2!J64</f>
        <v>-1.2027306987231727</v>
      </c>
      <c r="J64" s="46">
        <f t="shared" si="21"/>
        <v>0</v>
      </c>
      <c r="K64" s="46">
        <f t="shared" si="18"/>
        <v>-0.91047781841347242</v>
      </c>
      <c r="L64" s="400"/>
      <c r="M64" s="9">
        <f>TableA2!G64/(TableA2!G64+TableA2!D64)</f>
        <v>0.18507226046065564</v>
      </c>
      <c r="N64" s="9">
        <f>VLOOKUP("United Kingdom Islands, Caribbean",TableA10!$A$8:$G$95,7,)/(VLOOKUP("United Kingdom Islands, Caribbean",TableA10!$A$8:$G$95,7,)+VLOOKUP("United Kingdom Islands, Caribbean",TableA10!$A$8:$G$95,4,)+VLOOKUP("United Kingdom Islands, Caribbean",TableA10!$A$8:$G$95,5,))</f>
        <v>0.40218199851227376</v>
      </c>
      <c r="O64" s="631">
        <f t="shared" si="16"/>
        <v>0</v>
      </c>
      <c r="P64" s="68">
        <f>TableA3!J64</f>
        <v>0</v>
      </c>
      <c r="Q64" s="35"/>
      <c r="T64" s="599"/>
      <c r="U64" s="600">
        <f t="shared" si="2"/>
        <v>0</v>
      </c>
      <c r="V64" s="431"/>
    </row>
    <row r="65" spans="1:22" ht="14.25" customHeight="1" x14ac:dyDescent="0.35">
      <c r="A65" s="282" t="s">
        <v>291</v>
      </c>
      <c r="B65" s="311">
        <f t="shared" si="13"/>
        <v>24.582919082111488</v>
      </c>
      <c r="C65" s="91">
        <f t="shared" si="19"/>
        <v>0</v>
      </c>
      <c r="D65" s="46">
        <f>TableB2!E65</f>
        <v>0</v>
      </c>
      <c r="E65" s="48">
        <f>TableB2!I65</f>
        <v>0</v>
      </c>
      <c r="F65" s="398">
        <f t="shared" si="20"/>
        <v>11.229412722596891</v>
      </c>
      <c r="G65" s="46">
        <f>TableB2!D65</f>
        <v>22.5772489778631</v>
      </c>
      <c r="H65" s="46">
        <f>TableB2!H65</f>
        <v>11.347836255266209</v>
      </c>
      <c r="I65" s="399">
        <f>+TableB2!F65-TableB2!J65</f>
        <v>4.8126054525415247</v>
      </c>
      <c r="J65" s="46">
        <f t="shared" si="21"/>
        <v>0</v>
      </c>
      <c r="K65" s="46">
        <f t="shared" si="18"/>
        <v>8.5409009069730697</v>
      </c>
      <c r="L65" s="400">
        <f>K65/B65</f>
        <v>0.34743233211828439</v>
      </c>
      <c r="M65" s="9">
        <f>TableA2!G65/(TableA2!G65+TableA2!D65)</f>
        <v>0.34743233211828445</v>
      </c>
      <c r="N65" s="9">
        <f>VLOOKUP("United Kingdom Islands, Caribbean",TableA10!$A$8:$G$95,7,)/(VLOOKUP("United Kingdom Islands, Caribbean",TableA10!$A$8:$G$95,7,)+VLOOKUP("United Kingdom Islands, Caribbean",TableA10!$A$8:$G$95,4,)+VLOOKUP("United Kingdom Islands, Caribbean",TableA10!$A$8:$G$95,5,))</f>
        <v>0.40218199851227376</v>
      </c>
      <c r="O65" s="631">
        <f t="shared" si="16"/>
        <v>0</v>
      </c>
      <c r="P65" s="68">
        <f>TableA3!J65</f>
        <v>0</v>
      </c>
      <c r="Q65" s="35"/>
      <c r="T65" s="599"/>
      <c r="U65" s="600">
        <f t="shared" si="2"/>
        <v>0</v>
      </c>
      <c r="V65" s="431"/>
    </row>
    <row r="66" spans="1:22" ht="14.25" customHeight="1" x14ac:dyDescent="0.35">
      <c r="A66" s="264" t="s">
        <v>280</v>
      </c>
      <c r="B66" s="311">
        <f t="shared" si="13"/>
        <v>-4.3205794797817463</v>
      </c>
      <c r="C66" s="91">
        <f t="shared" si="19"/>
        <v>0</v>
      </c>
      <c r="D66" s="46">
        <f>TableB2!E66</f>
        <v>0</v>
      </c>
      <c r="E66" s="48">
        <f>TableB2!I66</f>
        <v>0</v>
      </c>
      <c r="F66" s="398">
        <f t="shared" si="20"/>
        <v>-1.5393068330776738</v>
      </c>
      <c r="G66" s="46">
        <f>TableB2!D66</f>
        <v>0.34110316692232601</v>
      </c>
      <c r="H66" s="46">
        <f>TableB2!H66</f>
        <v>1.8804099999999999</v>
      </c>
      <c r="I66" s="399">
        <f>+TableB2!F66-TableB2!J66</f>
        <v>-0.65970292846186018</v>
      </c>
      <c r="J66" s="46">
        <f t="shared" si="21"/>
        <v>-0.1157373558705018</v>
      </c>
      <c r="K66" s="46">
        <f t="shared" si="18"/>
        <v>-2.0058323623717107</v>
      </c>
      <c r="L66" s="400">
        <f>K66/B66</f>
        <v>0.4642507727859308</v>
      </c>
      <c r="M66" s="9">
        <f>TableA2!G66/(TableA2!G66+TableA2!D66)</f>
        <v>0.4642507727859308</v>
      </c>
      <c r="N66" s="285"/>
      <c r="O66" s="631">
        <f t="shared" si="16"/>
        <v>0.05</v>
      </c>
      <c r="P66" s="68">
        <f>TableA3!J66</f>
        <v>0.05</v>
      </c>
      <c r="Q66" s="35"/>
      <c r="T66" s="599"/>
      <c r="U66" s="600">
        <f t="shared" si="2"/>
        <v>0</v>
      </c>
      <c r="V66" s="431"/>
    </row>
    <row r="67" spans="1:22" ht="14.25" customHeight="1" x14ac:dyDescent="0.35">
      <c r="A67" s="289" t="str">
        <f>+TableA1!A67</f>
        <v>Cyprus</v>
      </c>
      <c r="B67" s="311">
        <f t="shared" si="13"/>
        <v>5.1452073969721077</v>
      </c>
      <c r="C67" s="91">
        <f t="shared" si="19"/>
        <v>0</v>
      </c>
      <c r="D67" s="46">
        <f>TableB2!E67</f>
        <v>0</v>
      </c>
      <c r="E67" s="48">
        <f>TableB2!I67</f>
        <v>0</v>
      </c>
      <c r="F67" s="398">
        <f t="shared" si="20"/>
        <v>1.6018009391966599</v>
      </c>
      <c r="G67" s="46">
        <f>TableB2!D67</f>
        <v>3.6846152882412486</v>
      </c>
      <c r="H67" s="46">
        <f>TableB2!H67</f>
        <v>2.0828143490445887</v>
      </c>
      <c r="I67" s="399">
        <f>+TableB2!F67-TableB2!J67</f>
        <v>0.68648611679856852</v>
      </c>
      <c r="J67" s="46">
        <f t="shared" si="21"/>
        <v>1.3506954745294009</v>
      </c>
      <c r="K67" s="46">
        <f t="shared" si="18"/>
        <v>1.5062248664474782</v>
      </c>
      <c r="L67" s="400">
        <f>K67/B67</f>
        <v>0.29274327548659618</v>
      </c>
      <c r="M67" s="9">
        <f>TableA2!G67/(TableA2!G67+TableA2!D67)</f>
        <v>0.29274327548659623</v>
      </c>
      <c r="N67" s="285"/>
      <c r="O67" s="631">
        <f t="shared" si="16"/>
        <v>0.37117393754970079</v>
      </c>
      <c r="P67" s="68">
        <f>TableA3!J67</f>
        <v>0.37117393754970079</v>
      </c>
      <c r="Q67" s="35"/>
      <c r="T67" s="599"/>
      <c r="U67" s="600">
        <f t="shared" si="2"/>
        <v>0</v>
      </c>
      <c r="V67" s="431"/>
    </row>
    <row r="68" spans="1:22" ht="14.25" customHeight="1" x14ac:dyDescent="0.35">
      <c r="A68" s="264" t="s">
        <v>281</v>
      </c>
      <c r="B68" s="311">
        <f t="shared" si="13"/>
        <v>2.6286325789067266</v>
      </c>
      <c r="C68" s="91">
        <f t="shared" si="19"/>
        <v>0</v>
      </c>
      <c r="D68" s="46">
        <f>TableB2!E68</f>
        <v>0</v>
      </c>
      <c r="E68" s="48">
        <f>TableB2!I68</f>
        <v>0</v>
      </c>
      <c r="F68" s="398">
        <f t="shared" si="20"/>
        <v>1.424526347342622</v>
      </c>
      <c r="G68" s="46">
        <f>TableB2!D68</f>
        <v>1.62967</v>
      </c>
      <c r="H68" s="46">
        <f>TableB2!H68</f>
        <v>0.20514365265737788</v>
      </c>
      <c r="I68" s="399">
        <f>+TableB2!F68-TableB2!J68</f>
        <v>0.61051129171826668</v>
      </c>
      <c r="J68" s="46">
        <f t="shared" si="21"/>
        <v>0.10710724416109942</v>
      </c>
      <c r="K68" s="46">
        <f t="shared" si="18"/>
        <v>0.48648769568473843</v>
      </c>
      <c r="L68" s="400"/>
      <c r="M68" s="9">
        <f>TableA2!G68/(TableA2!G68+TableA2!D68)</f>
        <v>0.18507253527500345</v>
      </c>
      <c r="N68" s="285"/>
      <c r="O68" s="631">
        <f t="shared" si="16"/>
        <v>0.05</v>
      </c>
      <c r="P68" s="68">
        <f>TableA3!J68</f>
        <v>0.05</v>
      </c>
      <c r="Q68" s="35"/>
      <c r="T68" s="599"/>
      <c r="U68" s="600">
        <f t="shared" si="2"/>
        <v>0</v>
      </c>
      <c r="V68" s="431"/>
    </row>
    <row r="69" spans="1:22" ht="14.25" customHeight="1" x14ac:dyDescent="0.35">
      <c r="A69" s="289" t="str">
        <f>+TableA1!A69</f>
        <v>Grenada</v>
      </c>
      <c r="B69" s="311">
        <f t="shared" si="13"/>
        <v>1.9322926977407062E-2</v>
      </c>
      <c r="C69" s="91">
        <f t="shared" si="19"/>
        <v>0</v>
      </c>
      <c r="D69" s="46">
        <f>TableB2!E69</f>
        <v>0</v>
      </c>
      <c r="E69" s="48">
        <f>TableB2!I69</f>
        <v>0</v>
      </c>
      <c r="F69" s="398">
        <f t="shared" si="20"/>
        <v>1.064E-2</v>
      </c>
      <c r="G69" s="46">
        <f>TableB2!D69</f>
        <v>1.064E-2</v>
      </c>
      <c r="H69" s="46">
        <f>TableB2!H69</f>
        <v>0</v>
      </c>
      <c r="I69" s="399">
        <f>+TableB2!F69-TableB2!J69</f>
        <v>4.5599999999999998E-3</v>
      </c>
      <c r="J69" s="46">
        <f t="shared" si="21"/>
        <v>8.0000000000000004E-4</v>
      </c>
      <c r="K69" s="46">
        <f t="shared" si="18"/>
        <v>3.3229269774070628E-3</v>
      </c>
      <c r="L69" s="400"/>
      <c r="M69" s="9">
        <f>TableA2!G69/(TableA2!G69+TableA2!D69)</f>
        <v>0.1719680968257204</v>
      </c>
      <c r="N69" s="285"/>
      <c r="O69" s="631">
        <f t="shared" si="16"/>
        <v>0.05</v>
      </c>
      <c r="P69" s="68">
        <f>TableA3!J69</f>
        <v>0.05</v>
      </c>
      <c r="Q69" s="35"/>
      <c r="T69" s="599"/>
      <c r="U69" s="600">
        <f t="shared" si="2"/>
        <v>0</v>
      </c>
      <c r="V69" s="431"/>
    </row>
    <row r="70" spans="1:22" ht="14.25" customHeight="1" x14ac:dyDescent="0.35">
      <c r="A70" s="264" t="s">
        <v>282</v>
      </c>
      <c r="B70" s="311">
        <f t="shared" si="13"/>
        <v>-2.4084004906068452</v>
      </c>
      <c r="C70" s="91">
        <f t="shared" si="19"/>
        <v>0</v>
      </c>
      <c r="D70" s="46">
        <f>TableB2!E70</f>
        <v>0</v>
      </c>
      <c r="E70" s="48">
        <f>TableB2!I70</f>
        <v>0</v>
      </c>
      <c r="F70" s="398">
        <f t="shared" si="20"/>
        <v>-1.3738700480658073</v>
      </c>
      <c r="G70" s="46">
        <f>TableB2!D70</f>
        <v>0.53683291697765623</v>
      </c>
      <c r="H70" s="46">
        <f>TableB2!H70</f>
        <v>1.9107029650434635</v>
      </c>
      <c r="I70" s="399">
        <f>+TableB2!F70-TableB2!J70</f>
        <v>-0.58880144917106025</v>
      </c>
      <c r="J70" s="46">
        <f t="shared" si="21"/>
        <v>0</v>
      </c>
      <c r="K70" s="46">
        <f t="shared" si="18"/>
        <v>-0.44572899336997757</v>
      </c>
      <c r="L70" s="400"/>
      <c r="M70" s="9">
        <f>TableA2!G70/(TableA2!G70+TableA2!D70)</f>
        <v>0.18507262189506826</v>
      </c>
      <c r="N70" s="285"/>
      <c r="O70" s="631">
        <f t="shared" si="16"/>
        <v>0</v>
      </c>
      <c r="P70" s="68">
        <f>TableA3!J70</f>
        <v>0</v>
      </c>
      <c r="Q70" s="35"/>
      <c r="T70" s="599"/>
      <c r="U70" s="600">
        <f t="shared" si="2"/>
        <v>0</v>
      </c>
      <c r="V70" s="431"/>
    </row>
    <row r="71" spans="1:22" ht="14.25" customHeight="1" x14ac:dyDescent="0.35">
      <c r="A71" s="264" t="s">
        <v>283</v>
      </c>
      <c r="B71" s="311">
        <f t="shared" si="13"/>
        <v>-3.593802682811142</v>
      </c>
      <c r="C71" s="91">
        <f t="shared" si="19"/>
        <v>0</v>
      </c>
      <c r="D71" s="46">
        <f>TableB2!E71</f>
        <v>0</v>
      </c>
      <c r="E71" s="48">
        <f>TableB2!I71</f>
        <v>0</v>
      </c>
      <c r="F71" s="398">
        <f t="shared" si="20"/>
        <v>-1.9475763371898367</v>
      </c>
      <c r="G71" s="46">
        <f>TableB2!D71</f>
        <v>0.21115366281016348</v>
      </c>
      <c r="H71" s="46">
        <f>TableB2!H71</f>
        <v>2.1587300000000003</v>
      </c>
      <c r="I71" s="399">
        <f>+TableB2!F71-TableB2!J71</f>
        <v>-0.83467557308135853</v>
      </c>
      <c r="J71" s="46">
        <f t="shared" si="21"/>
        <v>-0.14643431106690502</v>
      </c>
      <c r="K71" s="46">
        <f t="shared" si="18"/>
        <v>-0.66511646147304204</v>
      </c>
      <c r="L71" s="400"/>
      <c r="M71" s="9">
        <f>TableA2!G71/(TableA2!G71+TableA2!D71)</f>
        <v>0.18507317183946642</v>
      </c>
      <c r="N71" s="285"/>
      <c r="O71" s="631">
        <f t="shared" si="16"/>
        <v>0.05</v>
      </c>
      <c r="P71" s="68">
        <f>TableA3!J71</f>
        <v>0.05</v>
      </c>
      <c r="Q71" s="35"/>
      <c r="T71" s="599"/>
      <c r="U71" s="600">
        <f t="shared" si="2"/>
        <v>0</v>
      </c>
      <c r="V71" s="431"/>
    </row>
    <row r="72" spans="1:22" ht="14.25" customHeight="1" x14ac:dyDescent="0.35">
      <c r="A72" s="264" t="s">
        <v>220</v>
      </c>
      <c r="B72" s="311">
        <f t="shared" si="13"/>
        <v>27.93788948706532</v>
      </c>
      <c r="C72" s="91">
        <f t="shared" si="19"/>
        <v>0</v>
      </c>
      <c r="D72" s="46">
        <f>TableB2!E72</f>
        <v>0</v>
      </c>
      <c r="E72" s="48">
        <f>TableB2!I72</f>
        <v>0</v>
      </c>
      <c r="F72" s="398">
        <f t="shared" si="20"/>
        <v>10.720822428890003</v>
      </c>
      <c r="G72" s="46">
        <f>TableB2!D72</f>
        <v>95.9</v>
      </c>
      <c r="H72" s="46">
        <f>TableB2!H72</f>
        <v>85.179177571110003</v>
      </c>
      <c r="I72" s="399">
        <f>+TableB2!F72-TableB2!J72</f>
        <v>4.5946381838099981</v>
      </c>
      <c r="J72" s="46">
        <f t="shared" si="21"/>
        <v>4.5094791427710925</v>
      </c>
      <c r="K72" s="46">
        <f t="shared" si="18"/>
        <v>8.1129497315942292</v>
      </c>
      <c r="L72" s="400">
        <f>K72/B72</f>
        <v>0.29039236250649358</v>
      </c>
      <c r="M72" s="9">
        <f>TableA2!G72/(TableA2!G72+TableA2!D72)</f>
        <v>0.29039236250649358</v>
      </c>
      <c r="N72" s="9">
        <f>VLOOKUP(A72,TableA10!$A$8:$G$95,7,)/(VLOOKUP(A72,TableA10!$A$8:$G$95,7,)+VLOOKUP(A72,TableA10!$A$8:$G$95,4,)+VLOOKUP(A72,TableA10!$A$8:$G$95,5,))</f>
        <v>9.1257847012322715E-2</v>
      </c>
      <c r="O72" s="631">
        <f t="shared" si="16"/>
        <v>0.22746496072083197</v>
      </c>
      <c r="P72" s="68">
        <f>TableA3!J72</f>
        <v>0.22746496072083197</v>
      </c>
      <c r="Q72" s="35"/>
      <c r="T72" s="599"/>
      <c r="U72" s="600">
        <f t="shared" si="2"/>
        <v>0</v>
      </c>
      <c r="V72" s="431"/>
    </row>
    <row r="73" spans="1:22" ht="14.25" customHeight="1" x14ac:dyDescent="0.35">
      <c r="A73" s="264" t="s">
        <v>284</v>
      </c>
      <c r="B73" s="311">
        <f t="shared" si="13"/>
        <v>0.71146163152537345</v>
      </c>
      <c r="C73" s="91">
        <f t="shared" si="19"/>
        <v>0</v>
      </c>
      <c r="D73" s="46">
        <f>TableB2!E73</f>
        <v>0</v>
      </c>
      <c r="E73" s="48">
        <f>TableB2!I73</f>
        <v>0</v>
      </c>
      <c r="F73" s="398">
        <f t="shared" si="20"/>
        <v>0.40585305379506709</v>
      </c>
      <c r="G73" s="46">
        <f>TableB2!D73</f>
        <v>0.42177244187344221</v>
      </c>
      <c r="H73" s="46">
        <f>TableB2!H73</f>
        <v>1.5919388078375094E-2</v>
      </c>
      <c r="I73" s="399">
        <f>+TableB2!F73-TableB2!J73</f>
        <v>0.17393702305502876</v>
      </c>
      <c r="J73" s="46">
        <f t="shared" si="21"/>
        <v>0</v>
      </c>
      <c r="K73" s="46">
        <f t="shared" si="18"/>
        <v>0.13167155467527755</v>
      </c>
      <c r="L73" s="400"/>
      <c r="M73" s="9">
        <f>TableA2!G73/(TableA2!G73+TableA2!D73)</f>
        <v>0.18507189824555093</v>
      </c>
      <c r="N73" s="285"/>
      <c r="O73" s="631">
        <f t="shared" si="16"/>
        <v>0</v>
      </c>
      <c r="P73" s="68">
        <f>TableA3!J73</f>
        <v>0</v>
      </c>
      <c r="Q73" s="35"/>
      <c r="T73" s="599"/>
      <c r="U73" s="600">
        <f t="shared" si="2"/>
        <v>0</v>
      </c>
      <c r="V73" s="431"/>
    </row>
    <row r="74" spans="1:22" ht="14.25" customHeight="1" x14ac:dyDescent="0.35">
      <c r="A74" s="264" t="s">
        <v>285</v>
      </c>
      <c r="B74" s="311">
        <f t="shared" si="13"/>
        <v>-7.2275615089713682E-2</v>
      </c>
      <c r="C74" s="91">
        <f t="shared" si="19"/>
        <v>0</v>
      </c>
      <c r="D74" s="46">
        <f>TableB2!E74</f>
        <v>0</v>
      </c>
      <c r="E74" s="48">
        <f>TableB2!I74</f>
        <v>0</v>
      </c>
      <c r="F74" s="398">
        <f t="shared" si="20"/>
        <v>-3.6078973909999923E-2</v>
      </c>
      <c r="G74" s="46">
        <f>TableB2!D74</f>
        <v>0.30520000000000003</v>
      </c>
      <c r="H74" s="46">
        <f>TableB2!H74</f>
        <v>0.34127897390999995</v>
      </c>
      <c r="I74" s="399">
        <f>+TableB2!F74-TableB2!J74</f>
        <v>-1.5462417389999983E-2</v>
      </c>
      <c r="J74" s="46">
        <f t="shared" si="21"/>
        <v>-2.7127048052631533E-3</v>
      </c>
      <c r="K74" s="46">
        <f t="shared" si="18"/>
        <v>-1.8021518984450629E-2</v>
      </c>
      <c r="L74" s="400">
        <f>K74/B74</f>
        <v>0.24934438762065222</v>
      </c>
      <c r="M74" s="9">
        <f>TableA2!G74/(TableA2!G74+TableA2!D74)</f>
        <v>0.2493443876206522</v>
      </c>
      <c r="N74" s="285"/>
      <c r="O74" s="631">
        <f t="shared" si="16"/>
        <v>0.05</v>
      </c>
      <c r="P74" s="68">
        <f>TableA3!J74</f>
        <v>0.05</v>
      </c>
      <c r="Q74" s="35"/>
      <c r="T74" s="431"/>
      <c r="U74" s="600">
        <f t="shared" ref="U74:U91" si="22">B74-C74-F74-I74-J74-K74</f>
        <v>0</v>
      </c>
      <c r="V74" s="431"/>
    </row>
    <row r="75" spans="1:22" ht="14.25" customHeight="1" x14ac:dyDescent="0.35">
      <c r="A75" s="264" t="s">
        <v>286</v>
      </c>
      <c r="B75" s="311">
        <f t="shared" si="13"/>
        <v>-2.971201568196943</v>
      </c>
      <c r="C75" s="91">
        <f t="shared" si="19"/>
        <v>0</v>
      </c>
      <c r="D75" s="46">
        <f>TableB2!E75</f>
        <v>0</v>
      </c>
      <c r="E75" s="48">
        <f>TableB2!I75</f>
        <v>0</v>
      </c>
      <c r="F75" s="398">
        <f t="shared" si="20"/>
        <v>-1.2513558657243815</v>
      </c>
      <c r="G75" s="46">
        <f>TableB2!D75</f>
        <v>5.2499999999999995E-3</v>
      </c>
      <c r="H75" s="46">
        <f>TableB2!H75</f>
        <v>1.2566058657243815</v>
      </c>
      <c r="I75" s="399">
        <f>+TableB2!F75-TableB2!J75</f>
        <v>-0.5362953710247349</v>
      </c>
      <c r="J75" s="46">
        <f t="shared" si="21"/>
        <v>-9.408690719732192E-2</v>
      </c>
      <c r="K75" s="46">
        <f t="shared" si="18"/>
        <v>-1.0894634242505048</v>
      </c>
      <c r="L75" s="400"/>
      <c r="M75" s="9">
        <f>TableA2!G75/(TableA2!G75+TableA2!D75)</f>
        <v>0.36667435690391059</v>
      </c>
      <c r="N75" s="285"/>
      <c r="O75" s="631">
        <f t="shared" si="16"/>
        <v>0.05</v>
      </c>
      <c r="P75" s="68">
        <f>TableA3!J75</f>
        <v>0.05</v>
      </c>
      <c r="Q75" s="35"/>
      <c r="T75" s="431"/>
      <c r="U75" s="600">
        <f t="shared" si="22"/>
        <v>0</v>
      </c>
      <c r="V75" s="431"/>
    </row>
    <row r="76" spans="1:22" ht="14.25" customHeight="1" x14ac:dyDescent="0.35">
      <c r="A76" s="264" t="s">
        <v>287</v>
      </c>
      <c r="B76" s="311">
        <f t="shared" si="13"/>
        <v>8.6348199546800934</v>
      </c>
      <c r="C76" s="91">
        <f t="shared" si="19"/>
        <v>0</v>
      </c>
      <c r="D76" s="46">
        <f>TableB2!E76</f>
        <v>0</v>
      </c>
      <c r="E76" s="48">
        <f>TableB2!I76</f>
        <v>0</v>
      </c>
      <c r="F76" s="398">
        <f t="shared" si="20"/>
        <v>4.4466799999999997</v>
      </c>
      <c r="G76" s="46">
        <f>TableB2!D76</f>
        <v>4.5009999999999994</v>
      </c>
      <c r="H76" s="46">
        <f>TableB2!H76</f>
        <v>5.4319999999999993E-2</v>
      </c>
      <c r="I76" s="399">
        <f>+TableB2!F76-TableB2!J76</f>
        <v>1.9057199999999999</v>
      </c>
      <c r="J76" s="46">
        <f t="shared" si="21"/>
        <v>0.33433684210526315</v>
      </c>
      <c r="K76" s="46">
        <f t="shared" si="18"/>
        <v>1.9480831125748301</v>
      </c>
      <c r="L76" s="400">
        <f>K76/B76</f>
        <v>0.2256078439156064</v>
      </c>
      <c r="M76" s="9">
        <f>TableA2!G76/(TableA2!G76+TableA2!D76)</f>
        <v>0.22560784391560645</v>
      </c>
      <c r="N76" s="285"/>
      <c r="O76" s="631">
        <f t="shared" si="16"/>
        <v>0.05</v>
      </c>
      <c r="P76" s="68">
        <f>TableA3!J76</f>
        <v>0.05</v>
      </c>
      <c r="Q76" s="35"/>
      <c r="T76" s="431"/>
      <c r="U76" s="600">
        <f t="shared" si="22"/>
        <v>0</v>
      </c>
      <c r="V76" s="431"/>
    </row>
    <row r="77" spans="1:22" ht="14.25" customHeight="1" x14ac:dyDescent="0.35">
      <c r="A77" s="289" t="s">
        <v>301</v>
      </c>
      <c r="B77" s="311">
        <f>C77+F77+I77+J77+K77</f>
        <v>0</v>
      </c>
      <c r="C77" s="91">
        <f t="shared" si="19"/>
        <v>0</v>
      </c>
      <c r="D77" s="46">
        <f>TableB2!E77</f>
        <v>0</v>
      </c>
      <c r="E77" s="48">
        <f>TableB2!I77</f>
        <v>0</v>
      </c>
      <c r="F77" s="398">
        <f t="shared" si="20"/>
        <v>0</v>
      </c>
      <c r="G77" s="46">
        <f>TableB2!D77</f>
        <v>7.07</v>
      </c>
      <c r="H77" s="1722">
        <f>G77</f>
        <v>7.07</v>
      </c>
      <c r="I77" s="1723">
        <v>0</v>
      </c>
      <c r="J77" s="46">
        <f t="shared" si="21"/>
        <v>0</v>
      </c>
      <c r="K77" s="46">
        <f t="shared" si="18"/>
        <v>0</v>
      </c>
      <c r="L77" s="400"/>
      <c r="M77" s="9">
        <f>TableA2!G77/(TableA2!G77+TableA2!D77)</f>
        <v>0.25301646215623858</v>
      </c>
      <c r="N77" s="285"/>
      <c r="O77" s="631">
        <f t="shared" si="16"/>
        <v>0.27872677593663003</v>
      </c>
      <c r="P77" s="68">
        <f>TableA3!J77</f>
        <v>0.27872677593663003</v>
      </c>
      <c r="Q77" s="35"/>
      <c r="T77" s="431"/>
      <c r="U77" s="600">
        <f t="shared" si="22"/>
        <v>0</v>
      </c>
      <c r="V77" s="431"/>
    </row>
    <row r="78" spans="1:22" ht="14.25" customHeight="1" x14ac:dyDescent="0.35">
      <c r="A78" s="289" t="s">
        <v>302</v>
      </c>
      <c r="B78" s="311">
        <f>C78+F78+I78+J78+K78</f>
        <v>-0.45597905950344497</v>
      </c>
      <c r="C78" s="91">
        <f t="shared" si="19"/>
        <v>0</v>
      </c>
      <c r="D78" s="46">
        <f>TableB2!E78</f>
        <v>0</v>
      </c>
      <c r="E78" s="48">
        <f>TableB2!I78</f>
        <v>0</v>
      </c>
      <c r="F78" s="398">
        <f t="shared" si="20"/>
        <v>-0.19675737884627287</v>
      </c>
      <c r="G78" s="46">
        <f>TableB2!D78</f>
        <v>8.6979830210929684E-2</v>
      </c>
      <c r="H78" s="46">
        <f>TableB2!H78</f>
        <v>0.28373720905720257</v>
      </c>
      <c r="I78" s="399">
        <f>+TableB2!F78-TableB2!J78</f>
        <v>-8.4324590934116955E-2</v>
      </c>
      <c r="J78" s="46">
        <f t="shared" si="21"/>
        <v>0</v>
      </c>
      <c r="K78" s="46">
        <f t="shared" si="18"/>
        <v>-0.17489708972305518</v>
      </c>
      <c r="L78" s="400"/>
      <c r="M78" s="9">
        <f>TableA2!G78/(TableA2!G78+TableA2!D78)</f>
        <v>0.3835638634667034</v>
      </c>
      <c r="N78" s="285"/>
      <c r="O78" s="631">
        <f t="shared" si="16"/>
        <v>0</v>
      </c>
      <c r="P78" s="68">
        <f>TableA3!J78</f>
        <v>0</v>
      </c>
      <c r="Q78" s="35"/>
      <c r="T78" s="431"/>
      <c r="U78" s="600">
        <f t="shared" si="22"/>
        <v>0</v>
      </c>
      <c r="V78" s="431"/>
    </row>
    <row r="79" spans="1:22" ht="14.25" customHeight="1" x14ac:dyDescent="0.35">
      <c r="A79" s="289" t="str">
        <f>+TableA1!A79</f>
        <v>Monaco</v>
      </c>
      <c r="B79" s="311">
        <f t="shared" si="13"/>
        <v>0</v>
      </c>
      <c r="C79" s="91">
        <f t="shared" si="19"/>
        <v>0</v>
      </c>
      <c r="D79" s="46">
        <f>TableB2!E79</f>
        <v>0</v>
      </c>
      <c r="E79" s="48">
        <f>TableB2!I79</f>
        <v>0</v>
      </c>
      <c r="F79" s="398">
        <f t="shared" si="20"/>
        <v>0</v>
      </c>
      <c r="G79" s="46">
        <f>TableB2!D79</f>
        <v>0</v>
      </c>
      <c r="H79" s="46">
        <f>TableB2!H79</f>
        <v>0</v>
      </c>
      <c r="I79" s="399">
        <f>+TableB2!F79-TableB2!J79</f>
        <v>0</v>
      </c>
      <c r="J79" s="46">
        <f t="shared" si="21"/>
        <v>0</v>
      </c>
      <c r="K79" s="46">
        <f t="shared" si="18"/>
        <v>0</v>
      </c>
      <c r="L79" s="400"/>
      <c r="M79" s="9">
        <f>TableA2!G79/(TableA2!G79+TableA2!D79)</f>
        <v>0.18507236662446314</v>
      </c>
      <c r="N79" s="285"/>
      <c r="O79" s="631">
        <f t="shared" si="16"/>
        <v>0.05</v>
      </c>
      <c r="P79" s="68">
        <f>TableA3!J79</f>
        <v>0.05</v>
      </c>
      <c r="Q79" s="35"/>
      <c r="T79" s="431"/>
      <c r="U79" s="600">
        <f t="shared" si="22"/>
        <v>0</v>
      </c>
      <c r="V79" s="431"/>
    </row>
    <row r="80" spans="1:22" ht="14.25" customHeight="1" x14ac:dyDescent="0.35">
      <c r="A80" s="264" t="s">
        <v>288</v>
      </c>
      <c r="B80" s="311">
        <f t="shared" si="13"/>
        <v>4.5490481380809685E-3</v>
      </c>
      <c r="C80" s="91">
        <f t="shared" si="19"/>
        <v>0</v>
      </c>
      <c r="D80" s="46">
        <f>TableB2!E80</f>
        <v>0</v>
      </c>
      <c r="E80" s="48">
        <f>TableB2!I80</f>
        <v>0</v>
      </c>
      <c r="F80" s="398">
        <f t="shared" si="20"/>
        <v>2.4652513899999996E-3</v>
      </c>
      <c r="G80" s="46">
        <f>TableB2!D80</f>
        <v>2.5199999999999997E-3</v>
      </c>
      <c r="H80" s="46">
        <f>TableB2!H80</f>
        <v>5.474861E-5</v>
      </c>
      <c r="I80" s="399">
        <f>+TableB2!F80-TableB2!J80</f>
        <v>1.0565363099999999E-3</v>
      </c>
      <c r="J80" s="46">
        <f t="shared" si="21"/>
        <v>1.8535724736842106E-4</v>
      </c>
      <c r="K80" s="46">
        <f t="shared" si="18"/>
        <v>8.4190319071254826E-4</v>
      </c>
      <c r="L80" s="400">
        <f>K80/B80</f>
        <v>0.18507238550957783</v>
      </c>
      <c r="M80" s="9">
        <f>TableA2!G80/(TableA2!G80+TableA2!D80)</f>
        <v>0.18507238550957783</v>
      </c>
      <c r="N80" s="285"/>
      <c r="O80" s="631">
        <f t="shared" si="16"/>
        <v>0.05</v>
      </c>
      <c r="P80" s="68">
        <f>TableA3!J80</f>
        <v>0.05</v>
      </c>
      <c r="Q80" s="35"/>
      <c r="T80" s="431"/>
      <c r="U80" s="600">
        <f t="shared" si="22"/>
        <v>0</v>
      </c>
      <c r="V80" s="431"/>
    </row>
    <row r="81" spans="1:22" ht="14.25" customHeight="1" x14ac:dyDescent="0.35">
      <c r="A81" s="264" t="s">
        <v>289</v>
      </c>
      <c r="B81" s="311">
        <f t="shared" si="13"/>
        <v>0.39072469152832756</v>
      </c>
      <c r="C81" s="91">
        <f t="shared" si="19"/>
        <v>0</v>
      </c>
      <c r="D81" s="46">
        <f>TableB2!E81</f>
        <v>0</v>
      </c>
      <c r="E81" s="48">
        <f>TableB2!I81</f>
        <v>0</v>
      </c>
      <c r="F81" s="398">
        <f t="shared" si="20"/>
        <v>0.22299456745999979</v>
      </c>
      <c r="G81" s="46">
        <f>TableB2!D81</f>
        <v>2.8140000000000001</v>
      </c>
      <c r="H81" s="46">
        <f>TableB2!H81</f>
        <v>2.5910054325400003</v>
      </c>
      <c r="I81" s="399">
        <f>+TableB2!F81-TableB2!J81</f>
        <v>9.5569100339999657E-2</v>
      </c>
      <c r="J81" s="46">
        <f t="shared" si="21"/>
        <v>1.676650883157892E-2</v>
      </c>
      <c r="K81" s="46">
        <f t="shared" si="18"/>
        <v>5.5394514896749167E-2</v>
      </c>
      <c r="L81" s="400">
        <f>K81/B81</f>
        <v>0.14177377600599644</v>
      </c>
      <c r="M81" s="9">
        <f>TableA2!G81/(TableA2!G81+TableA2!D81)</f>
        <v>0.14177377600599644</v>
      </c>
      <c r="N81" s="285"/>
      <c r="O81" s="631">
        <f t="shared" si="16"/>
        <v>0.05</v>
      </c>
      <c r="P81" s="68">
        <f>TableA3!J81</f>
        <v>0.05</v>
      </c>
      <c r="Q81" s="35"/>
      <c r="T81" s="431"/>
      <c r="U81" s="600">
        <f t="shared" si="22"/>
        <v>0</v>
      </c>
      <c r="V81" s="431"/>
    </row>
    <row r="82" spans="1:22" ht="14.25" customHeight="1" x14ac:dyDescent="0.35">
      <c r="A82" s="289" t="str">
        <f>+TableA1!A82</f>
        <v>Seychelles</v>
      </c>
      <c r="B82" s="311">
        <f t="shared" si="13"/>
        <v>8.3934530023510492E-2</v>
      </c>
      <c r="C82" s="91">
        <f t="shared" si="19"/>
        <v>0</v>
      </c>
      <c r="D82" s="46">
        <f>TableB2!E82</f>
        <v>0</v>
      </c>
      <c r="E82" s="48">
        <f>TableB2!I82</f>
        <v>0</v>
      </c>
      <c r="F82" s="398">
        <f t="shared" si="20"/>
        <v>4.7680870986000004E-2</v>
      </c>
      <c r="G82" s="46">
        <f>TableB2!D82</f>
        <v>4.8950505716000001E-2</v>
      </c>
      <c r="H82" s="46">
        <f>TableB2!H82</f>
        <v>1.2696347299999999E-3</v>
      </c>
      <c r="I82" s="399">
        <f>+TableB2!F82-TableB2!J82</f>
        <v>2.0434658993999995E-2</v>
      </c>
      <c r="J82" s="46">
        <f t="shared" si="21"/>
        <v>3.585027893684211E-3</v>
      </c>
      <c r="K82" s="46">
        <f t="shared" si="18"/>
        <v>1.2233972149826274E-2</v>
      </c>
      <c r="L82" s="400">
        <f>K82/B82</f>
        <v>0.14575612857306136</v>
      </c>
      <c r="M82" s="9">
        <f>TableA2!G82/(TableA2!G82+TableA2!D82)</f>
        <v>0.14575612857306136</v>
      </c>
      <c r="N82" s="285"/>
      <c r="O82" s="631">
        <f t="shared" si="16"/>
        <v>0.05</v>
      </c>
      <c r="P82" s="68">
        <f>TableA3!J82</f>
        <v>0.05</v>
      </c>
      <c r="Q82" s="35"/>
      <c r="T82" s="431"/>
      <c r="U82" s="600">
        <f t="shared" si="22"/>
        <v>0</v>
      </c>
      <c r="V82" s="431"/>
    </row>
    <row r="83" spans="1:22" x14ac:dyDescent="0.35">
      <c r="A83" s="264" t="s">
        <v>225</v>
      </c>
      <c r="B83" s="308">
        <f t="shared" si="13"/>
        <v>106.75588327715457</v>
      </c>
      <c r="C83" s="91">
        <f t="shared" si="19"/>
        <v>0</v>
      </c>
      <c r="D83" s="46">
        <f>TableB2!E83</f>
        <v>0</v>
      </c>
      <c r="E83" s="48">
        <f>TableB2!I83</f>
        <v>0</v>
      </c>
      <c r="F83" s="398">
        <f t="shared" si="20"/>
        <v>31.945558430361711</v>
      </c>
      <c r="G83" s="46">
        <f>TableB2!D83</f>
        <v>34.263951547629723</v>
      </c>
      <c r="H83" s="46">
        <f>TableB2!H83</f>
        <v>2.3183931172680117</v>
      </c>
      <c r="I83" s="399">
        <f>+TableB2!F83-TableB2!J83</f>
        <v>13.690953613012162</v>
      </c>
      <c r="J83" s="46">
        <f t="shared" si="21"/>
        <v>8.3338832237044933</v>
      </c>
      <c r="K83" s="46">
        <f t="shared" si="18"/>
        <v>52.7854880100762</v>
      </c>
      <c r="L83" s="400"/>
      <c r="M83" s="9">
        <f>TableA2!G83/(TableA2!G83+TableA2!D83)</f>
        <v>0.4944503889592391</v>
      </c>
      <c r="N83" s="9">
        <f>VLOOKUP(A83,TableA10!$A$8:$G$95,7,)/(VLOOKUP(A83,TableA10!$A$8:$G$95,7,)+VLOOKUP(A83,TableA10!$A$8:$G$95,4,)+VLOOKUP(A83,TableA10!$A$8:$G$95,5,))</f>
        <v>0.12427618328298086</v>
      </c>
      <c r="O83" s="631">
        <f t="shared" si="16"/>
        <v>0.15441582709304549</v>
      </c>
      <c r="P83" s="68">
        <f>TableA3!J83</f>
        <v>0.15441582709304549</v>
      </c>
      <c r="Q83" s="35"/>
      <c r="T83" s="431"/>
      <c r="U83" s="600">
        <f t="shared" si="22"/>
        <v>0</v>
      </c>
      <c r="V83" s="431"/>
    </row>
    <row r="84" spans="1:22" x14ac:dyDescent="0.35">
      <c r="A84" s="289" t="str">
        <f>+TableA1!A84</f>
        <v>St. Kitts and Nevis</v>
      </c>
      <c r="B84" s="311">
        <f t="shared" si="13"/>
        <v>3.7350371227657623E-4</v>
      </c>
      <c r="C84" s="91">
        <f t="shared" si="19"/>
        <v>0</v>
      </c>
      <c r="D84" s="46">
        <f>TableB2!E84</f>
        <v>0</v>
      </c>
      <c r="E84" s="48">
        <f>TableB2!I84</f>
        <v>0</v>
      </c>
      <c r="F84" s="398">
        <f t="shared" si="20"/>
        <v>2.1000000000000001E-4</v>
      </c>
      <c r="G84" s="46">
        <f>TableB2!D84</f>
        <v>2.1000000000000001E-4</v>
      </c>
      <c r="H84" s="46">
        <f>TableB2!H84</f>
        <v>0</v>
      </c>
      <c r="I84" s="399">
        <f>+TableB2!F84-TableB2!J84</f>
        <v>9.0000000000000006E-5</v>
      </c>
      <c r="J84" s="46">
        <f t="shared" si="21"/>
        <v>1.5789473684210529E-5</v>
      </c>
      <c r="K84" s="46">
        <f t="shared" si="18"/>
        <v>5.7714238592365656E-5</v>
      </c>
      <c r="L84" s="400"/>
      <c r="M84" s="9">
        <f>TableA2!G84/(TableA2!G84+TableA2!D84)</f>
        <v>0.15452119134395315</v>
      </c>
      <c r="N84" s="285"/>
      <c r="O84" s="631">
        <f t="shared" si="16"/>
        <v>0.05</v>
      </c>
      <c r="P84" s="68">
        <f>TableA3!J84</f>
        <v>0.05</v>
      </c>
      <c r="Q84" s="35"/>
      <c r="T84" s="431"/>
      <c r="U84" s="600">
        <f t="shared" si="22"/>
        <v>0</v>
      </c>
      <c r="V84" s="431"/>
    </row>
    <row r="85" spans="1:22" x14ac:dyDescent="0.35">
      <c r="A85" s="289" t="str">
        <f>+TableA1!A85</f>
        <v>St. Lucia</v>
      </c>
      <c r="B85" s="311">
        <f t="shared" si="13"/>
        <v>8.6036265576040702E-2</v>
      </c>
      <c r="C85" s="91">
        <f t="shared" si="19"/>
        <v>0</v>
      </c>
      <c r="D85" s="46">
        <f>TableB2!E85</f>
        <v>0</v>
      </c>
      <c r="E85" s="48">
        <f>TableB2!I85</f>
        <v>0</v>
      </c>
      <c r="F85" s="398">
        <f t="shared" si="20"/>
        <v>4.8579999999999998E-2</v>
      </c>
      <c r="G85" s="46">
        <f>TableB2!D85</f>
        <v>5.033E-2</v>
      </c>
      <c r="H85" s="46">
        <f>TableB2!H85</f>
        <v>1.75E-3</v>
      </c>
      <c r="I85" s="399">
        <f>+TableB2!F85-TableB2!J85</f>
        <v>2.0820000000000002E-2</v>
      </c>
      <c r="J85" s="46">
        <f t="shared" si="21"/>
        <v>3.6526315789473687E-3</v>
      </c>
      <c r="K85" s="46">
        <f t="shared" si="18"/>
        <v>1.2983633997093333E-2</v>
      </c>
      <c r="L85" s="400"/>
      <c r="M85" s="9">
        <f>TableA2!G85/(TableA2!G85+TableA2!D85)</f>
        <v>0.15090885117065103</v>
      </c>
      <c r="N85" s="285"/>
      <c r="O85" s="631">
        <f t="shared" si="16"/>
        <v>0.05</v>
      </c>
      <c r="P85" s="68">
        <f>TableA3!J85</f>
        <v>0.05</v>
      </c>
      <c r="Q85" s="35"/>
      <c r="T85" s="431"/>
      <c r="U85" s="600">
        <f t="shared" si="22"/>
        <v>0</v>
      </c>
      <c r="V85" s="431"/>
    </row>
    <row r="86" spans="1:22" x14ac:dyDescent="0.35">
      <c r="A86" s="289" t="str">
        <f>+TableA1!A86</f>
        <v>St. Vincent and the Grenadines</v>
      </c>
      <c r="B86" s="311">
        <f t="shared" si="13"/>
        <v>2.0383962300137334E-2</v>
      </c>
      <c r="C86" s="91">
        <f t="shared" si="19"/>
        <v>0</v>
      </c>
      <c r="D86" s="46">
        <f>TableB2!E86</f>
        <v>0</v>
      </c>
      <c r="E86" s="48">
        <f>TableB2!I86</f>
        <v>0</v>
      </c>
      <c r="F86" s="398">
        <f t="shared" si="20"/>
        <v>1.1410000000000002E-2</v>
      </c>
      <c r="G86" s="46">
        <f>TableB2!D86</f>
        <v>1.1410000000000002E-2</v>
      </c>
      <c r="H86" s="46">
        <f>TableB2!H86</f>
        <v>0</v>
      </c>
      <c r="I86" s="399">
        <f>+TableB2!F86-TableB2!J86</f>
        <v>4.8900000000000002E-3</v>
      </c>
      <c r="J86" s="46">
        <f t="shared" si="21"/>
        <v>8.5789473684210545E-4</v>
      </c>
      <c r="K86" s="46">
        <f t="shared" si="18"/>
        <v>3.2260675632952264E-3</v>
      </c>
      <c r="L86" s="400"/>
      <c r="M86" s="9">
        <f>TableA2!G86/(TableA2!G86+TableA2!D86)</f>
        <v>0.15826498870994729</v>
      </c>
      <c r="N86" s="285"/>
      <c r="O86" s="631">
        <f t="shared" si="16"/>
        <v>0.05</v>
      </c>
      <c r="P86" s="68">
        <f>TableA3!J86</f>
        <v>0.05</v>
      </c>
      <c r="Q86" s="35"/>
      <c r="T86" s="431"/>
      <c r="U86" s="600">
        <f t="shared" si="22"/>
        <v>0</v>
      </c>
      <c r="V86" s="431"/>
    </row>
    <row r="87" spans="1:22" x14ac:dyDescent="0.35">
      <c r="A87" s="289" t="str">
        <f>+TableA1!A87</f>
        <v>Turks and Caicos</v>
      </c>
      <c r="B87" s="311">
        <f t="shared" si="13"/>
        <v>0</v>
      </c>
      <c r="C87" s="91">
        <f t="shared" si="19"/>
        <v>0</v>
      </c>
      <c r="D87" s="46">
        <f>TableB2!E87</f>
        <v>0</v>
      </c>
      <c r="E87" s="48">
        <f>TableB2!I87</f>
        <v>0</v>
      </c>
      <c r="F87" s="398">
        <f t="shared" si="20"/>
        <v>0</v>
      </c>
      <c r="G87" s="46">
        <f>TableB2!D87</f>
        <v>0</v>
      </c>
      <c r="H87" s="46">
        <f>TableB2!H87</f>
        <v>0</v>
      </c>
      <c r="I87" s="399">
        <f>+TableB2!F87-TableB2!J87</f>
        <v>0</v>
      </c>
      <c r="J87" s="46">
        <f t="shared" si="21"/>
        <v>0</v>
      </c>
      <c r="K87" s="46">
        <f t="shared" si="18"/>
        <v>0</v>
      </c>
      <c r="L87" s="400"/>
      <c r="M87" s="9">
        <f>TableA2!G87/(TableA2!G87+TableA2!D87)</f>
        <v>0.18507211580273081</v>
      </c>
      <c r="N87" s="285"/>
      <c r="O87" s="631">
        <f t="shared" si="16"/>
        <v>0</v>
      </c>
      <c r="P87" s="68">
        <f>TableA3!J87</f>
        <v>0</v>
      </c>
      <c r="Q87" s="35"/>
      <c r="T87" s="431"/>
      <c r="U87" s="600">
        <f t="shared" si="22"/>
        <v>0</v>
      </c>
      <c r="V87" s="431"/>
    </row>
    <row r="88" spans="1:22" x14ac:dyDescent="0.35">
      <c r="A88" s="289" t="str">
        <f>+TableA1!A88</f>
        <v>Panama</v>
      </c>
      <c r="B88" s="311">
        <f t="shared" si="13"/>
        <v>4.3632064881005412</v>
      </c>
      <c r="C88" s="91">
        <f t="shared" si="19"/>
        <v>0</v>
      </c>
      <c r="D88" s="46">
        <f>TableB2!E88</f>
        <v>0</v>
      </c>
      <c r="E88" s="48">
        <f>TableB2!I88</f>
        <v>0</v>
      </c>
      <c r="F88" s="398">
        <f t="shared" si="20"/>
        <v>2.3465973257867718</v>
      </c>
      <c r="G88" s="46">
        <f>TableB2!D88</f>
        <v>2.9539999999999997</v>
      </c>
      <c r="H88" s="46">
        <f>TableB2!H88</f>
        <v>0.60740267421322791</v>
      </c>
      <c r="I88" s="399">
        <f>+TableB2!F88-TableB2!J88</f>
        <v>1.0056845681943307</v>
      </c>
      <c r="J88" s="46">
        <f t="shared" si="21"/>
        <v>0.17643588915690014</v>
      </c>
      <c r="K88" s="46">
        <f t="shared" si="18"/>
        <v>0.83448870496253824</v>
      </c>
      <c r="L88" s="400">
        <f>K88/B88</f>
        <v>0.19125583610089947</v>
      </c>
      <c r="M88" s="9">
        <f>TableA2!G88/(TableA2!G88+TableA2!D88)</f>
        <v>0.19125583610089947</v>
      </c>
      <c r="N88" s="9">
        <f>VLOOKUP(A88,TableA10!$A$8:$G$95,7,)/(VLOOKUP(A88,TableA10!$A$8:$G$95,7,)+VLOOKUP(A88,TableA10!$A$8:$G$95,4,)+VLOOKUP(A88,TableA10!$A$8:$G$95,5,))</f>
        <v>1.3405797101449275</v>
      </c>
      <c r="O88" s="631">
        <f t="shared" si="16"/>
        <v>0.05</v>
      </c>
      <c r="P88" s="68">
        <f>TableA3!J88</f>
        <v>0.05</v>
      </c>
      <c r="Q88" s="35"/>
      <c r="T88" s="431"/>
      <c r="U88" s="600">
        <f t="shared" si="22"/>
        <v>0</v>
      </c>
      <c r="V88" s="431"/>
    </row>
    <row r="89" spans="1:22" x14ac:dyDescent="0.35">
      <c r="A89" s="264" t="s">
        <v>290</v>
      </c>
      <c r="B89" s="311">
        <f t="shared" si="13"/>
        <v>43.19704054805527</v>
      </c>
      <c r="C89" s="397">
        <f>D89-E89</f>
        <v>0</v>
      </c>
      <c r="D89" s="46">
        <f>TableB2!E89</f>
        <v>0</v>
      </c>
      <c r="E89" s="48">
        <f>TableB2!I89</f>
        <v>0</v>
      </c>
      <c r="F89" s="398">
        <f>G89-H89</f>
        <v>24.341380000000001</v>
      </c>
      <c r="G89" s="46">
        <f>TableB2!D89</f>
        <v>24.588760000000001</v>
      </c>
      <c r="H89" s="46">
        <f>TableB2!H89</f>
        <v>0.24737999999999999</v>
      </c>
      <c r="I89" s="399">
        <f>+TableB2!F89-TableB2!J89</f>
        <v>10.432020000000001</v>
      </c>
      <c r="J89" s="46">
        <f>O89/(1-O89)*(F89+I89)</f>
        <v>1.1843997377405751</v>
      </c>
      <c r="K89" s="46">
        <f t="shared" si="18"/>
        <v>7.2392408103146941</v>
      </c>
      <c r="L89" s="400">
        <f>K89/B89</f>
        <v>0.16758649940986767</v>
      </c>
      <c r="M89" s="9">
        <f>TableA2!G89/(TableA2!G89+TableA2!D89)</f>
        <v>0.16758649940986764</v>
      </c>
      <c r="N89" s="285"/>
      <c r="O89" s="631">
        <f t="shared" si="16"/>
        <v>3.2938604318924807E-2</v>
      </c>
      <c r="P89" s="68">
        <f>TableA3!J89</f>
        <v>3.2938604318924807E-2</v>
      </c>
      <c r="Q89" s="35"/>
      <c r="T89" s="597">
        <f>C89-(D89-E89)</f>
        <v>0</v>
      </c>
      <c r="U89" s="600">
        <f t="shared" si="22"/>
        <v>0</v>
      </c>
      <c r="V89" s="431"/>
    </row>
    <row r="90" spans="1:22" ht="40" customHeight="1" x14ac:dyDescent="0.35">
      <c r="A90" s="585" t="s">
        <v>498</v>
      </c>
      <c r="B90" s="586">
        <f>TableA4!E90</f>
        <v>177.76425731715625</v>
      </c>
      <c r="C90" s="612">
        <f>$B90*C45/$B45</f>
        <v>10.288808649588438</v>
      </c>
      <c r="D90" s="610"/>
      <c r="E90" s="610"/>
      <c r="F90" s="617">
        <f>$B90*F45/$B45</f>
        <v>71.329024464509786</v>
      </c>
      <c r="G90" s="622">
        <f>TableB2!D90</f>
        <v>112.65635300127109</v>
      </c>
      <c r="H90" s="610">
        <f>TableB2!H90</f>
        <v>13.403242844108608</v>
      </c>
      <c r="I90" s="617">
        <f>$B90*I45/$B45</f>
        <v>20.647420484016745</v>
      </c>
      <c r="J90" s="610">
        <f>$B90*J45/$B45</f>
        <v>22.206725319517055</v>
      </c>
      <c r="K90" s="610">
        <f>$B90*K45/$B45</f>
        <v>53.292278399524236</v>
      </c>
      <c r="L90" s="613">
        <f>K90/B90</f>
        <v>0.29979186594548851</v>
      </c>
      <c r="M90" s="614">
        <f>TableA2!G90/(TableA2!G90+TableA2!D90)</f>
        <v>0.30998685314337643</v>
      </c>
      <c r="N90" s="615"/>
      <c r="O90" s="637">
        <f>J90/(B90-K90-C90)</f>
        <v>0.19448334870530432</v>
      </c>
      <c r="P90" s="611">
        <f>TableA3!J90</f>
        <v>0.18757638370366683</v>
      </c>
      <c r="Q90" s="616"/>
      <c r="T90" s="597"/>
      <c r="U90" s="600">
        <f t="shared" si="22"/>
        <v>0</v>
      </c>
      <c r="V90" s="431"/>
    </row>
    <row r="91" spans="1:22" ht="40" customHeight="1" thickBot="1" x14ac:dyDescent="0.4">
      <c r="A91" s="584" t="s">
        <v>499</v>
      </c>
      <c r="B91" s="609">
        <f>TableA4!E91</f>
        <v>2461.7056867330912</v>
      </c>
      <c r="C91" s="647">
        <f>C90+C53+C45+C9</f>
        <v>81.128710353781472</v>
      </c>
      <c r="D91" s="79"/>
      <c r="E91" s="580"/>
      <c r="F91" s="608">
        <f>F90+F53+F45+F9</f>
        <v>702.10208499047189</v>
      </c>
      <c r="G91" s="623"/>
      <c r="H91" s="79"/>
      <c r="I91" s="608">
        <f>I90+I53+I45+I9</f>
        <v>380.41147122022784</v>
      </c>
      <c r="J91" s="618">
        <f>J90+J53+J45+J9</f>
        <v>264.58600905513589</v>
      </c>
      <c r="K91" s="618">
        <f>K90+K53+K45+K9</f>
        <v>1051.0775690465673</v>
      </c>
      <c r="L91" s="619">
        <f t="shared" ref="L91" si="23">K91/B91</f>
        <v>0.42697125603241526</v>
      </c>
      <c r="M91" s="620">
        <f>TableA2!G91/(TableA2!G91+TableA2!D91)</f>
        <v>0.37792684078795064</v>
      </c>
      <c r="N91" s="621">
        <f>TableA10!G8/(TableA10!B8-TableA10!F8-TableA10!C8)</f>
        <v>0.2505997410030088</v>
      </c>
      <c r="O91" s="640">
        <f>J91/(B91-C91-K91)</f>
        <v>0.19901175404504431</v>
      </c>
      <c r="P91" s="639">
        <f>TableA3!J91</f>
        <v>0.19214345956509857</v>
      </c>
      <c r="Q91" s="638">
        <f>TableA11!L9</f>
        <v>0.18939162621434846</v>
      </c>
      <c r="T91" s="597"/>
      <c r="U91" s="600">
        <f t="shared" si="22"/>
        <v>-17.600157933093442</v>
      </c>
      <c r="V91" s="431"/>
    </row>
    <row r="92" spans="1:22" ht="16" thickTop="1" x14ac:dyDescent="0.35">
      <c r="A92" s="581"/>
      <c r="B92" s="102"/>
      <c r="C92" s="91"/>
      <c r="D92" s="46"/>
      <c r="E92" s="48"/>
      <c r="F92" s="91"/>
      <c r="G92" s="46"/>
      <c r="H92" s="46"/>
      <c r="I92" s="103"/>
      <c r="J92" s="46"/>
      <c r="K92" s="46"/>
      <c r="L92" s="9"/>
      <c r="M92" s="9"/>
      <c r="N92" s="285"/>
      <c r="O92" s="582"/>
      <c r="P92" s="68"/>
      <c r="Q92" s="8"/>
    </row>
    <row r="93" spans="1:22" s="2" customFormat="1" ht="16" thickBot="1" x14ac:dyDescent="0.4">
      <c r="B93" s="1"/>
      <c r="C93" s="1"/>
      <c r="D93" s="1"/>
      <c r="E93" s="1"/>
      <c r="F93" s="1"/>
      <c r="G93" s="1"/>
      <c r="H93" s="1"/>
      <c r="I93" s="1"/>
      <c r="J93" s="1"/>
      <c r="K93" s="1"/>
      <c r="O93" s="1"/>
      <c r="P93" s="1"/>
      <c r="Q93" s="1"/>
    </row>
    <row r="94" spans="1:22" s="2" customFormat="1" ht="50.25" customHeight="1" x14ac:dyDescent="0.35">
      <c r="A94" s="2146" t="s">
        <v>230</v>
      </c>
      <c r="B94" s="2147"/>
      <c r="C94" s="2147"/>
      <c r="D94" s="2147"/>
      <c r="E94" s="2147"/>
      <c r="F94" s="2147"/>
      <c r="G94" s="2147"/>
      <c r="H94" s="2147"/>
      <c r="I94" s="2147"/>
      <c r="J94" s="2147"/>
      <c r="K94" s="2147"/>
      <c r="L94" s="2147"/>
      <c r="M94" s="2147"/>
      <c r="N94" s="2147"/>
      <c r="O94" s="2147"/>
      <c r="P94" s="2147"/>
      <c r="Q94" s="2148"/>
    </row>
    <row r="95" spans="1:22" s="2" customFormat="1" ht="30" customHeight="1" x14ac:dyDescent="0.35">
      <c r="A95" s="2143" t="s">
        <v>231</v>
      </c>
      <c r="B95" s="2144"/>
      <c r="C95" s="2144"/>
      <c r="D95" s="2144"/>
      <c r="E95" s="2144"/>
      <c r="F95" s="2144"/>
      <c r="G95" s="2144"/>
      <c r="H95" s="2144"/>
      <c r="I95" s="2144"/>
      <c r="J95" s="2144"/>
      <c r="K95" s="2144"/>
      <c r="L95" s="2144"/>
      <c r="M95" s="2144"/>
      <c r="N95" s="2144"/>
      <c r="O95" s="2144"/>
      <c r="P95" s="2144"/>
      <c r="Q95" s="2145"/>
    </row>
    <row r="96" spans="1:22" s="2" customFormat="1" ht="33" customHeight="1" thickBot="1" x14ac:dyDescent="0.4">
      <c r="A96" s="2140" t="s">
        <v>618</v>
      </c>
      <c r="B96" s="2141"/>
      <c r="C96" s="2141"/>
      <c r="D96" s="2141"/>
      <c r="E96" s="2141"/>
      <c r="F96" s="2141"/>
      <c r="G96" s="2141"/>
      <c r="H96" s="2141"/>
      <c r="I96" s="2141"/>
      <c r="J96" s="2141"/>
      <c r="K96" s="2141"/>
      <c r="L96" s="2141"/>
      <c r="M96" s="2141"/>
      <c r="N96" s="2141"/>
      <c r="O96" s="2141"/>
      <c r="P96" s="2141"/>
      <c r="Q96" s="2142"/>
    </row>
    <row r="97" spans="1:17" s="2" customFormat="1" x14ac:dyDescent="0.35">
      <c r="A97" s="1"/>
      <c r="B97" s="1"/>
      <c r="C97" s="1"/>
      <c r="D97" s="1"/>
      <c r="E97" s="1"/>
      <c r="F97" s="1"/>
      <c r="G97" s="1"/>
      <c r="H97" s="1"/>
      <c r="I97" s="1"/>
      <c r="J97" s="1"/>
      <c r="K97" s="1"/>
      <c r="O97" s="1"/>
      <c r="P97" s="1"/>
      <c r="Q97" s="1"/>
    </row>
    <row r="98" spans="1:17" s="2" customFormat="1" x14ac:dyDescent="0.35">
      <c r="A98" s="1"/>
      <c r="B98" s="1"/>
      <c r="C98" s="1"/>
      <c r="D98" s="1"/>
      <c r="E98" s="1"/>
      <c r="F98" s="1"/>
      <c r="G98" s="1"/>
      <c r="H98" s="1"/>
      <c r="I98" s="1"/>
      <c r="J98" s="1"/>
      <c r="K98" s="1"/>
      <c r="O98" s="1"/>
      <c r="P98" s="1"/>
      <c r="Q98" s="1"/>
    </row>
    <row r="100" spans="1:17" s="2" customFormat="1" x14ac:dyDescent="0.35">
      <c r="A100" s="1"/>
      <c r="B100" s="1"/>
      <c r="C100" s="1"/>
      <c r="D100" s="1"/>
      <c r="E100" s="1"/>
      <c r="F100" s="1"/>
      <c r="G100" s="1"/>
      <c r="H100" s="1"/>
      <c r="I100" s="1"/>
      <c r="J100" s="1"/>
      <c r="K100" s="1"/>
      <c r="O100" s="1"/>
      <c r="P100" s="1"/>
      <c r="Q100" s="1"/>
    </row>
  </sheetData>
  <mergeCells count="19">
    <mergeCell ref="O7:O8"/>
    <mergeCell ref="P7:P8"/>
    <mergeCell ref="Q7:Q8"/>
    <mergeCell ref="A96:Q96"/>
    <mergeCell ref="A95:Q95"/>
    <mergeCell ref="A94:Q94"/>
    <mergeCell ref="B6:K6"/>
    <mergeCell ref="A3:Q3"/>
    <mergeCell ref="B7:B8"/>
    <mergeCell ref="C7:C8"/>
    <mergeCell ref="F7:F8"/>
    <mergeCell ref="I7:I8"/>
    <mergeCell ref="J7:J8"/>
    <mergeCell ref="K7:K8"/>
    <mergeCell ref="L6:N6"/>
    <mergeCell ref="L7:L8"/>
    <mergeCell ref="M7:M8"/>
    <mergeCell ref="N7:N8"/>
    <mergeCell ref="O6:Q6"/>
  </mergeCells>
  <pageMargins left="0.9055118110236221" right="0.9055118110236221" top="0.74803149606299213" bottom="0.74803149606299213" header="0.31496062992125984" footer="0.31496062992125984"/>
  <pageSetup scale="48" fitToHeight="0" orientation="landscape" horizontalDpi="4294967292" verticalDpi="4294967292"/>
  <ignoredErrors>
    <ignoredError sqref="O11:O12 O15:O22 O24 O26 O28:O30 O34:O44 O32" evalError="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M100"/>
  <sheetViews>
    <sheetView tabSelected="1" workbookViewId="0">
      <pane xSplit="1" ySplit="8" topLeftCell="B10" activePane="bottomRight" state="frozen"/>
      <selection activeCell="AR8" sqref="AR8"/>
      <selection pane="topRight" activeCell="AR8" sqref="AR8"/>
      <selection pane="bottomLeft" activeCell="AR8" sqref="AR8"/>
      <selection pane="bottomRight" activeCell="L20" sqref="L20"/>
    </sheetView>
  </sheetViews>
  <sheetFormatPr baseColWidth="10" defaultColWidth="10.81640625" defaultRowHeight="15.5" x14ac:dyDescent="0.35"/>
  <cols>
    <col min="1" max="1" width="19" style="1" customWidth="1"/>
    <col min="2" max="10" width="11.36328125" style="1" customWidth="1"/>
    <col min="11" max="11" width="11.36328125" style="1974" customWidth="1"/>
    <col min="12" max="12" width="10.81640625" style="1974"/>
    <col min="13" max="16384" width="10.81640625" style="1"/>
  </cols>
  <sheetData>
    <row r="1" spans="1:13" x14ac:dyDescent="0.35">
      <c r="F1" s="27"/>
      <c r="G1" s="27"/>
      <c r="H1" s="27"/>
      <c r="I1" s="27"/>
      <c r="J1" s="27"/>
      <c r="K1" s="2592"/>
    </row>
    <row r="2" spans="1:13" ht="16" thickBot="1" x14ac:dyDescent="0.4"/>
    <row r="3" spans="1:13" ht="32.25" customHeight="1" thickTop="1" x14ac:dyDescent="0.35">
      <c r="A3" s="2048" t="s">
        <v>525</v>
      </c>
      <c r="B3" s="2049"/>
      <c r="C3" s="2049"/>
      <c r="D3" s="2049"/>
      <c r="E3" s="2049"/>
      <c r="F3" s="2049"/>
      <c r="G3" s="2049"/>
      <c r="H3" s="2049"/>
      <c r="I3" s="2049"/>
      <c r="J3" s="2049"/>
      <c r="K3" s="2049"/>
      <c r="L3" s="2050"/>
    </row>
    <row r="4" spans="1:13" ht="12" customHeight="1" x14ac:dyDescent="0.35">
      <c r="A4" s="11"/>
      <c r="B4" s="1094"/>
      <c r="C4" s="1094"/>
      <c r="D4" s="1094"/>
      <c r="E4" s="1094"/>
      <c r="F4" s="1094"/>
      <c r="G4" s="1094"/>
      <c r="H4" s="1094"/>
      <c r="I4" s="1094"/>
      <c r="J4" s="1094"/>
      <c r="K4" s="2593"/>
      <c r="L4" s="2003"/>
    </row>
    <row r="5" spans="1:13" x14ac:dyDescent="0.35">
      <c r="A5" s="13"/>
      <c r="B5" s="10" t="s">
        <v>20</v>
      </c>
      <c r="C5" s="10" t="s">
        <v>21</v>
      </c>
      <c r="D5" s="10" t="s">
        <v>22</v>
      </c>
      <c r="E5" s="10" t="s">
        <v>23</v>
      </c>
      <c r="F5" s="10" t="s">
        <v>24</v>
      </c>
      <c r="G5" s="10" t="s">
        <v>25</v>
      </c>
      <c r="H5" s="10" t="s">
        <v>26</v>
      </c>
      <c r="I5" s="10" t="s">
        <v>33</v>
      </c>
      <c r="J5" s="10" t="s">
        <v>34</v>
      </c>
      <c r="K5" s="2594" t="s">
        <v>37</v>
      </c>
      <c r="L5" s="2595" t="s">
        <v>105</v>
      </c>
    </row>
    <row r="6" spans="1:13" ht="21" customHeight="1" x14ac:dyDescent="0.35">
      <c r="A6" s="13"/>
      <c r="B6" s="2149" t="s">
        <v>52</v>
      </c>
      <c r="C6" s="2150"/>
      <c r="D6" s="2150"/>
      <c r="E6" s="2150"/>
      <c r="F6" s="2150"/>
      <c r="G6" s="2150"/>
      <c r="H6" s="2150"/>
      <c r="I6" s="2150"/>
      <c r="J6" s="2150"/>
      <c r="K6" s="2150"/>
      <c r="L6" s="2596" t="s">
        <v>616</v>
      </c>
    </row>
    <row r="7" spans="1:13" ht="85" customHeight="1" x14ac:dyDescent="0.35">
      <c r="A7" s="13"/>
      <c r="B7" s="2152" t="s">
        <v>523</v>
      </c>
      <c r="C7" s="659" t="s">
        <v>522</v>
      </c>
      <c r="D7" s="1012" t="s">
        <v>597</v>
      </c>
      <c r="E7" s="2174" t="s">
        <v>814</v>
      </c>
      <c r="F7" s="2175" t="s">
        <v>177</v>
      </c>
      <c r="G7" s="2176" t="s">
        <v>293</v>
      </c>
      <c r="H7" s="2175" t="s">
        <v>184</v>
      </c>
      <c r="I7" s="1091" t="s">
        <v>183</v>
      </c>
      <c r="J7" s="1092" t="s">
        <v>292</v>
      </c>
      <c r="K7" s="2597" t="s">
        <v>524</v>
      </c>
      <c r="L7" s="2598"/>
    </row>
    <row r="8" spans="1:13" ht="33" customHeight="1" x14ac:dyDescent="0.35">
      <c r="A8" s="13"/>
      <c r="B8" s="2177"/>
      <c r="C8" s="28"/>
      <c r="D8" s="28"/>
      <c r="E8" s="2174"/>
      <c r="F8" s="2137"/>
      <c r="G8" s="2137"/>
      <c r="H8" s="2137"/>
      <c r="I8" s="1090"/>
      <c r="J8" s="1090"/>
      <c r="K8" s="2597"/>
      <c r="L8" s="2598"/>
    </row>
    <row r="9" spans="1:13" ht="40" customHeight="1" x14ac:dyDescent="0.35">
      <c r="A9" s="39" t="s">
        <v>98</v>
      </c>
      <c r="B9" s="681">
        <f>C9+D9</f>
        <v>6449.286986082956</v>
      </c>
      <c r="C9" s="660">
        <f t="shared" ref="C9:J9" si="0">SUM(C10:C44)</f>
        <v>6329.8496989524356</v>
      </c>
      <c r="D9" s="660">
        <f t="shared" si="0"/>
        <v>119.4372871305205</v>
      </c>
      <c r="E9" s="649">
        <f t="shared" si="0"/>
        <v>956.10086642796193</v>
      </c>
      <c r="F9" s="648">
        <f t="shared" si="0"/>
        <v>831.08377315482733</v>
      </c>
      <c r="G9" s="648">
        <f t="shared" si="0"/>
        <v>5.5798061426140979</v>
      </c>
      <c r="H9" s="648">
        <f t="shared" si="0"/>
        <v>119.4372871305205</v>
      </c>
      <c r="I9" s="648">
        <f t="shared" si="0"/>
        <v>102.3350799768593</v>
      </c>
      <c r="J9" s="648">
        <f t="shared" si="0"/>
        <v>17.102207153661201</v>
      </c>
      <c r="K9" s="2599">
        <f>B9-E9</f>
        <v>5493.1861196549944</v>
      </c>
      <c r="L9" s="2600">
        <f>TableA3!H9/TableA6!B9</f>
        <v>0.18501018092140112</v>
      </c>
      <c r="M9" s="1">
        <f>(0.25-L9)*K9</f>
        <v>357.00117208144871</v>
      </c>
    </row>
    <row r="10" spans="1:13" ht="14.25" customHeight="1" x14ac:dyDescent="0.35">
      <c r="A10" s="95" t="s">
        <v>54</v>
      </c>
      <c r="B10" s="682">
        <f t="shared" ref="B10:B73" si="1">C10+D10</f>
        <v>178.84741076861815</v>
      </c>
      <c r="C10" s="112">
        <f>TableA3!B10</f>
        <v>178.84741076861815</v>
      </c>
      <c r="D10" s="667">
        <f>H10</f>
        <v>0</v>
      </c>
      <c r="E10" s="311">
        <f>F10+G10+H10</f>
        <v>28.299110069424813</v>
      </c>
      <c r="F10" s="8">
        <f>TableA5!F10+TableA5!I10+TableA5!J10</f>
        <v>28.299110069424813</v>
      </c>
      <c r="G10" s="102">
        <f>TableB5!C10+TableB5!E10-(TableB5!G10+TableB5!I10)</f>
        <v>0</v>
      </c>
      <c r="H10" s="854">
        <f t="shared" ref="H10:H44" si="2">I10+J10</f>
        <v>0</v>
      </c>
      <c r="I10" s="650"/>
      <c r="J10" s="650"/>
      <c r="K10" s="2007">
        <f t="shared" ref="K10:K52" si="3">B10-E10</f>
        <v>150.54830069919333</v>
      </c>
      <c r="L10" s="2600">
        <f>TableA3!H10/TableA6!B10</f>
        <v>0.29682183632835152</v>
      </c>
      <c r="M10" s="1">
        <f t="shared" ref="M10:M73" si="4">(0.25-L10)*K10</f>
        <v>-7.0489478948490785</v>
      </c>
    </row>
    <row r="11" spans="1:13" ht="14.25" customHeight="1" x14ac:dyDescent="0.35">
      <c r="A11" s="95" t="s">
        <v>55</v>
      </c>
      <c r="B11" s="682">
        <f t="shared" si="1"/>
        <v>47.957043627358011</v>
      </c>
      <c r="C11" s="112">
        <f>TableA3!B11</f>
        <v>47.957043627358011</v>
      </c>
      <c r="D11" s="667">
        <f t="shared" ref="D11:D44" si="5">H11</f>
        <v>0</v>
      </c>
      <c r="E11" s="311">
        <f>F11+G11+H11</f>
        <v>11.294821742987047</v>
      </c>
      <c r="F11" s="8">
        <f>TableA5!F11+TableA5!I11+TableA5!J11</f>
        <v>11.36803305746286</v>
      </c>
      <c r="G11" s="102">
        <f>TableB5!C11+TableB5!E11-(TableB5!G11+TableB5!I11)</f>
        <v>-7.3211314475813083E-2</v>
      </c>
      <c r="H11" s="854">
        <f t="shared" si="2"/>
        <v>0</v>
      </c>
      <c r="I11" s="650"/>
      <c r="J11" s="650"/>
      <c r="K11" s="2007">
        <f t="shared" si="3"/>
        <v>36.662221884370965</v>
      </c>
      <c r="L11" s="2600">
        <f>TableA3!H11/TableA6!B11</f>
        <v>0.1771303557511523</v>
      </c>
      <c r="M11" s="1">
        <f t="shared" si="4"/>
        <v>2.6715630660864309</v>
      </c>
    </row>
    <row r="12" spans="1:13" ht="14.25" customHeight="1" x14ac:dyDescent="0.35">
      <c r="A12" s="95" t="s">
        <v>2</v>
      </c>
      <c r="B12" s="682">
        <f t="shared" si="1"/>
        <v>80.241889758299209</v>
      </c>
      <c r="C12" s="112">
        <f>TableA3!B12</f>
        <v>76.673664877742027</v>
      </c>
      <c r="D12" s="667">
        <f t="shared" si="5"/>
        <v>3.5682248805571826</v>
      </c>
      <c r="E12" s="311">
        <f t="shared" ref="E12:E44" si="6">F12+G12+H12</f>
        <v>32.206747942780808</v>
      </c>
      <c r="F12" s="8">
        <f>TableA5!F12+TableA5!I12+TableA5!J12</f>
        <v>24.038987248077127</v>
      </c>
      <c r="G12" s="102">
        <f>TableB5!C12+TableB5!E12-(TableB5!G12+TableB5!I12)</f>
        <v>4.5995358141464999</v>
      </c>
      <c r="H12" s="854">
        <f>I12+J12</f>
        <v>3.5682248805571826</v>
      </c>
      <c r="I12" s="854">
        <f>(TableA5!O12+1)*TableB10!$J$12/1000</f>
        <v>3.5682248805571826</v>
      </c>
      <c r="J12" s="856">
        <f>MAX((TableA5!O12+1)*TableB10!$K$12,0)/1000</f>
        <v>0</v>
      </c>
      <c r="K12" s="2007">
        <f>B12-E12</f>
        <v>48.035141815518401</v>
      </c>
      <c r="L12" s="2600">
        <f>TableA3!H12/TableA6!B12</f>
        <v>0.18742426983704405</v>
      </c>
      <c r="M12" s="1">
        <f t="shared" si="4"/>
        <v>3.0058340725872013</v>
      </c>
    </row>
    <row r="13" spans="1:13" ht="14.25" customHeight="1" x14ac:dyDescent="0.35">
      <c r="A13" s="95" t="s">
        <v>56</v>
      </c>
      <c r="B13" s="682">
        <f t="shared" si="1"/>
        <v>142.9569900038934</v>
      </c>
      <c r="C13" s="112">
        <f>TableA3!B13</f>
        <v>142.9569900038934</v>
      </c>
      <c r="D13" s="667">
        <f t="shared" si="5"/>
        <v>0</v>
      </c>
      <c r="E13" s="311">
        <f t="shared" si="6"/>
        <v>46.935942392007277</v>
      </c>
      <c r="F13" s="8">
        <f>TableA5!F13+TableA5!I13+TableA5!J13</f>
        <v>46.935942392007277</v>
      </c>
      <c r="G13" s="102">
        <f>TableB5!C13+TableB5!E13-(TableB5!G13+TableB5!I13)</f>
        <v>0</v>
      </c>
      <c r="H13" s="854">
        <f t="shared" si="2"/>
        <v>0</v>
      </c>
      <c r="I13" s="650"/>
      <c r="J13" s="650"/>
      <c r="K13" s="2007">
        <f t="shared" si="3"/>
        <v>96.021047611886118</v>
      </c>
      <c r="L13" s="2600">
        <f>TableA3!H13/TableA6!B13</f>
        <v>0.34611388196176218</v>
      </c>
      <c r="M13" s="1">
        <f t="shared" si="4"/>
        <v>-9.2289556360135681</v>
      </c>
    </row>
    <row r="14" spans="1:13" x14ac:dyDescent="0.35">
      <c r="A14" s="95" t="s">
        <v>57</v>
      </c>
      <c r="B14" s="682">
        <f t="shared" si="1"/>
        <v>67.542484958596845</v>
      </c>
      <c r="C14" s="112">
        <f>TableA3!B14</f>
        <v>67.542484958596845</v>
      </c>
      <c r="D14" s="667">
        <f t="shared" si="5"/>
        <v>0</v>
      </c>
      <c r="E14" s="311">
        <f t="shared" si="6"/>
        <v>9.8951445885655183</v>
      </c>
      <c r="F14" s="8">
        <f>TableA5!F14+TableA5!I14+TableA5!J14</f>
        <v>9.8952275885673977</v>
      </c>
      <c r="G14" s="102">
        <f>TableB5!C14+TableB5!E14-(TableB5!G14+TableB5!I14)</f>
        <v>-8.3000001879995899E-5</v>
      </c>
      <c r="H14" s="854">
        <f t="shared" si="2"/>
        <v>0</v>
      </c>
      <c r="I14" s="266"/>
      <c r="J14" s="266"/>
      <c r="K14" s="2601">
        <f t="shared" si="3"/>
        <v>57.64734037003133</v>
      </c>
      <c r="L14" s="2600">
        <f>TableA3!H14/TableA6!B14</f>
        <v>0.15479746660886656</v>
      </c>
      <c r="M14" s="1">
        <f t="shared" si="4"/>
        <v>5.4881728464879425</v>
      </c>
    </row>
    <row r="15" spans="1:13" x14ac:dyDescent="0.35">
      <c r="A15" s="95" t="s">
        <v>58</v>
      </c>
      <c r="B15" s="682">
        <f t="shared" si="1"/>
        <v>33.577437877940952</v>
      </c>
      <c r="C15" s="112">
        <f>TableA3!B15</f>
        <v>33.577437877940952</v>
      </c>
      <c r="D15" s="667">
        <f t="shared" si="5"/>
        <v>0</v>
      </c>
      <c r="E15" s="311">
        <f t="shared" si="6"/>
        <v>17.490778418103861</v>
      </c>
      <c r="F15" s="8">
        <f>TableA5!F15+TableA5!I15+TableA5!J15</f>
        <v>17.490778418103861</v>
      </c>
      <c r="G15" s="102">
        <f>TableB5!C15+TableB5!E15-(TableB5!G15+TableB5!I15)</f>
        <v>0</v>
      </c>
      <c r="H15" s="854">
        <f t="shared" si="2"/>
        <v>0</v>
      </c>
      <c r="I15" s="266"/>
      <c r="J15" s="266"/>
      <c r="K15" s="2601">
        <f t="shared" si="3"/>
        <v>16.08665945983709</v>
      </c>
      <c r="L15" s="2600">
        <f>TableA3!H15/TableA6!B15</f>
        <v>0.19987578983562221</v>
      </c>
      <c r="M15" s="1">
        <f t="shared" si="4"/>
        <v>0.80633109960765048</v>
      </c>
    </row>
    <row r="16" spans="1:13" x14ac:dyDescent="0.35">
      <c r="A16" s="95" t="s">
        <v>59</v>
      </c>
      <c r="B16" s="682">
        <f t="shared" si="1"/>
        <v>51.69259919912686</v>
      </c>
      <c r="C16" s="112">
        <f>TableA3!B16</f>
        <v>51.69259919912686</v>
      </c>
      <c r="D16" s="667">
        <f t="shared" si="5"/>
        <v>0</v>
      </c>
      <c r="E16" s="311">
        <f t="shared" si="6"/>
        <v>5.1092950429719881</v>
      </c>
      <c r="F16" s="8">
        <f>TableA5!F16+TableA5!I16+TableA5!J16</f>
        <v>5.0542797278977876</v>
      </c>
      <c r="G16" s="102">
        <f>TableB5!C16+TableB5!E16-(TableB5!G16+TableB5!I16)</f>
        <v>5.50153150742001E-2</v>
      </c>
      <c r="H16" s="854">
        <f t="shared" si="2"/>
        <v>0</v>
      </c>
      <c r="I16" s="266"/>
      <c r="J16" s="266"/>
      <c r="K16" s="2601">
        <f t="shared" si="3"/>
        <v>46.583304156154874</v>
      </c>
      <c r="L16" s="2600">
        <f>TableA3!H16/TableA6!B16</f>
        <v>0.14950708919067349</v>
      </c>
      <c r="M16" s="1">
        <f t="shared" si="4"/>
        <v>4.6812918297682007</v>
      </c>
    </row>
    <row r="17" spans="1:13" x14ac:dyDescent="0.35">
      <c r="A17" s="455" t="s">
        <v>60</v>
      </c>
      <c r="B17" s="683">
        <f t="shared" si="1"/>
        <v>4.0797019715879275</v>
      </c>
      <c r="C17" s="661">
        <f>TableA3!B17</f>
        <v>4.0797019715879275</v>
      </c>
      <c r="D17" s="667">
        <f t="shared" si="5"/>
        <v>0</v>
      </c>
      <c r="E17" s="311">
        <f t="shared" si="6"/>
        <v>1.4550356443784636</v>
      </c>
      <c r="F17" s="8">
        <f>TableA5!F17+TableA5!I17+TableA5!J17</f>
        <v>1.4564133482054185</v>
      </c>
      <c r="G17" s="102">
        <f>TableB5!C17+TableB5!E17-(TableB5!G17+TableB5!I17)</f>
        <v>-1.3777038269549985E-3</v>
      </c>
      <c r="H17" s="854">
        <f t="shared" si="2"/>
        <v>0</v>
      </c>
      <c r="I17" s="266"/>
      <c r="J17" s="266"/>
      <c r="K17" s="2601">
        <f t="shared" si="3"/>
        <v>2.6246663272094639</v>
      </c>
      <c r="L17" s="2600">
        <f>TableA3!H17/TableA6!B17</f>
        <v>0.11534321054777766</v>
      </c>
      <c r="M17" s="1">
        <f t="shared" si="4"/>
        <v>0.35342914100538247</v>
      </c>
    </row>
    <row r="18" spans="1:13" x14ac:dyDescent="0.35">
      <c r="A18" s="95" t="s">
        <v>61</v>
      </c>
      <c r="B18" s="682">
        <f t="shared" si="1"/>
        <v>25.094852932206081</v>
      </c>
      <c r="C18" s="112">
        <f>TableA3!B18</f>
        <v>25.094852932206081</v>
      </c>
      <c r="D18" s="667">
        <f t="shared" si="5"/>
        <v>0</v>
      </c>
      <c r="E18" s="311">
        <f t="shared" si="6"/>
        <v>4.2466092034416771</v>
      </c>
      <c r="F18" s="8">
        <f>TableA5!F18+TableA5!I18+TableA5!J18</f>
        <v>4.2466092034416771</v>
      </c>
      <c r="G18" s="102">
        <f>TableB5!C18+TableB5!E18-(TableB5!G18+TableB5!I18)</f>
        <v>0</v>
      </c>
      <c r="H18" s="854">
        <f t="shared" si="2"/>
        <v>0</v>
      </c>
      <c r="I18" s="266"/>
      <c r="J18" s="266"/>
      <c r="K18" s="2601">
        <f t="shared" si="3"/>
        <v>20.848243728764402</v>
      </c>
      <c r="L18" s="2600">
        <f>TableA3!H18/TableA6!B18</f>
        <v>0.20095461174702786</v>
      </c>
      <c r="M18" s="1">
        <f t="shared" si="4"/>
        <v>1.0225102080698416</v>
      </c>
    </row>
    <row r="19" spans="1:13" x14ac:dyDescent="0.35">
      <c r="A19" s="455" t="s">
        <v>48</v>
      </c>
      <c r="B19" s="683">
        <f t="shared" si="1"/>
        <v>187.65852722592464</v>
      </c>
      <c r="C19" s="661">
        <f>TableA3!B19</f>
        <v>187.65852722592464</v>
      </c>
      <c r="D19" s="667">
        <f t="shared" si="5"/>
        <v>0</v>
      </c>
      <c r="E19" s="311">
        <f t="shared" si="6"/>
        <v>31.778815000521959</v>
      </c>
      <c r="F19" s="8">
        <f>TableA5!F19+TableA5!I19+TableA5!J19</f>
        <v>31.778815000521959</v>
      </c>
      <c r="G19" s="102">
        <f>TableB5!C19+TableB5!E19-(TableB5!G19+TableB5!I19)</f>
        <v>0</v>
      </c>
      <c r="H19" s="854">
        <f t="shared" si="2"/>
        <v>0</v>
      </c>
      <c r="I19" s="266"/>
      <c r="J19" s="266"/>
      <c r="K19" s="2601">
        <f t="shared" si="3"/>
        <v>155.87971222540267</v>
      </c>
      <c r="L19" s="2600">
        <f>TableA3!H19/TableA6!B19</f>
        <v>0.27138098390108983</v>
      </c>
      <c r="M19" s="1">
        <f t="shared" si="4"/>
        <v>-3.3328616175978505</v>
      </c>
    </row>
    <row r="20" spans="1:13" x14ac:dyDescent="0.35">
      <c r="A20" s="95" t="s">
        <v>62</v>
      </c>
      <c r="B20" s="682">
        <f>C20+D20</f>
        <v>553.04943443142031</v>
      </c>
      <c r="C20" s="112">
        <f>TableA3!B20</f>
        <v>553.04943443142031</v>
      </c>
      <c r="D20" s="667">
        <f t="shared" si="5"/>
        <v>0</v>
      </c>
      <c r="E20" s="311">
        <f t="shared" si="6"/>
        <v>42.83586575015805</v>
      </c>
      <c r="F20" s="8">
        <f>TableA5!F20+TableA5!I20+TableA5!J20</f>
        <v>42.83586575015805</v>
      </c>
      <c r="G20" s="102">
        <f>TableB5!C20+TableB5!E20-(TableB5!G20+TableB5!I20)</f>
        <v>0</v>
      </c>
      <c r="H20" s="854">
        <f t="shared" si="2"/>
        <v>0</v>
      </c>
      <c r="I20" s="266"/>
      <c r="J20" s="266"/>
      <c r="K20" s="2601">
        <f t="shared" si="3"/>
        <v>510.21356868126225</v>
      </c>
      <c r="L20" s="2607">
        <f>TableA3!H20/TableA6!B20</f>
        <v>0.10568882329112707</v>
      </c>
      <c r="M20" s="1">
        <f t="shared" si="4"/>
        <v>73.629520469226321</v>
      </c>
    </row>
    <row r="21" spans="1:13" x14ac:dyDescent="0.35">
      <c r="A21" s="95" t="s">
        <v>63</v>
      </c>
      <c r="B21" s="682">
        <f t="shared" si="1"/>
        <v>22.607784095761257</v>
      </c>
      <c r="C21" s="112">
        <f>TableA3!B21</f>
        <v>22.607784095761257</v>
      </c>
      <c r="D21" s="667">
        <f t="shared" si="5"/>
        <v>0</v>
      </c>
      <c r="E21" s="311">
        <f t="shared" si="6"/>
        <v>1.3429928248302583</v>
      </c>
      <c r="F21" s="8">
        <f>TableA5!F21+TableA5!I21+TableA5!J21</f>
        <v>1.3429928248302583</v>
      </c>
      <c r="G21" s="102">
        <f>TableB5!C21+TableB5!E21-(TableB5!G21+TableB5!I21)</f>
        <v>0</v>
      </c>
      <c r="H21" s="854">
        <f t="shared" si="2"/>
        <v>0</v>
      </c>
      <c r="I21" s="266"/>
      <c r="J21" s="266"/>
      <c r="K21" s="2601">
        <f t="shared" si="3"/>
        <v>21.264791270930999</v>
      </c>
      <c r="L21" s="2600">
        <f>TableA3!H21/TableA6!B21</f>
        <v>0.18641603978549989</v>
      </c>
      <c r="M21" s="1">
        <f t="shared" si="4"/>
        <v>1.3520996421405258</v>
      </c>
    </row>
    <row r="22" spans="1:13" x14ac:dyDescent="0.35">
      <c r="A22" s="95" t="s">
        <v>64</v>
      </c>
      <c r="B22" s="682">
        <f t="shared" si="1"/>
        <v>20.668289583202817</v>
      </c>
      <c r="C22" s="112">
        <f>TableA3!B22</f>
        <v>20.668289583202817</v>
      </c>
      <c r="D22" s="667">
        <f t="shared" si="5"/>
        <v>0</v>
      </c>
      <c r="E22" s="311">
        <f t="shared" si="6"/>
        <v>9.7164397220911169</v>
      </c>
      <c r="F22" s="8">
        <f>TableA5!F22+TableA5!I22+TableA5!J22</f>
        <v>9.1579151119634261</v>
      </c>
      <c r="G22" s="102">
        <f>TableB5!C22+TableB5!E22-(TableB5!G22+TableB5!I22)</f>
        <v>0.55852461012769039</v>
      </c>
      <c r="H22" s="854">
        <f t="shared" si="2"/>
        <v>0</v>
      </c>
      <c r="I22" s="266"/>
      <c r="J22" s="266"/>
      <c r="K22" s="2601">
        <f t="shared" si="3"/>
        <v>10.9518498611117</v>
      </c>
      <c r="L22" s="2600">
        <f>TableA3!H22/TableA6!B22</f>
        <v>0.10626839819341541</v>
      </c>
      <c r="M22" s="1">
        <f t="shared" si="4"/>
        <v>1.5741269232828057</v>
      </c>
    </row>
    <row r="23" spans="1:13" x14ac:dyDescent="0.35">
      <c r="A23" s="95" t="s">
        <v>65</v>
      </c>
      <c r="B23" s="682">
        <f t="shared" si="1"/>
        <v>2.1489969781260903</v>
      </c>
      <c r="C23" s="112">
        <f>TableA3!B23</f>
        <v>2.1489969781260903</v>
      </c>
      <c r="D23" s="667">
        <f t="shared" si="5"/>
        <v>0</v>
      </c>
      <c r="E23" s="311">
        <f t="shared" si="6"/>
        <v>-9.6186838505018343E-2</v>
      </c>
      <c r="F23" s="8">
        <f>TableA5!F23+TableA5!I23+TableA5!J23</f>
        <v>-0.10049325848256159</v>
      </c>
      <c r="G23" s="102">
        <f>TableB5!C23+TableB5!E23-(TableB5!G23+TableB5!I23)</f>
        <v>4.3064199775432518E-3</v>
      </c>
      <c r="H23" s="854">
        <f t="shared" si="2"/>
        <v>0</v>
      </c>
      <c r="I23" s="266"/>
      <c r="J23" s="266"/>
      <c r="K23" s="2601">
        <f t="shared" si="3"/>
        <v>2.2451838166311084</v>
      </c>
      <c r="L23" s="2600">
        <f>TableA3!H23/TableA6!B23</f>
        <v>0.18534366223782692</v>
      </c>
      <c r="M23" s="1">
        <f t="shared" si="4"/>
        <v>0.14516536318626583</v>
      </c>
    </row>
    <row r="24" spans="1:13" x14ac:dyDescent="0.35">
      <c r="A24" s="95" t="s">
        <v>19</v>
      </c>
      <c r="B24" s="682">
        <f t="shared" si="1"/>
        <v>174.30510209753976</v>
      </c>
      <c r="C24" s="112">
        <f>TableA3!B24</f>
        <v>125.53464036847635</v>
      </c>
      <c r="D24" s="667">
        <f t="shared" si="5"/>
        <v>48.77046172906342</v>
      </c>
      <c r="E24" s="311">
        <f t="shared" si="6"/>
        <v>116.2731292562101</v>
      </c>
      <c r="F24" s="8">
        <f>TableA5!F24+TableA5!I24+TableA5!J24</f>
        <v>67.502667527146684</v>
      </c>
      <c r="G24" s="102">
        <f>TableB5!C24+TableB5!E24-(TableB5!G24+TableB5!I24)</f>
        <v>0</v>
      </c>
      <c r="H24" s="854">
        <f t="shared" si="2"/>
        <v>48.77046172906342</v>
      </c>
      <c r="I24" s="266">
        <f>(1+TableA5!$O24)*TableB10!J24/1000</f>
        <v>48.77046172906342</v>
      </c>
      <c r="J24" s="266">
        <f>MAX((1+TableA5!$O24)*TableB10!K200)/1000</f>
        <v>0</v>
      </c>
      <c r="K24" s="2601">
        <f t="shared" si="3"/>
        <v>58.031972841329662</v>
      </c>
      <c r="L24" s="2600">
        <f>TableA3!H24/TableA6!B24</f>
        <v>4.3730990037364761E-2</v>
      </c>
      <c r="M24" s="1">
        <f t="shared" si="4"/>
        <v>11.970197584159607</v>
      </c>
    </row>
    <row r="25" spans="1:13" x14ac:dyDescent="0.35">
      <c r="A25" s="95" t="s">
        <v>95</v>
      </c>
      <c r="B25" s="682">
        <f t="shared" si="1"/>
        <v>53.821062621875072</v>
      </c>
      <c r="C25" s="112">
        <f>TableA3!B25</f>
        <v>53.821062621875072</v>
      </c>
      <c r="D25" s="667">
        <f t="shared" si="5"/>
        <v>0</v>
      </c>
      <c r="E25" s="311">
        <f t="shared" si="6"/>
        <v>5.8274626748237663</v>
      </c>
      <c r="F25" s="8">
        <f>TableA5!F25+TableA5!I25+TableA5!J25</f>
        <v>5.8274626748237663</v>
      </c>
      <c r="G25" s="102">
        <f>TableB5!C25+TableB5!E25-(TableB5!G25+TableB5!I25)</f>
        <v>0</v>
      </c>
      <c r="H25" s="854">
        <f t="shared" si="2"/>
        <v>0</v>
      </c>
      <c r="I25" s="266"/>
      <c r="J25" s="266"/>
      <c r="K25" s="2601">
        <f t="shared" si="3"/>
        <v>47.993599947051308</v>
      </c>
      <c r="L25" s="2600">
        <f>TableA3!H25/TableA6!B25</f>
        <v>0.16576042245572675</v>
      </c>
      <c r="M25" s="1">
        <f t="shared" si="4"/>
        <v>4.0429605843684575</v>
      </c>
    </row>
    <row r="26" spans="1:13" x14ac:dyDescent="0.35">
      <c r="A26" s="95" t="s">
        <v>66</v>
      </c>
      <c r="B26" s="682">
        <f t="shared" si="1"/>
        <v>211.89440797463348</v>
      </c>
      <c r="C26" s="112">
        <f>TableA3!B26</f>
        <v>211.89440797463348</v>
      </c>
      <c r="D26" s="667">
        <f t="shared" si="5"/>
        <v>0</v>
      </c>
      <c r="E26" s="311">
        <f t="shared" si="6"/>
        <v>13.197888688714203</v>
      </c>
      <c r="F26" s="8">
        <f>TableA5!F26+TableA5!I26+TableA5!J26</f>
        <v>13.197888688714203</v>
      </c>
      <c r="G26" s="102">
        <f>TableB5!C26+TableB5!E26-(TableB5!G26+TableB5!I26)</f>
        <v>0</v>
      </c>
      <c r="H26" s="854">
        <f t="shared" si="2"/>
        <v>0</v>
      </c>
      <c r="I26" s="266"/>
      <c r="J26" s="266"/>
      <c r="K26" s="2601">
        <f t="shared" si="3"/>
        <v>198.69651928591927</v>
      </c>
      <c r="L26" s="2600">
        <f>TableA3!H26/TableA6!B26</f>
        <v>0.17596888878420774</v>
      </c>
      <c r="M26" s="1">
        <f t="shared" si="4"/>
        <v>14.709724117446701</v>
      </c>
    </row>
    <row r="27" spans="1:13" x14ac:dyDescent="0.35">
      <c r="A27" s="95" t="s">
        <v>67</v>
      </c>
      <c r="B27" s="682">
        <f t="shared" si="1"/>
        <v>634.13536380108962</v>
      </c>
      <c r="C27" s="112">
        <f>TableA3!B27</f>
        <v>634.13536380108962</v>
      </c>
      <c r="D27" s="667">
        <f t="shared" si="5"/>
        <v>0</v>
      </c>
      <c r="E27" s="311">
        <f t="shared" si="6"/>
        <v>32.091665406409945</v>
      </c>
      <c r="F27" s="8">
        <f>TableA5!F27+TableA5!I27+TableA5!J27</f>
        <v>32.091665406409945</v>
      </c>
      <c r="G27" s="102">
        <f>TableB5!C27+TableB5!E27-(TableB5!G27+TableB5!I27)</f>
        <v>0</v>
      </c>
      <c r="H27" s="854">
        <f t="shared" si="2"/>
        <v>0</v>
      </c>
      <c r="I27" s="266"/>
      <c r="J27" s="266"/>
      <c r="K27" s="2601">
        <f t="shared" si="3"/>
        <v>602.04369839467972</v>
      </c>
      <c r="L27" s="2600">
        <f>TableA3!H27/TableA6!B27</f>
        <v>0.26194231763861364</v>
      </c>
      <c r="M27" s="1">
        <f t="shared" si="4"/>
        <v>-7.1897970785549754</v>
      </c>
    </row>
    <row r="28" spans="1:13" x14ac:dyDescent="0.35">
      <c r="A28" s="95" t="s">
        <v>68</v>
      </c>
      <c r="B28" s="682">
        <f t="shared" si="1"/>
        <v>248.21706968304588</v>
      </c>
      <c r="C28" s="112">
        <f>TableA3!B28</f>
        <v>248.21706968304588</v>
      </c>
      <c r="D28" s="667">
        <f t="shared" si="5"/>
        <v>0</v>
      </c>
      <c r="E28" s="311">
        <f t="shared" si="6"/>
        <v>2.54407878701964</v>
      </c>
      <c r="F28" s="8">
        <f>TableA5!F28+TableA5!I28+TableA5!J28</f>
        <v>2.5171388281503817</v>
      </c>
      <c r="G28" s="102">
        <f>TableB5!C28+TableB5!E28-(TableB5!G28+TableB5!I28)</f>
        <v>2.6939958869258179E-2</v>
      </c>
      <c r="H28" s="854">
        <f t="shared" si="2"/>
        <v>0</v>
      </c>
      <c r="I28" s="266"/>
      <c r="J28" s="266"/>
      <c r="K28" s="2601">
        <f t="shared" si="3"/>
        <v>245.67299089602625</v>
      </c>
      <c r="L28" s="2600">
        <f>TableA3!H28/TableA6!B28</f>
        <v>0.18360409812068557</v>
      </c>
      <c r="M28" s="1">
        <f t="shared" si="4"/>
        <v>16.311679797930267</v>
      </c>
    </row>
    <row r="29" spans="1:13" x14ac:dyDescent="0.35">
      <c r="A29" s="13" t="s">
        <v>69</v>
      </c>
      <c r="B29" s="664">
        <f t="shared" si="1"/>
        <v>4.1858751479217755</v>
      </c>
      <c r="C29" s="8">
        <f>TableA3!B29</f>
        <v>4.1858751479217755</v>
      </c>
      <c r="D29" s="667">
        <f t="shared" si="5"/>
        <v>0</v>
      </c>
      <c r="E29" s="311">
        <f t="shared" si="6"/>
        <v>1.2242246708432463</v>
      </c>
      <c r="F29" s="8">
        <f>TableA5!F29+TableA5!I29+TableA5!J29</f>
        <v>1.2242246708432463</v>
      </c>
      <c r="G29" s="102">
        <f>TableB5!C29+TableB5!E29-(TableB5!G29+TableB5!I29)</f>
        <v>0</v>
      </c>
      <c r="H29" s="854">
        <f t="shared" si="2"/>
        <v>0</v>
      </c>
      <c r="I29" s="266"/>
      <c r="J29" s="266"/>
      <c r="K29" s="2601">
        <f t="shared" si="3"/>
        <v>2.9616504770785292</v>
      </c>
      <c r="L29" s="2600">
        <f>TableA3!H29/TableA6!B29</f>
        <v>0.10296717318914152</v>
      </c>
      <c r="M29" s="1">
        <f t="shared" si="4"/>
        <v>0.43545984167058382</v>
      </c>
    </row>
    <row r="30" spans="1:13" x14ac:dyDescent="0.35">
      <c r="A30" s="13" t="s">
        <v>70</v>
      </c>
      <c r="B30" s="664">
        <f t="shared" si="1"/>
        <v>91.027431841444567</v>
      </c>
      <c r="C30" s="8">
        <f>TableA3!B30</f>
        <v>59.277065941780656</v>
      </c>
      <c r="D30" s="667">
        <f t="shared" si="5"/>
        <v>31.750365899663908</v>
      </c>
      <c r="E30" s="311">
        <f t="shared" si="6"/>
        <v>51.304832182529623</v>
      </c>
      <c r="F30" s="8">
        <f>TableA5!F30+TableA5!I30+TableA5!J30</f>
        <v>18.831227236832017</v>
      </c>
      <c r="G30" s="102">
        <f>1.5*TableB5!C30+TableB5!E30-(TableB5!G30+TableB5!I30)</f>
        <v>0.72323904603369726</v>
      </c>
      <c r="H30" s="854">
        <f t="shared" si="2"/>
        <v>31.750365899663908</v>
      </c>
      <c r="I30" s="266">
        <f>(1+TableA5!$O30)*TableB10!J30/1000</f>
        <v>25.181850111311352</v>
      </c>
      <c r="J30" s="266">
        <f>MAX((1+TableA5!$O30)*TableB10!K30,0)/1000</f>
        <v>6.5685157883525562</v>
      </c>
      <c r="K30" s="2601">
        <f t="shared" si="3"/>
        <v>39.722599658914945</v>
      </c>
      <c r="L30" s="2600">
        <f>TableA3!H30/TableA6!B30</f>
        <v>2.7963025736591773E-2</v>
      </c>
      <c r="M30" s="1">
        <f t="shared" si="4"/>
        <v>8.8198858381421665</v>
      </c>
    </row>
    <row r="31" spans="1:13" x14ac:dyDescent="0.35">
      <c r="A31" s="13" t="s">
        <v>71</v>
      </c>
      <c r="B31" s="664">
        <f t="shared" si="1"/>
        <v>325.04468785135941</v>
      </c>
      <c r="C31" s="8">
        <f>TableA3!B31</f>
        <v>325.04468785135941</v>
      </c>
      <c r="D31" s="667">
        <f t="shared" si="5"/>
        <v>0</v>
      </c>
      <c r="E31" s="311">
        <f t="shared" si="6"/>
        <v>23.460473720946542</v>
      </c>
      <c r="F31" s="8">
        <f>TableA5!F31+TableA5!I31+TableA5!J31</f>
        <v>23.460473720946542</v>
      </c>
      <c r="G31" s="102">
        <f>TableB5!C31+TableB5!E31-(TableB5!G31+TableB5!I31)</f>
        <v>0</v>
      </c>
      <c r="H31" s="854">
        <f t="shared" si="2"/>
        <v>0</v>
      </c>
      <c r="I31" s="266"/>
      <c r="J31" s="266"/>
      <c r="K31" s="2601">
        <f t="shared" si="3"/>
        <v>301.58421413041287</v>
      </c>
      <c r="L31" s="2600">
        <f>TableA3!H31/TableA6!B31</f>
        <v>0.11500632352983997</v>
      </c>
      <c r="M31" s="1">
        <f t="shared" si="4"/>
        <v>40.711961830828422</v>
      </c>
    </row>
    <row r="32" spans="1:13" x14ac:dyDescent="0.35">
      <c r="A32" s="13" t="s">
        <v>72</v>
      </c>
      <c r="B32" s="664">
        <f t="shared" si="1"/>
        <v>195.09598848383817</v>
      </c>
      <c r="C32" s="8">
        <f>TableA3!B32</f>
        <v>159.74775386260217</v>
      </c>
      <c r="D32" s="667">
        <f t="shared" si="5"/>
        <v>35.348234621235996</v>
      </c>
      <c r="E32" s="311">
        <f t="shared" si="6"/>
        <v>89.333947018983608</v>
      </c>
      <c r="F32" s="8">
        <f>TableA5!F32+TableA5!I32+TableA5!J32</f>
        <v>57.882610097976929</v>
      </c>
      <c r="G32" s="102">
        <f>TableB5!C32+TableB5!E32-(TableB5!G32+TableB5!I32)</f>
        <v>-3.8968977002293173</v>
      </c>
      <c r="H32" s="854">
        <f t="shared" si="2"/>
        <v>35.348234621235996</v>
      </c>
      <c r="I32" s="266">
        <f>(1+TableA5!$O32)*TableB10!J32/1000</f>
        <v>24.814543255927351</v>
      </c>
      <c r="J32" s="266">
        <f>MAX((1+TableA5!$O32)*TableB10!K32,0)/1000</f>
        <v>10.533691365308645</v>
      </c>
      <c r="K32" s="2601">
        <f t="shared" si="3"/>
        <v>105.76204146485456</v>
      </c>
      <c r="L32" s="2600">
        <f>TableA3!H32/TableA6!B32</f>
        <v>0.10484903843270543</v>
      </c>
      <c r="M32" s="1">
        <f t="shared" si="4"/>
        <v>15.351462015943719</v>
      </c>
    </row>
    <row r="33" spans="1:13" x14ac:dyDescent="0.35">
      <c r="A33" s="13" t="s">
        <v>73</v>
      </c>
      <c r="B33" s="664">
        <f t="shared" si="1"/>
        <v>43.62366684525152</v>
      </c>
      <c r="C33" s="8">
        <f>TableA3!B33</f>
        <v>43.62366684525152</v>
      </c>
      <c r="D33" s="667">
        <f t="shared" si="5"/>
        <v>0</v>
      </c>
      <c r="E33" s="311">
        <f t="shared" si="6"/>
        <v>6.2361538780448305</v>
      </c>
      <c r="F33" s="8">
        <f>TableA5!F33+TableA5!I33+TableA5!J33</f>
        <v>6.2361538780448305</v>
      </c>
      <c r="G33" s="102">
        <f>TableB5!C33+TableB5!E33-(TableB5!G33+TableB5!I33)</f>
        <v>0</v>
      </c>
      <c r="H33" s="854">
        <f t="shared" si="2"/>
        <v>0</v>
      </c>
      <c r="I33" s="266"/>
      <c r="J33" s="266"/>
      <c r="K33" s="2601">
        <f t="shared" si="3"/>
        <v>37.387512967206689</v>
      </c>
      <c r="L33" s="2600">
        <f>TableA3!H33/TableA6!B33</f>
        <v>0.18235080869942946</v>
      </c>
      <c r="M33" s="1">
        <f t="shared" si="4"/>
        <v>2.5292350169711271</v>
      </c>
    </row>
    <row r="34" spans="1:13" x14ac:dyDescent="0.35">
      <c r="A34" s="13" t="s">
        <v>74</v>
      </c>
      <c r="B34" s="664">
        <f t="shared" si="1"/>
        <v>76.129871814410606</v>
      </c>
      <c r="C34" s="8">
        <f>TableA3!B34</f>
        <v>76.129871814410606</v>
      </c>
      <c r="D34" s="667">
        <f t="shared" si="5"/>
        <v>0</v>
      </c>
      <c r="E34" s="311">
        <f t="shared" si="6"/>
        <v>6.9090708256049158</v>
      </c>
      <c r="F34" s="8">
        <f>TableA5!F34+TableA5!I34+TableA5!J34</f>
        <v>7.0951998138617984</v>
      </c>
      <c r="G34" s="102">
        <f>TableB5!C34+TableB5!E34-(TableB5!G34+TableB5!I34)</f>
        <v>-0.18612898825688301</v>
      </c>
      <c r="H34" s="854">
        <f t="shared" si="2"/>
        <v>0</v>
      </c>
      <c r="I34" s="266"/>
      <c r="J34" s="266"/>
      <c r="K34" s="2601">
        <f t="shared" si="3"/>
        <v>69.220800988805692</v>
      </c>
      <c r="L34" s="2600">
        <f>TableA3!H34/TableA6!B34</f>
        <v>0.22304226581791881</v>
      </c>
      <c r="M34" s="1">
        <f t="shared" si="4"/>
        <v>1.866035952926967</v>
      </c>
    </row>
    <row r="35" spans="1:13" x14ac:dyDescent="0.35">
      <c r="A35" s="13" t="s">
        <v>75</v>
      </c>
      <c r="B35" s="664">
        <f t="shared" si="1"/>
        <v>87.784586815227485</v>
      </c>
      <c r="C35" s="8">
        <f>TableA3!B35</f>
        <v>87.784586815227485</v>
      </c>
      <c r="D35" s="667">
        <f t="shared" si="5"/>
        <v>0</v>
      </c>
      <c r="E35" s="311">
        <f t="shared" si="6"/>
        <v>19.384207569701928</v>
      </c>
      <c r="F35" s="8">
        <f>TableA5!F35+TableA5!I35+TableA5!J35</f>
        <v>19.382320242863766</v>
      </c>
      <c r="G35" s="102">
        <f>TableB5!C35+TableB5!E35-(TableB5!G35+TableB5!I35)</f>
        <v>1.8873268381630615E-3</v>
      </c>
      <c r="H35" s="854">
        <f t="shared" si="2"/>
        <v>0</v>
      </c>
      <c r="I35" s="266"/>
      <c r="J35" s="266"/>
      <c r="K35" s="2601">
        <f t="shared" si="3"/>
        <v>68.400379245525556</v>
      </c>
      <c r="L35" s="2600">
        <f>TableA3!H35/TableA6!B35</f>
        <v>0.10004109953339942</v>
      </c>
      <c r="M35" s="1">
        <f t="shared" si="4"/>
        <v>10.2572456631575</v>
      </c>
    </row>
    <row r="36" spans="1:13" x14ac:dyDescent="0.35">
      <c r="A36" s="13" t="s">
        <v>76</v>
      </c>
      <c r="B36" s="664">
        <f t="shared" si="1"/>
        <v>26.618072907828797</v>
      </c>
      <c r="C36" s="8">
        <f>TableA3!B36</f>
        <v>26.618072907828797</v>
      </c>
      <c r="D36" s="667">
        <f t="shared" si="5"/>
        <v>0</v>
      </c>
      <c r="E36" s="311">
        <f t="shared" si="6"/>
        <v>4.8218004507448811</v>
      </c>
      <c r="F36" s="8">
        <f>TableA5!F36+TableA5!I36+TableA5!J36</f>
        <v>4.5394815588159849</v>
      </c>
      <c r="G36" s="102">
        <f>TableB5!C36+TableB5!E36-(TableB5!G36+TableB5!I36)</f>
        <v>0.28231889192889648</v>
      </c>
      <c r="H36" s="854">
        <f t="shared" si="2"/>
        <v>0</v>
      </c>
      <c r="I36" s="266"/>
      <c r="J36" s="266"/>
      <c r="K36" s="2601">
        <f t="shared" si="3"/>
        <v>21.796272457083916</v>
      </c>
      <c r="L36" s="2600">
        <f>TableA3!H36/TableA6!B36</f>
        <v>0.23389494144374526</v>
      </c>
      <c r="M36" s="1">
        <f t="shared" si="4"/>
        <v>0.35103024422941886</v>
      </c>
    </row>
    <row r="37" spans="1:13" x14ac:dyDescent="0.35">
      <c r="A37" s="13" t="s">
        <v>96</v>
      </c>
      <c r="B37" s="664">
        <f t="shared" si="1"/>
        <v>11.604550057172386</v>
      </c>
      <c r="C37" s="8">
        <f>TableA3!B37</f>
        <v>11.604550057172386</v>
      </c>
      <c r="D37" s="667">
        <f t="shared" si="5"/>
        <v>0</v>
      </c>
      <c r="E37" s="311">
        <f t="shared" si="6"/>
        <v>5.4939498259811472</v>
      </c>
      <c r="F37" s="8">
        <f>TableA5!F37+TableA5!I37+TableA5!J37</f>
        <v>5.4939498259811472</v>
      </c>
      <c r="G37" s="102">
        <f>TableB5!C37+TableB5!E37-(TableB5!G37+TableB5!I37)</f>
        <v>0</v>
      </c>
      <c r="H37" s="854">
        <f t="shared" si="2"/>
        <v>0</v>
      </c>
      <c r="I37" s="266"/>
      <c r="J37" s="266"/>
      <c r="K37" s="2601">
        <f t="shared" si="3"/>
        <v>6.1106002311912384</v>
      </c>
      <c r="L37" s="2600">
        <f>TableA3!H37/TableA6!B37</f>
        <v>0.25136691949526291</v>
      </c>
      <c r="M37" s="1">
        <f t="shared" si="4"/>
        <v>-8.3526985837733374E-3</v>
      </c>
    </row>
    <row r="38" spans="1:13" x14ac:dyDescent="0.35">
      <c r="A38" s="13" t="s">
        <v>78</v>
      </c>
      <c r="B38" s="664">
        <f t="shared" si="1"/>
        <v>3.417758487410429</v>
      </c>
      <c r="C38" s="8">
        <f>TableA3!B38</f>
        <v>3.417758487410429</v>
      </c>
      <c r="D38" s="667">
        <f t="shared" si="5"/>
        <v>0</v>
      </c>
      <c r="E38" s="311">
        <f t="shared" si="6"/>
        <v>1.2522612330475162</v>
      </c>
      <c r="F38" s="8">
        <f>TableA5!F38+TableA5!I38+TableA5!J38</f>
        <v>1.2522612330475162</v>
      </c>
      <c r="G38" s="102">
        <f>TableB5!C38+TableB5!E38-(TableB5!G38+TableB5!I38)</f>
        <v>0</v>
      </c>
      <c r="H38" s="854">
        <f t="shared" si="2"/>
        <v>0</v>
      </c>
      <c r="I38" s="266"/>
      <c r="J38" s="266"/>
      <c r="K38" s="2601">
        <f t="shared" si="3"/>
        <v>2.1654972543629127</v>
      </c>
      <c r="L38" s="2600">
        <f>TableA3!H38/TableA6!B38</f>
        <v>0.18430597322014902</v>
      </c>
      <c r="M38" s="1">
        <f t="shared" si="4"/>
        <v>0.14226023461981097</v>
      </c>
    </row>
    <row r="39" spans="1:13" x14ac:dyDescent="0.35">
      <c r="A39" s="13" t="s">
        <v>79</v>
      </c>
      <c r="B39" s="664">
        <f t="shared" si="1"/>
        <v>158.95366208289389</v>
      </c>
      <c r="C39" s="8">
        <f>TableA3!B39</f>
        <v>158.95366208289389</v>
      </c>
      <c r="D39" s="667">
        <f t="shared" si="5"/>
        <v>0</v>
      </c>
      <c r="E39" s="311">
        <f t="shared" si="6"/>
        <v>20.844161911169302</v>
      </c>
      <c r="F39" s="8">
        <f>TableA5!F39+TableA5!I39+TableA5!J39</f>
        <v>20.750419645412595</v>
      </c>
      <c r="G39" s="102">
        <f>TableB5!C39+TableB5!E39-(TableB5!G39+TableB5!I39)</f>
        <v>9.3742265756707077E-2</v>
      </c>
      <c r="H39" s="854">
        <f t="shared" si="2"/>
        <v>0</v>
      </c>
      <c r="I39" s="266"/>
      <c r="J39" s="266"/>
      <c r="K39" s="2601">
        <f t="shared" si="3"/>
        <v>138.10950017172459</v>
      </c>
      <c r="L39" s="2600">
        <f>TableA3!H39/TableA6!B39</f>
        <v>0.17854513612704259</v>
      </c>
      <c r="M39" s="1">
        <f t="shared" si="4"/>
        <v>9.8685955343327691</v>
      </c>
    </row>
    <row r="40" spans="1:13" x14ac:dyDescent="0.35">
      <c r="A40" s="15" t="s">
        <v>80</v>
      </c>
      <c r="B40" s="684">
        <f t="shared" si="1"/>
        <v>63.367762356160583</v>
      </c>
      <c r="C40" s="115">
        <f>TableA3!B40</f>
        <v>63.367762356160583</v>
      </c>
      <c r="D40" s="667">
        <f t="shared" si="5"/>
        <v>0</v>
      </c>
      <c r="E40" s="311">
        <f t="shared" si="6"/>
        <v>24.473912269549327</v>
      </c>
      <c r="F40" s="8">
        <f>TableA5!F40+TableA5!I40+TableA5!J40</f>
        <v>24.073155938054335</v>
      </c>
      <c r="G40" s="102">
        <f>TableB5!C40+TableB5!E40-(TableB5!G40+TableB5!I40)</f>
        <v>0.40075633149499124</v>
      </c>
      <c r="H40" s="854">
        <f t="shared" si="2"/>
        <v>0</v>
      </c>
      <c r="I40" s="266"/>
      <c r="J40" s="266"/>
      <c r="K40" s="2601">
        <f t="shared" si="3"/>
        <v>38.893850086611252</v>
      </c>
      <c r="L40" s="2600">
        <f>TableA3!H40/TableA6!B40</f>
        <v>0.23240677496786705</v>
      </c>
      <c r="M40" s="1">
        <f t="shared" si="4"/>
        <v>0.68426825693979554</v>
      </c>
    </row>
    <row r="41" spans="1:13" x14ac:dyDescent="0.35">
      <c r="A41" s="13" t="s">
        <v>1</v>
      </c>
      <c r="B41" s="664">
        <f t="shared" si="1"/>
        <v>94.889238877326122</v>
      </c>
      <c r="C41" s="8">
        <f>TableA3!B41</f>
        <v>94.889238877326122</v>
      </c>
      <c r="D41" s="667">
        <f t="shared" si="5"/>
        <v>0</v>
      </c>
      <c r="E41" s="311">
        <f t="shared" si="6"/>
        <v>60.313127140541056</v>
      </c>
      <c r="F41" s="8">
        <f>TableA5!F41+TableA5!I41+TableA5!J41</f>
        <v>57.321888271383756</v>
      </c>
      <c r="G41" s="102">
        <f>TableB5!C41+TableB5!E41-(TableB5!G41+TableB5!I41)</f>
        <v>2.9912388691572991</v>
      </c>
      <c r="H41" s="854">
        <f t="shared" si="2"/>
        <v>0</v>
      </c>
      <c r="I41" s="266"/>
      <c r="J41" s="266"/>
      <c r="K41" s="2601">
        <f t="shared" si="3"/>
        <v>34.576111736785066</v>
      </c>
      <c r="L41" s="2600">
        <f>TableA3!H41/TableA6!B41</f>
        <v>0.21188216848158226</v>
      </c>
      <c r="M41" s="1">
        <f t="shared" si="4"/>
        <v>1.3179664017447594</v>
      </c>
    </row>
    <row r="42" spans="1:13" x14ac:dyDescent="0.35">
      <c r="A42" s="13" t="s">
        <v>81</v>
      </c>
      <c r="B42" s="664">
        <f t="shared" si="1"/>
        <v>212.59949330572061</v>
      </c>
      <c r="C42" s="8">
        <f>TableA3!B42</f>
        <v>212.59949330572061</v>
      </c>
      <c r="D42" s="667">
        <f t="shared" si="5"/>
        <v>0</v>
      </c>
      <c r="E42" s="311">
        <f t="shared" si="6"/>
        <v>3.6081037546987877</v>
      </c>
      <c r="F42" s="8">
        <f>TableA5!F42+TableA5!I42+TableA5!J42</f>
        <v>3.6081037546987877</v>
      </c>
      <c r="G42" s="102">
        <f>TableB5!C42+TableB5!E42-(TableB5!G42+TableB5!I42)</f>
        <v>0</v>
      </c>
      <c r="H42" s="854">
        <f t="shared" si="2"/>
        <v>0</v>
      </c>
      <c r="I42" s="266"/>
      <c r="J42" s="266"/>
      <c r="K42" s="2601">
        <f t="shared" si="3"/>
        <v>208.99138955102183</v>
      </c>
      <c r="L42" s="2600">
        <f>TableA3!H42/TableA6!B42</f>
        <v>5.7737739505824968E-2</v>
      </c>
      <c r="M42" s="1">
        <f t="shared" si="4"/>
        <v>40.181156978898166</v>
      </c>
    </row>
    <row r="43" spans="1:13" x14ac:dyDescent="0.35">
      <c r="A43" s="13" t="s">
        <v>82</v>
      </c>
      <c r="B43" s="664">
        <f t="shared" si="1"/>
        <v>425.05098961874262</v>
      </c>
      <c r="C43" s="8">
        <f>TableA3!B43</f>
        <v>425.05098961874262</v>
      </c>
      <c r="D43" s="667">
        <f t="shared" si="5"/>
        <v>0</v>
      </c>
      <c r="E43" s="311">
        <f t="shared" si="6"/>
        <v>72.19500365863982</v>
      </c>
      <c r="F43" s="8">
        <f>TableA5!F43+TableA5!I43+TableA5!J43</f>
        <v>72.19500365863982</v>
      </c>
      <c r="G43" s="102">
        <f>TableB5!C43+TableB5!E43-(TableB5!G43+TableB5!I43)</f>
        <v>0</v>
      </c>
      <c r="H43" s="854">
        <f t="shared" si="2"/>
        <v>0</v>
      </c>
      <c r="I43" s="266"/>
      <c r="J43" s="266"/>
      <c r="K43" s="2601">
        <f t="shared" si="3"/>
        <v>352.85598596010277</v>
      </c>
      <c r="L43" s="2600">
        <f>TableA3!H43/TableA6!B43</f>
        <v>0.16514206638750611</v>
      </c>
      <c r="M43" s="1">
        <f t="shared" si="4"/>
        <v>29.942629831373477</v>
      </c>
    </row>
    <row r="44" spans="1:13" x14ac:dyDescent="0.35">
      <c r="A44" s="13" t="s">
        <v>0</v>
      </c>
      <c r="B44" s="664">
        <f t="shared" si="1"/>
        <v>1889.3969000000002</v>
      </c>
      <c r="C44" s="8">
        <f>TableA3!B44</f>
        <v>1889.3969000000002</v>
      </c>
      <c r="D44" s="667">
        <f t="shared" si="5"/>
        <v>0</v>
      </c>
      <c r="E44" s="311">
        <f t="shared" si="6"/>
        <v>152.79999999999998</v>
      </c>
      <c r="F44" s="8">
        <f>TableA5!F44+TableA5!I44+TableA5!J44</f>
        <v>152.79999999999998</v>
      </c>
      <c r="G44" s="102">
        <f>TableB5!C44+TableB5!E44-(TableB5!G44+TableB5!I44)</f>
        <v>0</v>
      </c>
      <c r="H44" s="854">
        <f t="shared" si="2"/>
        <v>0</v>
      </c>
      <c r="I44" s="266"/>
      <c r="J44" s="266"/>
      <c r="K44" s="2601">
        <f t="shared" si="3"/>
        <v>1736.5969000000002</v>
      </c>
      <c r="L44" s="2600">
        <f>TableA3!H44/TableA6!B44</f>
        <v>0.21434974303175788</v>
      </c>
      <c r="M44" s="1">
        <f t="shared" si="4"/>
        <v>61.910125735252663</v>
      </c>
    </row>
    <row r="45" spans="1:13" ht="31" x14ac:dyDescent="0.35">
      <c r="A45" s="38" t="s">
        <v>99</v>
      </c>
      <c r="B45" s="306">
        <f t="shared" si="1"/>
        <v>3157.101545061153</v>
      </c>
      <c r="C45" s="53">
        <f>TableA3!B45</f>
        <v>3157.101545061153</v>
      </c>
      <c r="D45" s="650">
        <f t="shared" ref="D45:J45" si="7">SUM(D46:D52)</f>
        <v>0</v>
      </c>
      <c r="E45" s="651">
        <f t="shared" si="7"/>
        <v>253.30348219544206</v>
      </c>
      <c r="F45" s="557">
        <f t="shared" si="7"/>
        <v>253.30348219544206</v>
      </c>
      <c r="G45" s="557">
        <f t="shared" si="7"/>
        <v>0</v>
      </c>
      <c r="H45" s="604">
        <f t="shared" si="7"/>
        <v>0</v>
      </c>
      <c r="I45" s="557">
        <f t="shared" si="7"/>
        <v>0</v>
      </c>
      <c r="J45" s="557">
        <f t="shared" si="7"/>
        <v>0</v>
      </c>
      <c r="K45" s="2602">
        <f t="shared" si="3"/>
        <v>2903.798062865711</v>
      </c>
      <c r="L45" s="2600">
        <f>TableA3!G45/TableA6!B45</f>
        <v>0.18757638370366683</v>
      </c>
      <c r="M45" s="1">
        <f t="shared" si="4"/>
        <v>181.26557607836469</v>
      </c>
    </row>
    <row r="46" spans="1:13" x14ac:dyDescent="0.35">
      <c r="A46" s="95" t="s">
        <v>92</v>
      </c>
      <c r="B46" s="682">
        <f t="shared" si="1"/>
        <v>274.33569999999997</v>
      </c>
      <c r="C46" s="112">
        <f>TableA3!B46</f>
        <v>274.33569999999997</v>
      </c>
      <c r="D46" s="667">
        <f>H46</f>
        <v>0</v>
      </c>
      <c r="E46" s="311">
        <f t="shared" ref="E46:E52" si="8">F46+G46+H46</f>
        <v>29.642380154899492</v>
      </c>
      <c r="F46" s="8">
        <f>TableA5!F46+TableA5!I46+TableA5!J46</f>
        <v>29.642380154899492</v>
      </c>
      <c r="G46" s="102">
        <f>TableB5!C46+TableB5!E46-(TableB5!G46+TableB5!I46)</f>
        <v>0</v>
      </c>
      <c r="H46" s="854">
        <f t="shared" ref="H46:H52" si="9">I46+J46</f>
        <v>0</v>
      </c>
      <c r="I46" s="91"/>
      <c r="J46" s="91"/>
      <c r="K46" s="2601">
        <f t="shared" si="3"/>
        <v>244.69331984510049</v>
      </c>
      <c r="L46" s="2600">
        <f>TableA3!G46/TableA6!B46</f>
        <v>0.19512114040962047</v>
      </c>
      <c r="M46" s="1">
        <f t="shared" si="4"/>
        <v>13.428490342483098</v>
      </c>
    </row>
    <row r="47" spans="1:13" x14ac:dyDescent="0.35">
      <c r="A47" s="31" t="s">
        <v>101</v>
      </c>
      <c r="B47" s="685">
        <f t="shared" si="1"/>
        <v>2068.7040725409047</v>
      </c>
      <c r="C47" s="65">
        <f>TableA3!B47</f>
        <v>2068.7040725409047</v>
      </c>
      <c r="D47" s="667">
        <f t="shared" ref="D47:D52" si="10">H47</f>
        <v>0</v>
      </c>
      <c r="E47" s="311">
        <f t="shared" si="8"/>
        <v>162.29225058924547</v>
      </c>
      <c r="F47" s="8">
        <f>TableA5!F47+TableA5!I47+TableA5!J47</f>
        <v>162.29225058924547</v>
      </c>
      <c r="G47" s="102">
        <f>TableB5!C47+TableB5!E47-(TableB5!G47+TableB5!I47)</f>
        <v>0</v>
      </c>
      <c r="H47" s="854">
        <f t="shared" si="9"/>
        <v>0</v>
      </c>
      <c r="I47" s="91"/>
      <c r="J47" s="91"/>
      <c r="K47" s="2601">
        <f t="shared" si="3"/>
        <v>1906.4118219516592</v>
      </c>
      <c r="L47" s="2600">
        <f>TableA3!G47/TableA6!B47</f>
        <v>0.20396568806595239</v>
      </c>
      <c r="M47" s="1">
        <f t="shared" si="4"/>
        <v>87.760356486478713</v>
      </c>
    </row>
    <row r="48" spans="1:13" x14ac:dyDescent="0.35">
      <c r="A48" s="31" t="s">
        <v>93</v>
      </c>
      <c r="B48" s="685">
        <f t="shared" si="1"/>
        <v>58.600733808963028</v>
      </c>
      <c r="C48" s="65">
        <f>TableA3!B48</f>
        <v>58.600733808963028</v>
      </c>
      <c r="D48" s="667">
        <f t="shared" si="10"/>
        <v>0</v>
      </c>
      <c r="E48" s="311">
        <f t="shared" si="8"/>
        <v>6.7581585025254878</v>
      </c>
      <c r="F48" s="8">
        <f>TableA5!F48+TableA5!I48+TableA5!J48</f>
        <v>6.7581585025254878</v>
      </c>
      <c r="G48" s="102">
        <f>TableB5!C48+TableB5!E48-(TableB5!G48+TableB5!I48)</f>
        <v>0</v>
      </c>
      <c r="H48" s="854">
        <f t="shared" si="9"/>
        <v>0</v>
      </c>
      <c r="I48" s="91"/>
      <c r="J48" s="91"/>
      <c r="K48" s="2601">
        <f t="shared" si="3"/>
        <v>51.842575306437539</v>
      </c>
      <c r="L48" s="2600">
        <f>TableA3!G48/TableA6!B48</f>
        <v>0.29059680575582675</v>
      </c>
      <c r="M48" s="1">
        <f t="shared" si="4"/>
        <v>-2.1046429595972649</v>
      </c>
    </row>
    <row r="49" spans="1:13" x14ac:dyDescent="0.35">
      <c r="A49" s="31" t="s">
        <v>94</v>
      </c>
      <c r="B49" s="685">
        <f t="shared" si="1"/>
        <v>13.202740172271037</v>
      </c>
      <c r="C49" s="65">
        <f>TableA3!B49</f>
        <v>13.202740172271037</v>
      </c>
      <c r="D49" s="667">
        <f t="shared" si="10"/>
        <v>0</v>
      </c>
      <c r="E49" s="311">
        <f t="shared" si="8"/>
        <v>1.0992314060745381</v>
      </c>
      <c r="F49" s="8">
        <f>TableA5!F49+TableA5!I49+TableA5!J49</f>
        <v>1.0992314060745381</v>
      </c>
      <c r="G49" s="102">
        <f>TableB5!C49+TableB5!E49-(TableB5!G49+TableB5!I49)</f>
        <v>0</v>
      </c>
      <c r="H49" s="854">
        <f t="shared" si="9"/>
        <v>0</v>
      </c>
      <c r="I49" s="91"/>
      <c r="J49" s="91"/>
      <c r="K49" s="2601">
        <f t="shared" si="3"/>
        <v>12.103508766196498</v>
      </c>
      <c r="L49" s="2600">
        <f>TableA3!G49/TableA6!B49</f>
        <v>0.1165985538315733</v>
      </c>
      <c r="M49" s="1">
        <f t="shared" si="4"/>
        <v>1.6146255731228427</v>
      </c>
    </row>
    <row r="50" spans="1:13" x14ac:dyDescent="0.35">
      <c r="A50" s="31" t="s">
        <v>102</v>
      </c>
      <c r="B50" s="685">
        <f t="shared" si="1"/>
        <v>376.12710693199818</v>
      </c>
      <c r="C50" s="65">
        <f>TableA3!B50</f>
        <v>376.12710693199818</v>
      </c>
      <c r="D50" s="667">
        <f t="shared" si="10"/>
        <v>0</v>
      </c>
      <c r="E50" s="311">
        <f t="shared" si="8"/>
        <v>7.7329709258650219</v>
      </c>
      <c r="F50" s="8">
        <f>TableA5!F50+TableA5!I50+TableA5!J50</f>
        <v>7.7329709258650219</v>
      </c>
      <c r="G50" s="102">
        <f>TableB5!C50+TableB5!E50-(TableB5!G50+TableB5!I50)</f>
        <v>0</v>
      </c>
      <c r="H50" s="854">
        <f t="shared" si="9"/>
        <v>0</v>
      </c>
      <c r="I50" s="91"/>
      <c r="J50" s="91"/>
      <c r="K50" s="2601">
        <f t="shared" si="3"/>
        <v>368.39413600613318</v>
      </c>
      <c r="L50" s="2600">
        <f>TableA3!G50/TableA6!B50</f>
        <v>9.9375912586799398E-2</v>
      </c>
      <c r="M50" s="1">
        <f t="shared" si="4"/>
        <v>55.489030544298316</v>
      </c>
    </row>
    <row r="51" spans="1:13" x14ac:dyDescent="0.35">
      <c r="A51" s="31" t="s">
        <v>103</v>
      </c>
      <c r="B51" s="685">
        <f t="shared" si="1"/>
        <v>289.6640115913587</v>
      </c>
      <c r="C51" s="65">
        <f>TableA3!B51</f>
        <v>289.6640115913587</v>
      </c>
      <c r="D51" s="667">
        <f t="shared" si="10"/>
        <v>0</v>
      </c>
      <c r="E51" s="311">
        <f t="shared" si="8"/>
        <v>37.035306707060499</v>
      </c>
      <c r="F51" s="8">
        <f>TableA5!F51+TableA5!I51+TableA5!J51</f>
        <v>37.035306707060499</v>
      </c>
      <c r="G51" s="102">
        <f>TableB5!C51+TableB5!E51-(TableB5!G51+TableB5!I51)</f>
        <v>0</v>
      </c>
      <c r="H51" s="854">
        <f t="shared" si="9"/>
        <v>0</v>
      </c>
      <c r="I51" s="91"/>
      <c r="J51" s="91"/>
      <c r="K51" s="2601">
        <f t="shared" si="3"/>
        <v>252.6287048842982</v>
      </c>
      <c r="L51" s="2600">
        <f>TableA3!G51/TableA6!B51</f>
        <v>0.14496428366386327</v>
      </c>
      <c r="M51" s="1">
        <f t="shared" si="4"/>
        <v>26.535036984592747</v>
      </c>
    </row>
    <row r="52" spans="1:13" x14ac:dyDescent="0.35">
      <c r="A52" s="13" t="s">
        <v>97</v>
      </c>
      <c r="B52" s="664">
        <f t="shared" si="1"/>
        <v>76.467180015656993</v>
      </c>
      <c r="C52" s="8">
        <f>TableA3!B52</f>
        <v>76.467180015656993</v>
      </c>
      <c r="D52" s="667">
        <f t="shared" si="10"/>
        <v>0</v>
      </c>
      <c r="E52" s="311">
        <f t="shared" si="8"/>
        <v>8.7431839097715454</v>
      </c>
      <c r="F52" s="8">
        <f>TableA5!F52+TableA5!I52+TableA5!J52</f>
        <v>8.7431839097715454</v>
      </c>
      <c r="G52" s="102">
        <f>TableB5!C52+TableB5!E52-(TableB5!G52+TableB5!I52)</f>
        <v>0</v>
      </c>
      <c r="H52" s="854">
        <f t="shared" si="9"/>
        <v>0</v>
      </c>
      <c r="I52" s="91"/>
      <c r="J52" s="91"/>
      <c r="K52" s="2601">
        <f t="shared" si="3"/>
        <v>67.723996105885448</v>
      </c>
      <c r="L52" s="2600">
        <f>TableA3!G52/TableA6!B52</f>
        <v>0.24568487670387729</v>
      </c>
      <c r="M52" s="1">
        <f t="shared" si="4"/>
        <v>0.29223739330303022</v>
      </c>
    </row>
    <row r="53" spans="1:13" ht="31" x14ac:dyDescent="0.35">
      <c r="A53" s="38" t="s">
        <v>100</v>
      </c>
      <c r="B53" s="306">
        <f t="shared" si="1"/>
        <v>485.7522611396821</v>
      </c>
      <c r="C53" s="53">
        <f>SUM(C54:C89)</f>
        <v>298.79844880635773</v>
      </c>
      <c r="D53" s="53">
        <f>SUM(D54:D89)</f>
        <v>186.95381233332435</v>
      </c>
      <c r="E53" s="651">
        <f>B53-K53</f>
        <v>379.64154036573251</v>
      </c>
      <c r="F53" s="557">
        <f t="shared" ref="F53:K53" si="11">SUM(F54:F89)</f>
        <v>148.52913964752258</v>
      </c>
      <c r="G53" s="557">
        <f t="shared" si="11"/>
        <v>0</v>
      </c>
      <c r="H53" s="604">
        <f t="shared" si="11"/>
        <v>231.11240071820998</v>
      </c>
      <c r="I53" s="557">
        <f t="shared" si="11"/>
        <v>39.447339530225932</v>
      </c>
      <c r="J53" s="557">
        <f t="shared" si="11"/>
        <v>182.25557335301622</v>
      </c>
      <c r="K53" s="2602">
        <f t="shared" si="11"/>
        <v>106.11072077394961</v>
      </c>
      <c r="L53" s="2600">
        <f>TableA3!G53/TableA6!B53</f>
        <v>7.00691340466289E-2</v>
      </c>
      <c r="M53" s="1">
        <f t="shared" si="4"/>
        <v>19.092593875793117</v>
      </c>
    </row>
    <row r="54" spans="1:13" x14ac:dyDescent="0.35">
      <c r="A54" s="264" t="s">
        <v>272</v>
      </c>
      <c r="B54" s="686">
        <f t="shared" si="1"/>
        <v>1.2179448838266</v>
      </c>
      <c r="C54" s="662">
        <f>TableA3!B54</f>
        <v>1.2179448838266</v>
      </c>
      <c r="D54" s="662">
        <f>(1+0.05)*MAX(0,(TableB10!I54+TableB10!L54+TableB10!M54-TableB10!R54))/1000</f>
        <v>0</v>
      </c>
      <c r="E54" s="651">
        <f>B54-K54</f>
        <v>1.0713339190228408</v>
      </c>
      <c r="F54" s="8">
        <f>TableA5!F54+TableA5!I54+TableA5!J54</f>
        <v>-3.4421052631578949E-2</v>
      </c>
      <c r="G54" s="102">
        <v>0</v>
      </c>
      <c r="H54" s="688">
        <f>E54-F54-G54</f>
        <v>1.1057549716544197</v>
      </c>
      <c r="I54" s="266">
        <f>H54*TableB10!J54/(TableB10!I54+TableB10!M54)</f>
        <v>0</v>
      </c>
      <c r="J54" s="266">
        <f>H54-I54</f>
        <v>1.1057549716544197</v>
      </c>
      <c r="K54" s="2601">
        <f>TableA7!O54*TableA4!G54</f>
        <v>0.14661096480375915</v>
      </c>
      <c r="L54" s="2600">
        <f>TableA3!G54/TableA6!B54</f>
        <v>0.05</v>
      </c>
      <c r="M54" s="1">
        <f t="shared" si="4"/>
        <v>2.9322192960751833E-2</v>
      </c>
    </row>
    <row r="55" spans="1:13" x14ac:dyDescent="0.35">
      <c r="A55" s="264" t="s">
        <v>273</v>
      </c>
      <c r="B55" s="686">
        <f t="shared" si="1"/>
        <v>0.23996156292186116</v>
      </c>
      <c r="C55" s="662">
        <f>TableA3!B55</f>
        <v>0.11526214699326522</v>
      </c>
      <c r="D55" s="662">
        <f>(1+0.05)*MAX(0,(TableB10!I55+TableB10!L55+TableB10!M55-TableB10!R55))/1000</f>
        <v>0.12469941592859593</v>
      </c>
      <c r="E55" s="651">
        <f>B55-K55</f>
        <v>0.22608681761471922</v>
      </c>
      <c r="F55" s="8">
        <f>TableA5!F55+TableA5!I55+TableA5!J55</f>
        <v>0.10270000000000001</v>
      </c>
      <c r="G55" s="102">
        <v>0</v>
      </c>
      <c r="H55" s="688">
        <f>E55-F55-G55</f>
        <v>0.1233868176147192</v>
      </c>
      <c r="I55" s="266">
        <f>H55*TableB10!J55/(TableB10!I55+TableB10!M55)</f>
        <v>0</v>
      </c>
      <c r="J55" s="266">
        <f>H55-I55</f>
        <v>0.1233868176147192</v>
      </c>
      <c r="K55" s="2601">
        <f>TableA7!O55*TableA4!G55</f>
        <v>1.3874745307141934E-2</v>
      </c>
      <c r="L55" s="2600">
        <f>TableA3!G55/TableA6!B55</f>
        <v>0</v>
      </c>
      <c r="M55" s="1">
        <f t="shared" si="4"/>
        <v>3.4686863267854836E-3</v>
      </c>
    </row>
    <row r="56" spans="1:13" x14ac:dyDescent="0.35">
      <c r="A56" s="289" t="str">
        <f>+TableA1!A56</f>
        <v>Antigua and Barbuda</v>
      </c>
      <c r="B56" s="686">
        <f t="shared" si="1"/>
        <v>0.83688997048164881</v>
      </c>
      <c r="C56" s="662">
        <f>TableA3!B56</f>
        <v>0.74419221854700335</v>
      </c>
      <c r="D56" s="662">
        <f>(1+0.05)*MAX(0,(TableB10!I56+TableB10!L56+TableB10!M56-TableB10!R56))/1000</f>
        <v>9.2697751934645412E-2</v>
      </c>
      <c r="E56" s="651">
        <f t="shared" ref="E56:E89" si="12">B56-K56</f>
        <v>0.80975658198969502</v>
      </c>
      <c r="F56" s="8">
        <f>TableA5!F56+TableA5!I56+TableA5!J56</f>
        <v>8.0947368421052643E-2</v>
      </c>
      <c r="G56" s="102">
        <v>0</v>
      </c>
      <c r="H56" s="688">
        <f t="shared" ref="H56:H89" si="13">E56-F56-G56</f>
        <v>0.72880921356864237</v>
      </c>
      <c r="I56" s="266">
        <f>H56*TableB10!J56/(TableB10!I56+TableB10!M56)</f>
        <v>0</v>
      </c>
      <c r="J56" s="266">
        <f t="shared" ref="J56:J78" si="14">H56-I56</f>
        <v>0.72880921356864237</v>
      </c>
      <c r="K56" s="2601">
        <f>TableA7!O56*TableA4!G56</f>
        <v>2.7133388491953736E-2</v>
      </c>
      <c r="L56" s="2600">
        <f>TableA3!G56/TableA6!B56</f>
        <v>4.4461771845509403E-2</v>
      </c>
      <c r="M56" s="1">
        <f t="shared" si="4"/>
        <v>5.5769485944636163E-3</v>
      </c>
    </row>
    <row r="57" spans="1:13" x14ac:dyDescent="0.35">
      <c r="A57" s="264" t="s">
        <v>274</v>
      </c>
      <c r="B57" s="686">
        <f t="shared" si="1"/>
        <v>1.0830039076807072</v>
      </c>
      <c r="C57" s="662">
        <f>TableA3!B57</f>
        <v>1.0830039076807072</v>
      </c>
      <c r="D57" s="662">
        <f>(1+0.05)*MAX(0,(TableB10!I57+TableB10!L57+TableB10!M57-TableB10!R57))/1000</f>
        <v>0</v>
      </c>
      <c r="E57" s="651">
        <f t="shared" si="12"/>
        <v>0.95263604569226357</v>
      </c>
      <c r="F57" s="263">
        <f>TableA5!F57+TableA5!I57+TableA5!J57</f>
        <v>4.3910614526315783E-2</v>
      </c>
      <c r="G57" s="102">
        <v>0</v>
      </c>
      <c r="H57" s="688">
        <f t="shared" si="13"/>
        <v>0.90872543116594784</v>
      </c>
      <c r="I57" s="266">
        <f>H57*TableB10!J57/(TableB10!I57+TableB10!M57)</f>
        <v>0</v>
      </c>
      <c r="J57" s="266">
        <f t="shared" si="14"/>
        <v>0.90872543116594784</v>
      </c>
      <c r="K57" s="2601">
        <f>TableA7!O57*TableA4!G57</f>
        <v>0.13036786198844358</v>
      </c>
      <c r="L57" s="2600">
        <f>TableA3!G57/TableA6!B57</f>
        <v>0.05</v>
      </c>
      <c r="M57" s="1">
        <f t="shared" si="4"/>
        <v>2.6073572397688718E-2</v>
      </c>
    </row>
    <row r="58" spans="1:13" x14ac:dyDescent="0.35">
      <c r="A58" s="264" t="s">
        <v>275</v>
      </c>
      <c r="B58" s="686">
        <f t="shared" si="1"/>
        <v>7.5674507528223769</v>
      </c>
      <c r="C58" s="662">
        <f>TableA3!B58</f>
        <v>6.4122604015352946</v>
      </c>
      <c r="D58" s="662">
        <f>(1+0.05)*MAX(0,(TableB10!I58+TableB10!L58+TableB10!M58-TableB10!R58))/1000</f>
        <v>1.1551903512870825</v>
      </c>
      <c r="E58" s="651">
        <f t="shared" si="12"/>
        <v>7.4256876071944387</v>
      </c>
      <c r="F58" s="8">
        <f>TableA5!F58+TableA5!I58+TableA5!J58</f>
        <v>0.73882524149671891</v>
      </c>
      <c r="G58" s="102">
        <v>0</v>
      </c>
      <c r="H58" s="688">
        <f t="shared" si="13"/>
        <v>6.6868623656977197</v>
      </c>
      <c r="I58" s="266">
        <f>H58*TableB10!J58/(TableB10!I58+TableB10!M58)</f>
        <v>5.4593606357566831</v>
      </c>
      <c r="J58" s="266">
        <f t="shared" si="14"/>
        <v>1.2275017299410367</v>
      </c>
      <c r="K58" s="2601">
        <f>TableA7!O58*TableA4!G58</f>
        <v>0.1417631456279379</v>
      </c>
      <c r="L58" s="2600">
        <f>TableA3!G58/TableA6!B58</f>
        <v>0</v>
      </c>
      <c r="M58" s="1">
        <f t="shared" si="4"/>
        <v>3.5440786406984476E-2</v>
      </c>
    </row>
    <row r="59" spans="1:13" x14ac:dyDescent="0.35">
      <c r="A59" s="264" t="s">
        <v>276</v>
      </c>
      <c r="B59" s="686">
        <f t="shared" si="1"/>
        <v>12.818630643859262</v>
      </c>
      <c r="C59" s="662">
        <f>TableA3!B59</f>
        <v>12.031979600790283</v>
      </c>
      <c r="D59" s="662">
        <f>(1+0.05)*MAX(0,(TableB10!I59+TableB10!L59+TableB10!M59-TableB10!R59))/1000</f>
        <v>0.78665104306897782</v>
      </c>
      <c r="E59" s="651">
        <f t="shared" si="12"/>
        <v>9.9035637652207527</v>
      </c>
      <c r="F59" s="8">
        <f>TableA5!F59+TableA5!I59+TableA5!J59</f>
        <v>0.64260805649591424</v>
      </c>
      <c r="G59" s="102">
        <v>0</v>
      </c>
      <c r="H59" s="688">
        <f t="shared" si="13"/>
        <v>9.260955708724838</v>
      </c>
      <c r="I59" s="266">
        <f>H59*TableB10!J59/(TableB10!I59+TableB10!M59)</f>
        <v>0.97472956871812955</v>
      </c>
      <c r="J59" s="266">
        <f t="shared" si="14"/>
        <v>8.2862261400067077</v>
      </c>
      <c r="K59" s="2601">
        <f>TableA7!O59*TableA4!G59</f>
        <v>2.9150668786385086</v>
      </c>
      <c r="L59" s="2600">
        <f>TableA3!G59/TableA6!B59</f>
        <v>0</v>
      </c>
      <c r="M59" s="1">
        <f t="shared" si="4"/>
        <v>0.72876671965962714</v>
      </c>
    </row>
    <row r="60" spans="1:13" x14ac:dyDescent="0.35">
      <c r="A60" s="289" t="str">
        <f>+TableA1!A60</f>
        <v>Barbados</v>
      </c>
      <c r="B60" s="686">
        <f t="shared" si="1"/>
        <v>4.7927919009162316</v>
      </c>
      <c r="C60" s="662">
        <f>TableA3!B60</f>
        <v>2.4710292318886387</v>
      </c>
      <c r="D60" s="662">
        <f>(1+0.05)*MAX(0,(TableB10!I60+TableB10!L60+TableB10!M60-TableB10!R60))/1000</f>
        <v>2.3217626690275925</v>
      </c>
      <c r="E60" s="651">
        <f t="shared" si="12"/>
        <v>4.6934588361797722</v>
      </c>
      <c r="F60" s="8">
        <f>TableA5!F60+TableA5!I60+TableA5!J60</f>
        <v>1.995568279303424</v>
      </c>
      <c r="G60" s="102">
        <v>0</v>
      </c>
      <c r="H60" s="688">
        <f t="shared" si="13"/>
        <v>2.6978905568763483</v>
      </c>
      <c r="I60" s="266">
        <f>H60*TableB10!J60/(TableB10!I60+TableB10!M60)</f>
        <v>1.6047481432502093</v>
      </c>
      <c r="J60" s="266">
        <f t="shared" si="14"/>
        <v>1.093142413626139</v>
      </c>
      <c r="K60" s="2601">
        <f>TableA7!O60*TableA4!G60</f>
        <v>9.933306473645917E-2</v>
      </c>
      <c r="L60" s="2600">
        <f>TableA3!G60/TableA6!B60</f>
        <v>2.5778599227480076E-2</v>
      </c>
      <c r="M60" s="1">
        <f t="shared" si="4"/>
        <v>2.2272598918236276E-2</v>
      </c>
    </row>
    <row r="61" spans="1:13" x14ac:dyDescent="0.35">
      <c r="A61" s="264" t="s">
        <v>277</v>
      </c>
      <c r="B61" s="686">
        <f t="shared" si="1"/>
        <v>0.96228953856820065</v>
      </c>
      <c r="C61" s="662">
        <f>TableA3!B61</f>
        <v>0.93652438608518407</v>
      </c>
      <c r="D61" s="662">
        <f>(1+0.05)*MAX(0,(TableB10!I61+TableB10!L61+TableB10!M61-TableB10!R61))/1000</f>
        <v>2.5765152483016581E-2</v>
      </c>
      <c r="E61" s="651">
        <f t="shared" si="12"/>
        <v>0.92373045597548575</v>
      </c>
      <c r="F61" s="288">
        <f>TableA5!F61+TableA5!I61+TableA5!J61</f>
        <v>6.4989477700000006E-2</v>
      </c>
      <c r="G61" s="102">
        <v>0</v>
      </c>
      <c r="H61" s="688">
        <f t="shared" si="13"/>
        <v>0.85874097827548579</v>
      </c>
      <c r="I61" s="266">
        <f>H61*TableB10!J61/(TableB10!I61+TableB10!M61)</f>
        <v>6.9992058287534867E-2</v>
      </c>
      <c r="J61" s="266">
        <f t="shared" si="14"/>
        <v>0.78874891998795094</v>
      </c>
      <c r="K61" s="2601">
        <f>TableA7!O61*TableA4!G61</f>
        <v>3.855908259271492E-2</v>
      </c>
      <c r="L61" s="2600">
        <f>TableA3!G61/TableA6!B61</f>
        <v>0</v>
      </c>
      <c r="M61" s="1">
        <f t="shared" si="4"/>
        <v>9.6397706481787301E-3</v>
      </c>
    </row>
    <row r="62" spans="1:13" x14ac:dyDescent="0.35">
      <c r="A62" s="264" t="s">
        <v>213</v>
      </c>
      <c r="B62" s="686">
        <f t="shared" si="1"/>
        <v>25.438024032487199</v>
      </c>
      <c r="C62" s="662">
        <f>TableA3!B62</f>
        <v>1.7711671665296007</v>
      </c>
      <c r="D62" s="662">
        <f>(1+0.05)*MAX(0,(TableB10!I62+TableB10!L62+TableB10!M62-TableB10!R62))/1000</f>
        <v>23.666856865957598</v>
      </c>
      <c r="E62" s="651">
        <f t="shared" si="12"/>
        <v>24.545618103452078</v>
      </c>
      <c r="F62" s="263">
        <f>TableA5!F62+TableA5!I62+TableA5!J62</f>
        <v>15.447398527436663</v>
      </c>
      <c r="G62" s="102">
        <v>0</v>
      </c>
      <c r="H62" s="688">
        <f t="shared" si="13"/>
        <v>9.0982195760154152</v>
      </c>
      <c r="I62" s="266">
        <f>H62*TableB10!J62/(TableB10!I62+TableB10!M62)</f>
        <v>5.0571137077397967</v>
      </c>
      <c r="J62" s="266">
        <f t="shared" si="14"/>
        <v>4.0411058682756185</v>
      </c>
      <c r="K62" s="2601">
        <f>TableA7!O62*TableA4!G62</f>
        <v>0.89240592903512039</v>
      </c>
      <c r="L62" s="2600">
        <f>TableA3!G62/TableA6!B62</f>
        <v>0</v>
      </c>
      <c r="M62" s="1">
        <f t="shared" si="4"/>
        <v>0.2231014822587801</v>
      </c>
    </row>
    <row r="63" spans="1:13" x14ac:dyDescent="0.35">
      <c r="A63" s="264" t="s">
        <v>278</v>
      </c>
      <c r="B63" s="686">
        <f t="shared" si="1"/>
        <v>0.17335876526209473</v>
      </c>
      <c r="C63" s="662">
        <f>TableA3!B63</f>
        <v>0.17335876526209473</v>
      </c>
      <c r="D63" s="662">
        <f>(1+0.05)*MAX(0,(TableB10!I63+TableB10!L63+TableB10!M63-TableB10!R63))/1000</f>
        <v>0</v>
      </c>
      <c r="E63" s="651">
        <f t="shared" si="12"/>
        <v>0.1524905077468249</v>
      </c>
      <c r="F63" s="8">
        <f>TableA5!F63+TableA5!I63+TableA5!J63</f>
        <v>-9.8947368421052617E-3</v>
      </c>
      <c r="G63" s="102">
        <v>0</v>
      </c>
      <c r="H63" s="688">
        <f t="shared" si="13"/>
        <v>0.16238524458893017</v>
      </c>
      <c r="I63" s="266">
        <f>H63*TableB10!J63/(TableB10!I63+TableB10!M63)</f>
        <v>0</v>
      </c>
      <c r="J63" s="266">
        <f t="shared" si="14"/>
        <v>0.16238524458893017</v>
      </c>
      <c r="K63" s="2601">
        <f>TableA7!O63*TableA4!G63</f>
        <v>2.0868257515269825E-2</v>
      </c>
      <c r="L63" s="2600">
        <f>TableA3!G63/TableA6!B63</f>
        <v>0.05</v>
      </c>
      <c r="M63" s="1">
        <f t="shared" si="4"/>
        <v>4.1736515030539652E-3</v>
      </c>
    </row>
    <row r="64" spans="1:13" x14ac:dyDescent="0.35">
      <c r="A64" s="264" t="s">
        <v>279</v>
      </c>
      <c r="B64" s="686">
        <f t="shared" si="1"/>
        <v>29.125071697810739</v>
      </c>
      <c r="C64" s="662">
        <f>TableA3!B64</f>
        <v>0.38988210454728756</v>
      </c>
      <c r="D64" s="662">
        <f>(1+0.05)*MAX(0,(TableB10!I64+TableB10!L64+TableB10!M64-TableB10!R64))/1000</f>
        <v>28.735189593263453</v>
      </c>
      <c r="E64" s="651">
        <f t="shared" si="12"/>
        <v>29.078139371166927</v>
      </c>
      <c r="F64" s="8">
        <f>TableA5!F64+TableA5!I64+TableA5!J64</f>
        <v>-4.0091023290772432</v>
      </c>
      <c r="G64" s="102">
        <v>0</v>
      </c>
      <c r="H64" s="688">
        <f t="shared" si="13"/>
        <v>33.087241700244171</v>
      </c>
      <c r="I64" s="266">
        <f>H64*TableB10!J64/(TableB10!I64+TableB10!M64)</f>
        <v>0</v>
      </c>
      <c r="J64" s="266">
        <f t="shared" si="14"/>
        <v>33.087241700244171</v>
      </c>
      <c r="K64" s="2601">
        <f>TableA7!O64*TableA4!G64</f>
        <v>4.6932326643812639E-2</v>
      </c>
      <c r="L64" s="2600">
        <f>TableA3!G64/TableA6!B64</f>
        <v>0</v>
      </c>
      <c r="M64" s="1">
        <f t="shared" si="4"/>
        <v>1.173308166095316E-2</v>
      </c>
    </row>
    <row r="65" spans="1:13" x14ac:dyDescent="0.35">
      <c r="A65" s="282" t="s">
        <v>291</v>
      </c>
      <c r="B65" s="686">
        <f t="shared" si="1"/>
        <v>22.920824144129366</v>
      </c>
      <c r="C65" s="662">
        <f>TableA3!B65</f>
        <v>1.06456062592</v>
      </c>
      <c r="D65" s="662">
        <f>(1+0.05)*MAX(0,(TableB10!I65+TableB10!L65+TableB10!M65-TableB10!R65))/1000</f>
        <v>21.856263518209367</v>
      </c>
      <c r="E65" s="651">
        <f t="shared" si="12"/>
        <v>22.512935193051696</v>
      </c>
      <c r="F65" s="8">
        <f>TableA5!F65+TableA5!I65+TableA5!J65</f>
        <v>16.042018175138416</v>
      </c>
      <c r="G65" s="102">
        <v>0</v>
      </c>
      <c r="H65" s="688">
        <f t="shared" si="13"/>
        <v>6.4709170179132798</v>
      </c>
      <c r="I65" s="266">
        <f>H65*TableB10!J65/(TableB10!I65+TableB10!M65)</f>
        <v>4.0740893427377438</v>
      </c>
      <c r="J65" s="266">
        <f t="shared" si="14"/>
        <v>2.396827675175536</v>
      </c>
      <c r="K65" s="2601">
        <f>TableA7!O65*TableA4!G65</f>
        <v>0.40788895107766843</v>
      </c>
      <c r="L65" s="2600">
        <f>TableA3!G65/TableA6!B65</f>
        <v>0</v>
      </c>
      <c r="M65" s="1">
        <f t="shared" si="4"/>
        <v>0.10197223776941711</v>
      </c>
    </row>
    <row r="66" spans="1:13" x14ac:dyDescent="0.35">
      <c r="A66" s="264" t="s">
        <v>280</v>
      </c>
      <c r="B66" s="686">
        <f t="shared" si="1"/>
        <v>11.68734919710977</v>
      </c>
      <c r="C66" s="662">
        <f>TableA3!B66</f>
        <v>0.45606590283580151</v>
      </c>
      <c r="D66" s="662">
        <f>(1+0.05)*MAX(0,(TableB10!I66+TableB10!L66+TableB10!M66-TableB10!R66))/1000</f>
        <v>11.231283294273968</v>
      </c>
      <c r="E66" s="651">
        <f t="shared" si="12"/>
        <v>11.296185999728888</v>
      </c>
      <c r="F66" s="8">
        <f>TableA5!F66+TableA5!I66+TableA5!J66</f>
        <v>-2.3147471174100356</v>
      </c>
      <c r="G66" s="102">
        <v>0</v>
      </c>
      <c r="H66" s="688">
        <f t="shared" si="13"/>
        <v>13.610933117138924</v>
      </c>
      <c r="I66" s="266">
        <f>H66*TableB10!J66/(TableB10!I66+TableB10!M66)</f>
        <v>1.802297585689395</v>
      </c>
      <c r="J66" s="266">
        <f t="shared" si="14"/>
        <v>11.808635531449529</v>
      </c>
      <c r="K66" s="2601">
        <f>TableA7!O66*TableA4!G66</f>
        <v>0.39116319738088223</v>
      </c>
      <c r="L66" s="2600">
        <f>TableA3!G66/TableA6!B66</f>
        <v>1.9511092513116006E-3</v>
      </c>
      <c r="M66" s="1">
        <f t="shared" si="4"/>
        <v>9.7027597212038103E-2</v>
      </c>
    </row>
    <row r="67" spans="1:13" x14ac:dyDescent="0.35">
      <c r="A67" s="289" t="str">
        <f>+TableA1!A67</f>
        <v>Cyprus</v>
      </c>
      <c r="B67" s="686">
        <f t="shared" si="1"/>
        <v>6.8820083274691735</v>
      </c>
      <c r="C67" s="662">
        <f>TableA3!B67</f>
        <v>3.12425</v>
      </c>
      <c r="D67" s="662">
        <f>(1+0.05)*MAX(0,(TableB10!I67+TableB10!L67+TableB10!M67-TableB10!R67))/1000</f>
        <v>3.7577583274691735</v>
      </c>
      <c r="E67" s="651">
        <f t="shared" si="12"/>
        <v>5.2850761004134004</v>
      </c>
      <c r="F67" s="8">
        <f>TableA5!F67+TableA5!I67+TableA5!J67</f>
        <v>3.6389825305246291</v>
      </c>
      <c r="G67" s="102">
        <v>0</v>
      </c>
      <c r="H67" s="688">
        <f t="shared" si="13"/>
        <v>1.6460935698887713</v>
      </c>
      <c r="I67" s="266">
        <f>H67*TableB10!J67/(TableB10!I67+TableB10!M67)</f>
        <v>5.5942269651531561E-2</v>
      </c>
      <c r="J67" s="266">
        <f t="shared" si="14"/>
        <v>1.5901513002372398</v>
      </c>
      <c r="K67" s="2601">
        <f>TableA7!O67*TableA4!G67</f>
        <v>1.5969322270557735</v>
      </c>
      <c r="L67" s="2600">
        <f>TableA3!G67/TableA6!B67</f>
        <v>0.16850316349676739</v>
      </c>
      <c r="M67" s="1">
        <f t="shared" si="4"/>
        <v>0.13014492461510752</v>
      </c>
    </row>
    <row r="68" spans="1:13" x14ac:dyDescent="0.35">
      <c r="A68" s="264" t="s">
        <v>281</v>
      </c>
      <c r="B68" s="686">
        <f t="shared" si="1"/>
        <v>5.5192543961170966</v>
      </c>
      <c r="C68" s="662">
        <f>TableA3!B68</f>
        <v>3.0206026933210057</v>
      </c>
      <c r="D68" s="662">
        <f>(1+0.05)*MAX(0,(TableB10!I68+TableB10!L68+TableB10!M68-TableB10!R68))/1000</f>
        <v>2.4986517027960913</v>
      </c>
      <c r="E68" s="651">
        <f t="shared" si="12"/>
        <v>5.1556449197022696</v>
      </c>
      <c r="F68" s="8">
        <f>TableA5!F68+TableA5!I68+TableA5!J68</f>
        <v>2.142144883221988</v>
      </c>
      <c r="G68" s="102">
        <v>0</v>
      </c>
      <c r="H68" s="688">
        <f t="shared" si="13"/>
        <v>3.0135000364802815</v>
      </c>
      <c r="I68" s="266">
        <f>H68*TableB10!J68/(TableB10!I68+TableB10!M68)</f>
        <v>0</v>
      </c>
      <c r="J68" s="266">
        <f t="shared" si="14"/>
        <v>3.0135000364802815</v>
      </c>
      <c r="K68" s="2601">
        <f>TableA7!O68*TableA4!G68</f>
        <v>0.36360947641482677</v>
      </c>
      <c r="L68" s="2600">
        <f>TableA3!G68/TableA6!B68</f>
        <v>2.7364227815319216E-2</v>
      </c>
      <c r="M68" s="1">
        <f t="shared" si="4"/>
        <v>8.0952476555282427E-2</v>
      </c>
    </row>
    <row r="69" spans="1:13" x14ac:dyDescent="0.35">
      <c r="A69" s="289" t="str">
        <f>+TableA1!A69</f>
        <v>Grenada</v>
      </c>
      <c r="B69" s="686">
        <f t="shared" si="1"/>
        <v>0.4015897418869116</v>
      </c>
      <c r="C69" s="662">
        <f>TableA3!B69</f>
        <v>0.38326716933285948</v>
      </c>
      <c r="D69" s="662">
        <f>(1+0.05)*MAX(0,(TableB10!I69+TableB10!L69+TableB10!M69-TableB10!R69))/1000</f>
        <v>1.8322572554052143E-2</v>
      </c>
      <c r="E69" s="651">
        <f t="shared" si="12"/>
        <v>0.38030614888924363</v>
      </c>
      <c r="F69" s="8">
        <f>TableA5!F69+TableA5!I69+TableA5!J69</f>
        <v>1.6E-2</v>
      </c>
      <c r="G69" s="102">
        <v>0</v>
      </c>
      <c r="H69" s="688">
        <f t="shared" si="13"/>
        <v>0.36430614888924362</v>
      </c>
      <c r="I69" s="266">
        <f>H69*TableB10!J69/(TableB10!I69+TableB10!M69)</f>
        <v>0</v>
      </c>
      <c r="J69" s="266">
        <f t="shared" si="14"/>
        <v>0.36430614888924362</v>
      </c>
      <c r="K69" s="2601">
        <f>TableA7!O69*TableA4!G69</f>
        <v>2.1283592997667938E-2</v>
      </c>
      <c r="L69" s="2600">
        <f>TableA3!G69/TableA6!B69</f>
        <v>4.7718744947522623E-2</v>
      </c>
      <c r="M69" s="1">
        <f t="shared" si="4"/>
        <v>4.3052719035943897E-3</v>
      </c>
    </row>
    <row r="70" spans="1:13" x14ac:dyDescent="0.35">
      <c r="A70" s="264" t="s">
        <v>282</v>
      </c>
      <c r="B70" s="686">
        <f t="shared" si="1"/>
        <v>2.0311467085553057</v>
      </c>
      <c r="C70" s="662">
        <f>TableA3!B70</f>
        <v>2.0311467085553057</v>
      </c>
      <c r="D70" s="662">
        <f>(1+0.05)*MAX(0,(TableB10!I70+TableB10!L70+TableB10!M70-TableB10!R70))/1000</f>
        <v>0</v>
      </c>
      <c r="E70" s="651">
        <f t="shared" si="12"/>
        <v>1.7866451600802939</v>
      </c>
      <c r="F70" s="8">
        <f>TableA5!F70+TableA5!I70+TableA5!J70</f>
        <v>-1.9626714972368675</v>
      </c>
      <c r="G70" s="102">
        <v>0</v>
      </c>
      <c r="H70" s="688">
        <f t="shared" si="13"/>
        <v>3.7493166573171615</v>
      </c>
      <c r="I70" s="266">
        <f>H70*TableB10!J70/(TableB10!I70+TableB10!M70)</f>
        <v>0</v>
      </c>
      <c r="J70" s="266">
        <f t="shared" si="14"/>
        <v>3.7493166573171615</v>
      </c>
      <c r="K70" s="2601">
        <f>TableA7!O70*TableA4!G70</f>
        <v>0.24450154847501168</v>
      </c>
      <c r="L70" s="2600">
        <f>TableA3!G70/TableA6!B70</f>
        <v>0</v>
      </c>
      <c r="M70" s="1">
        <f t="shared" si="4"/>
        <v>6.112538711875292E-2</v>
      </c>
    </row>
    <row r="71" spans="1:13" x14ac:dyDescent="0.35">
      <c r="A71" s="264" t="s">
        <v>283</v>
      </c>
      <c r="B71" s="686">
        <f t="shared" si="1"/>
        <v>1.0873325907085956</v>
      </c>
      <c r="C71" s="662">
        <f>TableA3!B71</f>
        <v>1.0873325907085956</v>
      </c>
      <c r="D71" s="662">
        <f>(1+0.05)*MAX(0,(TableB10!I71+TableB10!L71+TableB10!M71-TableB10!R71))/1000</f>
        <v>0</v>
      </c>
      <c r="E71" s="651">
        <f t="shared" si="12"/>
        <v>0.95644320082853906</v>
      </c>
      <c r="F71" s="8">
        <f>TableA5!F71+TableA5!I71+TableA5!J71</f>
        <v>-2.9286862213381002</v>
      </c>
      <c r="G71" s="102">
        <v>0</v>
      </c>
      <c r="H71" s="688">
        <f t="shared" si="13"/>
        <v>3.8851294221666395</v>
      </c>
      <c r="I71" s="266">
        <f>0.5*H71</f>
        <v>1.9425647110833197</v>
      </c>
      <c r="J71" s="266">
        <f t="shared" si="14"/>
        <v>1.9425647110833197</v>
      </c>
      <c r="K71" s="2601">
        <f>TableA7!O71*TableA4!G71</f>
        <v>0.13088938988005652</v>
      </c>
      <c r="L71" s="2600">
        <f>TableA3!G71/TableA6!B71</f>
        <v>0.05</v>
      </c>
      <c r="M71" s="1">
        <f t="shared" si="4"/>
        <v>2.6177877976011305E-2</v>
      </c>
    </row>
    <row r="72" spans="1:13" x14ac:dyDescent="0.35">
      <c r="A72" s="264" t="s">
        <v>220</v>
      </c>
      <c r="B72" s="686">
        <f t="shared" si="1"/>
        <v>95.223967679643692</v>
      </c>
      <c r="C72" s="662">
        <f>TableA3!B72</f>
        <v>73.929728212200004</v>
      </c>
      <c r="D72" s="662">
        <f>(1+0.05)*MAX(0,(TableB10!I72+TableB10!L72+TableB10!M72-TableB10!R72))/1000</f>
        <v>21.294239467443685</v>
      </c>
      <c r="E72" s="651">
        <f t="shared" si="12"/>
        <v>50.356172185286226</v>
      </c>
      <c r="F72" s="8">
        <f>TableA5!F72+TableA5!I72+TableA5!J72</f>
        <v>19.824939755471092</v>
      </c>
      <c r="G72" s="102">
        <v>0</v>
      </c>
      <c r="H72" s="688">
        <f t="shared" si="13"/>
        <v>30.531232429815134</v>
      </c>
      <c r="I72" s="266">
        <f>H72*TableB10!J72/(TableB10!I72+TableB10!M72)</f>
        <v>0</v>
      </c>
      <c r="J72" s="266">
        <f t="shared" si="14"/>
        <v>30.531232429815134</v>
      </c>
      <c r="K72" s="2601">
        <f>TableA7!O72*TableA4!G72</f>
        <v>44.867795494357466</v>
      </c>
      <c r="L72" s="2600">
        <f>TableA3!G72/TableA6!B72</f>
        <v>0.17659863513001625</v>
      </c>
      <c r="M72" s="1">
        <f t="shared" si="4"/>
        <v>3.2933574279931452</v>
      </c>
    </row>
    <row r="73" spans="1:13" x14ac:dyDescent="0.35">
      <c r="A73" s="264" t="s">
        <v>284</v>
      </c>
      <c r="B73" s="686">
        <f t="shared" si="1"/>
        <v>3.6449297805671903</v>
      </c>
      <c r="C73" s="662">
        <f>TableA3!B73</f>
        <v>2.9424971928045003</v>
      </c>
      <c r="D73" s="662">
        <f>(1+0.05)*MAX(0,(TableB10!I73+TableB10!L73+TableB10!M73-TableB10!R73))/1000</f>
        <v>0.70243258776268991</v>
      </c>
      <c r="E73" s="651">
        <f t="shared" si="12"/>
        <v>3.2907256608282767</v>
      </c>
      <c r="F73" s="8">
        <f>TableA5!F73+TableA5!I73+TableA5!J73</f>
        <v>0.57979007685009587</v>
      </c>
      <c r="G73" s="102">
        <v>0</v>
      </c>
      <c r="H73" s="688">
        <f t="shared" si="13"/>
        <v>2.7109355839781806</v>
      </c>
      <c r="I73" s="266">
        <f>H73*TableB10!J73/(TableB10!I73+TableB10!M73)</f>
        <v>0</v>
      </c>
      <c r="J73" s="266">
        <f t="shared" si="14"/>
        <v>2.7109355839781806</v>
      </c>
      <c r="K73" s="2601">
        <f>TableA7!O73*TableA4!G73</f>
        <v>0.35420411973891358</v>
      </c>
      <c r="L73" s="2600">
        <f>TableA3!G73/TableA6!B73</f>
        <v>0</v>
      </c>
      <c r="M73" s="1">
        <f t="shared" si="4"/>
        <v>8.8551029934728395E-2</v>
      </c>
    </row>
    <row r="74" spans="1:13" x14ac:dyDescent="0.35">
      <c r="A74" s="264" t="s">
        <v>285</v>
      </c>
      <c r="B74" s="686">
        <f t="shared" ref="B74:B91" si="15">C74+D74</f>
        <v>15.231019080376919</v>
      </c>
      <c r="C74" s="662">
        <f>TableA3!B74</f>
        <v>15.163250551852792</v>
      </c>
      <c r="D74" s="662">
        <f>(1+0.05)*MAX(0,(TableB10!I74+TableB10!L74+TableB10!M74-TableB10!R74))/1000</f>
        <v>6.7768528524127347E-2</v>
      </c>
      <c r="E74" s="651">
        <f t="shared" si="12"/>
        <v>10.848362353703763</v>
      </c>
      <c r="F74" s="8">
        <f>TableA5!F74+TableA5!I74+TableA5!J74</f>
        <v>-5.4254096105263057E-2</v>
      </c>
      <c r="G74" s="102">
        <v>0</v>
      </c>
      <c r="H74" s="688">
        <f t="shared" si="13"/>
        <v>10.902616449809026</v>
      </c>
      <c r="I74" s="266">
        <f>H74*TableB10!J74/(TableB10!I74+TableB10!M74)</f>
        <v>0</v>
      </c>
      <c r="J74" s="266">
        <f t="shared" si="14"/>
        <v>10.902616449809026</v>
      </c>
      <c r="K74" s="2601">
        <f>TableA7!O74*TableA4!G74</f>
        <v>4.3826567266731562</v>
      </c>
      <c r="L74" s="2600">
        <f>TableA3!G74/TableA6!B74</f>
        <v>4.9777531207312861E-2</v>
      </c>
      <c r="M74" s="1">
        <f t="shared" ref="M74:M85" si="16">(0.25-L74)*K74</f>
        <v>0.87750634968537633</v>
      </c>
    </row>
    <row r="75" spans="1:13" x14ac:dyDescent="0.35">
      <c r="A75" s="264" t="s">
        <v>286</v>
      </c>
      <c r="B75" s="686">
        <f t="shared" si="15"/>
        <v>1.3847476300640333</v>
      </c>
      <c r="C75" s="662">
        <f>TableA3!B75</f>
        <v>1.3847476300640333</v>
      </c>
      <c r="D75" s="662">
        <f>(1+0.05)*MAX(0,(TableB10!I75+TableB10!L75+TableB10!M75-TableB10!R75))/1000</f>
        <v>0</v>
      </c>
      <c r="E75" s="651">
        <f t="shared" si="12"/>
        <v>0.54431306414287628</v>
      </c>
      <c r="F75" s="8">
        <f>TableA5!F75+TableA5!I75+TableA5!J75</f>
        <v>-1.8817381439464382</v>
      </c>
      <c r="G75" s="102">
        <v>0</v>
      </c>
      <c r="H75" s="688">
        <f t="shared" si="13"/>
        <v>2.4260512080893144</v>
      </c>
      <c r="I75" s="266">
        <f>0.5*H75</f>
        <v>1.2130256040446572</v>
      </c>
      <c r="J75" s="266">
        <f t="shared" si="14"/>
        <v>1.2130256040446572</v>
      </c>
      <c r="K75" s="2601">
        <f>TableA7!O75*TableA4!G75</f>
        <v>0.84043456592115706</v>
      </c>
      <c r="L75" s="2600">
        <f>TableA3!G75/TableA6!B75</f>
        <v>0.05</v>
      </c>
      <c r="M75" s="1">
        <f t="shared" si="16"/>
        <v>0.16808691318423141</v>
      </c>
    </row>
    <row r="76" spans="1:13" x14ac:dyDescent="0.35">
      <c r="A76" s="264" t="s">
        <v>287</v>
      </c>
      <c r="B76" s="686">
        <f t="shared" si="15"/>
        <v>13.856227663292829</v>
      </c>
      <c r="C76" s="662">
        <f>TableA3!B76</f>
        <v>12.938277299966822</v>
      </c>
      <c r="D76" s="662">
        <f>(1+0.05)*MAX(0,(TableB10!I76+TableB10!L76+TableB10!M76-TableB10!R76))/1000</f>
        <v>0.91795036332600666</v>
      </c>
      <c r="E76" s="651">
        <f t="shared" si="12"/>
        <v>10.807557501271878</v>
      </c>
      <c r="F76" s="8">
        <f>TableA5!F76+TableA5!I76+TableA5!J76</f>
        <v>6.6867368421052626</v>
      </c>
      <c r="G76" s="102">
        <v>0</v>
      </c>
      <c r="H76" s="688">
        <f t="shared" si="13"/>
        <v>4.1208206591666157</v>
      </c>
      <c r="I76" s="266">
        <f>H76*TableB10!J76/(TableB10!I76+TableB10!M76)</f>
        <v>0</v>
      </c>
      <c r="J76" s="266">
        <f t="shared" si="14"/>
        <v>4.1208206591666157</v>
      </c>
      <c r="K76" s="2601">
        <f>TableA7!O76*TableA4!G76</f>
        <v>3.0486701620209504</v>
      </c>
      <c r="L76" s="2600">
        <f>TableA3!G76/TableA6!B76</f>
        <v>4.6687589199483959E-2</v>
      </c>
      <c r="M76" s="1">
        <f t="shared" si="16"/>
        <v>0.6198324803760793</v>
      </c>
    </row>
    <row r="77" spans="1:13" x14ac:dyDescent="0.35">
      <c r="A77" s="289" t="s">
        <v>301</v>
      </c>
      <c r="B77" s="686">
        <f t="shared" si="15"/>
        <v>13.646495114506827</v>
      </c>
      <c r="C77" s="662">
        <f>TableA3!B77</f>
        <v>2.3329148139999996</v>
      </c>
      <c r="D77" s="1118">
        <f>(1+0.05)*(TableB10!E77+TableB10!I77+TableB10!L77+TableB10!M77-TableB10!R77)/1000</f>
        <v>11.313580300506827</v>
      </c>
      <c r="E77" s="651">
        <f t="shared" si="12"/>
        <v>12.855054220700584</v>
      </c>
      <c r="F77" s="8">
        <f>TableA5!F77+TableA5!I77+TableA5!J77</f>
        <v>0</v>
      </c>
      <c r="G77" s="102">
        <v>0</v>
      </c>
      <c r="H77" s="688">
        <f t="shared" si="13"/>
        <v>12.855054220700584</v>
      </c>
      <c r="I77" s="266">
        <f>H77*TableB10!J77/(TableB10!I77+TableB10!M77)</f>
        <v>0.30093196148432139</v>
      </c>
      <c r="J77" s="266">
        <f>H77-I77</f>
        <v>12.554122259216262</v>
      </c>
      <c r="K77" s="2601">
        <f>TableA7!O77*TableA4!G77</f>
        <v>0.79144089380624261</v>
      </c>
      <c r="L77" s="2600">
        <f>TableA3!G77/TableA6!B77</f>
        <v>4.7649291571561309E-2</v>
      </c>
      <c r="M77" s="1">
        <f t="shared" si="16"/>
        <v>0.1601486255409299</v>
      </c>
    </row>
    <row r="78" spans="1:13" x14ac:dyDescent="0.35">
      <c r="A78" s="289" t="s">
        <v>302</v>
      </c>
      <c r="B78" s="686">
        <f t="shared" si="15"/>
        <v>3.4329997064598869E-2</v>
      </c>
      <c r="C78" s="662">
        <f>TableA3!B78</f>
        <v>3.4329997064598869E-2</v>
      </c>
      <c r="D78" s="662">
        <f>(1+0.05)*MAX(0,(TableB10!I78+TableB10!L78+TableB10!M78-TableB10!R78))/1000</f>
        <v>0</v>
      </c>
      <c r="E78" s="651">
        <f t="shared" si="12"/>
        <v>1.0287836568069537E-2</v>
      </c>
      <c r="F78" s="8">
        <f>TableA5!F78+TableA5!I78+TableA5!J78</f>
        <v>-0.2810819697803898</v>
      </c>
      <c r="G78" s="102">
        <v>0</v>
      </c>
      <c r="H78" s="688">
        <f t="shared" si="13"/>
        <v>0.29136980634845933</v>
      </c>
      <c r="I78" s="266">
        <f>H78*TableB10!J78/(TableB10!I78+TableB10!M78)</f>
        <v>0.48203932502515956</v>
      </c>
      <c r="J78" s="266">
        <f t="shared" si="14"/>
        <v>-0.19066951867670023</v>
      </c>
      <c r="K78" s="2601">
        <f>TableA7!O78*TableA4!G78</f>
        <v>2.4042160496529331E-2</v>
      </c>
      <c r="L78" s="2600">
        <f>TableA3!G78/TableA6!B78</f>
        <v>0</v>
      </c>
      <c r="M78" s="1">
        <f t="shared" si="16"/>
        <v>6.0105401241323329E-3</v>
      </c>
    </row>
    <row r="79" spans="1:13" x14ac:dyDescent="0.35">
      <c r="A79" s="289" t="str">
        <f>+TableA1!A79</f>
        <v>Monaco</v>
      </c>
      <c r="B79" s="686">
        <f t="shared" si="15"/>
        <v>2.4865786089930788</v>
      </c>
      <c r="C79" s="662">
        <f>TableA3!B79</f>
        <v>2.4865786089930788</v>
      </c>
      <c r="D79" s="662">
        <f>(1+0.05)*MAX(0,(TableB10!I79+TableB10!L79+TableB10!M79-TableB10!R79))/1000</f>
        <v>0</v>
      </c>
      <c r="E79" s="651">
        <f t="shared" si="12"/>
        <v>2.1872544286824804</v>
      </c>
      <c r="F79" s="8">
        <f>TableA5!F79+TableA5!I79+TableA5!J79</f>
        <v>0</v>
      </c>
      <c r="G79" s="102">
        <v>0</v>
      </c>
      <c r="H79" s="688">
        <f t="shared" si="13"/>
        <v>2.1872544286824804</v>
      </c>
      <c r="I79" s="266">
        <v>0</v>
      </c>
      <c r="J79" s="266">
        <v>0</v>
      </c>
      <c r="K79" s="2601">
        <f>TableA7!O79*TableA4!G79</f>
        <v>0.29932418031059849</v>
      </c>
      <c r="L79" s="2600">
        <f>TableA3!G79/TableA6!B79</f>
        <v>0.05</v>
      </c>
      <c r="M79" s="1">
        <f t="shared" si="16"/>
        <v>5.9864836062119703E-2</v>
      </c>
    </row>
    <row r="80" spans="1:13" x14ac:dyDescent="0.35">
      <c r="A80" s="264" t="s">
        <v>288</v>
      </c>
      <c r="B80" s="686">
        <f t="shared" si="15"/>
        <v>0.34823567512391918</v>
      </c>
      <c r="C80" s="662">
        <f>TableA3!B80</f>
        <v>0.34426567154188054</v>
      </c>
      <c r="D80" s="662">
        <f>(1+0.05)*MAX(0,(TableB10!I80+TableB10!L80+TableB10!M80-TableB10!R80))/1000</f>
        <v>3.9700035820386661E-3</v>
      </c>
      <c r="E80" s="651">
        <f t="shared" si="12"/>
        <v>0.30679422220146713</v>
      </c>
      <c r="F80" s="8">
        <f>TableA5!F80+TableA5!I80+TableA5!J80</f>
        <v>3.7071449473684206E-3</v>
      </c>
      <c r="G80" s="102">
        <v>0</v>
      </c>
      <c r="H80" s="688">
        <f t="shared" si="13"/>
        <v>0.30308707725409872</v>
      </c>
      <c r="I80" s="266">
        <f>H80*TableB10!J80/(TableB10!I80+TableB10!M80)</f>
        <v>0</v>
      </c>
      <c r="J80" s="266">
        <f t="shared" ref="J80:J88" si="17">H80-I80</f>
        <v>0.30308707725409872</v>
      </c>
      <c r="K80" s="2601">
        <f>TableA7!O80*TableA4!G80</f>
        <v>4.1441452922452063E-2</v>
      </c>
      <c r="L80" s="2600">
        <f>TableA3!G80/TableA6!B80</f>
        <v>4.942998321745383E-2</v>
      </c>
      <c r="M80" s="1">
        <f t="shared" si="16"/>
        <v>8.3119129081493069E-3</v>
      </c>
    </row>
    <row r="81" spans="1:13" x14ac:dyDescent="0.35">
      <c r="A81" s="264" t="s">
        <v>289</v>
      </c>
      <c r="B81" s="686">
        <f t="shared" si="15"/>
        <v>7.4441225761320906</v>
      </c>
      <c r="C81" s="662">
        <f>TableA3!B81</f>
        <v>6.819284308547247</v>
      </c>
      <c r="D81" s="662">
        <f>(1+0.05)*MAX(0,(TableB10!I81+TableB10!L81+TableB10!M81-TableB10!R81))/1000</f>
        <v>0.62483826758484384</v>
      </c>
      <c r="E81" s="651">
        <f t="shared" si="12"/>
        <v>7.360135250471358</v>
      </c>
      <c r="F81" s="8">
        <f>TableA5!F81+TableA5!I81+TableA5!J81</f>
        <v>0.33533017663157838</v>
      </c>
      <c r="G81" s="102">
        <v>0</v>
      </c>
      <c r="H81" s="688">
        <f t="shared" si="13"/>
        <v>7.0248050738397794</v>
      </c>
      <c r="I81" s="266">
        <f>H81*TableB10!J81/(TableB10!I81+TableB10!M81)</f>
        <v>0</v>
      </c>
      <c r="J81" s="266">
        <f t="shared" si="17"/>
        <v>7.0248050738397794</v>
      </c>
      <c r="K81" s="2601">
        <f>TableA7!O81*TableA4!G81</f>
        <v>8.3987325660732859E-2</v>
      </c>
      <c r="L81" s="2600">
        <f>TableA3!G81/TableA6!B81</f>
        <v>4.5803143613001168E-2</v>
      </c>
      <c r="M81" s="1">
        <f t="shared" si="16"/>
        <v>1.7149947876272768E-2</v>
      </c>
    </row>
    <row r="82" spans="1:13" x14ac:dyDescent="0.35">
      <c r="A82" s="289" t="str">
        <f>+TableA1!A82</f>
        <v>Seychelles</v>
      </c>
      <c r="B82" s="686">
        <f t="shared" si="15"/>
        <v>0.82419693736547761</v>
      </c>
      <c r="C82" s="662">
        <f>TableA3!B82</f>
        <v>0.81332765904671878</v>
      </c>
      <c r="D82" s="662">
        <f>(1+0.05)*MAX(0,(TableB10!I82+TableB10!L82+TableB10!M82-TableB10!R82))/1000</f>
        <v>1.0869278318758861E-2</v>
      </c>
      <c r="E82" s="651">
        <f t="shared" si="12"/>
        <v>0.80997916157337257</v>
      </c>
      <c r="F82" s="8">
        <f>TableA5!F82+TableA5!I82+TableA5!J82</f>
        <v>7.170055787368422E-2</v>
      </c>
      <c r="G82" s="102">
        <v>0</v>
      </c>
      <c r="H82" s="688">
        <f t="shared" si="13"/>
        <v>0.73827860369968834</v>
      </c>
      <c r="I82" s="266">
        <f>H82*TableB10!J82/(TableB10!I82+TableB10!M82)</f>
        <v>0</v>
      </c>
      <c r="J82" s="266">
        <f t="shared" si="17"/>
        <v>0.73827860369968834</v>
      </c>
      <c r="K82" s="2601">
        <f>TableA7!O82*TableA4!G82</f>
        <v>1.4217775792105054E-2</v>
      </c>
      <c r="L82" s="2600">
        <f>TableA3!G82/TableA6!B82</f>
        <v>4.9340614007041685E-2</v>
      </c>
      <c r="M82" s="1">
        <f t="shared" si="16"/>
        <v>2.8529301606293467E-3</v>
      </c>
    </row>
    <row r="83" spans="1:13" x14ac:dyDescent="0.35">
      <c r="A83" s="264" t="s">
        <v>225</v>
      </c>
      <c r="B83" s="686">
        <f t="shared" si="15"/>
        <v>120.07387384516201</v>
      </c>
      <c r="C83" s="662">
        <f>TableA3!B83</f>
        <v>64.547352786104156</v>
      </c>
      <c r="D83" s="662">
        <f>(1+0.05)*MAX(0,(TableB10!I83+TableB10!L83+TableB10!M83-TableB10!R83))/1000</f>
        <v>55.526521059057849</v>
      </c>
      <c r="E83" s="651">
        <f t="shared" si="12"/>
        <v>90.279312540155431</v>
      </c>
      <c r="F83" s="8">
        <f>TableA5!F83+TableA5!I83+TableA5!J83</f>
        <v>53.970395267078359</v>
      </c>
      <c r="G83" s="102">
        <v>0</v>
      </c>
      <c r="H83" s="688">
        <f t="shared" si="13"/>
        <v>36.308917273077071</v>
      </c>
      <c r="I83" s="266">
        <f>H83*TableB10!J83/(TableB10!I83+TableB10!M83)</f>
        <v>16.184926106278052</v>
      </c>
      <c r="J83" s="266">
        <f t="shared" si="17"/>
        <v>20.123991166799019</v>
      </c>
      <c r="K83" s="2601">
        <f>TableA7!O83*TableA4!G83</f>
        <v>29.794561305006578</v>
      </c>
      <c r="L83" s="2600">
        <f>TableA3!G83/TableA6!B83</f>
        <v>8.300833934937181E-2</v>
      </c>
      <c r="M83" s="1">
        <f t="shared" si="16"/>
        <v>4.9754432706799969</v>
      </c>
    </row>
    <row r="84" spans="1:13" x14ac:dyDescent="0.35">
      <c r="A84" s="289" t="str">
        <f>+TableA1!A84</f>
        <v>St. Kitts and Nevis</v>
      </c>
      <c r="B84" s="686">
        <f t="shared" si="15"/>
        <v>0.47270768679271868</v>
      </c>
      <c r="C84" s="662">
        <f>TableA3!B84</f>
        <v>0.46577557662910313</v>
      </c>
      <c r="D84" s="662">
        <f>(1+0.05)*MAX(0,(TableB10!I84+TableB10!L84+TableB10!M84-TableB10!R84))/1000</f>
        <v>6.9321101636155456E-3</v>
      </c>
      <c r="E84" s="651">
        <f t="shared" si="12"/>
        <v>0.45147281043247117</v>
      </c>
      <c r="F84" s="8">
        <f>TableA5!F84+TableA5!I84+TableA5!J84</f>
        <v>3.1578947368421058E-4</v>
      </c>
      <c r="G84" s="102">
        <v>0</v>
      </c>
      <c r="H84" s="688">
        <f t="shared" si="13"/>
        <v>0.45115702095878696</v>
      </c>
      <c r="I84" s="266">
        <f>0.5*H84</f>
        <v>0.22557851047939348</v>
      </c>
      <c r="J84" s="266">
        <f t="shared" si="17"/>
        <v>0.22557851047939348</v>
      </c>
      <c r="K84" s="2601">
        <f>TableA7!O84*TableA4!G84</f>
        <v>2.1234876360247523E-2</v>
      </c>
      <c r="L84" s="2600">
        <f>TableA3!G84/TableA6!B84</f>
        <v>4.9266765661179608E-2</v>
      </c>
      <c r="M84" s="1">
        <f t="shared" si="16"/>
        <v>4.2625454125774431E-3</v>
      </c>
    </row>
    <row r="85" spans="1:13" x14ac:dyDescent="0.35">
      <c r="A85" s="289" t="str">
        <f>+TableA1!A85</f>
        <v>St. Lucia</v>
      </c>
      <c r="B85" s="686">
        <f t="shared" si="15"/>
        <v>0.98185335484198899</v>
      </c>
      <c r="C85" s="662">
        <f>TableA3!B85</f>
        <v>0.89780776493170278</v>
      </c>
      <c r="D85" s="662">
        <f>(1+0.05)*MAX(0,(TableB10!I85+TableB10!L85+TableB10!M85-TableB10!R85))/1000</f>
        <v>8.4045589910286156E-2</v>
      </c>
      <c r="E85" s="651">
        <f t="shared" si="12"/>
        <v>0.94866880291806055</v>
      </c>
      <c r="F85" s="8">
        <f>TableA5!F85+TableA5!I85+TableA5!J85</f>
        <v>7.3052631578947369E-2</v>
      </c>
      <c r="G85" s="102">
        <v>0</v>
      </c>
      <c r="H85" s="688">
        <f t="shared" si="13"/>
        <v>0.87561617133911318</v>
      </c>
      <c r="I85" s="266">
        <f>H85*TableB10!J85/(TableB10!I85+TableB10!M85)</f>
        <v>0</v>
      </c>
      <c r="J85" s="266">
        <f t="shared" si="17"/>
        <v>0.87561617133911318</v>
      </c>
      <c r="K85" s="2601">
        <f>TableA7!O85*TableA4!G85</f>
        <v>3.318455192392842E-2</v>
      </c>
      <c r="L85" s="2600">
        <f>TableA3!G85/TableA6!B85</f>
        <v>4.5720053840228939E-2</v>
      </c>
      <c r="M85" s="1">
        <f t="shared" si="16"/>
        <v>6.7789384803562253E-3</v>
      </c>
    </row>
    <row r="86" spans="1:13" x14ac:dyDescent="0.35">
      <c r="A86" s="289" t="str">
        <f>+TableA1!A86</f>
        <v>St. Vincent and the Grenadines</v>
      </c>
      <c r="B86" s="686">
        <f t="shared" si="15"/>
        <v>0.4096430975806486</v>
      </c>
      <c r="C86" s="662">
        <f>TableA3!B86</f>
        <v>0.3899945493812374</v>
      </c>
      <c r="D86" s="662">
        <f>(1+0.05)*MAX(0,(TableB10!I86+TableB10!L86+TableB10!M86-TableB10!R86))/1000</f>
        <v>1.9648548199411184E-2</v>
      </c>
      <c r="E86" s="651">
        <f t="shared" si="12"/>
        <v>0.38835723070985412</v>
      </c>
      <c r="F86" s="8">
        <f>TableA5!F86+TableA5!I86+TableA5!J86</f>
        <v>1.7157894736842108E-2</v>
      </c>
      <c r="G86" s="102">
        <v>0</v>
      </c>
      <c r="H86" s="688">
        <f t="shared" si="13"/>
        <v>0.37119933597301202</v>
      </c>
      <c r="I86" s="266">
        <f>H86*TableB10!J86/(TableB10!I86+TableB10!M86)</f>
        <v>0</v>
      </c>
      <c r="J86" s="266">
        <f t="shared" si="17"/>
        <v>0.37119933597301202</v>
      </c>
      <c r="K86" s="2601">
        <f>TableA7!O86*TableA4!G86</f>
        <v>2.1285866870794486E-2</v>
      </c>
      <c r="L86" s="2600">
        <f>TableA3!G86/TableA6!B86</f>
        <v>4.7601747922099084E-2</v>
      </c>
    </row>
    <row r="87" spans="1:13" x14ac:dyDescent="0.35">
      <c r="A87" s="289" t="str">
        <f>+TableA1!A87</f>
        <v>Turks and Caicos</v>
      </c>
      <c r="B87" s="686">
        <f t="shared" si="15"/>
        <v>0.29994738122448317</v>
      </c>
      <c r="C87" s="662">
        <f>TableA3!B87</f>
        <v>0.27378414777319332</v>
      </c>
      <c r="D87" s="662">
        <f>(1+0.05)*MAX(0,(TableB10!I87+TableB10!L87+TableB10!M87-TableB10!R87))/1000</f>
        <v>2.6163233451289829E-2</v>
      </c>
      <c r="E87" s="651">
        <f t="shared" si="12"/>
        <v>0.26699033180435056</v>
      </c>
      <c r="F87" s="8">
        <f>TableA5!F87+TableA5!I87+TableA5!J87</f>
        <v>0</v>
      </c>
      <c r="G87" s="102">
        <v>0</v>
      </c>
      <c r="H87" s="688">
        <f t="shared" si="13"/>
        <v>0.26699033180435056</v>
      </c>
      <c r="I87" s="266">
        <v>0</v>
      </c>
      <c r="J87" s="266">
        <v>0</v>
      </c>
      <c r="K87" s="2601">
        <f>TableA7!O87*TableA4!G87</f>
        <v>3.2957049420132598E-2</v>
      </c>
      <c r="L87" s="2600">
        <f>TableA3!G87/TableA6!B87</f>
        <v>0</v>
      </c>
    </row>
    <row r="88" spans="1:13" x14ac:dyDescent="0.35">
      <c r="A88" s="289" t="str">
        <f>+TableA1!A88</f>
        <v>Panama</v>
      </c>
      <c r="B88" s="686">
        <f t="shared" si="15"/>
        <v>21.839627936803055</v>
      </c>
      <c r="C88" s="662">
        <f>TableA3!B88</f>
        <v>21.755867199563681</v>
      </c>
      <c r="D88" s="662">
        <f>(1+0.05)*MAX(0,(TableB10!I88+TableB10!L88+TableB10!M88-TableB10!R88))/1000</f>
        <v>8.376073723937226E-2</v>
      </c>
      <c r="E88" s="651">
        <f t="shared" si="12"/>
        <v>17.861321218110369</v>
      </c>
      <c r="F88" s="8">
        <f>TableA5!F88+TableA5!I88+TableA5!J88</f>
        <v>3.5287177831380028</v>
      </c>
      <c r="G88" s="102">
        <v>0</v>
      </c>
      <c r="H88" s="688">
        <f t="shared" si="13"/>
        <v>14.332603434972366</v>
      </c>
      <c r="I88" s="266">
        <f>H88*TableB10!J88/(TableB10!I88+TableB10!M88)</f>
        <v>0</v>
      </c>
      <c r="J88" s="266">
        <f t="shared" si="17"/>
        <v>14.332603434972366</v>
      </c>
      <c r="K88" s="2601">
        <f>TableA7!O88*TableA4!G88</f>
        <v>3.9783067186926862</v>
      </c>
      <c r="L88" s="2600">
        <f>TableA3!G88/TableA6!B88</f>
        <v>4.980823680357159E-2</v>
      </c>
    </row>
    <row r="89" spans="1:13" x14ac:dyDescent="0.35">
      <c r="A89" s="264" t="s">
        <v>290</v>
      </c>
      <c r="B89" s="686">
        <f t="shared" si="15"/>
        <v>52.764834331533464</v>
      </c>
      <c r="C89" s="662">
        <f>TableA3!B89</f>
        <v>52.764834331533464</v>
      </c>
      <c r="D89" s="662">
        <f>(1+0.05)*MAX(0,(TableB10!I89+TableB10!L89+TableB10!M89-TableB10!R89))/1000</f>
        <v>0</v>
      </c>
      <c r="E89" s="651">
        <f t="shared" si="12"/>
        <v>42.913042812221541</v>
      </c>
      <c r="F89" s="8">
        <f>TableA5!F89+TableA5!I89+TableA5!J89</f>
        <v>35.957799737740579</v>
      </c>
      <c r="G89" s="102">
        <v>0</v>
      </c>
      <c r="H89" s="688">
        <f t="shared" si="13"/>
        <v>6.9552430744809612</v>
      </c>
      <c r="I89" s="266">
        <v>0</v>
      </c>
      <c r="J89" s="266">
        <v>0</v>
      </c>
      <c r="K89" s="2601">
        <f>TableA7!O89*TableA4!G89</f>
        <v>9.8517915193119219</v>
      </c>
      <c r="L89" s="2600">
        <f>TableA3!G89/TableA6!B89</f>
        <v>3.2938604318924807E-2</v>
      </c>
    </row>
    <row r="90" spans="1:13" ht="40" customHeight="1" x14ac:dyDescent="0.35">
      <c r="A90" s="38" t="s">
        <v>498</v>
      </c>
      <c r="B90" s="306">
        <f t="shared" si="15"/>
        <v>1423.1461018568671</v>
      </c>
      <c r="C90" s="53">
        <f>TableA3!B90</f>
        <v>1423.1461018568671</v>
      </c>
      <c r="D90" s="1093">
        <v>0</v>
      </c>
      <c r="E90" s="668">
        <f>F90+G90+H90</f>
        <v>114.1831702680436</v>
      </c>
      <c r="F90" s="557">
        <f>TableA5!F90+TableA5!I90+TableA5!J90</f>
        <v>114.1831702680436</v>
      </c>
      <c r="G90" s="650">
        <v>0</v>
      </c>
      <c r="H90" s="650">
        <f>(1+TableA5!$O90)*MAX(TableB10!L90-TableB10!R90,(TableB10!I90+TableB10!M90-TableB10!R90),0)/1000</f>
        <v>0</v>
      </c>
      <c r="I90" s="606">
        <v>0</v>
      </c>
      <c r="J90" s="606">
        <v>0</v>
      </c>
      <c r="K90" s="2602">
        <f>B90-E90</f>
        <v>1308.9629315888235</v>
      </c>
      <c r="L90" s="2603">
        <f>TableA3!G90/TableA6!B90</f>
        <v>0.18757638370366686</v>
      </c>
    </row>
    <row r="91" spans="1:13" ht="40" customHeight="1" thickBot="1" x14ac:dyDescent="0.4">
      <c r="A91" s="560" t="s">
        <v>499</v>
      </c>
      <c r="B91" s="687">
        <f t="shared" si="15"/>
        <v>11515.286894140658</v>
      </c>
      <c r="C91" s="665">
        <f>C90+C53+C45+C9</f>
        <v>11208.895794676813</v>
      </c>
      <c r="D91" s="665">
        <f>D90+D53+D45+D9</f>
        <v>306.39109946384485</v>
      </c>
      <c r="E91" s="669">
        <f>F91+G91+H91</f>
        <v>1703.2290592571803</v>
      </c>
      <c r="F91" s="665">
        <f t="shared" ref="F91:J91" si="18">F90+F53+F45+F9</f>
        <v>1347.0995652658355</v>
      </c>
      <c r="G91" s="665">
        <f t="shared" si="18"/>
        <v>5.5798061426140979</v>
      </c>
      <c r="H91" s="855">
        <f t="shared" si="18"/>
        <v>350.54968784873051</v>
      </c>
      <c r="I91" s="665">
        <f t="shared" si="18"/>
        <v>141.78241950708525</v>
      </c>
      <c r="J91" s="665">
        <f t="shared" si="18"/>
        <v>199.35778050667741</v>
      </c>
      <c r="K91" s="2604">
        <f>K90+K53+K45+K9</f>
        <v>9812.0578348834788</v>
      </c>
      <c r="L91" s="2605">
        <f>TableA3!G91/TableA6!B91</f>
        <v>0.18703103411081895</v>
      </c>
    </row>
    <row r="92" spans="1:13" ht="16" thickTop="1" x14ac:dyDescent="0.35">
      <c r="F92" s="658"/>
      <c r="L92" s="1997"/>
    </row>
    <row r="93" spans="1:13" s="2" customFormat="1" ht="16" thickBot="1" x14ac:dyDescent="0.4">
      <c r="E93" s="1"/>
      <c r="F93" s="1"/>
      <c r="G93" s="1"/>
      <c r="H93" s="1"/>
      <c r="I93" s="1"/>
      <c r="J93" s="1"/>
      <c r="K93" s="1974"/>
      <c r="L93" s="2606"/>
    </row>
    <row r="94" spans="1:13" s="2" customFormat="1" ht="38.25" customHeight="1" thickBot="1" x14ac:dyDescent="0.4">
      <c r="A94" s="2171" t="s">
        <v>532</v>
      </c>
      <c r="B94" s="2172"/>
      <c r="C94" s="2172"/>
      <c r="D94" s="2172"/>
      <c r="E94" s="2172"/>
      <c r="F94" s="2172"/>
      <c r="G94" s="2172"/>
      <c r="H94" s="2172"/>
      <c r="I94" s="2172"/>
      <c r="J94" s="2172"/>
      <c r="K94" s="2172"/>
      <c r="L94" s="2173"/>
    </row>
    <row r="95" spans="1:13" s="2" customFormat="1" x14ac:dyDescent="0.35">
      <c r="A95" s="1"/>
      <c r="B95" s="1"/>
      <c r="C95" s="1"/>
      <c r="D95" s="1"/>
      <c r="E95" s="1"/>
      <c r="F95" s="1"/>
      <c r="G95" s="1"/>
      <c r="H95" s="1"/>
      <c r="I95" s="1"/>
      <c r="J95" s="1"/>
      <c r="K95" s="1974"/>
      <c r="L95" s="2606"/>
    </row>
    <row r="96" spans="1:13" s="2" customFormat="1" x14ac:dyDescent="0.35">
      <c r="A96" s="1"/>
      <c r="B96" s="1"/>
      <c r="C96" s="1"/>
      <c r="D96" s="1"/>
      <c r="E96" s="1"/>
      <c r="F96" s="1"/>
      <c r="G96" s="1"/>
      <c r="H96" s="1"/>
      <c r="I96" s="1"/>
      <c r="J96" s="1"/>
      <c r="K96" s="1974"/>
      <c r="L96" s="2606"/>
    </row>
    <row r="97" spans="1:12" s="2" customFormat="1" x14ac:dyDescent="0.35">
      <c r="A97" s="1"/>
      <c r="B97" s="1"/>
      <c r="C97" s="1"/>
      <c r="D97" s="1"/>
      <c r="E97" s="1"/>
      <c r="F97" s="1"/>
      <c r="G97" s="1"/>
      <c r="H97" s="1"/>
      <c r="I97" s="1"/>
      <c r="J97" s="1"/>
      <c r="K97" s="1974"/>
      <c r="L97" s="2606"/>
    </row>
    <row r="98" spans="1:12" s="2" customFormat="1" x14ac:dyDescent="0.35">
      <c r="A98" s="1"/>
      <c r="B98" s="594">
        <f t="shared" ref="B98:K98" si="19">B91-B90-B53-B45-B9</f>
        <v>0</v>
      </c>
      <c r="C98" s="594">
        <f t="shared" si="19"/>
        <v>0</v>
      </c>
      <c r="D98" s="594">
        <f t="shared" si="19"/>
        <v>0</v>
      </c>
      <c r="E98" s="594">
        <f t="shared" si="19"/>
        <v>0</v>
      </c>
      <c r="F98" s="594">
        <f t="shared" si="19"/>
        <v>0</v>
      </c>
      <c r="G98" s="594">
        <f t="shared" si="19"/>
        <v>0</v>
      </c>
      <c r="H98" s="594">
        <f t="shared" si="19"/>
        <v>0</v>
      </c>
      <c r="I98" s="594">
        <f t="shared" si="19"/>
        <v>0</v>
      </c>
      <c r="J98" s="594">
        <f t="shared" si="19"/>
        <v>0</v>
      </c>
      <c r="K98" s="1975">
        <f t="shared" si="19"/>
        <v>0</v>
      </c>
      <c r="L98" s="2606"/>
    </row>
    <row r="100" spans="1:12" s="2" customFormat="1" x14ac:dyDescent="0.35">
      <c r="A100" s="1"/>
      <c r="B100" s="1"/>
      <c r="C100" s="1"/>
      <c r="D100" s="1"/>
      <c r="E100" s="1"/>
      <c r="F100" s="1"/>
      <c r="G100" s="1"/>
      <c r="H100" s="1"/>
      <c r="I100" s="1"/>
      <c r="J100" s="1"/>
      <c r="K100" s="1974"/>
      <c r="L100" s="2606"/>
    </row>
  </sheetData>
  <mergeCells count="10">
    <mergeCell ref="L6:L8"/>
    <mergeCell ref="A94:L94"/>
    <mergeCell ref="A3:L3"/>
    <mergeCell ref="E7:E8"/>
    <mergeCell ref="F7:F8"/>
    <mergeCell ref="H7:H8"/>
    <mergeCell ref="G7:G8"/>
    <mergeCell ref="B7:B8"/>
    <mergeCell ref="K7:K8"/>
    <mergeCell ref="B6:K6"/>
  </mergeCells>
  <pageMargins left="0.7" right="0.7" top="0.75" bottom="0.75" header="0.3" footer="0.3"/>
  <pageSetup scale="63" fitToHeight="0" orientation="portrait" horizontalDpi="4294967292" verticalDpi="4294967292"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V99"/>
  <sheetViews>
    <sheetView zoomScale="85" zoomScaleNormal="85" zoomScalePageLayoutView="85" workbookViewId="0">
      <pane xSplit="1" ySplit="8" topLeftCell="C9" activePane="bottomRight" state="frozen"/>
      <selection activeCell="AR8" sqref="AR8"/>
      <selection pane="topRight" activeCell="AR8" sqref="AR8"/>
      <selection pane="bottomLeft" activeCell="AR8" sqref="AR8"/>
      <selection pane="bottomRight" activeCell="P10" sqref="P10"/>
    </sheetView>
  </sheetViews>
  <sheetFormatPr baseColWidth="10" defaultColWidth="10.81640625" defaultRowHeight="15.5" x14ac:dyDescent="0.35"/>
  <cols>
    <col min="1" max="1" width="19" style="1" customWidth="1"/>
    <col min="2" max="12" width="11.36328125" style="1" customWidth="1"/>
    <col min="13" max="13" width="10.81640625" style="1" customWidth="1"/>
    <col min="14" max="15" width="11.36328125" style="1" customWidth="1"/>
    <col min="16" max="16384" width="10.81640625" style="1"/>
  </cols>
  <sheetData>
    <row r="1" spans="1:21" x14ac:dyDescent="0.35">
      <c r="C1" s="27"/>
      <c r="D1" s="27"/>
      <c r="F1" s="27"/>
      <c r="G1" s="27"/>
      <c r="H1" s="27"/>
      <c r="I1" s="27"/>
      <c r="J1" s="27"/>
      <c r="K1" s="27"/>
      <c r="L1" s="27"/>
      <c r="M1" s="27"/>
      <c r="N1" s="27"/>
      <c r="P1" s="675"/>
    </row>
    <row r="2" spans="1:21" ht="16" thickBot="1" x14ac:dyDescent="0.4"/>
    <row r="3" spans="1:21" ht="32.25" customHeight="1" thickTop="1" x14ac:dyDescent="0.35">
      <c r="A3" s="2048" t="s">
        <v>178</v>
      </c>
      <c r="B3" s="2049"/>
      <c r="C3" s="2049"/>
      <c r="D3" s="2049"/>
      <c r="E3" s="2049"/>
      <c r="F3" s="2049"/>
      <c r="G3" s="2049"/>
      <c r="H3" s="2049"/>
      <c r="I3" s="2049"/>
      <c r="J3" s="2049"/>
      <c r="K3" s="2049"/>
      <c r="L3" s="2049"/>
      <c r="M3" s="2049"/>
      <c r="N3" s="2049"/>
      <c r="O3" s="2049"/>
      <c r="P3" s="2049"/>
      <c r="Q3" s="2050"/>
    </row>
    <row r="4" spans="1:21" ht="12" customHeight="1" x14ac:dyDescent="0.35">
      <c r="A4" s="11"/>
      <c r="B4" s="529"/>
      <c r="C4" s="529"/>
      <c r="D4" s="529"/>
      <c r="E4" s="529"/>
      <c r="F4" s="529"/>
      <c r="G4" s="529"/>
      <c r="H4" s="529"/>
      <c r="I4" s="529"/>
      <c r="J4" s="529"/>
      <c r="K4" s="529"/>
      <c r="L4" s="529"/>
      <c r="M4" s="529"/>
      <c r="N4" s="529"/>
      <c r="O4" s="529"/>
      <c r="P4" s="28"/>
      <c r="Q4" s="34"/>
    </row>
    <row r="5" spans="1:21" x14ac:dyDescent="0.35">
      <c r="A5" s="13"/>
      <c r="B5" s="10" t="s">
        <v>20</v>
      </c>
      <c r="C5" s="10" t="s">
        <v>21</v>
      </c>
      <c r="D5" s="10" t="s">
        <v>22</v>
      </c>
      <c r="E5" s="10" t="s">
        <v>23</v>
      </c>
      <c r="F5" s="10" t="s">
        <v>24</v>
      </c>
      <c r="G5" s="10" t="s">
        <v>25</v>
      </c>
      <c r="H5" s="10" t="s">
        <v>26</v>
      </c>
      <c r="I5" s="10" t="s">
        <v>33</v>
      </c>
      <c r="J5" s="10" t="s">
        <v>34</v>
      </c>
      <c r="K5" s="10" t="s">
        <v>37</v>
      </c>
      <c r="L5" s="10" t="s">
        <v>105</v>
      </c>
      <c r="M5" s="10" t="s">
        <v>138</v>
      </c>
      <c r="N5" s="10" t="s">
        <v>139</v>
      </c>
      <c r="O5" s="10" t="s">
        <v>140</v>
      </c>
      <c r="P5" s="10" t="s">
        <v>141</v>
      </c>
      <c r="Q5" s="590" t="s">
        <v>255</v>
      </c>
    </row>
    <row r="6" spans="1:21" ht="21" customHeight="1" x14ac:dyDescent="0.35">
      <c r="A6" s="13"/>
      <c r="B6" s="2189" t="s">
        <v>52</v>
      </c>
      <c r="C6" s="2190"/>
      <c r="D6" s="2190"/>
      <c r="E6" s="2190"/>
      <c r="F6" s="2184" t="s">
        <v>112</v>
      </c>
      <c r="G6" s="2187" t="s">
        <v>304</v>
      </c>
      <c r="H6" s="2193" t="s">
        <v>568</v>
      </c>
      <c r="I6" s="2196" t="s">
        <v>307</v>
      </c>
      <c r="J6" s="2179" t="s">
        <v>305</v>
      </c>
      <c r="K6" s="2180" t="s">
        <v>306</v>
      </c>
      <c r="L6" s="2182" t="s">
        <v>303</v>
      </c>
      <c r="M6" s="2160" t="s">
        <v>110</v>
      </c>
      <c r="N6" s="2191" t="s">
        <v>195</v>
      </c>
      <c r="O6" s="2160" t="s">
        <v>109</v>
      </c>
      <c r="P6" s="2149" t="s">
        <v>111</v>
      </c>
      <c r="Q6" s="2183"/>
    </row>
    <row r="7" spans="1:21" ht="85" customHeight="1" x14ac:dyDescent="0.35">
      <c r="A7" s="13"/>
      <c r="B7" s="2182" t="s">
        <v>179</v>
      </c>
      <c r="C7" s="857" t="s">
        <v>566</v>
      </c>
      <c r="D7" s="857" t="s">
        <v>567</v>
      </c>
      <c r="E7" s="527" t="s">
        <v>44</v>
      </c>
      <c r="F7" s="2185"/>
      <c r="G7" s="2166"/>
      <c r="H7" s="2194"/>
      <c r="I7" s="2194"/>
      <c r="J7" s="2167"/>
      <c r="K7" s="2181"/>
      <c r="L7" s="2130"/>
      <c r="M7" s="2161"/>
      <c r="N7" s="2192"/>
      <c r="O7" s="2161"/>
      <c r="P7" s="2182" t="s">
        <v>182</v>
      </c>
      <c r="Q7" s="692" t="s">
        <v>526</v>
      </c>
      <c r="R7" s="28"/>
      <c r="T7" s="431" t="s">
        <v>512</v>
      </c>
    </row>
    <row r="8" spans="1:21" ht="33" customHeight="1" x14ac:dyDescent="0.35">
      <c r="A8" s="13"/>
      <c r="B8" s="2135"/>
      <c r="C8" s="293"/>
      <c r="D8" s="293"/>
      <c r="E8" s="293"/>
      <c r="F8" s="2186"/>
      <c r="G8" s="2188"/>
      <c r="H8" s="2195"/>
      <c r="I8" s="2195"/>
      <c r="J8" s="528"/>
      <c r="K8" s="528"/>
      <c r="L8" s="2135"/>
      <c r="M8" s="293"/>
      <c r="N8" s="293"/>
      <c r="O8" s="293"/>
      <c r="P8" s="2135"/>
      <c r="Q8" s="591"/>
      <c r="T8" s="430"/>
    </row>
    <row r="9" spans="1:21" ht="40" customHeight="1" x14ac:dyDescent="0.35">
      <c r="A9" s="592" t="s">
        <v>98</v>
      </c>
      <c r="B9" s="569">
        <f>SUM(B10:B44)</f>
        <v>6449.286986082956</v>
      </c>
      <c r="C9" s="648">
        <f>SUM(C10:C44)</f>
        <v>956.10086642796193</v>
      </c>
      <c r="D9" s="648">
        <f>SUM(D10:D44)</f>
        <v>83.176702611519431</v>
      </c>
      <c r="E9" s="571">
        <f>SUM(E10:E44)</f>
        <v>5410.0094170434731</v>
      </c>
      <c r="F9" s="691">
        <f t="shared" ref="F9:F44" si="0">C9/(B9-D9)</f>
        <v>0.1501860357195384</v>
      </c>
      <c r="G9" s="589">
        <f>TableA2!L9</f>
        <v>0.41149842417638866</v>
      </c>
      <c r="H9" s="589">
        <f>D9/TableA2!C9</f>
        <v>5.4072503583288559E-3</v>
      </c>
      <c r="I9" s="589">
        <f>J9+K9</f>
        <v>7.7645217153016902E-3</v>
      </c>
      <c r="J9" s="589">
        <f>TableA6!I9/TableA2!$C9</f>
        <v>6.6527210204393103E-3</v>
      </c>
      <c r="K9" s="589">
        <f>TableA6!J9/TableA2!$C9</f>
        <v>1.1118006948623801E-3</v>
      </c>
      <c r="L9" s="588">
        <f>G9-H9+I9</f>
        <v>0.41385569553336149</v>
      </c>
      <c r="M9" s="589">
        <f>C9/TableA4!D9</f>
        <v>0.42001657601288439</v>
      </c>
      <c r="N9" s="589"/>
      <c r="O9" s="589">
        <f>E9/TableA4!G9</f>
        <v>0.41278563924415895</v>
      </c>
      <c r="P9" s="76">
        <f>P12+P24+P30+P32+P41</f>
        <v>281.74149562210863</v>
      </c>
      <c r="Q9" s="575"/>
      <c r="T9" s="711">
        <f>L9-G9-I9+H9</f>
        <v>0</v>
      </c>
      <c r="U9" s="711">
        <f>B9-C9-D9-E9</f>
        <v>0</v>
      </c>
    </row>
    <row r="10" spans="1:21" ht="14.25" customHeight="1" x14ac:dyDescent="0.35">
      <c r="A10" s="95" t="s">
        <v>54</v>
      </c>
      <c r="B10" s="295">
        <f>TableA6!B10</f>
        <v>178.84741076861815</v>
      </c>
      <c r="C10" s="8">
        <f>TableA6!E10</f>
        <v>28.299110069424813</v>
      </c>
      <c r="D10" s="8">
        <v>0</v>
      </c>
      <c r="E10" s="8">
        <f>B10-C10-D10</f>
        <v>150.54830069919333</v>
      </c>
      <c r="F10" s="701">
        <f t="shared" si="0"/>
        <v>0.15823047114747707</v>
      </c>
      <c r="G10" s="680">
        <f>TableA2!L10</f>
        <v>0.35986511293798373</v>
      </c>
      <c r="H10" s="680">
        <f>D10/TableA2!C10</f>
        <v>0</v>
      </c>
      <c r="I10" s="680">
        <f>J10+K10</f>
        <v>0</v>
      </c>
      <c r="J10" s="680">
        <f>TableA6!I10/TableA2!$C10</f>
        <v>0</v>
      </c>
      <c r="K10" s="680">
        <f>TableA6!J10/TableA2!$C10</f>
        <v>0</v>
      </c>
      <c r="L10" s="588">
        <f t="shared" ref="L10:L44" si="1">G10-H10+I10</f>
        <v>0.35986511293798373</v>
      </c>
      <c r="M10" s="680">
        <f>C10/TableA4!D10</f>
        <v>0.27383940346897767</v>
      </c>
      <c r="N10" s="680">
        <f>AVERAGE((VLOOKUP(A10,TableA10!$A$8:$G$95,4,)/VLOOKUP(A10,TableA10!$A$8:$G$95,3,)),(VLOOKUP(A10,TableA10b!$A$8:$G$95,4,)/VLOOKUP(A10,TableA10b!$A$8:$G$95,3,)))</f>
        <v>0.27383940346897767</v>
      </c>
      <c r="O10" s="680">
        <f>E10/TableA4!G10</f>
        <v>0.38244922547378107</v>
      </c>
      <c r="P10" s="297">
        <f>C10-O10*TableA4!D10</f>
        <v>-11.223955605361816</v>
      </c>
      <c r="Q10" s="593"/>
      <c r="T10" s="711">
        <f t="shared" ref="T10:T73" si="2">L10-G10-I10+H10</f>
        <v>0</v>
      </c>
      <c r="U10" s="711">
        <f t="shared" ref="U10:U73" si="3">B10-C10-D10-E10</f>
        <v>0</v>
      </c>
    </row>
    <row r="11" spans="1:21" ht="14.25" customHeight="1" x14ac:dyDescent="0.35">
      <c r="A11" s="95" t="s">
        <v>55</v>
      </c>
      <c r="B11" s="295">
        <f>TableA6!B11</f>
        <v>47.957043627358011</v>
      </c>
      <c r="C11" s="8">
        <f>TableA6!E11</f>
        <v>11.294821742987047</v>
      </c>
      <c r="D11" s="8">
        <v>0</v>
      </c>
      <c r="E11" s="8">
        <f t="shared" ref="E11:E52" si="4">B11-C11-D11</f>
        <v>36.662221884370965</v>
      </c>
      <c r="F11" s="701">
        <f t="shared" si="0"/>
        <v>0.23551955851890127</v>
      </c>
      <c r="G11" s="9">
        <f>TableA2!L11</f>
        <v>0.38573161702393371</v>
      </c>
      <c r="H11" s="9">
        <f>D11/TableA2!C11</f>
        <v>0</v>
      </c>
      <c r="I11" s="9">
        <f t="shared" ref="I11:I52" si="5">J11+K11</f>
        <v>0</v>
      </c>
      <c r="J11" s="9">
        <f>TableA6!I11/TableA2!$C11</f>
        <v>0</v>
      </c>
      <c r="K11" s="9">
        <f>TableA6!J11/TableA2!$C11</f>
        <v>0</v>
      </c>
      <c r="L11" s="296">
        <f t="shared" si="1"/>
        <v>0.38573161702393371</v>
      </c>
      <c r="M11" s="9">
        <f>C11/TableA4!D11</f>
        <v>0.33058399232200741</v>
      </c>
      <c r="N11" s="9">
        <f>VLOOKUP(A11,TableA10!$A$8:$G$95,4,)/VLOOKUP(A11,TableA10!$A$8:$G$95,3,)</f>
        <v>-3.7660055234747677E-3</v>
      </c>
      <c r="O11" s="9">
        <f>E11/TableA4!G11</f>
        <v>0.40662961061080261</v>
      </c>
      <c r="P11" s="297">
        <f>C11-O11*TableA4!D11</f>
        <v>-2.5981950816013484</v>
      </c>
      <c r="Q11" s="593"/>
      <c r="T11" s="711">
        <f t="shared" si="2"/>
        <v>0</v>
      </c>
      <c r="U11" s="711">
        <f t="shared" si="3"/>
        <v>0</v>
      </c>
    </row>
    <row r="12" spans="1:21" x14ac:dyDescent="0.35">
      <c r="A12" s="95" t="s">
        <v>2</v>
      </c>
      <c r="B12" s="295">
        <f>TableA6!B12</f>
        <v>80.241889758299209</v>
      </c>
      <c r="C12" s="8">
        <f>TableA6!E12</f>
        <v>32.206747942780808</v>
      </c>
      <c r="D12" s="8">
        <v>0</v>
      </c>
      <c r="E12" s="8">
        <f t="shared" si="4"/>
        <v>48.035141815518401</v>
      </c>
      <c r="F12" s="701">
        <f t="shared" si="0"/>
        <v>0.40137075584576132</v>
      </c>
      <c r="G12" s="9">
        <f>TableA2!L12</f>
        <v>0.46042895713758619</v>
      </c>
      <c r="H12" s="9">
        <f>D12/TableA2!C12</f>
        <v>0</v>
      </c>
      <c r="I12" s="9">
        <f t="shared" si="5"/>
        <v>2.1427357922788704E-2</v>
      </c>
      <c r="J12" s="9">
        <f>TableA6!I12/TableA2!$C12</f>
        <v>2.1427357922788704E-2</v>
      </c>
      <c r="K12" s="9">
        <f>TableA6!J12/TableA2!$C12</f>
        <v>0</v>
      </c>
      <c r="L12" s="296">
        <f t="shared" si="1"/>
        <v>0.48185631506037491</v>
      </c>
      <c r="M12" s="9">
        <f>C12/TableA4!D12</f>
        <v>0.67980103327038299</v>
      </c>
      <c r="N12" s="9">
        <f>VLOOKUP(A12,TableA10!$A$8:$G$95,4,)/VLOOKUP(A12,TableA10!$A$8:$G$95,3,)</f>
        <v>0.60110878851222393</v>
      </c>
      <c r="O12" s="9">
        <f>E12/TableA4!G12</f>
        <v>0.4031489417707429</v>
      </c>
      <c r="P12" s="297">
        <f>C12-O12*TableA4!D12</f>
        <v>13.106870602869716</v>
      </c>
      <c r="Q12" s="593"/>
      <c r="T12" s="711">
        <f t="shared" si="2"/>
        <v>1.0408340855860843E-17</v>
      </c>
      <c r="U12" s="711">
        <f t="shared" si="3"/>
        <v>0</v>
      </c>
    </row>
    <row r="13" spans="1:21" x14ac:dyDescent="0.35">
      <c r="A13" s="95" t="s">
        <v>56</v>
      </c>
      <c r="B13" s="295">
        <f>TableA6!B13</f>
        <v>142.9569900038934</v>
      </c>
      <c r="C13" s="8">
        <f>TableA6!E13</f>
        <v>46.935942392007277</v>
      </c>
      <c r="D13" s="8">
        <v>0</v>
      </c>
      <c r="E13" s="8">
        <f t="shared" si="4"/>
        <v>96.021047611886118</v>
      </c>
      <c r="F13" s="701">
        <f t="shared" si="0"/>
        <v>0.3283221225539863</v>
      </c>
      <c r="G13" s="9">
        <f>TableA2!L13</f>
        <v>0.23305888899623428</v>
      </c>
      <c r="H13" s="9">
        <f>D13/TableA2!C13</f>
        <v>0</v>
      </c>
      <c r="I13" s="9">
        <f t="shared" si="5"/>
        <v>0</v>
      </c>
      <c r="J13" s="9">
        <f>TableA6!I13/TableA2!$C13</f>
        <v>0</v>
      </c>
      <c r="K13" s="9">
        <f>TableA6!J13/TableA2!$C13</f>
        <v>0</v>
      </c>
      <c r="L13" s="296">
        <f t="shared" si="1"/>
        <v>0.23305888899623428</v>
      </c>
      <c r="M13" s="9">
        <f>C13/TableA4!D13</f>
        <v>0.51265902111925798</v>
      </c>
      <c r="N13" s="9">
        <f>VLOOKUP(A13,TableA10!$A$8:$G$95,4,)/VLOOKUP(A13,TableA10!$A$8:$G$95,3,)</f>
        <v>0.51265902111925798</v>
      </c>
      <c r="O13" s="9">
        <f>E13/TableA4!G13</f>
        <v>0.18400463874630477</v>
      </c>
      <c r="P13" s="607">
        <f>C13-O13*TableA4!D13</f>
        <v>30.089596637272944</v>
      </c>
      <c r="Q13" s="593"/>
      <c r="T13" s="711">
        <f t="shared" si="2"/>
        <v>0</v>
      </c>
      <c r="U13" s="711">
        <f t="shared" si="3"/>
        <v>0</v>
      </c>
    </row>
    <row r="14" spans="1:21" x14ac:dyDescent="0.35">
      <c r="A14" s="95" t="s">
        <v>57</v>
      </c>
      <c r="B14" s="295">
        <f>TableA6!B14</f>
        <v>67.542484958596845</v>
      </c>
      <c r="C14" s="8">
        <f>TableA6!E14</f>
        <v>9.8951445885655183</v>
      </c>
      <c r="D14" s="8">
        <v>0</v>
      </c>
      <c r="E14" s="8">
        <f t="shared" si="4"/>
        <v>57.64734037003133</v>
      </c>
      <c r="F14" s="701">
        <f t="shared" si="0"/>
        <v>0.14650252496086255</v>
      </c>
      <c r="G14" s="9">
        <f>TableA2!L14</f>
        <v>1.0076535203150763</v>
      </c>
      <c r="H14" s="9">
        <f>D14/TableA2!C14</f>
        <v>0</v>
      </c>
      <c r="I14" s="9">
        <f t="shared" si="5"/>
        <v>0</v>
      </c>
      <c r="J14" s="9">
        <f>TableA6!I14/TableA2!$C14</f>
        <v>0</v>
      </c>
      <c r="K14" s="9">
        <f>TableA6!J14/TableA2!$C14</f>
        <v>0</v>
      </c>
      <c r="L14" s="296">
        <f t="shared" si="1"/>
        <v>1.0076535203150763</v>
      </c>
      <c r="M14" s="9">
        <f>C14/TableA4!D14</f>
        <v>0.99074432261467493</v>
      </c>
      <c r="N14" s="9">
        <f>VLOOKUP(A14,TableA10!$A$8:$G$95,4,)/VLOOKUP(A14,TableA10!$A$8:$G$95,3,)</f>
        <v>0.99075263293090166</v>
      </c>
      <c r="O14" s="9">
        <f>E14/TableA4!G14</f>
        <v>1.0106141880425457</v>
      </c>
      <c r="P14" s="297">
        <f>C14-O14*TableA4!D14</f>
        <v>-0.19845199904374233</v>
      </c>
      <c r="Q14" s="593"/>
      <c r="T14" s="711">
        <f t="shared" si="2"/>
        <v>0</v>
      </c>
      <c r="U14" s="711">
        <f t="shared" si="3"/>
        <v>0</v>
      </c>
    </row>
    <row r="15" spans="1:21" x14ac:dyDescent="0.35">
      <c r="A15" s="95" t="s">
        <v>58</v>
      </c>
      <c r="B15" s="295">
        <f>TableA6!B15</f>
        <v>33.577437877940952</v>
      </c>
      <c r="C15" s="8">
        <f>TableA6!E15</f>
        <v>17.490778418103861</v>
      </c>
      <c r="D15" s="8">
        <v>0</v>
      </c>
      <c r="E15" s="8">
        <f t="shared" si="4"/>
        <v>16.08665945983709</v>
      </c>
      <c r="F15" s="701">
        <f t="shared" si="0"/>
        <v>0.52090866735232977</v>
      </c>
      <c r="G15" s="9">
        <f>TableA2!L15</f>
        <v>0.62169699268833523</v>
      </c>
      <c r="H15" s="9">
        <f>D15/TableA2!C15</f>
        <v>0</v>
      </c>
      <c r="I15" s="9">
        <f t="shared" si="5"/>
        <v>0</v>
      </c>
      <c r="J15" s="9">
        <f>TableA6!I15/TableA2!$C15</f>
        <v>0</v>
      </c>
      <c r="K15" s="9">
        <f>TableA6!J15/TableA2!$C15</f>
        <v>0</v>
      </c>
      <c r="L15" s="296">
        <f t="shared" si="1"/>
        <v>0.62169699268833523</v>
      </c>
      <c r="M15" s="9">
        <f>C15/TableA4!D15</f>
        <v>0.76443329218162037</v>
      </c>
      <c r="N15" s="9">
        <f>VLOOKUP(A15,TableA10!$A$8:$G$95,4,)/VLOOKUP(A15,TableA10!$A$8:$G$95,3,)</f>
        <v>0.60775473399458968</v>
      </c>
      <c r="O15" s="9">
        <f>E15/TableA4!G15</f>
        <v>0.51678040684408355</v>
      </c>
      <c r="P15" s="297">
        <f>C15-O15*TableA4!D15</f>
        <v>5.6664744803053289</v>
      </c>
      <c r="Q15" s="593"/>
      <c r="T15" s="711">
        <f t="shared" si="2"/>
        <v>0</v>
      </c>
      <c r="U15" s="711">
        <f t="shared" si="3"/>
        <v>0</v>
      </c>
    </row>
    <row r="16" spans="1:21" x14ac:dyDescent="0.35">
      <c r="A16" s="95" t="s">
        <v>59</v>
      </c>
      <c r="B16" s="295">
        <f>TableA6!B16</f>
        <v>51.69259919912686</v>
      </c>
      <c r="C16" s="8">
        <f>TableA6!E16</f>
        <v>5.1092950429719881</v>
      </c>
      <c r="D16" s="8">
        <v>0</v>
      </c>
      <c r="E16" s="8">
        <f t="shared" si="4"/>
        <v>46.583304156154874</v>
      </c>
      <c r="F16" s="701">
        <f t="shared" si="0"/>
        <v>9.8839971719941855E-2</v>
      </c>
      <c r="G16" s="9">
        <f>TableA2!L16</f>
        <v>0.52437213243531344</v>
      </c>
      <c r="H16" s="9">
        <f>D16/TableA2!C16</f>
        <v>0</v>
      </c>
      <c r="I16" s="9">
        <f t="shared" si="5"/>
        <v>0</v>
      </c>
      <c r="J16" s="9">
        <f>TableA6!I16/TableA2!$C16</f>
        <v>0</v>
      </c>
      <c r="K16" s="9">
        <f>TableA6!J16/TableA2!$C16</f>
        <v>0</v>
      </c>
      <c r="L16" s="296">
        <f t="shared" si="1"/>
        <v>0.52437213243531344</v>
      </c>
      <c r="M16" s="9">
        <f>C16/TableA4!D16</f>
        <v>0.22447139293998325</v>
      </c>
      <c r="N16" s="9">
        <f>VLOOKUP(A16,TableA10!$A$8:$G$95,4,)/VLOOKUP(A16,TableA10!$A$8:$G$95,3,)</f>
        <v>0.2613430127041742</v>
      </c>
      <c r="O16" s="9">
        <f>E16/TableA4!G16</f>
        <v>0.6144052152506192</v>
      </c>
      <c r="P16" s="297">
        <f>C16-O16*TableA4!D16</f>
        <v>-8.8754603396234497</v>
      </c>
      <c r="Q16" s="593"/>
      <c r="T16" s="711">
        <f t="shared" si="2"/>
        <v>0</v>
      </c>
      <c r="U16" s="711">
        <f t="shared" si="3"/>
        <v>0</v>
      </c>
    </row>
    <row r="17" spans="1:21" x14ac:dyDescent="0.35">
      <c r="A17" s="95" t="s">
        <v>60</v>
      </c>
      <c r="B17" s="295">
        <f>TableA6!B17</f>
        <v>4.0797019715879275</v>
      </c>
      <c r="C17" s="8">
        <f>TableA6!E17</f>
        <v>1.4550356443784636</v>
      </c>
      <c r="D17" s="8">
        <v>0</v>
      </c>
      <c r="E17" s="8">
        <f t="shared" si="4"/>
        <v>2.6246663272094639</v>
      </c>
      <c r="F17" s="701">
        <f t="shared" si="0"/>
        <v>0.35665243552389325</v>
      </c>
      <c r="G17" s="9">
        <f>TableA2!L17</f>
        <v>0.51266863641431581</v>
      </c>
      <c r="H17" s="9">
        <f>D17/TableA2!C17</f>
        <v>0</v>
      </c>
      <c r="I17" s="9">
        <f t="shared" si="5"/>
        <v>0</v>
      </c>
      <c r="J17" s="9">
        <f>TableA6!I17/TableA2!$C17</f>
        <v>0</v>
      </c>
      <c r="K17" s="9">
        <f>TableA6!J17/TableA2!$C17</f>
        <v>0</v>
      </c>
      <c r="L17" s="296">
        <f t="shared" si="1"/>
        <v>0.51266863641431581</v>
      </c>
      <c r="M17" s="9">
        <f>C17/TableA4!D17</f>
        <v>0.45190986584988918</v>
      </c>
      <c r="N17" s="9"/>
      <c r="O17" s="9">
        <f>E17/TableA4!G17</f>
        <v>0.55395752101378837</v>
      </c>
      <c r="P17" s="297">
        <f>C17-O17*TableA4!D17</f>
        <v>-0.32856767888762328</v>
      </c>
      <c r="Q17" s="593"/>
      <c r="T17" s="711">
        <f t="shared" si="2"/>
        <v>0</v>
      </c>
      <c r="U17" s="711">
        <f t="shared" si="3"/>
        <v>0</v>
      </c>
    </row>
    <row r="18" spans="1:21" x14ac:dyDescent="0.35">
      <c r="A18" s="95" t="s">
        <v>61</v>
      </c>
      <c r="B18" s="295">
        <f>TableA6!B18</f>
        <v>25.094852932206081</v>
      </c>
      <c r="C18" s="8">
        <f>TableA6!E18</f>
        <v>4.2466092034416771</v>
      </c>
      <c r="D18" s="8">
        <v>0</v>
      </c>
      <c r="E18" s="8">
        <f t="shared" si="4"/>
        <v>20.848243728764402</v>
      </c>
      <c r="F18" s="701">
        <f t="shared" si="0"/>
        <v>0.16922231881230471</v>
      </c>
      <c r="G18" s="9">
        <f>TableA2!L18</f>
        <v>0.33261304168871642</v>
      </c>
      <c r="H18" s="9">
        <f>D18/TableA2!C18</f>
        <v>0</v>
      </c>
      <c r="I18" s="9">
        <f t="shared" si="5"/>
        <v>0</v>
      </c>
      <c r="J18" s="9">
        <f>TableA6!I18/TableA2!$C18</f>
        <v>0</v>
      </c>
      <c r="K18" s="9">
        <f>TableA6!J18/TableA2!$C18</f>
        <v>0</v>
      </c>
      <c r="L18" s="296">
        <f t="shared" si="1"/>
        <v>0.33261304168871642</v>
      </c>
      <c r="M18" s="9">
        <f>C18/TableA4!D18</f>
        <v>0.25990349075974173</v>
      </c>
      <c r="N18" s="9">
        <f>VLOOKUP(A18,TableA10!$A$8:$G$95,4,)/VLOOKUP(A18,TableA10!$A$8:$G$95,3,)</f>
        <v>-0.86225490196078436</v>
      </c>
      <c r="O18" s="9">
        <f>E18/TableA4!G18</f>
        <v>0.35271194390671812</v>
      </c>
      <c r="P18" s="297">
        <f>C18-O18*TableA4!D18</f>
        <v>-1.516413766275523</v>
      </c>
      <c r="Q18" s="593"/>
      <c r="T18" s="711">
        <f t="shared" si="2"/>
        <v>0</v>
      </c>
      <c r="U18" s="711">
        <f t="shared" si="3"/>
        <v>0</v>
      </c>
    </row>
    <row r="19" spans="1:21" x14ac:dyDescent="0.35">
      <c r="A19" s="95" t="s">
        <v>48</v>
      </c>
      <c r="B19" s="295">
        <f>TableA6!B19</f>
        <v>187.65852722592464</v>
      </c>
      <c r="C19" s="8">
        <f>TableA6!E19</f>
        <v>31.778815000521959</v>
      </c>
      <c r="D19" s="8">
        <v>0</v>
      </c>
      <c r="E19" s="8">
        <f t="shared" si="4"/>
        <v>155.87971222540267</v>
      </c>
      <c r="F19" s="701">
        <f t="shared" si="0"/>
        <v>0.16934383675655204</v>
      </c>
      <c r="G19" s="9">
        <f>TableA2!L19</f>
        <v>0.21535775015018682</v>
      </c>
      <c r="H19" s="9">
        <f>D19/TableA2!C19</f>
        <v>0</v>
      </c>
      <c r="I19" s="9">
        <f t="shared" si="5"/>
        <v>0</v>
      </c>
      <c r="J19" s="9">
        <f>TableA6!I19/TableA2!$C19</f>
        <v>0</v>
      </c>
      <c r="K19" s="9">
        <f>TableA6!J19/TableA2!$C19</f>
        <v>0</v>
      </c>
      <c r="L19" s="296">
        <f t="shared" si="1"/>
        <v>0.21535775015018682</v>
      </c>
      <c r="M19" s="9">
        <f>C19/TableA4!D19</f>
        <v>0.2071972615008727</v>
      </c>
      <c r="N19" s="9">
        <f>VLOOKUP(A19,TableA10!$A$8:$G$95,4,)/VLOOKUP(A19,TableA10!$A$8:$G$95,3,)</f>
        <v>0.14399522601820081</v>
      </c>
      <c r="O19" s="9">
        <f>E19/TableA4!G19</f>
        <v>0.2171009289647885</v>
      </c>
      <c r="P19" s="297">
        <f>C19-O19*TableA4!D19</f>
        <v>-1.5189718912435666</v>
      </c>
      <c r="Q19" s="593"/>
      <c r="T19" s="711">
        <f t="shared" si="2"/>
        <v>0</v>
      </c>
      <c r="U19" s="711">
        <f t="shared" si="3"/>
        <v>0</v>
      </c>
    </row>
    <row r="20" spans="1:21" s="1974" customFormat="1" x14ac:dyDescent="0.35">
      <c r="A20" s="1962" t="s">
        <v>62</v>
      </c>
      <c r="B20" s="1999">
        <f>TableA6!B20</f>
        <v>553.04943443142031</v>
      </c>
      <c r="C20" s="1967">
        <f>TableA6!E20</f>
        <v>42.83586575015805</v>
      </c>
      <c r="D20" s="1967">
        <v>0</v>
      </c>
      <c r="E20" s="1967">
        <f t="shared" si="4"/>
        <v>510.21356868126225</v>
      </c>
      <c r="F20" s="2000">
        <f t="shared" si="0"/>
        <v>7.7453954535179656E-2</v>
      </c>
      <c r="G20" s="1972">
        <f>TableA2!L20</f>
        <v>0.45220474547375394</v>
      </c>
      <c r="H20" s="1972">
        <f>D20/TableA2!C20</f>
        <v>0</v>
      </c>
      <c r="I20" s="1972">
        <f t="shared" si="5"/>
        <v>0</v>
      </c>
      <c r="J20" s="1972">
        <f>TableA6!I20/TableA2!$C20</f>
        <v>0</v>
      </c>
      <c r="K20" s="1972">
        <f>TableA6!J20/TableA2!$C20</f>
        <v>0</v>
      </c>
      <c r="L20" s="2001">
        <f t="shared" si="1"/>
        <v>0.45220474547375394</v>
      </c>
      <c r="M20" s="1972">
        <f>C20/TableA4!D20</f>
        <v>0.18304850872360104</v>
      </c>
      <c r="N20" s="1972">
        <f>VLOOKUP(A20,TableA10!$A$8:$G$95,4,)/VLOOKUP(A20,TableA10!$A$8:$G$95,3,)</f>
        <v>0.24505490373044525</v>
      </c>
      <c r="O20" s="1972">
        <f>E20/TableA4!G20</f>
        <v>0.51589201053413136</v>
      </c>
      <c r="P20" s="2002">
        <f>C20-O20*TableA4!D20</f>
        <v>-77.889952006640314</v>
      </c>
      <c r="Q20" s="2003"/>
      <c r="T20" s="2004">
        <f t="shared" si="2"/>
        <v>0</v>
      </c>
      <c r="U20" s="2004">
        <f t="shared" si="3"/>
        <v>0</v>
      </c>
    </row>
    <row r="21" spans="1:21" x14ac:dyDescent="0.35">
      <c r="A21" s="95" t="s">
        <v>63</v>
      </c>
      <c r="B21" s="295">
        <f>TableA6!B21</f>
        <v>22.607784095761257</v>
      </c>
      <c r="C21" s="8">
        <f>TableA6!E21</f>
        <v>1.3429928248302583</v>
      </c>
      <c r="D21" s="8">
        <v>0</v>
      </c>
      <c r="E21" s="8">
        <f t="shared" si="4"/>
        <v>21.264791270930999</v>
      </c>
      <c r="F21" s="701">
        <f t="shared" si="0"/>
        <v>5.9404000814129172E-2</v>
      </c>
      <c r="G21" s="9">
        <f>TableA2!L21</f>
        <v>0.81636062215561511</v>
      </c>
      <c r="H21" s="9">
        <f>D21/TableA2!C21</f>
        <v>0</v>
      </c>
      <c r="I21" s="9">
        <f t="shared" si="5"/>
        <v>0</v>
      </c>
      <c r="J21" s="9">
        <f>TableA6!I21/TableA2!$C21</f>
        <v>0</v>
      </c>
      <c r="K21" s="9">
        <f>TableA6!J21/TableA2!$C21</f>
        <v>0</v>
      </c>
      <c r="L21" s="296">
        <f t="shared" si="1"/>
        <v>0.81636062215561511</v>
      </c>
      <c r="M21" s="9">
        <f>C21/TableA4!D21</f>
        <v>0.32015467353035559</v>
      </c>
      <c r="N21" s="9">
        <f>VLOOKUP(A21,TableA10!$A$8:$G$95,4,)/VLOOKUP(A21,TableA10!$A$8:$G$95,3,)</f>
        <v>0.14510686164229472</v>
      </c>
      <c r="O21" s="9">
        <f>E21/TableA4!G21</f>
        <v>0.90494041789473145</v>
      </c>
      <c r="P21" s="298">
        <f>C21-O21*TableA4!D21</f>
        <v>-2.4530738535975614</v>
      </c>
      <c r="Q21" s="34"/>
      <c r="T21" s="711">
        <f t="shared" si="2"/>
        <v>0</v>
      </c>
      <c r="U21" s="711">
        <f t="shared" si="3"/>
        <v>0</v>
      </c>
    </row>
    <row r="22" spans="1:21" x14ac:dyDescent="0.35">
      <c r="A22" s="95" t="s">
        <v>64</v>
      </c>
      <c r="B22" s="295">
        <f>TableA6!B22</f>
        <v>20.668289583202817</v>
      </c>
      <c r="C22" s="8">
        <f>TableA6!E22</f>
        <v>9.7164397220911169</v>
      </c>
      <c r="D22" s="8">
        <v>0</v>
      </c>
      <c r="E22" s="8">
        <f t="shared" si="4"/>
        <v>10.9518498611117</v>
      </c>
      <c r="F22" s="701">
        <f t="shared" si="0"/>
        <v>0.47011339196581114</v>
      </c>
      <c r="G22" s="9">
        <f>TableA2!L22</f>
        <v>0.60422536243108271</v>
      </c>
      <c r="H22" s="9">
        <f>D22/TableA2!C22</f>
        <v>0</v>
      </c>
      <c r="I22" s="9">
        <f t="shared" si="5"/>
        <v>0</v>
      </c>
      <c r="J22" s="9">
        <f>TableA6!I22/TableA2!$C22</f>
        <v>0</v>
      </c>
      <c r="K22" s="9">
        <f>TableA6!J22/TableA2!$C22</f>
        <v>0</v>
      </c>
      <c r="L22" s="296">
        <f t="shared" si="1"/>
        <v>0.60422536243108271</v>
      </c>
      <c r="M22" s="9">
        <f>C22/TableA4!D22</f>
        <v>0.61386905762305399</v>
      </c>
      <c r="N22" s="9">
        <f>VLOOKUP(A22,TableA10!$A$8:$G$95,4,)/VLOOKUP(A22,TableA10!$A$8:$G$95,3,)</f>
        <v>7.4171817058096412</v>
      </c>
      <c r="O22" s="9">
        <f>E22/TableA4!G22</f>
        <v>0.59591968343815072</v>
      </c>
      <c r="P22" s="298">
        <f>C22-O22*TableA4!D22</f>
        <v>0.28410621149757276</v>
      </c>
      <c r="Q22" s="34"/>
      <c r="T22" s="711">
        <f t="shared" si="2"/>
        <v>0</v>
      </c>
      <c r="U22" s="711">
        <f t="shared" si="3"/>
        <v>0</v>
      </c>
    </row>
    <row r="23" spans="1:21" x14ac:dyDescent="0.35">
      <c r="A23" s="95" t="s">
        <v>65</v>
      </c>
      <c r="B23" s="295">
        <f>TableA6!B23</f>
        <v>2.1489969781260903</v>
      </c>
      <c r="C23" s="8">
        <f>TableA6!E23</f>
        <v>-9.6186838505018343E-2</v>
      </c>
      <c r="D23" s="8">
        <v>0</v>
      </c>
      <c r="E23" s="8">
        <f t="shared" si="4"/>
        <v>2.2451838166311084</v>
      </c>
      <c r="F23" s="701">
        <f t="shared" si="0"/>
        <v>-4.4758945444815172E-2</v>
      </c>
      <c r="G23" s="9">
        <f>TableA2!L23</f>
        <v>0.41910792740626918</v>
      </c>
      <c r="H23" s="9">
        <f>D23/TableA2!C23</f>
        <v>0</v>
      </c>
      <c r="I23" s="9">
        <f t="shared" si="5"/>
        <v>0</v>
      </c>
      <c r="J23" s="9">
        <f>TableA6!I23/TableA2!$C23</f>
        <v>0</v>
      </c>
      <c r="K23" s="9">
        <f>TableA6!J23/TableA2!$C23</f>
        <v>0</v>
      </c>
      <c r="L23" s="296">
        <f t="shared" si="1"/>
        <v>0.41910792740626918</v>
      </c>
      <c r="M23" s="9">
        <f>C23/TableA4!D23</f>
        <v>-6.7952586167860679E-2</v>
      </c>
      <c r="N23" s="9"/>
      <c r="O23" s="9">
        <f>E23/TableA4!G23</f>
        <v>0.60483646934821078</v>
      </c>
      <c r="P23" s="298">
        <f>C23-O23*TableA4!D23</f>
        <v>-0.95233244060805888</v>
      </c>
      <c r="Q23" s="34"/>
      <c r="T23" s="711">
        <f t="shared" si="2"/>
        <v>0</v>
      </c>
      <c r="U23" s="711">
        <f t="shared" si="3"/>
        <v>0</v>
      </c>
    </row>
    <row r="24" spans="1:21" x14ac:dyDescent="0.35">
      <c r="A24" s="95" t="s">
        <v>19</v>
      </c>
      <c r="B24" s="295">
        <f>TableA6!B24</f>
        <v>174.30510209753976</v>
      </c>
      <c r="C24" s="8">
        <f>TableA6!E24</f>
        <v>116.2731292562101</v>
      </c>
      <c r="D24" s="8">
        <f>+(VLOOKUP($A24,[1]OECDTable14a!$A$15:$XO$66,265,0)/VLOOKUP($A24,[1]FX!$B$2:$D$54,3,0))/1000*0.75</f>
        <v>25.995157260117182</v>
      </c>
      <c r="E24" s="8">
        <f t="shared" si="4"/>
        <v>32.03681558121248</v>
      </c>
      <c r="F24" s="2000">
        <f t="shared" si="0"/>
        <v>0.78398740815168366</v>
      </c>
      <c r="G24" s="9">
        <f>TableA2!L24</f>
        <v>2.0458364548956904</v>
      </c>
      <c r="H24" s="9">
        <f>D24/TableA2!C24</f>
        <v>0.42364275085659048</v>
      </c>
      <c r="I24" s="9">
        <f t="shared" si="5"/>
        <v>0.79481160128028239</v>
      </c>
      <c r="J24" s="9">
        <f>TableA6!I24/TableA2!$C24</f>
        <v>0.79481160128028239</v>
      </c>
      <c r="K24" s="9">
        <f>TableA6!J24/TableA2!$C24</f>
        <v>0</v>
      </c>
      <c r="L24" s="296">
        <f>G24-H24+I24</f>
        <v>2.4170053053193823</v>
      </c>
      <c r="M24" s="9">
        <f>C24/TableA4!D24</f>
        <v>7.9996490577609283</v>
      </c>
      <c r="N24" s="9">
        <f>VLOOKUP(A24,TableA10!$A$8:$G$95,4,)/VLOOKUP(A24,TableA10!$A$8:$G$95,3,)</f>
        <v>7.7427987962166807</v>
      </c>
      <c r="O24" s="172">
        <f>E24/TableA4!G24</f>
        <v>0.68416351867003244</v>
      </c>
      <c r="P24" s="298">
        <f>C24-O24*TableA4!D24</f>
        <v>106.3289638729139</v>
      </c>
      <c r="Q24" s="34"/>
      <c r="T24" s="711">
        <f t="shared" si="2"/>
        <v>0</v>
      </c>
      <c r="U24" s="711">
        <f t="shared" si="3"/>
        <v>0</v>
      </c>
    </row>
    <row r="25" spans="1:21" x14ac:dyDescent="0.35">
      <c r="A25" s="95" t="s">
        <v>95</v>
      </c>
      <c r="B25" s="295">
        <f>TableA6!B25</f>
        <v>53.821062621875072</v>
      </c>
      <c r="C25" s="8">
        <f>TableA6!E25</f>
        <v>5.8274626748237663</v>
      </c>
      <c r="D25" s="8">
        <v>0</v>
      </c>
      <c r="E25" s="8">
        <f t="shared" si="4"/>
        <v>47.993599947051308</v>
      </c>
      <c r="F25" s="701">
        <f t="shared" si="0"/>
        <v>0.10827476067808532</v>
      </c>
      <c r="G25" s="9">
        <f>TableA2!L25</f>
        <v>0.58530208289956809</v>
      </c>
      <c r="H25" s="9">
        <f>D25/TableA2!C25</f>
        <v>0</v>
      </c>
      <c r="I25" s="9">
        <f t="shared" si="5"/>
        <v>0</v>
      </c>
      <c r="J25" s="9">
        <f>TableA6!I25/TableA2!$C25</f>
        <v>0</v>
      </c>
      <c r="K25" s="9">
        <f>TableA6!J25/TableA2!$C25</f>
        <v>0</v>
      </c>
      <c r="L25" s="296">
        <f t="shared" si="1"/>
        <v>0.58530208289956809</v>
      </c>
      <c r="M25" s="9">
        <f>C25/TableA4!D25</f>
        <v>0.507499525346497</v>
      </c>
      <c r="N25" s="9">
        <f>VLOOKUP(A25,TableA10!$A$8:$G$95,4,)/VLOOKUP(A25,TableA10!$A$8:$G$95,3,)</f>
        <v>0.507499525346497</v>
      </c>
      <c r="O25" s="9">
        <f>E25/TableA4!G25</f>
        <v>0.59640392117908991</v>
      </c>
      <c r="P25" s="298">
        <f>C25-O25*TableA4!D25</f>
        <v>-1.0208621337891248</v>
      </c>
      <c r="Q25" s="34"/>
      <c r="T25" s="711">
        <f t="shared" si="2"/>
        <v>0</v>
      </c>
      <c r="U25" s="711">
        <f t="shared" si="3"/>
        <v>0</v>
      </c>
    </row>
    <row r="26" spans="1:21" x14ac:dyDescent="0.35">
      <c r="A26" s="95" t="s">
        <v>66</v>
      </c>
      <c r="B26" s="295">
        <f>TableA6!B26</f>
        <v>211.89440797463348</v>
      </c>
      <c r="C26" s="8">
        <f>TableA6!E26</f>
        <v>13.197888688714203</v>
      </c>
      <c r="D26" s="8">
        <v>0</v>
      </c>
      <c r="E26" s="8">
        <f t="shared" si="4"/>
        <v>198.69651928591927</v>
      </c>
      <c r="F26" s="701">
        <f t="shared" si="0"/>
        <v>6.228521467302791E-2</v>
      </c>
      <c r="G26" s="9">
        <f>TableA2!L26</f>
        <v>0.43094579515647402</v>
      </c>
      <c r="H26" s="9">
        <f>D26/TableA2!C26</f>
        <v>0</v>
      </c>
      <c r="I26" s="9">
        <f t="shared" si="5"/>
        <v>0</v>
      </c>
      <c r="J26" s="9">
        <f>TableA6!I26/TableA2!$C26</f>
        <v>0</v>
      </c>
      <c r="K26" s="9">
        <f>TableA6!J26/TableA2!$C26</f>
        <v>0</v>
      </c>
      <c r="L26" s="296">
        <f t="shared" si="1"/>
        <v>0.43094579515647402</v>
      </c>
      <c r="M26" s="9">
        <f>C26/TableA4!D26</f>
        <v>0.16233602672515596</v>
      </c>
      <c r="N26" s="9">
        <f>VLOOKUP(A26,TableA10!$A$8:$G$95,4,)/VLOOKUP(A26,TableA10!$A$8:$G$95,3,)</f>
        <v>0.29230028211656228</v>
      </c>
      <c r="O26" s="9">
        <f>E26/TableA4!G26</f>
        <v>0.48415758018996907</v>
      </c>
      <c r="P26" s="298">
        <f>C26-O26*TableA4!D26</f>
        <v>-26.164032260372608</v>
      </c>
      <c r="Q26" s="34"/>
      <c r="T26" s="711">
        <f t="shared" si="2"/>
        <v>0</v>
      </c>
      <c r="U26" s="711">
        <f t="shared" si="3"/>
        <v>0</v>
      </c>
    </row>
    <row r="27" spans="1:21" x14ac:dyDescent="0.35">
      <c r="A27" s="95" t="s">
        <v>67</v>
      </c>
      <c r="B27" s="295">
        <f>TableA6!B27</f>
        <v>634.13536380108962</v>
      </c>
      <c r="C27" s="8">
        <f>TableA6!E27</f>
        <v>32.091665406409945</v>
      </c>
      <c r="D27" s="8">
        <v>0</v>
      </c>
      <c r="E27" s="8">
        <f t="shared" si="4"/>
        <v>602.04369839467972</v>
      </c>
      <c r="F27" s="701">
        <f t="shared" si="0"/>
        <v>5.0606963809821832E-2</v>
      </c>
      <c r="G27" s="9">
        <f>TableA2!L27</f>
        <v>0.41884260770852871</v>
      </c>
      <c r="H27" s="9">
        <f>D27/TableA2!C27</f>
        <v>0</v>
      </c>
      <c r="I27" s="9">
        <f t="shared" si="5"/>
        <v>0</v>
      </c>
      <c r="J27" s="9">
        <f>TableA6!I27/TableA2!$C27</f>
        <v>0</v>
      </c>
      <c r="K27" s="9">
        <f>TableA6!J27/TableA2!$C27</f>
        <v>0</v>
      </c>
      <c r="L27" s="296">
        <f t="shared" si="1"/>
        <v>0.41884260770852871</v>
      </c>
      <c r="M27" s="9">
        <f>C27/TableA4!D27</f>
        <v>0.23732566147384185</v>
      </c>
      <c r="N27" s="9">
        <f>VLOOKUP(A27,TableA10!$A$8:$G$95,4,)/VLOOKUP(A27,TableA10!$A$8:$G$95,3,)</f>
        <v>0.85962139029186102</v>
      </c>
      <c r="O27" s="9">
        <f>E27/TableA4!G27</f>
        <v>0.43664443770241151</v>
      </c>
      <c r="P27" s="299">
        <f>C27-O27*TableA4!D27</f>
        <v>-26.952295997908244</v>
      </c>
      <c r="Q27" s="34"/>
      <c r="T27" s="711">
        <f t="shared" si="2"/>
        <v>0</v>
      </c>
      <c r="U27" s="711">
        <f t="shared" si="3"/>
        <v>0</v>
      </c>
    </row>
    <row r="28" spans="1:21" x14ac:dyDescent="0.35">
      <c r="A28" s="95" t="s">
        <v>68</v>
      </c>
      <c r="B28" s="295">
        <f>TableA6!B28</f>
        <v>248.21706968304588</v>
      </c>
      <c r="C28" s="8">
        <f>TableA6!E28</f>
        <v>2.54407878701964</v>
      </c>
      <c r="D28" s="8">
        <v>0</v>
      </c>
      <c r="E28" s="8">
        <f t="shared" si="4"/>
        <v>245.67299089602625</v>
      </c>
      <c r="F28" s="701">
        <f t="shared" si="0"/>
        <v>1.0249411091139835E-2</v>
      </c>
      <c r="G28" s="9">
        <f>TableA2!L28</f>
        <v>0.59857470740953445</v>
      </c>
      <c r="H28" s="9">
        <f>D28/TableA2!C28</f>
        <v>0</v>
      </c>
      <c r="I28" s="9">
        <f t="shared" si="5"/>
        <v>0</v>
      </c>
      <c r="J28" s="9">
        <f>TableA6!I28/TableA2!$C28</f>
        <v>0</v>
      </c>
      <c r="K28" s="9">
        <f>TableA6!J28/TableA2!$C28</f>
        <v>0</v>
      </c>
      <c r="L28" s="296">
        <f t="shared" si="1"/>
        <v>0.59857470740953445</v>
      </c>
      <c r="M28" s="9">
        <f>C28/TableA4!D28</f>
        <v>3.9749361886952154E-2</v>
      </c>
      <c r="N28" s="9">
        <f>VLOOKUP(A28,TableA10!$A$8:$G$95,4,)/VLOOKUP(A28,TableA10!$A$8:$G$95,3,)</f>
        <v>0.68300783844825297</v>
      </c>
      <c r="O28" s="9">
        <f>E28/TableA4!G28</f>
        <v>0.70056738480426717</v>
      </c>
      <c r="P28" s="298">
        <f>C28-O28*TableA4!D28</f>
        <v>-42.29434220769339</v>
      </c>
      <c r="Q28" s="34"/>
      <c r="T28" s="711">
        <f t="shared" si="2"/>
        <v>0</v>
      </c>
      <c r="U28" s="711">
        <f t="shared" si="3"/>
        <v>0</v>
      </c>
    </row>
    <row r="29" spans="1:21" x14ac:dyDescent="0.35">
      <c r="A29" s="13" t="s">
        <v>69</v>
      </c>
      <c r="B29" s="295">
        <f>TableA6!B29</f>
        <v>4.1858751479217755</v>
      </c>
      <c r="C29" s="8">
        <f>TableA6!E29</f>
        <v>1.2242246708432463</v>
      </c>
      <c r="D29" s="8">
        <v>0</v>
      </c>
      <c r="E29" s="8">
        <f t="shared" si="4"/>
        <v>2.9616504770785292</v>
      </c>
      <c r="F29" s="701">
        <f t="shared" si="0"/>
        <v>0.29246564400064717</v>
      </c>
      <c r="G29" s="9">
        <f>TableA2!L29</f>
        <v>0.4548799812563365</v>
      </c>
      <c r="H29" s="9">
        <f>D29/TableA2!C29</f>
        <v>0</v>
      </c>
      <c r="I29" s="9">
        <f t="shared" si="5"/>
        <v>0</v>
      </c>
      <c r="J29" s="9">
        <f>TableA6!I29/TableA2!$C29</f>
        <v>0</v>
      </c>
      <c r="K29" s="9">
        <f>TableA6!J29/TableA2!$C29</f>
        <v>0</v>
      </c>
      <c r="L29" s="296">
        <f t="shared" si="1"/>
        <v>0.4548799812563365</v>
      </c>
      <c r="M29" s="9">
        <f>C29/TableA4!D29</f>
        <v>0.41891257424263328</v>
      </c>
      <c r="N29" s="9"/>
      <c r="O29" s="9">
        <f>E29/TableA4!G29</f>
        <v>0.47161797519422538</v>
      </c>
      <c r="P29" s="298">
        <f>C29-O29*TableA4!D29</f>
        <v>-0.15402557979616138</v>
      </c>
      <c r="Q29" s="34"/>
      <c r="T29" s="711">
        <f t="shared" si="2"/>
        <v>0</v>
      </c>
      <c r="U29" s="711">
        <f t="shared" si="3"/>
        <v>0</v>
      </c>
    </row>
    <row r="30" spans="1:21" x14ac:dyDescent="0.35">
      <c r="A30" s="13" t="s">
        <v>70</v>
      </c>
      <c r="B30" s="295">
        <f>TableA6!B30</f>
        <v>91.027431841444567</v>
      </c>
      <c r="C30" s="8">
        <f>TableA6!E30</f>
        <v>51.304832182529623</v>
      </c>
      <c r="D30" s="8">
        <f>+(VLOOKUP($A30,[1]OECDTable14a!$A$15:$XO$66,265,0)/VLOOKUP($A30,[1]FX!$B$2:$D$54,3,0))/1000*0.35</f>
        <v>35.507497845637872</v>
      </c>
      <c r="E30" s="8">
        <f t="shared" si="4"/>
        <v>4.215101813277073</v>
      </c>
      <c r="F30" s="701">
        <f t="shared" si="0"/>
        <v>0.92407948803405582</v>
      </c>
      <c r="G30" s="9">
        <f>TableA2!L30</f>
        <v>2.7503859454118813</v>
      </c>
      <c r="H30" s="9">
        <f>D30/TableA2!C30</f>
        <v>1.6475060207484251</v>
      </c>
      <c r="I30" s="9">
        <f t="shared" si="5"/>
        <v>1.4731795298014214</v>
      </c>
      <c r="J30" s="9">
        <f>TableA6!I30/TableA2!$C30</f>
        <v>1.1684081444524146</v>
      </c>
      <c r="K30" s="9">
        <f>TableA6!J30/TableA2!$C30</f>
        <v>0.30477138534900672</v>
      </c>
      <c r="L30" s="296">
        <f t="shared" si="1"/>
        <v>2.5760594544648776</v>
      </c>
      <c r="M30" s="9">
        <f>C30/TableA4!D30</f>
        <v>4.6076539817790847</v>
      </c>
      <c r="N30" s="9">
        <f>VLOOKUP(A30,TableA10!$A$8:$G$95,4,)/VLOOKUP(A30,TableA10!$A$8:$G$95,3,)</f>
        <v>5.5750591016548467</v>
      </c>
      <c r="O30" s="119">
        <f>E30/TableA4!G30</f>
        <v>0.40461450275815142</v>
      </c>
      <c r="P30" s="298">
        <f>C30-O30*TableA4!D30</f>
        <v>46.799572185855702</v>
      </c>
      <c r="Q30" s="34"/>
      <c r="T30" s="711">
        <f t="shared" si="2"/>
        <v>0</v>
      </c>
      <c r="U30" s="711">
        <f t="shared" si="3"/>
        <v>0</v>
      </c>
    </row>
    <row r="31" spans="1:21" x14ac:dyDescent="0.35">
      <c r="A31" s="13" t="s">
        <v>71</v>
      </c>
      <c r="B31" s="295">
        <f>TableA6!B31</f>
        <v>325.04468785135941</v>
      </c>
      <c r="C31" s="8">
        <f>TableA6!E31</f>
        <v>23.460473720946542</v>
      </c>
      <c r="D31" s="8">
        <v>0</v>
      </c>
      <c r="E31" s="8">
        <f t="shared" si="4"/>
        <v>301.58421413041287</v>
      </c>
      <c r="F31" s="701">
        <f t="shared" si="0"/>
        <v>7.2176148689053019E-2</v>
      </c>
      <c r="G31" s="9">
        <f>TableA2!L31</f>
        <v>2.3179694326877476</v>
      </c>
      <c r="H31" s="9">
        <f>D31/TableA2!C31</f>
        <v>0</v>
      </c>
      <c r="I31" s="9">
        <f t="shared" si="5"/>
        <v>0</v>
      </c>
      <c r="J31" s="9">
        <f>TableA6!I31/TableA2!$C31</f>
        <v>0</v>
      </c>
      <c r="K31" s="9">
        <f>TableA6!J31/TableA2!$C31</f>
        <v>0</v>
      </c>
      <c r="L31" s="296">
        <f t="shared" si="1"/>
        <v>2.3179694326877476</v>
      </c>
      <c r="M31" s="9">
        <f>C31/TableA4!D31</f>
        <v>0.72504257375615577</v>
      </c>
      <c r="N31" s="9">
        <f>VLOOKUP(A31,TableA10!$A$8:$G$95,4,)/VLOOKUP(A31,TableA10!$A$8:$G$95,3,)</f>
        <v>0.72504257375615588</v>
      </c>
      <c r="O31" s="9">
        <f>E31/TableA4!G31</f>
        <v>2.7957902732061406</v>
      </c>
      <c r="P31" s="298">
        <f>C31-O31*TableA4!D31</f>
        <v>-67.003957759307255</v>
      </c>
      <c r="Q31" s="34"/>
      <c r="T31" s="711">
        <f t="shared" si="2"/>
        <v>0</v>
      </c>
      <c r="U31" s="711">
        <f t="shared" si="3"/>
        <v>0</v>
      </c>
    </row>
    <row r="32" spans="1:21" x14ac:dyDescent="0.35">
      <c r="A32" s="13" t="s">
        <v>72</v>
      </c>
      <c r="B32" s="295">
        <f>TableA6!B32</f>
        <v>195.09598848383817</v>
      </c>
      <c r="C32" s="8">
        <f>TableA6!E32</f>
        <v>89.333947018983608</v>
      </c>
      <c r="D32" s="8">
        <f>+(VLOOKUP($A32,[1]OECDTable14a!$A$15:$XO$66,265,0)/VLOOKUP($A32,[1]FX!$B$2:$D$54,3,0))/1000*0.35</f>
        <v>21.674047505764374</v>
      </c>
      <c r="E32" s="8">
        <f t="shared" si="4"/>
        <v>84.087993959090184</v>
      </c>
      <c r="F32" s="701">
        <f t="shared" si="0"/>
        <v>0.51512482512393487</v>
      </c>
      <c r="G32" s="9">
        <f>TableA2!L32</f>
        <v>0.56640307035308279</v>
      </c>
      <c r="H32" s="9">
        <f>D32/TableA2!C32</f>
        <v>7.6847697431803794E-2</v>
      </c>
      <c r="I32" s="9">
        <f t="shared" si="5"/>
        <v>0.12533101803891039</v>
      </c>
      <c r="J32" s="9">
        <f>TableA6!I32/TableA2!$C32</f>
        <v>8.798266735978813E-2</v>
      </c>
      <c r="K32" s="9">
        <f>TableA6!J32/TableA2!$C32</f>
        <v>3.7348350679122254E-2</v>
      </c>
      <c r="L32" s="296">
        <f t="shared" si="1"/>
        <v>0.61488639096018938</v>
      </c>
      <c r="M32" s="9">
        <f>C32/TableA4!D32</f>
        <v>1.1495705968665206</v>
      </c>
      <c r="N32" s="119">
        <f>VLOOKUP(A32,TableA10!$A$8:$G$95,4,)/VLOOKUP(A32,TableA10!$A$8:$G$95,3,)</f>
        <v>1.7924291254711313</v>
      </c>
      <c r="O32" s="9">
        <f>E32/TableA4!G32</f>
        <v>0.41153378760859277</v>
      </c>
      <c r="P32" s="298">
        <f>C32-O32*TableA4!D32</f>
        <v>57.353364287520073</v>
      </c>
      <c r="Q32" s="34"/>
      <c r="T32" s="711">
        <f t="shared" si="2"/>
        <v>0</v>
      </c>
      <c r="U32" s="711">
        <f t="shared" si="3"/>
        <v>0</v>
      </c>
    </row>
    <row r="33" spans="1:21" x14ac:dyDescent="0.35">
      <c r="A33" s="13" t="s">
        <v>73</v>
      </c>
      <c r="B33" s="295">
        <f>TableA6!B33</f>
        <v>43.62366684525152</v>
      </c>
      <c r="C33" s="8">
        <f>TableA6!E33</f>
        <v>6.2361538780448305</v>
      </c>
      <c r="D33" s="8">
        <v>0</v>
      </c>
      <c r="E33" s="8">
        <f t="shared" si="4"/>
        <v>37.387512967206689</v>
      </c>
      <c r="F33" s="701">
        <f t="shared" si="0"/>
        <v>0.1429534546045077</v>
      </c>
      <c r="G33" s="9">
        <f>TableA2!L33</f>
        <v>0.76342747942908895</v>
      </c>
      <c r="H33" s="9">
        <f>D33/TableA2!C33</f>
        <v>0</v>
      </c>
      <c r="I33" s="9">
        <f t="shared" si="5"/>
        <v>0</v>
      </c>
      <c r="J33" s="9">
        <f>TableA6!I33/TableA2!$C33</f>
        <v>0</v>
      </c>
      <c r="K33" s="9">
        <f>TableA6!J33/TableA2!$C33</f>
        <v>0</v>
      </c>
      <c r="L33" s="296">
        <f t="shared" si="1"/>
        <v>0.76342747942908895</v>
      </c>
      <c r="M33" s="9">
        <f>C33/TableA4!D33</f>
        <v>0.67991169977924948</v>
      </c>
      <c r="N33" s="9">
        <f>VLOOKUP(A33,TableA10!$A$8:$G$95,4,)/VLOOKUP(A33,TableA10!$A$8:$G$95,3,)</f>
        <v>0.67991169977924948</v>
      </c>
      <c r="O33" s="9">
        <f>E33/TableA4!G33</f>
        <v>0.77939599106707602</v>
      </c>
      <c r="P33" s="298">
        <f>C33-O33*TableA4!D33</f>
        <v>-0.91247047097520007</v>
      </c>
      <c r="Q33" s="34"/>
      <c r="T33" s="711">
        <f t="shared" si="2"/>
        <v>0</v>
      </c>
      <c r="U33" s="711">
        <f t="shared" si="3"/>
        <v>0</v>
      </c>
    </row>
    <row r="34" spans="1:21" x14ac:dyDescent="0.35">
      <c r="A34" s="13" t="s">
        <v>74</v>
      </c>
      <c r="B34" s="295">
        <f>TableA6!B34</f>
        <v>76.129871814410606</v>
      </c>
      <c r="C34" s="8">
        <f>TableA6!E34</f>
        <v>6.9090708256049158</v>
      </c>
      <c r="D34" s="8">
        <v>0</v>
      </c>
      <c r="E34" s="8">
        <f t="shared" si="4"/>
        <v>69.220800988805692</v>
      </c>
      <c r="F34" s="701">
        <f t="shared" si="0"/>
        <v>9.0753743056967803E-2</v>
      </c>
      <c r="G34" s="9">
        <f>TableA2!L34</f>
        <v>0.63204211939456467</v>
      </c>
      <c r="H34" s="9">
        <f>D34/TableA2!C34</f>
        <v>0</v>
      </c>
      <c r="I34" s="9">
        <f t="shared" si="5"/>
        <v>0</v>
      </c>
      <c r="J34" s="9">
        <f>TableA6!I34/TableA2!$C34</f>
        <v>0</v>
      </c>
      <c r="K34" s="9">
        <f>TableA6!J34/TableA2!$C34</f>
        <v>0</v>
      </c>
      <c r="L34" s="296">
        <f t="shared" si="1"/>
        <v>0.63204211939456467</v>
      </c>
      <c r="M34" s="9">
        <f>C34/TableA4!D34</f>
        <v>0.2081320757956302</v>
      </c>
      <c r="N34" s="9">
        <f>VLOOKUP(A34,TableA10!$A$8:$G$95,4,)/VLOOKUP(A34,TableA10!$A$8:$G$95,3,)</f>
        <v>1.3034855769230769</v>
      </c>
      <c r="O34" s="9">
        <f>E34/TableA4!G34</f>
        <v>0.79331594976644759</v>
      </c>
      <c r="P34" s="298">
        <f>C34-O34*TableA4!D34</f>
        <v>-19.425534559297006</v>
      </c>
      <c r="Q34" s="34"/>
      <c r="T34" s="711">
        <f t="shared" si="2"/>
        <v>0</v>
      </c>
      <c r="U34" s="711">
        <f t="shared" si="3"/>
        <v>0</v>
      </c>
    </row>
    <row r="35" spans="1:21" x14ac:dyDescent="0.35">
      <c r="A35" s="13" t="s">
        <v>75</v>
      </c>
      <c r="B35" s="295">
        <f>TableA6!B35</f>
        <v>87.784586815227485</v>
      </c>
      <c r="C35" s="8">
        <f>TableA6!E35</f>
        <v>19.384207569701928</v>
      </c>
      <c r="D35" s="8">
        <v>0</v>
      </c>
      <c r="E35" s="8">
        <f t="shared" si="4"/>
        <v>68.400379245525556</v>
      </c>
      <c r="F35" s="701">
        <f t="shared" si="0"/>
        <v>0.22081561550779508</v>
      </c>
      <c r="G35" s="9">
        <f>TableA2!L35</f>
        <v>0.79203427559300121</v>
      </c>
      <c r="H35" s="9">
        <f>D35/TableA2!C35</f>
        <v>0</v>
      </c>
      <c r="I35" s="9">
        <f t="shared" si="5"/>
        <v>0</v>
      </c>
      <c r="J35" s="9">
        <f>TableA6!I35/TableA2!$C35</f>
        <v>0</v>
      </c>
      <c r="K35" s="9">
        <f>TableA6!J35/TableA2!$C35</f>
        <v>0</v>
      </c>
      <c r="L35" s="296">
        <f t="shared" si="1"/>
        <v>0.79203427559300121</v>
      </c>
      <c r="M35" s="9">
        <f>C35/TableA4!D35</f>
        <v>0.49458294133053354</v>
      </c>
      <c r="N35" s="9">
        <f>VLOOKUP(A35,TableA10!$A$8:$G$95,4,)/VLOOKUP(A35,TableA10!$A$8:$G$95,3,)</f>
        <v>0.35369993211133743</v>
      </c>
      <c r="O35" s="9">
        <f>E35/TableA4!G35</f>
        <v>0.9547619569021214</v>
      </c>
      <c r="P35" s="298">
        <f>C35-O35*TableA4!D35</f>
        <v>-18.035813230968905</v>
      </c>
      <c r="Q35" s="34"/>
      <c r="T35" s="711">
        <f t="shared" si="2"/>
        <v>0</v>
      </c>
      <c r="U35" s="711">
        <f t="shared" si="3"/>
        <v>0</v>
      </c>
    </row>
    <row r="36" spans="1:21" x14ac:dyDescent="0.35">
      <c r="A36" s="13" t="s">
        <v>76</v>
      </c>
      <c r="B36" s="295">
        <f>TableA6!B36</f>
        <v>26.618072907828797</v>
      </c>
      <c r="C36" s="8">
        <f>TableA6!E36</f>
        <v>4.8218004507448811</v>
      </c>
      <c r="D36" s="8">
        <v>0</v>
      </c>
      <c r="E36" s="8">
        <f t="shared" si="4"/>
        <v>21.796272457083916</v>
      </c>
      <c r="F36" s="701">
        <f t="shared" si="0"/>
        <v>0.18114761603672341</v>
      </c>
      <c r="G36" s="9">
        <f>TableA2!L36</f>
        <v>0.45898248483094545</v>
      </c>
      <c r="H36" s="9">
        <f>D36/TableA2!C36</f>
        <v>0</v>
      </c>
      <c r="I36" s="9">
        <f t="shared" si="5"/>
        <v>0</v>
      </c>
      <c r="J36" s="9">
        <f>TableA6!I36/TableA2!$C36</f>
        <v>0</v>
      </c>
      <c r="K36" s="9">
        <f>TableA6!J36/TableA2!$C36</f>
        <v>0</v>
      </c>
      <c r="L36" s="296">
        <f t="shared" si="1"/>
        <v>0.45898248483094545</v>
      </c>
      <c r="M36" s="9">
        <f>C36/TableA4!D36</f>
        <v>0.36763705254070139</v>
      </c>
      <c r="N36" s="9">
        <f>VLOOKUP(A36,TableA10!$A$8:$G$95,4,)/VLOOKUP(A36,TableA10!$A$8:$G$95,3,)</f>
        <v>0.39500390320062451</v>
      </c>
      <c r="O36" s="9">
        <f>E36/TableA4!G36</f>
        <v>0.48567830507336524</v>
      </c>
      <c r="P36" s="298">
        <f>C36-O36*TableA4!D36</f>
        <v>-1.5481882490761061</v>
      </c>
      <c r="Q36" s="34"/>
      <c r="T36" s="711">
        <f t="shared" si="2"/>
        <v>0</v>
      </c>
      <c r="U36" s="711">
        <f t="shared" si="3"/>
        <v>0</v>
      </c>
    </row>
    <row r="37" spans="1:21" x14ac:dyDescent="0.35">
      <c r="A37" s="13" t="s">
        <v>96</v>
      </c>
      <c r="B37" s="295">
        <f>TableA6!B37</f>
        <v>11.604550057172386</v>
      </c>
      <c r="C37" s="8">
        <f>TableA6!E37</f>
        <v>5.4939498259811472</v>
      </c>
      <c r="D37" s="8">
        <v>0</v>
      </c>
      <c r="E37" s="8">
        <f t="shared" si="4"/>
        <v>6.1106002311912384</v>
      </c>
      <c r="F37" s="701">
        <f t="shared" si="0"/>
        <v>0.47343066287912816</v>
      </c>
      <c r="G37" s="9">
        <f>TableA2!L37</f>
        <v>0.546278965386233</v>
      </c>
      <c r="H37" s="9">
        <f>D37/TableA2!C37</f>
        <v>0</v>
      </c>
      <c r="I37" s="9">
        <f t="shared" si="5"/>
        <v>0</v>
      </c>
      <c r="J37" s="9">
        <f>TableA6!I37/TableA2!$C37</f>
        <v>0</v>
      </c>
      <c r="K37" s="9">
        <f>TableA6!J37/TableA2!$C37</f>
        <v>0</v>
      </c>
      <c r="L37" s="296">
        <f t="shared" si="1"/>
        <v>0.546278965386233</v>
      </c>
      <c r="M37" s="9">
        <f>C37/TableA4!D37</f>
        <v>0.57224436371630738</v>
      </c>
      <c r="N37" s="9"/>
      <c r="O37" s="9">
        <f>E37/TableA4!G37</f>
        <v>0.52486666755881606</v>
      </c>
      <c r="P37" s="298">
        <f>C37-O37*TableA4!D37</f>
        <v>0.45485932595201106</v>
      </c>
      <c r="Q37" s="34"/>
      <c r="T37" s="711">
        <f t="shared" si="2"/>
        <v>0</v>
      </c>
      <c r="U37" s="711">
        <f t="shared" si="3"/>
        <v>0</v>
      </c>
    </row>
    <row r="38" spans="1:21" x14ac:dyDescent="0.35">
      <c r="A38" s="13" t="s">
        <v>78</v>
      </c>
      <c r="B38" s="295">
        <f>TableA6!B38</f>
        <v>3.417758487410429</v>
      </c>
      <c r="C38" s="8">
        <f>TableA6!E38</f>
        <v>1.2522612330475162</v>
      </c>
      <c r="D38" s="8">
        <v>0</v>
      </c>
      <c r="E38" s="8">
        <f t="shared" si="4"/>
        <v>2.1654972543629127</v>
      </c>
      <c r="F38" s="701">
        <f t="shared" si="0"/>
        <v>0.36639839756387554</v>
      </c>
      <c r="G38" s="9">
        <f>TableA2!L38</f>
        <v>0.22872131230765103</v>
      </c>
      <c r="H38" s="9">
        <f>D38/TableA2!C38</f>
        <v>0</v>
      </c>
      <c r="I38" s="9">
        <f t="shared" si="5"/>
        <v>0</v>
      </c>
      <c r="J38" s="9">
        <f>TableA6!I38/TableA2!$C38</f>
        <v>0</v>
      </c>
      <c r="K38" s="9">
        <f>TableA6!J38/TableA2!$C38</f>
        <v>0</v>
      </c>
      <c r="L38" s="296">
        <f t="shared" si="1"/>
        <v>0.22872131230765103</v>
      </c>
      <c r="M38" s="9">
        <f>C38/TableA4!D38</f>
        <v>0.31396441219878563</v>
      </c>
      <c r="N38" s="9"/>
      <c r="O38" s="9">
        <f>E38/TableA4!G38</f>
        <v>0.19768378236215448</v>
      </c>
      <c r="P38" s="298">
        <f>C38-O38*TableA4!D38</f>
        <v>0.46379054198845515</v>
      </c>
      <c r="Q38" s="34"/>
      <c r="T38" s="711">
        <f t="shared" si="2"/>
        <v>0</v>
      </c>
      <c r="U38" s="711">
        <f t="shared" si="3"/>
        <v>0</v>
      </c>
    </row>
    <row r="39" spans="1:21" x14ac:dyDescent="0.35">
      <c r="A39" s="13" t="s">
        <v>79</v>
      </c>
      <c r="B39" s="295">
        <f>TableA6!B39</f>
        <v>158.95366208289389</v>
      </c>
      <c r="C39" s="8">
        <f>TableA6!E39</f>
        <v>20.844161911169302</v>
      </c>
      <c r="D39" s="8">
        <v>0</v>
      </c>
      <c r="E39" s="8">
        <f t="shared" si="4"/>
        <v>138.10950017172459</v>
      </c>
      <c r="F39" s="701">
        <f t="shared" si="0"/>
        <v>0.13113357464075995</v>
      </c>
      <c r="G39" s="9">
        <f>TableA2!L39</f>
        <v>0.40428538787668511</v>
      </c>
      <c r="H39" s="9">
        <f>D39/TableA2!C39</f>
        <v>0</v>
      </c>
      <c r="I39" s="9">
        <f t="shared" si="5"/>
        <v>0</v>
      </c>
      <c r="J39" s="9">
        <f>TableA6!I39/TableA2!$C39</f>
        <v>0</v>
      </c>
      <c r="K39" s="9">
        <f>TableA6!J39/TableA2!$C39</f>
        <v>0</v>
      </c>
      <c r="L39" s="296">
        <f t="shared" si="1"/>
        <v>0.40428538787668511</v>
      </c>
      <c r="M39" s="9">
        <f>C39/TableA4!D39</f>
        <v>0.24643753940062663</v>
      </c>
      <c r="N39" s="9">
        <f>VLOOKUP(A39,TableA10!$A$8:$G$95,4,)/VLOOKUP(A39,TableA10!$A$8:$G$95,3,)</f>
        <v>0.26873857404021939</v>
      </c>
      <c r="O39" s="9">
        <f>E39/TableA4!G39</f>
        <v>0.44755015816737814</v>
      </c>
      <c r="P39" s="298">
        <f>C39-O39*TableA4!D39</f>
        <v>-17.010492793220834</v>
      </c>
      <c r="Q39" s="34"/>
      <c r="T39" s="711">
        <f t="shared" si="2"/>
        <v>0</v>
      </c>
      <c r="U39" s="711">
        <f t="shared" si="3"/>
        <v>0</v>
      </c>
    </row>
    <row r="40" spans="1:21" x14ac:dyDescent="0.35">
      <c r="A40" s="13" t="s">
        <v>80</v>
      </c>
      <c r="B40" s="295">
        <f>TableA6!B40</f>
        <v>63.367762356160583</v>
      </c>
      <c r="C40" s="8">
        <f>TableA6!E40</f>
        <v>24.473912269549327</v>
      </c>
      <c r="D40" s="8">
        <v>0</v>
      </c>
      <c r="E40" s="8">
        <f t="shared" si="4"/>
        <v>38.893850086611252</v>
      </c>
      <c r="F40" s="701">
        <f t="shared" si="0"/>
        <v>0.38622023817083678</v>
      </c>
      <c r="G40" s="9">
        <f>TableA2!L40</f>
        <v>0.38626088690911503</v>
      </c>
      <c r="H40" s="9">
        <f>D40/TableA2!C40</f>
        <v>0</v>
      </c>
      <c r="I40" s="9">
        <f t="shared" si="5"/>
        <v>0</v>
      </c>
      <c r="J40" s="9">
        <f>TableA6!I40/TableA2!$C40</f>
        <v>0</v>
      </c>
      <c r="K40" s="9">
        <f>TableA6!J40/TableA2!$C40</f>
        <v>0</v>
      </c>
      <c r="L40" s="296">
        <f t="shared" si="1"/>
        <v>0.38626088690911503</v>
      </c>
      <c r="M40" s="9">
        <f>C40/TableA4!D40</f>
        <v>0.53949704245493946</v>
      </c>
      <c r="N40" s="9">
        <f>VLOOKUP(A40,TableA10!$A$8:$G$95,4,)/VLOOKUP(A40,TableA10!$A$8:$G$95,3,)</f>
        <v>0.46141975308641975</v>
      </c>
      <c r="O40" s="9">
        <f>E40/TableA4!G40</f>
        <v>0.32769274240203272</v>
      </c>
      <c r="P40" s="298">
        <f>C40-O40*TableA4!D40</f>
        <v>9.6083563947268509</v>
      </c>
      <c r="Q40" s="34"/>
      <c r="T40" s="711">
        <f t="shared" si="2"/>
        <v>0</v>
      </c>
      <c r="U40" s="711">
        <f t="shared" si="3"/>
        <v>0</v>
      </c>
    </row>
    <row r="41" spans="1:21" x14ac:dyDescent="0.35">
      <c r="A41" s="13" t="s">
        <v>1</v>
      </c>
      <c r="B41" s="295">
        <f>TableA6!B41</f>
        <v>94.889238877326122</v>
      </c>
      <c r="C41" s="8">
        <f>TableA6!E41</f>
        <v>60.313127140541056</v>
      </c>
      <c r="D41" s="8">
        <v>0</v>
      </c>
      <c r="E41" s="8">
        <f t="shared" si="4"/>
        <v>34.576111736785066</v>
      </c>
      <c r="F41" s="701">
        <f t="shared" si="0"/>
        <v>0.6356160914992115</v>
      </c>
      <c r="G41" s="9">
        <f>TableA2!L41</f>
        <v>0.29546351380205693</v>
      </c>
      <c r="H41" s="9">
        <f>D41/TableA2!C41</f>
        <v>0</v>
      </c>
      <c r="I41" s="9">
        <f t="shared" si="5"/>
        <v>0</v>
      </c>
      <c r="J41" s="9">
        <f>TableA6!I41/TableA2!$C41</f>
        <v>0</v>
      </c>
      <c r="K41" s="9">
        <f>TableA6!J41/TableA2!$C41</f>
        <v>0</v>
      </c>
      <c r="L41" s="296">
        <f t="shared" si="1"/>
        <v>0.29546351380205693</v>
      </c>
      <c r="M41" s="9">
        <f>C41/TableA4!D41</f>
        <v>3.1934639833073937</v>
      </c>
      <c r="N41" s="9">
        <f>VLOOKUP(A41,TableA10!$A$8:$G$95,4,)/VLOOKUP(A41,TableA10!$A$8:$G$95,3,)</f>
        <v>3.0350836431226766</v>
      </c>
      <c r="O41" s="119">
        <f>E41/TableA4!G41</f>
        <v>0.11438915202699569</v>
      </c>
      <c r="P41" s="299">
        <f>C41-O41*TableA4!D41</f>
        <v>58.152724672949248</v>
      </c>
      <c r="Q41" s="34"/>
      <c r="T41" s="711">
        <f t="shared" si="2"/>
        <v>0</v>
      </c>
      <c r="U41" s="711">
        <f t="shared" si="3"/>
        <v>0</v>
      </c>
    </row>
    <row r="42" spans="1:21" x14ac:dyDescent="0.35">
      <c r="A42" s="13" t="s">
        <v>81</v>
      </c>
      <c r="B42" s="295">
        <f>TableA6!B42</f>
        <v>212.59949330572061</v>
      </c>
      <c r="C42" s="8">
        <f>TableA6!E42</f>
        <v>3.6081037546987877</v>
      </c>
      <c r="D42" s="8">
        <v>0</v>
      </c>
      <c r="E42" s="8">
        <f t="shared" si="4"/>
        <v>208.99138955102183</v>
      </c>
      <c r="F42" s="701">
        <f t="shared" si="0"/>
        <v>1.6971365729034411E-2</v>
      </c>
      <c r="G42" s="9">
        <f>TableA2!L42</f>
        <v>1.1786568376604671</v>
      </c>
      <c r="H42" s="9">
        <f>D42/TableA2!C42</f>
        <v>0</v>
      </c>
      <c r="I42" s="9">
        <f t="shared" si="5"/>
        <v>0</v>
      </c>
      <c r="J42" s="9">
        <f>TableA6!I42/TableA2!$C42</f>
        <v>0</v>
      </c>
      <c r="K42" s="9">
        <f>TableA6!J42/TableA2!$C42</f>
        <v>0</v>
      </c>
      <c r="L42" s="296">
        <f t="shared" si="1"/>
        <v>1.1786568376604671</v>
      </c>
      <c r="M42" s="9">
        <f>C42/TableA4!D42</f>
        <v>0.43176052765093853</v>
      </c>
      <c r="N42" s="9">
        <f>VLOOKUP(A42,TableA10!$A$8:$G$95,4,)/VLOOKUP(A42,TableA10!$A$8:$G$95,3,)</f>
        <v>0.43176052765093859</v>
      </c>
      <c r="O42" s="9">
        <f>E42/TableA4!G42</f>
        <v>1.2149415243838195</v>
      </c>
      <c r="P42" s="298">
        <f>C42-O42*TableA4!D42</f>
        <v>-6.5448277782474689</v>
      </c>
      <c r="Q42" s="34"/>
      <c r="T42" s="711">
        <f t="shared" si="2"/>
        <v>0</v>
      </c>
      <c r="U42" s="711">
        <f t="shared" si="3"/>
        <v>0</v>
      </c>
    </row>
    <row r="43" spans="1:21" x14ac:dyDescent="0.35">
      <c r="A43" s="13" t="s">
        <v>82</v>
      </c>
      <c r="B43" s="295">
        <f>TableA6!B43</f>
        <v>425.05098961874262</v>
      </c>
      <c r="C43" s="8">
        <f>TableA6!E43</f>
        <v>72.19500365863982</v>
      </c>
      <c r="D43" s="8">
        <v>0</v>
      </c>
      <c r="E43" s="8">
        <f t="shared" si="4"/>
        <v>352.85598596010277</v>
      </c>
      <c r="F43" s="701">
        <f t="shared" si="0"/>
        <v>0.16985021896642677</v>
      </c>
      <c r="G43" s="9">
        <f>TableA2!L43</f>
        <v>0.41977482452487414</v>
      </c>
      <c r="H43" s="9">
        <f>D43/TableA2!C43</f>
        <v>0</v>
      </c>
      <c r="I43" s="9">
        <f t="shared" si="5"/>
        <v>0</v>
      </c>
      <c r="J43" s="9">
        <f>TableA6!I43/TableA2!$C43</f>
        <v>0</v>
      </c>
      <c r="K43" s="9">
        <f>TableA6!J43/TableA2!$C43</f>
        <v>0</v>
      </c>
      <c r="L43" s="296">
        <f t="shared" si="1"/>
        <v>0.41977482452487414</v>
      </c>
      <c r="M43" s="9">
        <f>C43/TableA4!D43</f>
        <v>0.25723407405999843</v>
      </c>
      <c r="N43" s="9">
        <f>VLOOKUP(A43,TableA10!$A$8:$G$95,4,)/VLOOKUP(A43,TableA10!$A$8:$G$95,3,)</f>
        <v>0.32541900820732633</v>
      </c>
      <c r="O43" s="9">
        <f>E43/TableA4!G43</f>
        <v>0.48210280844721259</v>
      </c>
      <c r="P43" s="298">
        <f>C43-O43*TableA4!D43</f>
        <v>-63.111386627620902</v>
      </c>
      <c r="Q43" s="34"/>
      <c r="T43" s="711">
        <f t="shared" si="2"/>
        <v>0</v>
      </c>
      <c r="U43" s="711">
        <f t="shared" si="3"/>
        <v>0</v>
      </c>
    </row>
    <row r="44" spans="1:21" x14ac:dyDescent="0.35">
      <c r="A44" s="13" t="s">
        <v>0</v>
      </c>
      <c r="B44" s="295">
        <f>TableA6!B44</f>
        <v>1889.3969000000002</v>
      </c>
      <c r="C44" s="8">
        <f>TableA6!E44</f>
        <v>152.79999999999998</v>
      </c>
      <c r="D44" s="8">
        <v>0</v>
      </c>
      <c r="E44" s="8">
        <f t="shared" si="4"/>
        <v>1736.5969000000002</v>
      </c>
      <c r="F44" s="701">
        <f t="shared" si="0"/>
        <v>8.0872367261743669E-2</v>
      </c>
      <c r="G44" s="9">
        <f>TableA2!L44</f>
        <v>0.31301581156556391</v>
      </c>
      <c r="H44" s="9">
        <f>D44/TableA2!C44</f>
        <v>0</v>
      </c>
      <c r="I44" s="9">
        <f t="shared" si="5"/>
        <v>0</v>
      </c>
      <c r="J44" s="9">
        <f>TableA6!I44/TableA2!$C44</f>
        <v>0</v>
      </c>
      <c r="K44" s="9">
        <f>TableA6!J44/TableA2!$C44</f>
        <v>0</v>
      </c>
      <c r="L44" s="296">
        <f t="shared" si="1"/>
        <v>0.31301581156556391</v>
      </c>
      <c r="M44" s="9">
        <f>C44/TableA4!D44</f>
        <v>0.28343272646330486</v>
      </c>
      <c r="N44" s="9"/>
      <c r="O44" s="171">
        <f>E44/TableA4!G44</f>
        <v>0.3159171001923794</v>
      </c>
      <c r="P44" s="298">
        <f>C44-O44*TableA4!D44</f>
        <v>-17.51248829921272</v>
      </c>
      <c r="Q44" s="34"/>
      <c r="T44" s="711">
        <f t="shared" si="2"/>
        <v>0</v>
      </c>
      <c r="U44" s="711">
        <f t="shared" si="3"/>
        <v>0</v>
      </c>
    </row>
    <row r="45" spans="1:21" ht="40" customHeight="1" x14ac:dyDescent="0.35">
      <c r="A45" s="38" t="s">
        <v>99</v>
      </c>
      <c r="B45" s="674">
        <f>SUM(B46:B52)</f>
        <v>3157.101545061153</v>
      </c>
      <c r="C45" s="557">
        <f>SUM(C46:C52)</f>
        <v>253.30348219544206</v>
      </c>
      <c r="D45" s="557">
        <f>SUM(D46:D52)</f>
        <v>0</v>
      </c>
      <c r="E45" s="557">
        <f>SUM(E46:E52)</f>
        <v>2903.7980628657106</v>
      </c>
      <c r="F45" s="691">
        <f t="shared" ref="F45:F53" si="6">C45/(B45-D45)</f>
        <v>8.0232922058430522E-2</v>
      </c>
      <c r="G45" s="589">
        <f>TableA2!L45</f>
        <v>0.68108145790918762</v>
      </c>
      <c r="H45" s="589">
        <f>D45/TableA2!C45</f>
        <v>0</v>
      </c>
      <c r="I45" s="589">
        <f>J45+K45</f>
        <v>0</v>
      </c>
      <c r="J45" s="589">
        <f>TableA6!I45/TableA2!$C45</f>
        <v>0</v>
      </c>
      <c r="K45" s="589">
        <f>TableA6!J45/TableA2!$C45</f>
        <v>0</v>
      </c>
      <c r="L45" s="588">
        <f>G45-H45+I45</f>
        <v>0.68108145790918762</v>
      </c>
      <c r="M45" s="589">
        <f>C45/TableA4!D45</f>
        <v>0.60344989333222621</v>
      </c>
      <c r="N45" s="589">
        <f>(TableA10!D43+TableA10!D52+TableA10!D45+TableA10!D81+TableA10!D31+TableA10!D68)/(TableA10!C43+TableA10!C45+TableA10!C52+TableA10!C81+TableA10!C31+TableA10!C68)</f>
        <v>0.20871685346538396</v>
      </c>
      <c r="O45" s="697">
        <f>E45/TableA4!G45</f>
        <v>0.68881132725607408</v>
      </c>
      <c r="P45" s="700">
        <v>0</v>
      </c>
      <c r="Q45" s="34"/>
      <c r="T45" s="711">
        <f t="shared" si="2"/>
        <v>0</v>
      </c>
      <c r="U45" s="711">
        <f t="shared" si="3"/>
        <v>0</v>
      </c>
    </row>
    <row r="46" spans="1:21" x14ac:dyDescent="0.35">
      <c r="A46" s="95" t="s">
        <v>92</v>
      </c>
      <c r="B46" s="295">
        <f>TableA6!B46</f>
        <v>274.33569999999997</v>
      </c>
      <c r="C46" s="8">
        <f>TableA6!E46</f>
        <v>29.642380154899492</v>
      </c>
      <c r="D46" s="8">
        <v>0</v>
      </c>
      <c r="E46" s="8">
        <f t="shared" si="4"/>
        <v>244.69331984510049</v>
      </c>
      <c r="F46" s="701">
        <f t="shared" si="6"/>
        <v>0.10805148639021277</v>
      </c>
      <c r="G46" s="9">
        <f>TableA2!L46</f>
        <v>0.40116486198248541</v>
      </c>
      <c r="H46" s="9">
        <f>D46/TableA2!C46</f>
        <v>0</v>
      </c>
      <c r="I46" s="9">
        <f t="shared" si="5"/>
        <v>0</v>
      </c>
      <c r="J46" s="9">
        <f>TableA6!I46/TableA2!$C46</f>
        <v>0</v>
      </c>
      <c r="K46" s="9">
        <f>TableA6!J46/TableA2!$C46</f>
        <v>0</v>
      </c>
      <c r="L46" s="296">
        <f t="shared" ref="L46:L52" si="7">G46-H46+I46</f>
        <v>0.40116486198248541</v>
      </c>
      <c r="M46" s="9">
        <f>C46/TableA4!D46</f>
        <v>0.28488946288839928</v>
      </c>
      <c r="N46" s="9">
        <f>VLOOKUP(A46,TableA10b!$A$8:$G$95,4,)/VLOOKUP(A46,TableA10b!$A$8:$G$95,3,)</f>
        <v>0.28488946288839928</v>
      </c>
      <c r="O46" s="171">
        <f>E46/TableA4!G46</f>
        <v>0.42203123701335166</v>
      </c>
      <c r="P46" s="298">
        <f>C46-O46*TableA4!D46</f>
        <v>-14.269424226903311</v>
      </c>
      <c r="Q46" s="34"/>
      <c r="T46" s="711">
        <f t="shared" si="2"/>
        <v>0</v>
      </c>
      <c r="U46" s="711">
        <f t="shared" si="3"/>
        <v>0</v>
      </c>
    </row>
    <row r="47" spans="1:21" x14ac:dyDescent="0.35">
      <c r="A47" s="31" t="s">
        <v>101</v>
      </c>
      <c r="B47" s="295">
        <f>TableA6!B47</f>
        <v>2068.7040725409047</v>
      </c>
      <c r="C47" s="8">
        <f>TableA6!E47</f>
        <v>162.29225058924547</v>
      </c>
      <c r="D47" s="8">
        <v>0</v>
      </c>
      <c r="E47" s="8">
        <f t="shared" si="4"/>
        <v>1906.4118219516592</v>
      </c>
      <c r="F47" s="701">
        <f t="shared" si="6"/>
        <v>7.8451167928484097E-2</v>
      </c>
      <c r="G47" s="9">
        <f>TableA2!L47</f>
        <v>0.6894883048234598</v>
      </c>
      <c r="H47" s="9">
        <f>D47/TableA2!C47</f>
        <v>0</v>
      </c>
      <c r="I47" s="9">
        <f t="shared" si="5"/>
        <v>0</v>
      </c>
      <c r="J47" s="9">
        <f>TableA6!I47/TableA2!$C47</f>
        <v>0</v>
      </c>
      <c r="K47" s="9">
        <f>TableA6!J47/TableA2!$C47</f>
        <v>0</v>
      </c>
      <c r="L47" s="296">
        <f t="shared" si="7"/>
        <v>0.6894883048234598</v>
      </c>
      <c r="M47" s="9">
        <f>C47/TableA4!D47</f>
        <v>0.86041477550450374</v>
      </c>
      <c r="N47" s="9">
        <f>VLOOKUP(A47,TableA10!$A$8:$G$95,4,)/VLOOKUP(A47,TableA10!$A$8:$G$95,3,)</f>
        <v>0.86041477550450385</v>
      </c>
      <c r="O47" s="171">
        <f>E47/TableA4!G47</f>
        <v>0.67802192655512161</v>
      </c>
      <c r="P47" s="298">
        <f>C47-O47*TableA4!D47</f>
        <v>34.40311206885427</v>
      </c>
      <c r="Q47" s="34"/>
      <c r="T47" s="711">
        <f t="shared" si="2"/>
        <v>0</v>
      </c>
      <c r="U47" s="711">
        <f t="shared" si="3"/>
        <v>0</v>
      </c>
    </row>
    <row r="48" spans="1:21" x14ac:dyDescent="0.35">
      <c r="A48" s="31" t="s">
        <v>93</v>
      </c>
      <c r="B48" s="295">
        <f>TableA6!B48</f>
        <v>58.600733808963028</v>
      </c>
      <c r="C48" s="8">
        <f>TableA6!E48</f>
        <v>6.7581585025254878</v>
      </c>
      <c r="D48" s="8">
        <v>0</v>
      </c>
      <c r="E48" s="8">
        <f t="shared" si="4"/>
        <v>51.842575306437539</v>
      </c>
      <c r="F48" s="701">
        <f t="shared" si="6"/>
        <v>0.11532549275845112</v>
      </c>
      <c r="G48" s="9">
        <f>TableA2!L48</f>
        <v>1.0817835759803136</v>
      </c>
      <c r="H48" s="9">
        <f>D48/TableA2!C48</f>
        <v>0</v>
      </c>
      <c r="I48" s="9">
        <f t="shared" si="5"/>
        <v>0</v>
      </c>
      <c r="J48" s="9">
        <f>TableA6!I48/TableA2!$C48</f>
        <v>0</v>
      </c>
      <c r="K48" s="9">
        <f>TableA6!J48/TableA2!$C48</f>
        <v>0</v>
      </c>
      <c r="L48" s="296">
        <f t="shared" si="7"/>
        <v>1.0817835759803136</v>
      </c>
      <c r="M48" s="9">
        <f>C48/TableA4!D48</f>
        <v>0.59300746775288526</v>
      </c>
      <c r="N48" s="9">
        <f>VLOOKUP(A48,TableA10b!$A$8:$G$95,4,)/VLOOKUP(A48,TableA10b!$A$8:$G$95,3,)</f>
        <v>0.59300746775288526</v>
      </c>
      <c r="O48" s="171">
        <f>E48/TableA4!G48</f>
        <v>1.2120095634890702</v>
      </c>
      <c r="P48" s="298">
        <f>C48-O48*TableA4!D48</f>
        <v>-7.0544040401930346</v>
      </c>
      <c r="Q48" s="34"/>
      <c r="T48" s="711">
        <f t="shared" si="2"/>
        <v>0</v>
      </c>
      <c r="U48" s="711">
        <f t="shared" si="3"/>
        <v>0</v>
      </c>
    </row>
    <row r="49" spans="1:22" x14ac:dyDescent="0.35">
      <c r="A49" s="31" t="s">
        <v>94</v>
      </c>
      <c r="B49" s="295">
        <f>TableA6!B49</f>
        <v>13.202740172271037</v>
      </c>
      <c r="C49" s="8">
        <f>TableA6!E49</f>
        <v>1.0992314060745381</v>
      </c>
      <c r="D49" s="8">
        <v>0</v>
      </c>
      <c r="E49" s="8">
        <f t="shared" si="4"/>
        <v>12.103508766196498</v>
      </c>
      <c r="F49" s="701">
        <f t="shared" si="6"/>
        <v>8.3257823128504119E-2</v>
      </c>
      <c r="G49" s="9">
        <f>TableA2!L49</f>
        <v>0.84460673307568312</v>
      </c>
      <c r="H49" s="9">
        <f>D49/TableA2!C49</f>
        <v>0</v>
      </c>
      <c r="I49" s="9">
        <f t="shared" si="5"/>
        <v>0</v>
      </c>
      <c r="J49" s="9">
        <f>TableA6!I49/TableA2!$C49</f>
        <v>0</v>
      </c>
      <c r="K49" s="9">
        <f>TableA6!J49/TableA2!$C49</f>
        <v>0</v>
      </c>
      <c r="L49" s="296">
        <f t="shared" si="7"/>
        <v>0.84460673307568312</v>
      </c>
      <c r="M49" s="9">
        <f>C49/TableA4!D49</f>
        <v>0.58033898305084741</v>
      </c>
      <c r="N49" s="9">
        <f>VLOOKUP(A49,TableA10!$A$8:$G$95,4,)/VLOOKUP(A49,TableA10!$A$8:$G$95,3,)</f>
        <v>0.58033898305084741</v>
      </c>
      <c r="O49" s="171">
        <f>E49/TableA4!G49</f>
        <v>0.88104330559766775</v>
      </c>
      <c r="P49" s="298">
        <f>C49-O49*TableA4!D49</f>
        <v>-0.56956993229743369</v>
      </c>
      <c r="Q49" s="34"/>
      <c r="T49" s="711">
        <f t="shared" si="2"/>
        <v>0</v>
      </c>
      <c r="U49" s="711">
        <f t="shared" si="3"/>
        <v>0</v>
      </c>
    </row>
    <row r="50" spans="1:22" x14ac:dyDescent="0.35">
      <c r="A50" s="31" t="s">
        <v>102</v>
      </c>
      <c r="B50" s="295">
        <f>TableA6!B50</f>
        <v>376.12710693199818</v>
      </c>
      <c r="C50" s="8">
        <f>TableA6!E50</f>
        <v>7.7329709258650219</v>
      </c>
      <c r="D50" s="8">
        <v>0</v>
      </c>
      <c r="E50" s="8">
        <f t="shared" si="4"/>
        <v>368.39413600613318</v>
      </c>
      <c r="F50" s="701">
        <f t="shared" si="6"/>
        <v>2.0559461903560974E-2</v>
      </c>
      <c r="G50" s="9">
        <f>TableA2!L50</f>
        <v>1.1804668339549873</v>
      </c>
      <c r="H50" s="9">
        <f>D50/TableA2!C50</f>
        <v>0</v>
      </c>
      <c r="I50" s="9">
        <f t="shared" si="5"/>
        <v>0</v>
      </c>
      <c r="J50" s="9">
        <f>TableA6!I50/TableA2!$C50</f>
        <v>0</v>
      </c>
      <c r="K50" s="9">
        <f>TableA6!J50/TableA2!$C50</f>
        <v>0</v>
      </c>
      <c r="L50" s="296">
        <f t="shared" si="7"/>
        <v>1.1804668339549873</v>
      </c>
      <c r="M50" s="9">
        <f>C50/TableA4!D50</f>
        <v>0.36740237691001698</v>
      </c>
      <c r="N50" s="9">
        <f>VLOOKUP(A50,TableA10!$A$8:$G$95,4,)/VLOOKUP(A50,TableA10!$A$8:$G$95,3,)</f>
        <v>0.36740237691001698</v>
      </c>
      <c r="O50" s="171">
        <f>E50/TableA4!G50</f>
        <v>1.2379748666810551</v>
      </c>
      <c r="P50" s="298">
        <f>C50-O50*TableA4!D50</f>
        <v>-18.323538919036906</v>
      </c>
      <c r="Q50" s="34"/>
      <c r="T50" s="711">
        <f t="shared" si="2"/>
        <v>0</v>
      </c>
      <c r="U50" s="711">
        <f t="shared" si="3"/>
        <v>0</v>
      </c>
    </row>
    <row r="51" spans="1:22" x14ac:dyDescent="0.35">
      <c r="A51" s="31" t="s">
        <v>103</v>
      </c>
      <c r="B51" s="295">
        <f>TableA6!B51</f>
        <v>289.6640115913587</v>
      </c>
      <c r="C51" s="8">
        <f>TableA6!E51</f>
        <v>37.035306707060499</v>
      </c>
      <c r="D51" s="8">
        <v>0</v>
      </c>
      <c r="E51" s="8">
        <f t="shared" si="4"/>
        <v>252.6287048842982</v>
      </c>
      <c r="F51" s="701">
        <f t="shared" si="6"/>
        <v>0.12785608575810162</v>
      </c>
      <c r="G51" s="9">
        <f>TableA2!L51</f>
        <v>0.62204444586734098</v>
      </c>
      <c r="H51" s="9">
        <f>D51/TableA2!C51</f>
        <v>0</v>
      </c>
      <c r="I51" s="9">
        <f t="shared" si="5"/>
        <v>0</v>
      </c>
      <c r="J51" s="9">
        <f>TableA6!I51/TableA2!$C51</f>
        <v>0</v>
      </c>
      <c r="K51" s="9">
        <f>TableA6!J51/TableA2!$C51</f>
        <v>0</v>
      </c>
      <c r="L51" s="296">
        <f t="shared" si="7"/>
        <v>0.62204444586734098</v>
      </c>
      <c r="M51" s="9">
        <f>C51/TableA4!D51</f>
        <v>0.57186108637577915</v>
      </c>
      <c r="N51" s="9">
        <f>VLOOKUP(A51,TableA10b!$A$8:$G$95,4,)/VLOOKUP(A51,TableA10b!$A$8:$G$95,3,)</f>
        <v>0.57186108637577915</v>
      </c>
      <c r="O51" s="171">
        <f>E51/TableA4!G51</f>
        <v>0.63015120382906453</v>
      </c>
      <c r="P51" s="298">
        <f>C51-O51*TableA4!D51</f>
        <v>-3.7750293372023975</v>
      </c>
      <c r="Q51" s="34"/>
      <c r="T51" s="711">
        <f t="shared" si="2"/>
        <v>0</v>
      </c>
      <c r="U51" s="711">
        <f t="shared" si="3"/>
        <v>0</v>
      </c>
    </row>
    <row r="52" spans="1:22" x14ac:dyDescent="0.35">
      <c r="A52" s="13" t="s">
        <v>97</v>
      </c>
      <c r="B52" s="295">
        <f>TableA6!B52</f>
        <v>76.467180015656993</v>
      </c>
      <c r="C52" s="8">
        <f>TableA6!E52</f>
        <v>8.7431839097715454</v>
      </c>
      <c r="D52" s="8">
        <v>0</v>
      </c>
      <c r="E52" s="8">
        <f t="shared" si="4"/>
        <v>67.723996105885448</v>
      </c>
      <c r="F52" s="701">
        <f t="shared" si="6"/>
        <v>0.11433903941509729</v>
      </c>
      <c r="G52" s="9">
        <f>TableA2!L52</f>
        <v>0.78720845080042035</v>
      </c>
      <c r="H52" s="9">
        <f>D52/TableA2!C52</f>
        <v>0</v>
      </c>
      <c r="I52" s="9">
        <f t="shared" si="5"/>
        <v>0</v>
      </c>
      <c r="J52" s="9">
        <f>TableA6!I52/TableA2!$C52</f>
        <v>0</v>
      </c>
      <c r="K52" s="9">
        <f>TableA6!J52/TableA2!$C52</f>
        <v>0</v>
      </c>
      <c r="L52" s="296">
        <f t="shared" si="7"/>
        <v>0.78720845080042035</v>
      </c>
      <c r="M52" s="9">
        <f>C52/TableA4!D52</f>
        <v>0.31238725195429945</v>
      </c>
      <c r="N52" s="9">
        <f>VLOOKUP(A52,TableA10!$A$8:$G$95,4,)/VLOOKUP(A52,TableA10!$A$8:$G$95,3,)</f>
        <v>0.31238725195429945</v>
      </c>
      <c r="O52" s="171">
        <f>E52/TableA4!G52</f>
        <v>0.97939430014021822</v>
      </c>
      <c r="P52" s="298">
        <f>C52-O52*TableA4!D52</f>
        <v>-18.668384368823393</v>
      </c>
      <c r="Q52" s="34"/>
      <c r="T52" s="711">
        <f t="shared" si="2"/>
        <v>0</v>
      </c>
      <c r="U52" s="711">
        <f t="shared" si="3"/>
        <v>0</v>
      </c>
    </row>
    <row r="53" spans="1:22" ht="40" customHeight="1" x14ac:dyDescent="0.35">
      <c r="A53" s="38" t="s">
        <v>100</v>
      </c>
      <c r="B53" s="674">
        <f>SUM(B54:B89)</f>
        <v>485.75226113968216</v>
      </c>
      <c r="C53" s="557">
        <f>SUM(C54:C89)</f>
        <v>379.64154036573251</v>
      </c>
      <c r="D53" s="557">
        <f>SUM(D54:D89)</f>
        <v>0</v>
      </c>
      <c r="E53" s="557">
        <f>SUM(E54:E89)</f>
        <v>106.11072077394961</v>
      </c>
      <c r="F53" s="691">
        <f t="shared" si="6"/>
        <v>0.7815538304958366</v>
      </c>
      <c r="G53" s="589">
        <f>TableA2!L53</f>
        <v>0.9495478158383921</v>
      </c>
      <c r="H53" s="589">
        <f>D53/TableA2!C53</f>
        <v>0</v>
      </c>
      <c r="I53" s="589">
        <f>TableA6!D53/TableA2!C53</f>
        <v>0.59411815848754679</v>
      </c>
      <c r="J53" s="589">
        <f>TableA6!I53/TableA2!$C53</f>
        <v>0.1253592019677329</v>
      </c>
      <c r="K53" s="589">
        <f>TableA6!J53/TableA2!$C53</f>
        <v>0.57918768418334599</v>
      </c>
      <c r="L53" s="588">
        <f>(C53+E53)/TableA2!C53</f>
        <v>1.5436659743259391</v>
      </c>
      <c r="M53" s="589">
        <f>C53/TableA4!D53</f>
        <v>4.0562827786519096</v>
      </c>
      <c r="N53" s="589">
        <f>(TableA10!D59+TableA10!D60+TableA10!D62+TableA10!D63+TableA10!D80+TableA10!D88+C89*1000)/(TableA10!C59+TableA10!C60+TableA10!C62+TableA10!C63+TableA10!C80+TableA10!C88+TableA4!D89*1000)</f>
        <v>3.6378279827459132</v>
      </c>
      <c r="O53" s="1117">
        <f>(E9+E45)/(TableA4!G9+TableA4!G45)</f>
        <v>0.47996308817683037</v>
      </c>
      <c r="P53" s="679">
        <f>SUM(P54:P89)</f>
        <v>334.72013422680857</v>
      </c>
      <c r="Q53" s="693"/>
      <c r="S53" s="376"/>
      <c r="T53" s="711">
        <f t="shared" si="2"/>
        <v>2.2204460492503131E-16</v>
      </c>
      <c r="U53" s="711">
        <f t="shared" si="3"/>
        <v>0</v>
      </c>
    </row>
    <row r="54" spans="1:22" x14ac:dyDescent="0.35">
      <c r="A54" s="264" t="s">
        <v>272</v>
      </c>
      <c r="B54" s="295">
        <f>TableA6!B54</f>
        <v>1.2179448838266</v>
      </c>
      <c r="C54" s="8">
        <f>TableA6!E54</f>
        <v>1.0713339190228408</v>
      </c>
      <c r="D54" s="8">
        <v>0</v>
      </c>
      <c r="E54" s="8">
        <f>TableA6!K54</f>
        <v>0.14661096480375915</v>
      </c>
      <c r="F54" s="691">
        <f t="shared" ref="F54:F83" si="8">C54/(B54-D54)</f>
        <v>0.87962430258491697</v>
      </c>
      <c r="G54" s="680">
        <f>TableA2!L54</f>
        <v>2.3923255199351803</v>
      </c>
      <c r="H54" s="680">
        <f>D54/TableA2!C54</f>
        <v>0</v>
      </c>
      <c r="I54" s="680">
        <f>TableA6!D54/TableA2!C54</f>
        <v>0</v>
      </c>
      <c r="J54" s="680">
        <f>TableA6!I54/TableA2!$C54</f>
        <v>0</v>
      </c>
      <c r="K54" s="680">
        <f>TableA6!J54/TableA2!$C54</f>
        <v>2.171958577610551</v>
      </c>
      <c r="L54" s="296">
        <f>(C54+E54)/TableA2!C54</f>
        <v>2.3923255199351803</v>
      </c>
      <c r="M54" s="9">
        <f>C54/TableA4!D54</f>
        <v>5.2608691675727046</v>
      </c>
      <c r="N54" s="9">
        <f>TableA10!D37/TableA10!C37</f>
        <v>1.5591216216216208</v>
      </c>
      <c r="O54" s="698">
        <f>O$53</f>
        <v>0.47996308817683037</v>
      </c>
      <c r="P54" s="298">
        <f>C54-O54*TableA4!D54</f>
        <v>0.97359327582033472</v>
      </c>
      <c r="Q54" s="694">
        <v>3.0833378643837484E-3</v>
      </c>
      <c r="T54" s="711">
        <f t="shared" si="2"/>
        <v>0</v>
      </c>
      <c r="U54" s="711">
        <f t="shared" si="3"/>
        <v>0</v>
      </c>
    </row>
    <row r="55" spans="1:22" x14ac:dyDescent="0.35">
      <c r="A55" s="264" t="s">
        <v>273</v>
      </c>
      <c r="B55" s="295">
        <f>TableA6!B55</f>
        <v>0.23996156292186116</v>
      </c>
      <c r="C55" s="8">
        <f>TableA6!E55</f>
        <v>0.22608681761471922</v>
      </c>
      <c r="D55" s="393">
        <v>0</v>
      </c>
      <c r="E55" s="8">
        <f>TableA6!K55</f>
        <v>1.3874745307141934E-2</v>
      </c>
      <c r="F55" s="701">
        <f t="shared" si="8"/>
        <v>0.94217930097554836</v>
      </c>
      <c r="G55" s="680">
        <f>TableA2!L55</f>
        <v>2.3923282826230872</v>
      </c>
      <c r="H55" s="9">
        <f>D55/TableA2!C55</f>
        <v>0</v>
      </c>
      <c r="I55" s="9">
        <f>TableA6!D55/TableA2!C55</f>
        <v>2.5882039102567727</v>
      </c>
      <c r="J55" s="9">
        <f>TableA6!I55/TableA2!$C55</f>
        <v>0</v>
      </c>
      <c r="K55" s="9">
        <f>TableA6!J55/TableA2!$C55</f>
        <v>2.5609602213968543</v>
      </c>
      <c r="L55" s="296">
        <f>(C55+E55)/TableA2!C55</f>
        <v>4.9805321928798598</v>
      </c>
      <c r="M55" s="9">
        <f>C55/TableA4!D55</f>
        <v>11.731385849934403</v>
      </c>
      <c r="N55" s="9">
        <f>TableA10!D$63/TableA10!C$63</f>
        <v>14.031458531935176</v>
      </c>
      <c r="O55" s="698">
        <f t="shared" ref="O55:O90" si="9">O$53</f>
        <v>0.47996308817683037</v>
      </c>
      <c r="P55" s="298">
        <f>C55-O55*TableA4!D55</f>
        <v>0.21683698740995794</v>
      </c>
      <c r="Q55" s="694">
        <v>-1.5052088272046125E-2</v>
      </c>
      <c r="T55" s="711">
        <f t="shared" si="2"/>
        <v>0</v>
      </c>
      <c r="U55" s="711">
        <f t="shared" si="3"/>
        <v>0</v>
      </c>
      <c r="V55" s="305"/>
    </row>
    <row r="56" spans="1:22" x14ac:dyDescent="0.35">
      <c r="A56" s="289" t="str">
        <f>+TableA1!A56</f>
        <v>Antigua and Barbuda</v>
      </c>
      <c r="B56" s="295">
        <f>TableA6!B56</f>
        <v>0.83688997048164881</v>
      </c>
      <c r="C56" s="8">
        <f>TableA6!E56</f>
        <v>0.80975658198969502</v>
      </c>
      <c r="D56" s="8">
        <v>0</v>
      </c>
      <c r="E56" s="8">
        <f>TableA6!K56</f>
        <v>2.7133388491953736E-2</v>
      </c>
      <c r="F56" s="701">
        <f t="shared" si="8"/>
        <v>0.96757830844078829</v>
      </c>
      <c r="G56" s="680">
        <f>TableA2!L56</f>
        <v>7.8984192228753365</v>
      </c>
      <c r="H56" s="9">
        <f>D56/TableA2!C56</f>
        <v>0</v>
      </c>
      <c r="I56" s="9">
        <f>TableA6!D56/TableA2!C56</f>
        <v>0.98383950752326899</v>
      </c>
      <c r="J56" s="9">
        <f>TableA6!I56/TableA2!$C56</f>
        <v>0</v>
      </c>
      <c r="K56" s="9">
        <f>TableA6!J56/TableA2!$C56</f>
        <v>7.7351530408344944</v>
      </c>
      <c r="L56" s="296">
        <f>(C56+E56)/TableA2!C56</f>
        <v>8.8822587303986058</v>
      </c>
      <c r="M56" s="9">
        <f>C56/TableA4!D56</f>
        <v>21.485702193731267</v>
      </c>
      <c r="N56" s="9">
        <f>TableA10!D$63/TableA10!C$63</f>
        <v>14.031458531935176</v>
      </c>
      <c r="O56" s="698">
        <f t="shared" si="9"/>
        <v>0.47996308817683037</v>
      </c>
      <c r="P56" s="298">
        <f>C56-O56*TableA4!D56</f>
        <v>0.79166765632839253</v>
      </c>
      <c r="Q56" s="694">
        <v>8.6504554915528709E-3</v>
      </c>
      <c r="T56" s="711">
        <f t="shared" si="2"/>
        <v>3.3306690738754696E-16</v>
      </c>
      <c r="U56" s="711">
        <f t="shared" si="3"/>
        <v>5.5511151231257827E-17</v>
      </c>
      <c r="V56" s="305"/>
    </row>
    <row r="57" spans="1:22" x14ac:dyDescent="0.35">
      <c r="A57" s="264" t="s">
        <v>274</v>
      </c>
      <c r="B57" s="295">
        <f>TableA6!B57</f>
        <v>1.0830039076807072</v>
      </c>
      <c r="C57" s="8">
        <f>TableA6!E57</f>
        <v>0.95263604569226357</v>
      </c>
      <c r="D57" s="393">
        <v>0</v>
      </c>
      <c r="E57" s="8">
        <f>TableA6!K57</f>
        <v>0.13036786198844358</v>
      </c>
      <c r="F57" s="701">
        <f t="shared" si="8"/>
        <v>0.87962383047386117</v>
      </c>
      <c r="G57" s="680">
        <f>TableA2!L57</f>
        <v>2.3923161373195709</v>
      </c>
      <c r="H57" s="9">
        <f>D57/TableA2!C57</f>
        <v>0</v>
      </c>
      <c r="I57" s="9">
        <f>TableA6!D57/TableA2!C57</f>
        <v>0</v>
      </c>
      <c r="J57" s="9">
        <f>TableA6!I57/TableA2!$C57</f>
        <v>0</v>
      </c>
      <c r="K57" s="9">
        <f>TableA6!J57/TableA2!$C57</f>
        <v>2.0073413382474254</v>
      </c>
      <c r="L57" s="296">
        <f>(C57+E57)/TableA2!C57</f>
        <v>2.3923161373195709</v>
      </c>
      <c r="M57" s="9">
        <f>C57/TableA4!D57</f>
        <v>5.2608457110336815</v>
      </c>
      <c r="N57" s="9">
        <f>TableA10!D$63/TableA10!C$63</f>
        <v>14.031458531935176</v>
      </c>
      <c r="O57" s="698">
        <f t="shared" si="9"/>
        <v>0.47996308817683037</v>
      </c>
      <c r="P57" s="298">
        <f>C57-O57*TableA4!D57</f>
        <v>0.86572413769996781</v>
      </c>
      <c r="Q57" s="694">
        <v>0.24127676815119031</v>
      </c>
      <c r="T57" s="711">
        <f t="shared" si="2"/>
        <v>0</v>
      </c>
      <c r="U57" s="711">
        <f t="shared" si="3"/>
        <v>0</v>
      </c>
    </row>
    <row r="58" spans="1:22" x14ac:dyDescent="0.35">
      <c r="A58" s="264" t="s">
        <v>275</v>
      </c>
      <c r="B58" s="295">
        <f>TableA6!B58</f>
        <v>7.5674507528223769</v>
      </c>
      <c r="C58" s="8">
        <f>TableA6!E58</f>
        <v>7.4256876071944387</v>
      </c>
      <c r="D58" s="393">
        <v>0</v>
      </c>
      <c r="E58" s="8">
        <f>TableA6!K58</f>
        <v>0.1417631456279379</v>
      </c>
      <c r="F58" s="701">
        <f t="shared" si="8"/>
        <v>0.98126672372792567</v>
      </c>
      <c r="G58" s="680">
        <f>TableA2!L58</f>
        <v>13.025874775347917</v>
      </c>
      <c r="H58" s="9">
        <f>D58/TableA2!C58</f>
        <v>0</v>
      </c>
      <c r="I58" s="9">
        <f>TableA6!D58/TableA2!C58</f>
        <v>2.3466553002047297</v>
      </c>
      <c r="J58" s="9">
        <f>TableA6!I58/TableA2!$C58</f>
        <v>11.090152854335686</v>
      </c>
      <c r="K58" s="9">
        <f>TableA6!J58/TableA2!$C58</f>
        <v>2.493548736246979</v>
      </c>
      <c r="L58" s="296">
        <f>(C58+E58)/TableA2!C58</f>
        <v>15.372530075552646</v>
      </c>
      <c r="M58" s="9">
        <f>C58/TableA4!D58</f>
        <v>37.711380556616369</v>
      </c>
      <c r="N58" s="9">
        <f>TableA10!D$63/TableA10!C$63</f>
        <v>14.031458531935176</v>
      </c>
      <c r="O58" s="698">
        <f t="shared" si="9"/>
        <v>0.47996308817683037</v>
      </c>
      <c r="P58" s="298">
        <f>C58-O58*TableA4!D58</f>
        <v>7.3311788434424798</v>
      </c>
      <c r="Q58" s="694">
        <v>0.82004020553788814</v>
      </c>
      <c r="T58" s="711">
        <f t="shared" si="2"/>
        <v>-8.8817841970012523E-16</v>
      </c>
      <c r="U58" s="711">
        <f t="shared" si="3"/>
        <v>3.3306690738754696E-16</v>
      </c>
    </row>
    <row r="59" spans="1:22" x14ac:dyDescent="0.35">
      <c r="A59" s="264" t="s">
        <v>276</v>
      </c>
      <c r="B59" s="295">
        <f>TableA6!B59</f>
        <v>12.818630643859262</v>
      </c>
      <c r="C59" s="8">
        <f>TableA6!E59</f>
        <v>9.9035637652207527</v>
      </c>
      <c r="D59" s="393">
        <v>0</v>
      </c>
      <c r="E59" s="8">
        <f>TableA6!K59</f>
        <v>2.9150668786385086</v>
      </c>
      <c r="F59" s="701">
        <f t="shared" si="8"/>
        <v>0.7725913976595491</v>
      </c>
      <c r="G59" s="680">
        <f>TableA2!L59</f>
        <v>1.1886326440866672</v>
      </c>
      <c r="H59" s="9">
        <f>D59/TableA2!C59</f>
        <v>0</v>
      </c>
      <c r="I59" s="9">
        <f>TableA6!D59/TableA2!C59</f>
        <v>7.7712823684907076E-2</v>
      </c>
      <c r="J59" s="9">
        <f>TableA6!I59/TableA2!$C59</f>
        <v>9.6292997742348937E-2</v>
      </c>
      <c r="K59" s="9">
        <f>TableA6!J59/TableA2!$C59</f>
        <v>0.81859172082117837</v>
      </c>
      <c r="L59" s="296">
        <f>(C59+E59)/TableA2!C59</f>
        <v>1.2663454677715744</v>
      </c>
      <c r="M59" s="9">
        <f>C59/TableA4!D59</f>
        <v>2.4459190371636907</v>
      </c>
      <c r="N59" s="9">
        <f>TableA10!D75/TableA10!C75</f>
        <v>2.6792645556690502</v>
      </c>
      <c r="O59" s="698">
        <f t="shared" si="9"/>
        <v>0.47996308817683037</v>
      </c>
      <c r="P59" s="298">
        <f>C59-O59*TableA4!D59</f>
        <v>7.9601858461284136</v>
      </c>
      <c r="Q59" s="694">
        <v>1.6053543751581547</v>
      </c>
      <c r="T59" s="711">
        <f t="shared" si="2"/>
        <v>9.7144514654701197E-17</v>
      </c>
      <c r="U59" s="711">
        <f t="shared" si="3"/>
        <v>0</v>
      </c>
    </row>
    <row r="60" spans="1:22" x14ac:dyDescent="0.35">
      <c r="A60" s="289" t="str">
        <f>+TableA1!A60</f>
        <v>Barbados</v>
      </c>
      <c r="B60" s="295">
        <f>TableA6!B60</f>
        <v>4.7927919009162316</v>
      </c>
      <c r="C60" s="8">
        <f>TableA6!E60</f>
        <v>4.6934588361797722</v>
      </c>
      <c r="D60" s="393">
        <v>0</v>
      </c>
      <c r="E60" s="8">
        <f>TableA6!K60</f>
        <v>9.933306473645917E-2</v>
      </c>
      <c r="F60" s="701">
        <f t="shared" si="8"/>
        <v>0.97927448827530561</v>
      </c>
      <c r="G60" s="680">
        <f>TableA2!L60</f>
        <v>7.1637948004065679</v>
      </c>
      <c r="H60" s="9">
        <f>D60/TableA2!C60</f>
        <v>0</v>
      </c>
      <c r="I60" s="9">
        <f>TableA6!D60/TableA2!C60</f>
        <v>6.7310540569548074</v>
      </c>
      <c r="J60" s="9">
        <f>TableA6!I60/TableA2!$C60</f>
        <v>4.65234739282762</v>
      </c>
      <c r="K60" s="9">
        <f>TableA6!J60/TableA2!$C60</f>
        <v>3.1691441921362671</v>
      </c>
      <c r="L60" s="296">
        <f>(C60+E60)/TableA2!C60</f>
        <v>13.894848857361376</v>
      </c>
      <c r="M60" s="9">
        <f>C60/TableA4!D60</f>
        <v>34.017177511138193</v>
      </c>
      <c r="N60" s="9">
        <f>VLOOKUP(A60,TableA10!$A$8:$G$95,4,)/VLOOKUP(A60,TableA10!$A$8:$G$95,3,)</f>
        <v>25.326530612244898</v>
      </c>
      <c r="O60" s="698">
        <f t="shared" si="9"/>
        <v>0.47996308817683037</v>
      </c>
      <c r="P60" s="298">
        <f>C60-O60*TableA4!D60</f>
        <v>4.6272367930221332</v>
      </c>
      <c r="Q60" s="694">
        <v>2.145785584697153</v>
      </c>
      <c r="T60" s="711">
        <f t="shared" si="2"/>
        <v>8.8817841970012523E-16</v>
      </c>
      <c r="U60" s="711">
        <f t="shared" si="3"/>
        <v>2.4980018054066022E-16</v>
      </c>
    </row>
    <row r="61" spans="1:22" x14ac:dyDescent="0.35">
      <c r="A61" s="264" t="s">
        <v>277</v>
      </c>
      <c r="B61" s="295">
        <f>TableA6!B61</f>
        <v>0.96228953856820065</v>
      </c>
      <c r="C61" s="8">
        <f>TableA6!E61</f>
        <v>0.92373045597548575</v>
      </c>
      <c r="D61" s="8">
        <v>0</v>
      </c>
      <c r="E61" s="8">
        <f>TableA6!K61</f>
        <v>3.855908259271492E-2</v>
      </c>
      <c r="F61" s="701">
        <f t="shared" si="8"/>
        <v>0.95992985370069872</v>
      </c>
      <c r="G61" s="680">
        <f>TableA2!L61</f>
        <v>6.9944164581853387</v>
      </c>
      <c r="H61" s="9">
        <f>D61/TableA2!C61</f>
        <v>0</v>
      </c>
      <c r="I61" s="9">
        <f>TableA6!D61/TableA2!C61</f>
        <v>0.19242660335646011</v>
      </c>
      <c r="J61" s="9">
        <f>TableA6!I61/TableA2!$C61</f>
        <v>0.52273449757673773</v>
      </c>
      <c r="K61" s="9">
        <f>TableA6!J61/TableA2!$C61</f>
        <v>5.8907579015650278</v>
      </c>
      <c r="L61" s="296">
        <f>(C61+E61)/TableA2!C61</f>
        <v>7.1868430615417989</v>
      </c>
      <c r="M61" s="9">
        <f>C61/TableA4!D61</f>
        <v>17.247163021589252</v>
      </c>
      <c r="N61" s="396">
        <f>TableA10!D$63/TableA10!C$63</f>
        <v>14.031458531935176</v>
      </c>
      <c r="O61" s="698">
        <f t="shared" si="9"/>
        <v>0.47996308817683037</v>
      </c>
      <c r="P61" s="298">
        <f>C61-O61*TableA4!D61</f>
        <v>0.89802440091367575</v>
      </c>
      <c r="Q61" s="694">
        <v>-1.8547049554088986E-2</v>
      </c>
      <c r="T61" s="711">
        <f t="shared" si="2"/>
        <v>0</v>
      </c>
      <c r="U61" s="711">
        <f t="shared" si="3"/>
        <v>0</v>
      </c>
    </row>
    <row r="62" spans="1:22" x14ac:dyDescent="0.35">
      <c r="A62" s="264" t="s">
        <v>213</v>
      </c>
      <c r="B62" s="295">
        <f>TableA6!B62</f>
        <v>25.438024032487199</v>
      </c>
      <c r="C62" s="8">
        <f>TableA6!E62</f>
        <v>24.545618103452078</v>
      </c>
      <c r="D62" s="393">
        <v>0</v>
      </c>
      <c r="E62" s="8">
        <f>TableA6!K62</f>
        <v>0.89240592903512039</v>
      </c>
      <c r="F62" s="701">
        <f t="shared" si="8"/>
        <v>0.96491842574346898</v>
      </c>
      <c r="G62" s="680">
        <f>TableA2!L62</f>
        <v>0.57155258740431214</v>
      </c>
      <c r="H62" s="9">
        <f>D62/TableA2!C62</f>
        <v>0</v>
      </c>
      <c r="I62" s="9">
        <f>TableA6!D62/TableA2!C62</f>
        <v>7.6372538589736259</v>
      </c>
      <c r="J62" s="9">
        <f>TableA6!I62/TableA2!$C62</f>
        <v>1.6319218643375801</v>
      </c>
      <c r="K62" s="9">
        <f>TableA6!J62/TableA2!$C62</f>
        <v>1.3040578882868976</v>
      </c>
      <c r="L62" s="296">
        <f>(C62+E62)/TableA2!C62</f>
        <v>8.2088064463779382</v>
      </c>
      <c r="M62" s="9">
        <f>C62/TableA4!D62</f>
        <v>19.802071483679597</v>
      </c>
      <c r="N62" s="9">
        <f>VLOOKUP(A62,TableA10!$A$8:$G$95,4,)/VLOOKUP(A62,TableA10!$A$8:$G$95,3,)</f>
        <v>1.3093313739897134</v>
      </c>
      <c r="O62" s="698">
        <f t="shared" si="9"/>
        <v>0.47996308817683037</v>
      </c>
      <c r="P62" s="298">
        <f>C62-O62*TableA4!D62</f>
        <v>23.950680817428665</v>
      </c>
      <c r="Q62" s="694">
        <v>64.707001886643411</v>
      </c>
      <c r="T62" s="711">
        <f t="shared" si="2"/>
        <v>0</v>
      </c>
      <c r="U62" s="711">
        <f t="shared" si="3"/>
        <v>0</v>
      </c>
    </row>
    <row r="63" spans="1:22" x14ac:dyDescent="0.35">
      <c r="A63" s="264" t="s">
        <v>278</v>
      </c>
      <c r="B63" s="295">
        <f>TableA6!B63</f>
        <v>0.17335876526209473</v>
      </c>
      <c r="C63" s="8">
        <f>TableA6!E63</f>
        <v>0.1524905077468249</v>
      </c>
      <c r="D63" s="393">
        <v>0</v>
      </c>
      <c r="E63" s="8">
        <f>TableA6!K63</f>
        <v>2.0868257515269825E-2</v>
      </c>
      <c r="F63" s="701">
        <f t="shared" si="8"/>
        <v>0.87962386854959496</v>
      </c>
      <c r="G63" s="680">
        <f>TableA2!L63</f>
        <v>2.3923168940243364</v>
      </c>
      <c r="H63" s="9">
        <f>D63/TableA2!C63</f>
        <v>0</v>
      </c>
      <c r="I63" s="9">
        <f>TableA6!D63/TableA2!C63</f>
        <v>0</v>
      </c>
      <c r="J63" s="9">
        <f>TableA6!I63/TableA2!$C63</f>
        <v>0</v>
      </c>
      <c r="K63" s="9">
        <f>TableA6!J63/TableA2!$C63</f>
        <v>2.2408844651324529</v>
      </c>
      <c r="L63" s="296">
        <f>(C63+E63)/TableA2!C63</f>
        <v>2.3923168940243364</v>
      </c>
      <c r="M63" s="9">
        <f>C63/TableA4!D63</f>
        <v>5.2608476027955957</v>
      </c>
      <c r="N63" s="9">
        <f>TableA10!D$63/TableA10!C$63</f>
        <v>14.031458531935176</v>
      </c>
      <c r="O63" s="698">
        <f t="shared" si="9"/>
        <v>0.47996308817683037</v>
      </c>
      <c r="P63" s="298">
        <f>C63-O63*TableA4!D63</f>
        <v>0.13857833606997835</v>
      </c>
      <c r="Q63" s="694"/>
      <c r="T63" s="711">
        <f t="shared" si="2"/>
        <v>0</v>
      </c>
      <c r="U63" s="711">
        <f t="shared" si="3"/>
        <v>0</v>
      </c>
    </row>
    <row r="64" spans="1:22" x14ac:dyDescent="0.35">
      <c r="A64" s="264" t="s">
        <v>279</v>
      </c>
      <c r="B64" s="295">
        <f>TableA6!B64</f>
        <v>29.125071697810739</v>
      </c>
      <c r="C64" s="8">
        <f>TableA6!E64</f>
        <v>29.078139371166927</v>
      </c>
      <c r="D64" s="393">
        <v>0</v>
      </c>
      <c r="E64" s="8">
        <f>TableA6!K64</f>
        <v>4.6932326643812639E-2</v>
      </c>
      <c r="F64" s="701">
        <f t="shared" si="8"/>
        <v>0.99838859360997423</v>
      </c>
      <c r="G64" s="680">
        <f>TableA2!L64</f>
        <v>2.3923257034784351</v>
      </c>
      <c r="H64" s="9">
        <f>D64/TableA2!C64</f>
        <v>0</v>
      </c>
      <c r="I64" s="9">
        <f>TableA6!D64/TableA2!C64</f>
        <v>176.31979477004302</v>
      </c>
      <c r="J64" s="9">
        <f>TableA6!I64/TableA2!$C64</f>
        <v>0</v>
      </c>
      <c r="K64" s="9">
        <f>TableA6!J64/TableA2!$C64</f>
        <v>203.02408818842605</v>
      </c>
      <c r="L64" s="296">
        <f>(C64+E64)/TableA2!C64</f>
        <v>178.71212047352145</v>
      </c>
      <c r="M64" s="9">
        <f>C64/TableA4!D64</f>
        <v>446.06035655153835</v>
      </c>
      <c r="N64" s="9">
        <f>TableA10!D$62/TableA10!C$62</f>
        <v>8.901215805471125</v>
      </c>
      <c r="O64" s="698">
        <f t="shared" si="9"/>
        <v>0.47996308817683037</v>
      </c>
      <c r="P64" s="298">
        <f>C64-O64*TableA4!D64</f>
        <v>29.046851153404386</v>
      </c>
      <c r="Q64" s="694">
        <v>26.831251057190428</v>
      </c>
      <c r="T64" s="711">
        <f t="shared" si="2"/>
        <v>0</v>
      </c>
      <c r="U64" s="711">
        <f t="shared" si="3"/>
        <v>-2.2204460492503131E-16</v>
      </c>
    </row>
    <row r="65" spans="1:21" x14ac:dyDescent="0.35">
      <c r="A65" s="282" t="s">
        <v>291</v>
      </c>
      <c r="B65" s="295">
        <f>TableA6!B65</f>
        <v>22.920824144129366</v>
      </c>
      <c r="C65" s="8">
        <f>TableA6!E65</f>
        <v>22.512935193051696</v>
      </c>
      <c r="D65" s="689">
        <v>0</v>
      </c>
      <c r="E65" s="8">
        <f>TableA6!K65</f>
        <v>0.40788895107766843</v>
      </c>
      <c r="F65" s="701">
        <f t="shared" si="8"/>
        <v>0.98220443782855249</v>
      </c>
      <c r="G65" s="680">
        <f>TableA2!L65</f>
        <v>0.75160134279400448</v>
      </c>
      <c r="H65" s="9">
        <f>D65/TableA2!C65</f>
        <v>0</v>
      </c>
      <c r="I65" s="9">
        <f>TableA6!D65/TableA2!C65</f>
        <v>15.430964295292515</v>
      </c>
      <c r="J65" s="9">
        <f>TableA6!I65/TableA2!$C65</f>
        <v>2.876389513296298</v>
      </c>
      <c r="K65" s="9">
        <f>TableA6!J65/TableA2!$C65</f>
        <v>1.6922088373792077</v>
      </c>
      <c r="L65" s="296">
        <f>(C65+E65)/TableA2!C65</f>
        <v>16.182565638086519</v>
      </c>
      <c r="M65" s="9">
        <f>C65/TableA4!D65</f>
        <v>39.73646946295105</v>
      </c>
      <c r="N65" s="9">
        <f>TableA10!D$62/TableA10!C$62</f>
        <v>8.901215805471125</v>
      </c>
      <c r="O65" s="698">
        <f t="shared" si="9"/>
        <v>0.47996308817683037</v>
      </c>
      <c r="P65" s="298">
        <f>C65-O65*TableA4!D65</f>
        <v>22.241009225666584</v>
      </c>
      <c r="Q65" s="694">
        <v>54.346532662599117</v>
      </c>
      <c r="R65" s="376"/>
      <c r="T65" s="711">
        <f t="shared" si="2"/>
        <v>0</v>
      </c>
      <c r="U65" s="711">
        <f t="shared" si="3"/>
        <v>1.3322676295501878E-15</v>
      </c>
    </row>
    <row r="66" spans="1:21" x14ac:dyDescent="0.35">
      <c r="A66" s="264" t="s">
        <v>280</v>
      </c>
      <c r="B66" s="295">
        <f>TableA6!B66</f>
        <v>11.68734919710977</v>
      </c>
      <c r="C66" s="8">
        <f>TableA6!E66</f>
        <v>11.296185999728888</v>
      </c>
      <c r="D66" s="393">
        <v>0</v>
      </c>
      <c r="E66" s="8">
        <f>TableA6!K66</f>
        <v>0.39116319738088223</v>
      </c>
      <c r="F66" s="701">
        <f t="shared" si="8"/>
        <v>0.96653105928608563</v>
      </c>
      <c r="G66" s="680">
        <f>TableA2!L66</f>
        <v>0.33575980655064125</v>
      </c>
      <c r="H66" s="9">
        <f>D66/TableA2!C66</f>
        <v>0</v>
      </c>
      <c r="I66" s="9">
        <f>TableA6!D66/TableA2!C66</f>
        <v>8.2685714559076864</v>
      </c>
      <c r="J66" s="9">
        <f>TableA6!I66/TableA2!$C66</f>
        <v>1.3268676411786671</v>
      </c>
      <c r="K66" s="9">
        <f>TableA6!J66/TableA2!$C66</f>
        <v>8.6936233491982904</v>
      </c>
      <c r="L66" s="296">
        <f>(C66+E66)/TableA2!C66</f>
        <v>8.6043312624583272</v>
      </c>
      <c r="M66" s="9">
        <f>C66/TableA4!D66</f>
        <v>20.79088352388057</v>
      </c>
      <c r="N66" s="9">
        <f>TableA10!D$63/TableA10!C$63</f>
        <v>14.031458531935176</v>
      </c>
      <c r="O66" s="698">
        <f t="shared" si="9"/>
        <v>0.47996308817683037</v>
      </c>
      <c r="P66" s="298">
        <f>C66-O66*TableA4!D66</f>
        <v>11.0354105348083</v>
      </c>
      <c r="Q66" s="694">
        <v>10.265996857440456</v>
      </c>
      <c r="T66" s="711">
        <f t="shared" si="2"/>
        <v>0</v>
      </c>
      <c r="U66" s="711">
        <f t="shared" si="3"/>
        <v>0</v>
      </c>
    </row>
    <row r="67" spans="1:21" x14ac:dyDescent="0.35">
      <c r="A67" s="289" t="str">
        <f>+TableA1!A67</f>
        <v>Cyprus</v>
      </c>
      <c r="B67" s="295">
        <f>TableA6!B67</f>
        <v>6.8820083274691735</v>
      </c>
      <c r="C67" s="8">
        <f>TableA6!E67</f>
        <v>5.2850761004134004</v>
      </c>
      <c r="D67" s="393">
        <v>0</v>
      </c>
      <c r="E67" s="8">
        <f>TableA6!K67</f>
        <v>1.5969322270557735</v>
      </c>
      <c r="F67" s="701">
        <f t="shared" si="8"/>
        <v>0.76795549335770164</v>
      </c>
      <c r="G67" s="680">
        <f>TableA2!L67</f>
        <v>0.56340199771699795</v>
      </c>
      <c r="H67" s="9">
        <f>D67/TableA2!C67</f>
        <v>0</v>
      </c>
      <c r="I67" s="9">
        <f>TableA6!D67/TableA2!C67</f>
        <v>0.67764377006763776</v>
      </c>
      <c r="J67" s="9">
        <f>TableA6!I67/TableA2!$C67</f>
        <v>1.0088176835559211E-2</v>
      </c>
      <c r="K67" s="9">
        <f>TableA6!J67/TableA2!$C67</f>
        <v>0.28675503536078822</v>
      </c>
      <c r="L67" s="296">
        <f>(C67+E67)/TableA2!C67</f>
        <v>1.2410457677846358</v>
      </c>
      <c r="M67" s="9">
        <f>C67/TableA4!D67</f>
        <v>2.3826697871963436</v>
      </c>
      <c r="N67" s="9">
        <f>TableA10!D$63/TableA10!C$63</f>
        <v>14.031458531935176</v>
      </c>
      <c r="O67" s="698">
        <f t="shared" si="9"/>
        <v>0.47996308817683037</v>
      </c>
      <c r="P67" s="298">
        <f>C67-O67*TableA4!D67</f>
        <v>4.220454615709551</v>
      </c>
      <c r="Q67" s="694"/>
      <c r="T67" s="711">
        <f t="shared" si="2"/>
        <v>1.1102230246251565E-16</v>
      </c>
      <c r="U67" s="711">
        <f t="shared" si="3"/>
        <v>0</v>
      </c>
    </row>
    <row r="68" spans="1:21" x14ac:dyDescent="0.35">
      <c r="A68" s="264" t="s">
        <v>281</v>
      </c>
      <c r="B68" s="295">
        <f>TableA6!B68</f>
        <v>5.5192543961170966</v>
      </c>
      <c r="C68" s="8">
        <f>TableA6!E68</f>
        <v>5.1556449197022696</v>
      </c>
      <c r="D68" s="393">
        <v>0</v>
      </c>
      <c r="E68" s="8">
        <f>TableA6!K68</f>
        <v>0.36360947641482677</v>
      </c>
      <c r="F68" s="701">
        <f t="shared" si="8"/>
        <v>0.93411981939614286</v>
      </c>
      <c r="G68" s="680">
        <f>TableA2!L68</f>
        <v>2.3923102518718911</v>
      </c>
      <c r="H68" s="9">
        <f>D68/TableA2!C68</f>
        <v>0</v>
      </c>
      <c r="I68" s="9">
        <f>TableA6!D68/TableA2!C68</f>
        <v>1.978926290992683</v>
      </c>
      <c r="J68" s="9">
        <f>TableA6!I68/TableA2!$C68</f>
        <v>0</v>
      </c>
      <c r="K68" s="9">
        <f>TableA6!J68/TableA2!$C68</f>
        <v>2.3866849643048886</v>
      </c>
      <c r="L68" s="296">
        <f>(C68+E68)/TableA2!C68</f>
        <v>4.3712365428645743</v>
      </c>
      <c r="M68" s="9">
        <f>C68/TableA4!D68</f>
        <v>10.208146724896189</v>
      </c>
      <c r="N68" s="9">
        <f>TableA10!D$37/TableA10!C$37</f>
        <v>1.5591216216216208</v>
      </c>
      <c r="O68" s="698">
        <f t="shared" si="9"/>
        <v>0.47996308817683037</v>
      </c>
      <c r="P68" s="298">
        <f>C68-O68*TableA4!D68</f>
        <v>4.9132386020923846</v>
      </c>
      <c r="Q68" s="694">
        <v>6.0919306056908296</v>
      </c>
      <c r="T68" s="711">
        <f t="shared" si="2"/>
        <v>2.2204460492503131E-16</v>
      </c>
      <c r="U68" s="711">
        <f t="shared" si="3"/>
        <v>0</v>
      </c>
    </row>
    <row r="69" spans="1:21" x14ac:dyDescent="0.35">
      <c r="A69" s="289" t="str">
        <f>+TableA1!A69</f>
        <v>Grenada</v>
      </c>
      <c r="B69" s="295">
        <f>TableA6!B69</f>
        <v>0.4015897418869116</v>
      </c>
      <c r="C69" s="8">
        <f>TableA6!E69</f>
        <v>0.38030614888924363</v>
      </c>
      <c r="D69" s="393">
        <v>0</v>
      </c>
      <c r="E69" s="8">
        <f>TableA6!K69</f>
        <v>2.1283592997667938E-2</v>
      </c>
      <c r="F69" s="701">
        <f t="shared" si="8"/>
        <v>0.94700165174124029</v>
      </c>
      <c r="G69" s="680">
        <f>TableA2!L69</f>
        <v>5.1857999974895419</v>
      </c>
      <c r="H69" s="9">
        <f>D69/TableA2!C69</f>
        <v>0</v>
      </c>
      <c r="I69" s="9">
        <f>TableA6!D69/TableA2!C69</f>
        <v>0.2479137382682656</v>
      </c>
      <c r="J69" s="9">
        <f>TableA6!I69/TableA2!$C69</f>
        <v>0</v>
      </c>
      <c r="K69" s="9">
        <f>TableA6!J69/TableA2!$C69</f>
        <v>4.929247734116557</v>
      </c>
      <c r="L69" s="296">
        <f>(C69+E69)/TableA2!C69</f>
        <v>5.4337137357578067</v>
      </c>
      <c r="M69" s="9">
        <f>C69/TableA4!D69</f>
        <v>12.864339707129272</v>
      </c>
      <c r="N69" s="9">
        <f>TableA10!D$37/TableA10!C$37</f>
        <v>1.5591216216216208</v>
      </c>
      <c r="O69" s="698">
        <f t="shared" si="9"/>
        <v>0.47996308817683037</v>
      </c>
      <c r="P69" s="298">
        <f>C69-O69*TableA4!D69</f>
        <v>0.36611708689079836</v>
      </c>
      <c r="Q69" s="694">
        <v>1.5644565335773208E-4</v>
      </c>
      <c r="T69" s="711">
        <f t="shared" si="2"/>
        <v>-8.0491169285323849E-16</v>
      </c>
      <c r="U69" s="711">
        <f t="shared" si="3"/>
        <v>2.7755575615628914E-17</v>
      </c>
    </row>
    <row r="70" spans="1:21" x14ac:dyDescent="0.35">
      <c r="A70" s="264" t="s">
        <v>282</v>
      </c>
      <c r="B70" s="295">
        <f>TableA6!B70</f>
        <v>2.0311467085553057</v>
      </c>
      <c r="C70" s="8">
        <f>TableA6!E70</f>
        <v>1.7866451600802939</v>
      </c>
      <c r="D70" s="393">
        <v>0</v>
      </c>
      <c r="E70" s="8">
        <f>TableA6!K70</f>
        <v>0.24450154847501168</v>
      </c>
      <c r="F70" s="701">
        <f t="shared" si="8"/>
        <v>0.87962388563802052</v>
      </c>
      <c r="G70" s="680">
        <f>TableA2!L70</f>
        <v>2.3923172336343113</v>
      </c>
      <c r="H70" s="9">
        <f>D70/TableA2!C70</f>
        <v>0</v>
      </c>
      <c r="I70" s="9">
        <f>TableA6!D70/TableA2!C70</f>
        <v>0</v>
      </c>
      <c r="J70" s="9">
        <f>TableA6!I70/TableA2!$C70</f>
        <v>0</v>
      </c>
      <c r="K70" s="9">
        <f>TableA6!J70/TableA2!$C70</f>
        <v>4.416005410082767</v>
      </c>
      <c r="L70" s="296">
        <f>(C70+E70)/TableA2!C70</f>
        <v>2.3923172336343113</v>
      </c>
      <c r="M70" s="9">
        <f>C70/TableA4!D70</f>
        <v>5.2608484518205323</v>
      </c>
      <c r="N70" s="9">
        <f>TableA10!D$37/TableA10!C$37</f>
        <v>1.5591216216216208</v>
      </c>
      <c r="O70" s="698">
        <f t="shared" si="9"/>
        <v>0.47996308817683037</v>
      </c>
      <c r="P70" s="298">
        <f>C70-O70*TableA4!D70</f>
        <v>1.6236441277636195</v>
      </c>
      <c r="Q70" s="694">
        <v>2.1409007013652608</v>
      </c>
      <c r="T70" s="711">
        <f t="shared" si="2"/>
        <v>0</v>
      </c>
      <c r="U70" s="711">
        <f t="shared" si="3"/>
        <v>0</v>
      </c>
    </row>
    <row r="71" spans="1:21" x14ac:dyDescent="0.35">
      <c r="A71" s="289" t="s">
        <v>295</v>
      </c>
      <c r="B71" s="295">
        <f>TableA6!B71</f>
        <v>1.0873325907085956</v>
      </c>
      <c r="C71" s="8">
        <f>TableA6!E71</f>
        <v>0.95644320082853906</v>
      </c>
      <c r="D71" s="393">
        <v>0</v>
      </c>
      <c r="E71" s="8">
        <f>TableA6!K71</f>
        <v>0.13088938988005652</v>
      </c>
      <c r="F71" s="701">
        <f t="shared" si="8"/>
        <v>0.87962340961861707</v>
      </c>
      <c r="G71" s="680">
        <f>TableA2!L71</f>
        <v>2.3923077734110332</v>
      </c>
      <c r="H71" s="9">
        <f>D71/TableA2!C71</f>
        <v>0</v>
      </c>
      <c r="I71" s="9">
        <f>TableA6!D71/TableA2!C71</f>
        <v>0</v>
      </c>
      <c r="J71" s="9">
        <f>TableA6!I71/TableA2!$C71</f>
        <v>4.2739569276131757</v>
      </c>
      <c r="K71" s="9">
        <f>TableA6!J71/TableA2!$C71</f>
        <v>4.2739569276131757</v>
      </c>
      <c r="L71" s="296">
        <f>(C71+E71)/TableA2!C71</f>
        <v>2.3923077734110332</v>
      </c>
      <c r="M71" s="9">
        <f>C71/TableA4!D71</f>
        <v>5.2608248012623369</v>
      </c>
      <c r="N71" s="9">
        <f>TableA10!D$37/TableA10!C$37</f>
        <v>1.5591216216216208</v>
      </c>
      <c r="O71" s="698">
        <f t="shared" si="9"/>
        <v>0.47996308817683037</v>
      </c>
      <c r="P71" s="298">
        <f>C71-O71*TableA4!D71</f>
        <v>0.86918360757516799</v>
      </c>
      <c r="Q71" s="694">
        <v>2.9267442283957052</v>
      </c>
      <c r="T71" s="711">
        <f t="shared" si="2"/>
        <v>0</v>
      </c>
      <c r="U71" s="711">
        <f t="shared" si="3"/>
        <v>0</v>
      </c>
    </row>
    <row r="72" spans="1:21" x14ac:dyDescent="0.35">
      <c r="A72" s="264" t="s">
        <v>220</v>
      </c>
      <c r="B72" s="295">
        <f>TableA6!B72</f>
        <v>95.223967679643692</v>
      </c>
      <c r="C72" s="8">
        <f>TableA6!E72</f>
        <v>50.356172185286226</v>
      </c>
      <c r="D72" s="266">
        <v>0</v>
      </c>
      <c r="E72" s="8">
        <f>TableA6!K72</f>
        <v>44.867795494357466</v>
      </c>
      <c r="F72" s="701">
        <f t="shared" si="8"/>
        <v>0.52881825250861725</v>
      </c>
      <c r="G72" s="680">
        <f>TableA2!L72</f>
        <v>0.63150559253260896</v>
      </c>
      <c r="H72" s="9">
        <f>D72/TableA2!C72</f>
        <v>0</v>
      </c>
      <c r="I72" s="9">
        <f>TableA6!D72/TableA2!C72</f>
        <v>0.18189477545245697</v>
      </c>
      <c r="J72" s="9">
        <f>TableA6!I72/TableA2!$C72</f>
        <v>0</v>
      </c>
      <c r="K72" s="9">
        <f>TableA6!J72/TableA2!$C72</f>
        <v>0.26079690122761051</v>
      </c>
      <c r="L72" s="296">
        <f>(C72+E72)/TableA2!C72</f>
        <v>0.81340036798506599</v>
      </c>
      <c r="M72" s="9">
        <f>C72/TableA4!D72</f>
        <v>2.1348906384735855</v>
      </c>
      <c r="N72" s="9">
        <f>VLOOKUP(A72,TableA10!$A$8:$G$95,4,)/VLOOKUP(A72,TableA10!$A$8:$G$95,3,)</f>
        <v>0.84049435164622965</v>
      </c>
      <c r="O72" s="698">
        <f t="shared" si="9"/>
        <v>0.47996308817683037</v>
      </c>
      <c r="P72" s="298">
        <f>C72-O72*TableA4!D72</f>
        <v>39.035168909870336</v>
      </c>
      <c r="Q72" s="694">
        <v>45.913366784824078</v>
      </c>
      <c r="T72" s="711">
        <f t="shared" si="2"/>
        <v>5.5511151231257827E-17</v>
      </c>
      <c r="U72" s="711">
        <f t="shared" si="3"/>
        <v>0</v>
      </c>
    </row>
    <row r="73" spans="1:21" x14ac:dyDescent="0.35">
      <c r="A73" s="264" t="s">
        <v>284</v>
      </c>
      <c r="B73" s="295">
        <f>TableA6!B73</f>
        <v>3.6449297805671903</v>
      </c>
      <c r="C73" s="8">
        <f>TableA6!E73</f>
        <v>3.2907256608282767</v>
      </c>
      <c r="D73" s="393">
        <v>0</v>
      </c>
      <c r="E73" s="8">
        <f>TableA6!K73</f>
        <v>0.35420411973891358</v>
      </c>
      <c r="F73" s="701">
        <f t="shared" si="8"/>
        <v>0.90282278642860558</v>
      </c>
      <c r="G73" s="680">
        <f>TableA2!L73</f>
        <v>2.3923324900643919</v>
      </c>
      <c r="H73" s="9">
        <f>D73/TableA2!C73</f>
        <v>0</v>
      </c>
      <c r="I73" s="9">
        <f>TableA6!D73/TableA2!C73</f>
        <v>0.57109733388837935</v>
      </c>
      <c r="J73" s="9">
        <f>TableA6!I73/TableA2!$C73</f>
        <v>0</v>
      </c>
      <c r="K73" s="9">
        <f>TableA6!J73/TableA2!$C73</f>
        <v>2.2040664276187067</v>
      </c>
      <c r="L73" s="296">
        <f>(C73+E73)/TableA2!C73</f>
        <v>2.9634298239527714</v>
      </c>
      <c r="M73" s="9">
        <f>C73/TableA4!D73</f>
        <v>6.6886299276166827</v>
      </c>
      <c r="N73" s="9">
        <f>TableA10!D$37/TableA10!C$37</f>
        <v>1.5591216216216208</v>
      </c>
      <c r="O73" s="698">
        <f t="shared" si="9"/>
        <v>0.47996308817683037</v>
      </c>
      <c r="P73" s="298">
        <f>C73-O73*TableA4!D73</f>
        <v>3.0545895810023342</v>
      </c>
      <c r="Q73" s="694">
        <v>1.8502867557709928</v>
      </c>
      <c r="T73" s="711">
        <f t="shared" si="2"/>
        <v>2.2204460492503131E-16</v>
      </c>
      <c r="U73" s="711">
        <f t="shared" si="3"/>
        <v>0</v>
      </c>
    </row>
    <row r="74" spans="1:21" x14ac:dyDescent="0.35">
      <c r="A74" s="264" t="s">
        <v>285</v>
      </c>
      <c r="B74" s="295">
        <f>TableA6!B74</f>
        <v>15.231019080376919</v>
      </c>
      <c r="C74" s="8">
        <f>TableA6!E74</f>
        <v>10.848362353703763</v>
      </c>
      <c r="D74" s="393">
        <v>0</v>
      </c>
      <c r="E74" s="8">
        <f>TableA6!K74</f>
        <v>4.3826567266731562</v>
      </c>
      <c r="F74" s="701">
        <f t="shared" si="8"/>
        <v>0.71225453112854353</v>
      </c>
      <c r="G74" s="680">
        <f>TableA2!L74</f>
        <v>0.9963546335773581</v>
      </c>
      <c r="H74" s="9">
        <f>D74/TableA2!C74</f>
        <v>0</v>
      </c>
      <c r="I74" s="9">
        <f>TableA6!D74/TableA2!C74</f>
        <v>4.4529691819596828E-3</v>
      </c>
      <c r="J74" s="9">
        <f>TableA6!I74/TableA2!$C74</f>
        <v>0</v>
      </c>
      <c r="K74" s="9">
        <f>TableA6!J74/TableA2!$C74</f>
        <v>0.71639470578797615</v>
      </c>
      <c r="L74" s="296">
        <f>(C74+E74)/TableA2!C74</f>
        <v>1.0008076027593178</v>
      </c>
      <c r="M74" s="9">
        <f>C74/TableA4!D74</f>
        <v>1.7820743746330485</v>
      </c>
      <c r="N74" s="9">
        <f>TableA10!$D75/TableA10!$C75</f>
        <v>2.6792645556690502</v>
      </c>
      <c r="O74" s="698">
        <f t="shared" si="9"/>
        <v>0.47996308817683037</v>
      </c>
      <c r="P74" s="298">
        <f>C74-O74*TableA4!D74</f>
        <v>7.9265912025883249</v>
      </c>
      <c r="Q74" s="694">
        <v>-0.18174921279884765</v>
      </c>
      <c r="T74" s="711">
        <f t="shared" ref="T74:T91" si="10">L74-G74-I74+H74</f>
        <v>1.5612511283791264E-17</v>
      </c>
      <c r="U74" s="711">
        <f t="shared" ref="U74:U91" si="11">B74-C74-D74-E74</f>
        <v>0</v>
      </c>
    </row>
    <row r="75" spans="1:21" x14ac:dyDescent="0.35">
      <c r="A75" s="264" t="s">
        <v>286</v>
      </c>
      <c r="B75" s="295">
        <f>TableA6!B75</f>
        <v>1.3847476300640333</v>
      </c>
      <c r="C75" s="8">
        <f>TableA6!E75</f>
        <v>0.54431306414287628</v>
      </c>
      <c r="D75" s="393">
        <v>0</v>
      </c>
      <c r="E75" s="8">
        <f>TableA6!K75</f>
        <v>0.84043456592115706</v>
      </c>
      <c r="F75" s="701">
        <f t="shared" si="8"/>
        <v>0.3930774477062699</v>
      </c>
      <c r="G75" s="680">
        <f>TableA2!L75</f>
        <v>0.47448863420505527</v>
      </c>
      <c r="H75" s="9">
        <f>D75/TableA2!C75</f>
        <v>0</v>
      </c>
      <c r="I75" s="9">
        <f>TableA6!D75/TableA2!C75</f>
        <v>0</v>
      </c>
      <c r="J75" s="9">
        <f>TableA6!I75/TableA2!$C75</f>
        <v>0.41564747945609143</v>
      </c>
      <c r="K75" s="9">
        <f>TableA6!J75/TableA2!$C75</f>
        <v>0.41564747945609143</v>
      </c>
      <c r="L75" s="296">
        <f>(C75+E75)/TableA2!C75</f>
        <v>0.47448863420505527</v>
      </c>
      <c r="M75" s="9">
        <f>C75/TableA4!D75</f>
        <v>0.4662769532473926</v>
      </c>
      <c r="N75" s="9">
        <f>TableA10!D$37/TableA10!C$37</f>
        <v>1.5591216216216208</v>
      </c>
      <c r="O75" s="698">
        <f t="shared" si="9"/>
        <v>0.47996308817683037</v>
      </c>
      <c r="P75" s="298">
        <f>C75-O75*TableA4!D75</f>
        <v>-1.5976646471228539E-2</v>
      </c>
      <c r="Q75" s="694">
        <v>-0.68212553462794911</v>
      </c>
      <c r="T75" s="711">
        <f t="shared" si="10"/>
        <v>0</v>
      </c>
      <c r="U75" s="711">
        <f t="shared" si="11"/>
        <v>0</v>
      </c>
    </row>
    <row r="76" spans="1:21" x14ac:dyDescent="0.35">
      <c r="A76" s="264" t="s">
        <v>287</v>
      </c>
      <c r="B76" s="295">
        <f>TableA6!B76</f>
        <v>13.856227663292829</v>
      </c>
      <c r="C76" s="8">
        <f>TableA6!E76</f>
        <v>10.807557501271878</v>
      </c>
      <c r="D76" s="393">
        <v>0</v>
      </c>
      <c r="E76" s="8">
        <f>TableA6!K76</f>
        <v>3.0486701620209504</v>
      </c>
      <c r="F76" s="701">
        <f t="shared" si="8"/>
        <v>0.77997834359366636</v>
      </c>
      <c r="G76" s="680">
        <f>TableA2!L76</f>
        <v>1.2806878724255955</v>
      </c>
      <c r="H76" s="9">
        <f>D76/TableA2!C76</f>
        <v>0</v>
      </c>
      <c r="I76" s="9">
        <f>TableA6!D76/TableA2!C76</f>
        <v>9.0862784167046753E-2</v>
      </c>
      <c r="J76" s="9">
        <f>TableA6!I76/TableA2!$C76</f>
        <v>0</v>
      </c>
      <c r="K76" s="9">
        <f>TableA6!J76/TableA2!$C76</f>
        <v>0.40789704226304274</v>
      </c>
      <c r="L76" s="296">
        <f>(C76+E76)/TableA2!C76</f>
        <v>1.3715506565926423</v>
      </c>
      <c r="M76" s="9">
        <f>C76/TableA4!D76</f>
        <v>2.8814656487379704</v>
      </c>
      <c r="N76" s="9">
        <f>TableA10!D$91/TableA10!C$91</f>
        <v>1.7827897293546149</v>
      </c>
      <c r="O76" s="698">
        <f t="shared" si="9"/>
        <v>0.47996308817683037</v>
      </c>
      <c r="P76" s="298">
        <f>C76-O76*TableA4!D76</f>
        <v>9.0073525686775824</v>
      </c>
      <c r="Q76" s="694"/>
      <c r="T76" s="711">
        <f t="shared" si="10"/>
        <v>9.7144514654701197E-17</v>
      </c>
      <c r="U76" s="711">
        <f t="shared" si="11"/>
        <v>0</v>
      </c>
    </row>
    <row r="77" spans="1:21" s="118" customFormat="1" x14ac:dyDescent="0.35">
      <c r="A77" s="458" t="s">
        <v>301</v>
      </c>
      <c r="B77" s="295">
        <f>TableA6!B77</f>
        <v>13.646495114506827</v>
      </c>
      <c r="C77" s="8">
        <f>TableA6!E77</f>
        <v>12.855054220700584</v>
      </c>
      <c r="D77" s="328">
        <v>0</v>
      </c>
      <c r="E77" s="8">
        <f>TableA6!K77</f>
        <v>0.79144089380624261</v>
      </c>
      <c r="F77" s="702">
        <f t="shared" si="8"/>
        <v>0.94200409063533785</v>
      </c>
      <c r="G77" s="680">
        <f>TableA2!L77</f>
        <v>0.84886667394397175</v>
      </c>
      <c r="H77" s="119">
        <f>D77/TableA2!C77</f>
        <v>0</v>
      </c>
      <c r="I77" s="9">
        <f>TableA6!D77/TableA2!C77</f>
        <v>4.1166189277279255</v>
      </c>
      <c r="J77" s="119">
        <f>TableA6!I77/TableA2!$C77</f>
        <v>0.10949868880580196</v>
      </c>
      <c r="K77" s="119">
        <f>TableA6!J77/TableA2!$C77</f>
        <v>4.568009059959997</v>
      </c>
      <c r="L77" s="296">
        <f>(C77+E77)/TableA2!C77</f>
        <v>4.9654856016718973</v>
      </c>
      <c r="M77" s="9">
        <f>C77/TableA4!D77</f>
        <v>11.693769371914497</v>
      </c>
      <c r="N77" s="119">
        <f>TableA10!D$91/TableA10!C$91</f>
        <v>1.7827897293546149</v>
      </c>
      <c r="O77" s="698">
        <f t="shared" si="9"/>
        <v>0.47996308817683037</v>
      </c>
      <c r="P77" s="298">
        <f>C77-O77*TableA4!D77</f>
        <v>12.327426958163089</v>
      </c>
      <c r="Q77" s="695"/>
      <c r="T77" s="711">
        <f t="shared" si="10"/>
        <v>0</v>
      </c>
      <c r="U77" s="711">
        <f t="shared" si="11"/>
        <v>0</v>
      </c>
    </row>
    <row r="78" spans="1:21" x14ac:dyDescent="0.35">
      <c r="A78" s="289" t="s">
        <v>302</v>
      </c>
      <c r="B78" s="295">
        <f>TableA6!B78</f>
        <v>3.4329997064598869E-2</v>
      </c>
      <c r="C78" s="8">
        <f>TableA6!E78</f>
        <v>1.0287836568069537E-2</v>
      </c>
      <c r="D78" s="393">
        <v>0</v>
      </c>
      <c r="E78" s="8">
        <f>TableA6!K78</f>
        <v>2.4042160496529331E-2</v>
      </c>
      <c r="F78" s="702">
        <f t="shared" si="8"/>
        <v>0.29967484555011414</v>
      </c>
      <c r="G78" s="680">
        <f>TableA2!L78</f>
        <v>0.41120592495682723</v>
      </c>
      <c r="H78" s="9">
        <f>D78/TableA2!C78</f>
        <v>0</v>
      </c>
      <c r="I78" s="9">
        <f>TableA6!D78/TableA2!C78</f>
        <v>0</v>
      </c>
      <c r="J78" s="9">
        <f>TableA6!I78/TableA2!$C78</f>
        <v>5.773884167235698</v>
      </c>
      <c r="K78" s="9">
        <f>TableA6!J78/TableA2!$C78</f>
        <v>-2.2838462712650887</v>
      </c>
      <c r="L78" s="296">
        <f>(C78+E78)/TableA2!C78</f>
        <v>0.41120592495682723</v>
      </c>
      <c r="M78" s="9">
        <f>C78/TableA4!D78</f>
        <v>0.30807018012682247</v>
      </c>
      <c r="N78" s="9">
        <f>TableA10!D$91/TableA10!C$91</f>
        <v>1.7827897293546149</v>
      </c>
      <c r="O78" s="698">
        <f t="shared" si="9"/>
        <v>0.47996308817683037</v>
      </c>
      <c r="P78" s="298">
        <f>C78-O78*TableA4!D78</f>
        <v>-5.7402704296166882E-3</v>
      </c>
      <c r="Q78" s="694"/>
      <c r="T78" s="711">
        <f t="shared" si="10"/>
        <v>0</v>
      </c>
      <c r="U78" s="711">
        <f t="shared" si="11"/>
        <v>0</v>
      </c>
    </row>
    <row r="79" spans="1:21" x14ac:dyDescent="0.35">
      <c r="A79" s="289" t="str">
        <f>+TableA1!A79</f>
        <v>Monaco</v>
      </c>
      <c r="B79" s="295">
        <f>TableA6!B79</f>
        <v>2.4865786089930788</v>
      </c>
      <c r="C79" s="8">
        <f>TableA6!E79</f>
        <v>2.1872544286824804</v>
      </c>
      <c r="D79" s="393">
        <v>0</v>
      </c>
      <c r="E79" s="8">
        <f>TableA6!K79</f>
        <v>0.29932418031059849</v>
      </c>
      <c r="F79" s="701">
        <f t="shared" si="8"/>
        <v>0.87962408297568062</v>
      </c>
      <c r="G79" s="680">
        <f>TableA2!L79</f>
        <v>2.3923211554676529</v>
      </c>
      <c r="H79" s="9">
        <f>D79/TableA2!C79</f>
        <v>0</v>
      </c>
      <c r="I79" s="9">
        <f>TableA6!D79/TableA2!C79</f>
        <v>0</v>
      </c>
      <c r="J79" s="9">
        <f>TableA6!I79/TableA2!$C79</f>
        <v>0</v>
      </c>
      <c r="K79" s="9">
        <f>TableA6!J79/TableA2!$C79</f>
        <v>0</v>
      </c>
      <c r="L79" s="296">
        <f>(C79+E79)/TableA2!C79</f>
        <v>2.3923211554676529</v>
      </c>
      <c r="M79" s="9">
        <f>C79/TableA4!D79</f>
        <v>5.2608582564038873</v>
      </c>
      <c r="N79" s="9">
        <f>TableA10!D$91/TableA10!C$91</f>
        <v>1.7827897293546149</v>
      </c>
      <c r="O79" s="698">
        <f t="shared" si="9"/>
        <v>0.47996308817683037</v>
      </c>
      <c r="P79" s="298">
        <f>C79-O79*TableA4!D79</f>
        <v>1.9877049751420814</v>
      </c>
      <c r="Q79" s="694"/>
      <c r="T79" s="711">
        <f t="shared" si="10"/>
        <v>0</v>
      </c>
      <c r="U79" s="711">
        <f t="shared" si="11"/>
        <v>0</v>
      </c>
    </row>
    <row r="80" spans="1:21" x14ac:dyDescent="0.35">
      <c r="A80" s="264" t="s">
        <v>288</v>
      </c>
      <c r="B80" s="295">
        <f>TableA6!B80</f>
        <v>0.34823567512391918</v>
      </c>
      <c r="C80" s="8">
        <f>TableA6!E80</f>
        <v>0.30679422220146713</v>
      </c>
      <c r="D80" s="393">
        <v>0</v>
      </c>
      <c r="E80" s="8">
        <f>TableA6!K80</f>
        <v>4.1441452922452063E-2</v>
      </c>
      <c r="F80" s="701">
        <f t="shared" si="8"/>
        <v>0.88099595795949059</v>
      </c>
      <c r="G80" s="680">
        <f>TableA2!L80</f>
        <v>2.3923120916012683</v>
      </c>
      <c r="H80" s="9">
        <f>D80/TableA2!C80</f>
        <v>0</v>
      </c>
      <c r="I80" s="9">
        <f>TableA6!D80/TableA2!C80</f>
        <v>2.7587669518353539E-2</v>
      </c>
      <c r="J80" s="9">
        <f>TableA6!I80/TableA2!$C80</f>
        <v>0</v>
      </c>
      <c r="K80" s="9">
        <f>TableA6!J80/TableA2!$C80</f>
        <v>2.1061608509370675</v>
      </c>
      <c r="L80" s="296">
        <f>(C80+E80)/TableA2!C80</f>
        <v>2.4198997611196216</v>
      </c>
      <c r="M80" s="9">
        <f>C80/TableA4!D80</f>
        <v>5.3298047705338094</v>
      </c>
      <c r="N80" s="9">
        <f>TableA10!D$63/TableA10!C$63</f>
        <v>14.031458531935176</v>
      </c>
      <c r="O80" s="698">
        <f t="shared" si="9"/>
        <v>0.47996308817683037</v>
      </c>
      <c r="P80" s="298">
        <f>C80-O80*TableA4!D80</f>
        <v>0.27916658691983243</v>
      </c>
      <c r="Q80" s="694">
        <v>1.9198672965513267E-2</v>
      </c>
      <c r="T80" s="711">
        <f t="shared" si="10"/>
        <v>-3.0878077872387166E-16</v>
      </c>
      <c r="U80" s="711">
        <f t="shared" si="11"/>
        <v>0</v>
      </c>
    </row>
    <row r="81" spans="1:21" x14ac:dyDescent="0.35">
      <c r="A81" s="264" t="s">
        <v>289</v>
      </c>
      <c r="B81" s="295">
        <f>TableA6!B81</f>
        <v>7.4441225761320906</v>
      </c>
      <c r="C81" s="8">
        <f>TableA6!E81</f>
        <v>7.360135250471358</v>
      </c>
      <c r="D81" s="393">
        <v>0</v>
      </c>
      <c r="E81" s="8">
        <f>TableA6!K81</f>
        <v>8.3987325660732859E-2</v>
      </c>
      <c r="F81" s="701">
        <f t="shared" si="8"/>
        <v>0.98871763262872392</v>
      </c>
      <c r="G81" s="680">
        <f>TableA2!L81</f>
        <v>18.781767953473743</v>
      </c>
      <c r="H81" s="9">
        <f>D81/TableA2!C81</f>
        <v>0</v>
      </c>
      <c r="I81" s="9">
        <f>TableA6!D81/TableA2!C81</f>
        <v>1.7209382714135832</v>
      </c>
      <c r="J81" s="9">
        <f>TableA6!I81/TableA2!$C81</f>
        <v>0</v>
      </c>
      <c r="K81" s="9">
        <f>TableA6!J81/TableA2!$C81</f>
        <v>19.347816111710308</v>
      </c>
      <c r="L81" s="296">
        <f>(C81+E81)/TableA2!C81</f>
        <v>20.502706224887326</v>
      </c>
      <c r="M81" s="9">
        <f>C81/TableA4!D81</f>
        <v>39.130309305916256</v>
      </c>
      <c r="N81" s="9">
        <f>TableA10!D$91/TableA10!C$91</f>
        <v>1.7827897293546149</v>
      </c>
      <c r="O81" s="698">
        <f t="shared" si="9"/>
        <v>0.47996308817683037</v>
      </c>
      <c r="P81" s="298">
        <f>C81-O81*TableA4!D81</f>
        <v>7.2698575780768468</v>
      </c>
      <c r="Q81" s="694">
        <v>4.7879055505495174</v>
      </c>
      <c r="T81" s="711">
        <f t="shared" si="10"/>
        <v>2.2204460492503131E-16</v>
      </c>
      <c r="U81" s="711">
        <f t="shared" si="11"/>
        <v>-2.2204460492503131E-16</v>
      </c>
    </row>
    <row r="82" spans="1:21" x14ac:dyDescent="0.35">
      <c r="A82" s="289" t="str">
        <f>+TableA1!A82</f>
        <v>Seychelles</v>
      </c>
      <c r="B82" s="295">
        <f>TableA6!B82</f>
        <v>0.82419693736547761</v>
      </c>
      <c r="C82" s="8">
        <f>TableA6!E82</f>
        <v>0.80997916157337257</v>
      </c>
      <c r="D82" s="393">
        <v>0</v>
      </c>
      <c r="E82" s="8">
        <f>TableA6!K82</f>
        <v>1.4217775792105054E-2</v>
      </c>
      <c r="F82" s="701">
        <f t="shared" si="8"/>
        <v>0.98274954061640685</v>
      </c>
      <c r="G82" s="680">
        <f>TableA2!L82</f>
        <v>11.645447640290138</v>
      </c>
      <c r="H82" s="9">
        <f>D82/TableA2!C82</f>
        <v>0</v>
      </c>
      <c r="I82" s="9">
        <f>TableA6!D82/TableA2!C82</f>
        <v>0.1556292966812485</v>
      </c>
      <c r="J82" s="9">
        <f>TableA6!I82/TableA2!$C82</f>
        <v>0</v>
      </c>
      <c r="K82" s="9">
        <f>TableA6!J82/TableA2!$C82</f>
        <v>10.570874760866056</v>
      </c>
      <c r="L82" s="296">
        <f>(C82+E82)/TableA2!C82</f>
        <v>11.801076936971386</v>
      </c>
      <c r="M82" s="9">
        <f>C82/TableA4!D82</f>
        <v>20.139627543599083</v>
      </c>
      <c r="N82" s="9">
        <f>TableA10!D$91/TableA10!C$91</f>
        <v>1.7827897293546149</v>
      </c>
      <c r="O82" s="698">
        <f t="shared" si="9"/>
        <v>0.47996308817683037</v>
      </c>
      <c r="P82" s="298">
        <f>C82-O82*TableA4!D82</f>
        <v>0.79067591979762319</v>
      </c>
      <c r="Q82" s="694">
        <v>-0.22085464569207053</v>
      </c>
      <c r="T82" s="711">
        <f t="shared" si="10"/>
        <v>-6.9388939039072284E-16</v>
      </c>
      <c r="U82" s="711">
        <f t="shared" si="11"/>
        <v>-1.7347234759768071E-17</v>
      </c>
    </row>
    <row r="83" spans="1:21" x14ac:dyDescent="0.35">
      <c r="A83" s="264" t="s">
        <v>225</v>
      </c>
      <c r="B83" s="295">
        <f>TableA6!B83</f>
        <v>120.07387384516201</v>
      </c>
      <c r="C83" s="8">
        <f>TableA6!E83</f>
        <v>90.279312540155431</v>
      </c>
      <c r="D83" s="690">
        <f>D72</f>
        <v>0</v>
      </c>
      <c r="E83" s="8">
        <f>TableA6!K83</f>
        <v>29.794561305006578</v>
      </c>
      <c r="F83" s="702">
        <f t="shared" si="8"/>
        <v>0.75186474500333567</v>
      </c>
      <c r="G83" s="680">
        <f>TableA2!L83</f>
        <v>0.62387923338851881</v>
      </c>
      <c r="H83" s="9">
        <f>D83/TableA2!C83</f>
        <v>0</v>
      </c>
      <c r="I83" s="9">
        <f>TableA6!D83/TableA2!C83</f>
        <v>0.5366888322415323</v>
      </c>
      <c r="J83" s="9">
        <f>TableA6!I83/TableA2!$C83</f>
        <v>0.15643459965113188</v>
      </c>
      <c r="K83" s="9">
        <f>TableA6!J83/TableA2!$C83</f>
        <v>0.1945074374074523</v>
      </c>
      <c r="L83" s="296">
        <f>(C83+E83)/TableA2!C83</f>
        <v>1.1605680656300512</v>
      </c>
      <c r="M83" s="9">
        <f>C83/TableA4!D83</f>
        <v>2.1814755318098822</v>
      </c>
      <c r="N83" s="9">
        <f>TableA10!D$91/TableA10!C$91</f>
        <v>1.7827897293546149</v>
      </c>
      <c r="O83" s="698">
        <f t="shared" si="9"/>
        <v>0.47996308817683037</v>
      </c>
      <c r="P83" s="298">
        <f>C83-O83*TableA4!D83</f>
        <v>70.416271670151048</v>
      </c>
      <c r="Q83" s="694">
        <v>57.757118942013605</v>
      </c>
      <c r="S83" s="675"/>
      <c r="T83" s="711">
        <f t="shared" si="10"/>
        <v>1.1102230246251565E-16</v>
      </c>
      <c r="U83" s="711">
        <f t="shared" si="11"/>
        <v>0</v>
      </c>
    </row>
    <row r="84" spans="1:21" x14ac:dyDescent="0.35">
      <c r="A84" s="289" t="str">
        <f>+TableA1!A84</f>
        <v>St. Kitts and Nevis</v>
      </c>
      <c r="B84" s="295">
        <f>TableA6!B84</f>
        <v>0.47270768679271868</v>
      </c>
      <c r="C84" s="8">
        <f>TableA6!E84</f>
        <v>0.45147281043247117</v>
      </c>
      <c r="D84" s="393">
        <v>0</v>
      </c>
      <c r="E84" s="8">
        <f>TableA6!K84</f>
        <v>2.1234876360247523E-2</v>
      </c>
      <c r="F84" s="701">
        <f t="shared" ref="F84:F91" si="12">C84/(B84-D84)</f>
        <v>0.95507820804792842</v>
      </c>
      <c r="G84" s="680">
        <f>TableA2!L84</f>
        <v>6.3166391090861724</v>
      </c>
      <c r="H84" s="9">
        <f>D84/TableA2!C84</f>
        <v>0</v>
      </c>
      <c r="I84" s="9">
        <f>TableA6!D84/TableA2!C84</f>
        <v>9.4010163617608E-2</v>
      </c>
      <c r="J84" s="119">
        <f>TableA6!I84/TableA2!$C84</f>
        <v>3.059194412415891</v>
      </c>
      <c r="K84" s="9">
        <f>TableA6!J84/TableA2!$C84</f>
        <v>3.059194412415891</v>
      </c>
      <c r="L84" s="296">
        <f>(C84+E84)/TableA2!C84</f>
        <v>6.4106492727037807</v>
      </c>
      <c r="M84" s="9">
        <f>C84/TableA4!D84</f>
        <v>15.306678549494206</v>
      </c>
      <c r="N84" s="9">
        <f>TableA10!D$91/TableA10!C$91</f>
        <v>1.7827897293546149</v>
      </c>
      <c r="O84" s="698">
        <f t="shared" si="9"/>
        <v>0.47996308817683037</v>
      </c>
      <c r="P84" s="298">
        <f>C84-O84*TableA4!D84</f>
        <v>0.43731622619230615</v>
      </c>
      <c r="Q84" s="694">
        <v>6.3020096796338534E-3</v>
      </c>
      <c r="S84" s="7"/>
      <c r="T84" s="711">
        <f t="shared" si="10"/>
        <v>2.7755575615628914E-16</v>
      </c>
      <c r="U84" s="711">
        <f t="shared" si="11"/>
        <v>0</v>
      </c>
    </row>
    <row r="85" spans="1:21" x14ac:dyDescent="0.35">
      <c r="A85" s="289" t="str">
        <f>+TableA1!A85</f>
        <v>St. Lucia</v>
      </c>
      <c r="B85" s="295">
        <f>TableA6!B85</f>
        <v>0.98185335484198899</v>
      </c>
      <c r="C85" s="8">
        <f>TableA6!E85</f>
        <v>0.94866880291806055</v>
      </c>
      <c r="D85" s="393">
        <v>0</v>
      </c>
      <c r="E85" s="8">
        <f>TableA6!K85</f>
        <v>3.318455192392842E-2</v>
      </c>
      <c r="F85" s="701">
        <f t="shared" si="12"/>
        <v>0.96620213012434131</v>
      </c>
      <c r="G85" s="680">
        <f>TableA2!L85</f>
        <v>7.7912383165560453</v>
      </c>
      <c r="H85" s="9">
        <f>D85/TableA2!C85</f>
        <v>0</v>
      </c>
      <c r="I85" s="9">
        <f>TableA6!D85/TableA2!C85</f>
        <v>0.72935348303251801</v>
      </c>
      <c r="J85" s="9">
        <f>TableA6!I85/TableA2!$C85</f>
        <v>0</v>
      </c>
      <c r="K85" s="9">
        <f>TableA6!J85/TableA2!$C85</f>
        <v>7.5986581217109093</v>
      </c>
      <c r="L85" s="296">
        <f>(C85+E85)/TableA2!C85</f>
        <v>8.5205917995885638</v>
      </c>
      <c r="M85" s="9">
        <f>C85/TableA4!D85</f>
        <v>20.581534866706164</v>
      </c>
      <c r="N85" s="9">
        <f>TableA10!D$91/TableA10!C$91</f>
        <v>1.7827897293546149</v>
      </c>
      <c r="O85" s="698">
        <f t="shared" si="9"/>
        <v>0.47996308817683037</v>
      </c>
      <c r="P85" s="298">
        <f>C85-O85*TableA4!D85</f>
        <v>0.92654576830210822</v>
      </c>
      <c r="Q85" s="694">
        <v>6.3313579401717409E-3</v>
      </c>
      <c r="S85" s="7"/>
      <c r="T85" s="711">
        <f t="shared" si="10"/>
        <v>5.5511151231257827E-16</v>
      </c>
      <c r="U85" s="711">
        <f t="shared" si="11"/>
        <v>0</v>
      </c>
    </row>
    <row r="86" spans="1:21" x14ac:dyDescent="0.35">
      <c r="A86" s="289" t="str">
        <f>+TableA1!A86</f>
        <v>St. Vincent and the Grenadines</v>
      </c>
      <c r="B86" s="295">
        <f>TableA6!B86</f>
        <v>0.4096430975806486</v>
      </c>
      <c r="C86" s="8">
        <f>TableA6!E86</f>
        <v>0.38835723070985412</v>
      </c>
      <c r="D86" s="393">
        <v>0</v>
      </c>
      <c r="E86" s="8">
        <f>TableA6!K86</f>
        <v>2.1285866870794486E-2</v>
      </c>
      <c r="F86" s="701">
        <f t="shared" si="12"/>
        <v>0.94803801895721229</v>
      </c>
      <c r="G86" s="680">
        <f>TableA2!L86</f>
        <v>5.2762611763764227</v>
      </c>
      <c r="H86" s="9">
        <f>D86/TableA2!C86</f>
        <v>0</v>
      </c>
      <c r="I86" s="9">
        <f>TableA6!D86/TableA2!C86</f>
        <v>0.26582646398827259</v>
      </c>
      <c r="J86" s="9">
        <f>TableA6!I86/TableA2!$C86</f>
        <v>0</v>
      </c>
      <c r="K86" s="9">
        <f>TableA6!J86/TableA2!$C86</f>
        <v>5.0219795332999517</v>
      </c>
      <c r="L86" s="296">
        <f>(C86+E86)/TableA2!C86</f>
        <v>5.5420876403646959</v>
      </c>
      <c r="M86" s="9">
        <f>C86/TableA4!D86</f>
        <v>13.135274468646493</v>
      </c>
      <c r="N86" s="9">
        <f>TableA10!D$91/TableA10!C$91</f>
        <v>1.7827897293546149</v>
      </c>
      <c r="O86" s="698">
        <f t="shared" si="9"/>
        <v>0.47996308817683037</v>
      </c>
      <c r="P86" s="298">
        <f>C86-O86*TableA4!D86</f>
        <v>0.37416665279599115</v>
      </c>
      <c r="Q86" s="694">
        <v>-4.750387108205025E-4</v>
      </c>
      <c r="S86" s="7"/>
      <c r="T86" s="711">
        <f t="shared" si="10"/>
        <v>6.6613381477509392E-16</v>
      </c>
      <c r="U86" s="711">
        <f t="shared" si="11"/>
        <v>0</v>
      </c>
    </row>
    <row r="87" spans="1:21" x14ac:dyDescent="0.35">
      <c r="A87" s="289" t="str">
        <f>+TableA1!A87</f>
        <v>Turks and Caicos</v>
      </c>
      <c r="B87" s="295">
        <f>TableA6!B87</f>
        <v>0.29994738122448317</v>
      </c>
      <c r="C87" s="8">
        <f>TableA6!E87</f>
        <v>0.26699033180435056</v>
      </c>
      <c r="D87" s="393">
        <v>0</v>
      </c>
      <c r="E87" s="8">
        <f>TableA6!K87</f>
        <v>3.2957049420132598E-2</v>
      </c>
      <c r="F87" s="701">
        <f t="shared" si="12"/>
        <v>0.89012389677952453</v>
      </c>
      <c r="G87" s="680">
        <f>TableA2!L87</f>
        <v>2.3923188641786157</v>
      </c>
      <c r="H87" s="9">
        <f>D87/TableA2!C87</f>
        <v>0</v>
      </c>
      <c r="I87" s="9">
        <f>TableA6!D87/TableA2!C87</f>
        <v>0.22861366314488285</v>
      </c>
      <c r="J87" s="9">
        <f>TableA6!I87/TableA2!$C87</f>
        <v>0</v>
      </c>
      <c r="K87" s="9">
        <f>TableA6!J87/TableA2!$C87</f>
        <v>0</v>
      </c>
      <c r="L87" s="296">
        <f>(C87+E87)/TableA2!C87</f>
        <v>2.6209325273234985</v>
      </c>
      <c r="M87" s="9">
        <f>C87/TableA4!D87</f>
        <v>5.8323866860435007</v>
      </c>
      <c r="N87" s="9">
        <f>TableA10!D$91/TableA10!C$91</f>
        <v>1.7827897293546149</v>
      </c>
      <c r="O87" s="698">
        <f t="shared" si="9"/>
        <v>0.47996308817683037</v>
      </c>
      <c r="P87" s="298">
        <f>C87-O87*TableA4!D87</f>
        <v>0.24501896552426217</v>
      </c>
      <c r="Q87" s="694"/>
      <c r="S87" s="7"/>
      <c r="T87" s="711">
        <f t="shared" si="10"/>
        <v>-1.1102230246251565E-16</v>
      </c>
      <c r="U87" s="711">
        <f t="shared" si="11"/>
        <v>0</v>
      </c>
    </row>
    <row r="88" spans="1:21" x14ac:dyDescent="0.35">
      <c r="A88" s="289" t="str">
        <f>+TableA1!A88</f>
        <v>Panama</v>
      </c>
      <c r="B88" s="295">
        <f>TableA6!B88</f>
        <v>21.839627936803055</v>
      </c>
      <c r="C88" s="8">
        <f>TableA6!E88</f>
        <v>17.861321218110369</v>
      </c>
      <c r="D88" s="393">
        <v>0</v>
      </c>
      <c r="E88" s="8">
        <f>TableA6!K88</f>
        <v>3.9783067186926862</v>
      </c>
      <c r="F88" s="701">
        <f t="shared" si="12"/>
        <v>0.81783999570850563</v>
      </c>
      <c r="G88" s="680">
        <f>TableA2!L88</f>
        <v>2.1187821699792249</v>
      </c>
      <c r="H88" s="9">
        <f>D88/TableA2!C88</f>
        <v>0</v>
      </c>
      <c r="I88" s="9">
        <f>TableA6!D88/TableA2!C88</f>
        <v>8.1573745132373331E-3</v>
      </c>
      <c r="J88" s="9">
        <f>TableA6!I88/TableA2!$C88</f>
        <v>0</v>
      </c>
      <c r="K88" s="9">
        <f>TableA6!J88/TableA2!$C88</f>
        <v>1.3958379286306488</v>
      </c>
      <c r="L88" s="296">
        <f>(C88+E88)/TableA2!C88</f>
        <v>2.1269395444924624</v>
      </c>
      <c r="M88" s="9">
        <f>C88/TableA4!D88</f>
        <v>9.0239520350742346</v>
      </c>
      <c r="N88" s="9">
        <f>TableA10!D$91/TableA10!C$91</f>
        <v>1.7827897293546149</v>
      </c>
      <c r="O88" s="698">
        <f t="shared" si="9"/>
        <v>0.47996308817683037</v>
      </c>
      <c r="P88" s="298">
        <f>C88-O88*TableA4!D88</f>
        <v>16.911318951094543</v>
      </c>
      <c r="Q88" s="694">
        <v>1.5537643852680654</v>
      </c>
      <c r="S88" s="7"/>
      <c r="T88" s="711">
        <f t="shared" si="10"/>
        <v>1.700029006457271E-16</v>
      </c>
      <c r="U88" s="711">
        <f t="shared" si="11"/>
        <v>0</v>
      </c>
    </row>
    <row r="89" spans="1:21" x14ac:dyDescent="0.35">
      <c r="A89" s="264" t="s">
        <v>290</v>
      </c>
      <c r="B89" s="295">
        <f>TableA6!B89</f>
        <v>52.764834331533464</v>
      </c>
      <c r="C89" s="8">
        <f>TableA6!E89</f>
        <v>42.913042812221541</v>
      </c>
      <c r="D89" s="393">
        <v>0</v>
      </c>
      <c r="E89" s="8">
        <f>TableA6!K89</f>
        <v>9.8517915193119219</v>
      </c>
      <c r="F89" s="701">
        <f t="shared" si="12"/>
        <v>0.81328868660117692</v>
      </c>
      <c r="G89" s="680">
        <f>TableA2!L89</f>
        <v>2.2852999866399926</v>
      </c>
      <c r="H89" s="9">
        <f>D89/TableA2!C89</f>
        <v>0</v>
      </c>
      <c r="I89" s="9">
        <f>TableA6!D89/TableA2!C89</f>
        <v>0</v>
      </c>
      <c r="J89" s="9">
        <f>TableA6!I89/TableA2!$C89</f>
        <v>0</v>
      </c>
      <c r="K89" s="9">
        <f>TableA6!J89/TableA2!$C89</f>
        <v>0</v>
      </c>
      <c r="L89" s="296">
        <f>(C89+E89)/TableA2!C89</f>
        <v>2.2852999866399926</v>
      </c>
      <c r="M89" s="9">
        <f>C89/TableA4!D89</f>
        <v>16.745534629218685</v>
      </c>
      <c r="N89" s="9">
        <f>TableA10!D$63/TableA10!C$63</f>
        <v>14.031458531935176</v>
      </c>
      <c r="O89" s="698">
        <f t="shared" si="9"/>
        <v>0.47996308817683037</v>
      </c>
      <c r="P89" s="298">
        <f>C89-O89*TableA4!D89</f>
        <v>41.683062581236264</v>
      </c>
      <c r="Q89" s="694"/>
      <c r="S89" s="7"/>
      <c r="T89" s="711">
        <f t="shared" si="10"/>
        <v>0</v>
      </c>
      <c r="U89" s="711">
        <f t="shared" si="11"/>
        <v>0</v>
      </c>
    </row>
    <row r="90" spans="1:21" ht="40" customHeight="1" x14ac:dyDescent="0.35">
      <c r="A90" s="641" t="s">
        <v>498</v>
      </c>
      <c r="B90" s="643">
        <f>TableA6!B90</f>
        <v>1423.1461018568671</v>
      </c>
      <c r="C90" s="644">
        <f>TableA6!E90</f>
        <v>114.1831702680436</v>
      </c>
      <c r="D90" s="644">
        <v>0</v>
      </c>
      <c r="E90" s="644">
        <f>TableA3!B90+TableA6!H90-C90-D90</f>
        <v>1308.9629315888235</v>
      </c>
      <c r="F90" s="706">
        <f>C90/(B90-D90)</f>
        <v>8.0232922058432174E-2</v>
      </c>
      <c r="G90" s="614">
        <f>TableA2!L90</f>
        <v>0.68108145790914665</v>
      </c>
      <c r="H90" s="614">
        <f>D90/TableA2!C90</f>
        <v>0</v>
      </c>
      <c r="I90" s="614">
        <f>TableA6!D90/TableA2!C90</f>
        <v>0</v>
      </c>
      <c r="J90" s="614">
        <f>TableA6!I90/TableA2!$C90</f>
        <v>0</v>
      </c>
      <c r="K90" s="614">
        <f>TableA6!J90/TableA2!$C90</f>
        <v>0</v>
      </c>
      <c r="L90" s="613">
        <f>(C90+E90)/TableA2!C90</f>
        <v>0.68108145790914665</v>
      </c>
      <c r="M90" s="614">
        <f>C90/TableA4!D90</f>
        <v>0.60344989333220223</v>
      </c>
      <c r="N90" s="614"/>
      <c r="O90" s="699">
        <f t="shared" si="9"/>
        <v>0.47996308817683037</v>
      </c>
      <c r="P90" s="617">
        <f>C90-O90*TableA4!D90</f>
        <v>23.365842060312318</v>
      </c>
      <c r="Q90" s="696"/>
      <c r="S90" s="376"/>
      <c r="T90" s="711">
        <f t="shared" si="10"/>
        <v>0</v>
      </c>
      <c r="U90" s="711">
        <f t="shared" si="11"/>
        <v>0</v>
      </c>
    </row>
    <row r="91" spans="1:21" ht="40" customHeight="1" thickBot="1" x14ac:dyDescent="0.4">
      <c r="A91" s="642" t="s">
        <v>499</v>
      </c>
      <c r="B91" s="645">
        <f>B90+B53+B45+B9</f>
        <v>11515.286894140658</v>
      </c>
      <c r="C91" s="646">
        <f>C90+C53+C45+C9</f>
        <v>1703.2290592571801</v>
      </c>
      <c r="D91" s="646">
        <f>D90+D53+D45+D9</f>
        <v>83.176702611519431</v>
      </c>
      <c r="E91" s="646">
        <f>E90+E53+E45+E9</f>
        <v>9728.8811322719557</v>
      </c>
      <c r="F91" s="707">
        <f t="shared" si="12"/>
        <v>0.14898641027088974</v>
      </c>
      <c r="G91" s="620">
        <f>TableA2!L91</f>
        <v>0.49990443254630074</v>
      </c>
      <c r="H91" s="620">
        <f>D91/TableA2!C91</f>
        <v>3.7095895154838419E-3</v>
      </c>
      <c r="I91" s="620">
        <f>TableA6!D91/TableA2!C91</f>
        <v>1.3664706276192731E-2</v>
      </c>
      <c r="J91" s="620">
        <f>TableA6!I91/TableA2!$C91</f>
        <v>6.323340074442599E-3</v>
      </c>
      <c r="K91" s="620">
        <f>TableA6!J91/TableA2!$C91</f>
        <v>8.8911378929233814E-3</v>
      </c>
      <c r="L91" s="619">
        <f>(C91+E91)/TableA2!C91</f>
        <v>0.5098595493070095</v>
      </c>
      <c r="M91" s="620">
        <f>C91/TableA4!D91</f>
        <v>0.57176241351494561</v>
      </c>
      <c r="N91" s="620"/>
      <c r="O91" s="620">
        <f>E91/TableA4!G91</f>
        <v>0.50037533847929427</v>
      </c>
      <c r="P91" s="645">
        <f>P53+P9</f>
        <v>616.46162984891726</v>
      </c>
      <c r="Q91" s="705"/>
      <c r="S91" s="376"/>
      <c r="T91" s="711">
        <f t="shared" si="10"/>
        <v>-1.2880321809127793E-16</v>
      </c>
      <c r="U91" s="711">
        <f t="shared" si="11"/>
        <v>0</v>
      </c>
    </row>
    <row r="92" spans="1:21" s="2" customFormat="1" ht="16" thickTop="1" x14ac:dyDescent="0.35">
      <c r="B92" s="1"/>
      <c r="C92" s="1"/>
      <c r="D92" s="1"/>
      <c r="E92" s="1"/>
      <c r="F92" s="1"/>
      <c r="G92" s="1"/>
      <c r="H92" s="1"/>
      <c r="I92" s="1"/>
      <c r="J92" s="1"/>
      <c r="K92" s="1"/>
      <c r="L92" s="1"/>
      <c r="M92" s="1"/>
      <c r="N92" s="1"/>
      <c r="O92" s="1"/>
    </row>
    <row r="93" spans="1:21" s="2" customFormat="1" x14ac:dyDescent="0.35">
      <c r="B93" s="1"/>
      <c r="C93" s="1"/>
      <c r="D93" s="1"/>
      <c r="E93" s="1"/>
      <c r="F93" s="1"/>
      <c r="G93" s="1"/>
      <c r="H93" s="1"/>
      <c r="I93" s="1"/>
      <c r="J93" s="1"/>
      <c r="K93" s="1"/>
      <c r="L93" s="1"/>
      <c r="M93" s="1"/>
      <c r="N93" s="1"/>
      <c r="O93" s="1"/>
    </row>
    <row r="94" spans="1:21" s="2" customFormat="1" x14ac:dyDescent="0.35">
      <c r="A94" s="430" t="s">
        <v>512</v>
      </c>
      <c r="B94" s="703">
        <f>B91-C91-D91-E91</f>
        <v>0</v>
      </c>
      <c r="C94" s="430"/>
      <c r="D94" s="430"/>
      <c r="E94" s="430"/>
      <c r="F94" s="430"/>
      <c r="G94" s="430"/>
      <c r="H94" s="430"/>
      <c r="I94" s="430"/>
      <c r="J94" s="430"/>
      <c r="K94" s="430"/>
      <c r="L94" s="430"/>
      <c r="M94" s="430"/>
      <c r="N94" s="430"/>
      <c r="O94" s="430"/>
      <c r="P94" s="704"/>
      <c r="Q94" s="704"/>
    </row>
    <row r="95" spans="1:21" s="2" customFormat="1" x14ac:dyDescent="0.35">
      <c r="A95" s="1"/>
      <c r="B95" s="1"/>
      <c r="C95" s="1"/>
      <c r="D95" s="1"/>
      <c r="E95" s="1"/>
      <c r="F95" s="1"/>
      <c r="G95" s="1"/>
      <c r="H95" s="1"/>
      <c r="I95" s="1"/>
      <c r="J95" s="1"/>
      <c r="K95" s="1"/>
      <c r="L95" s="1"/>
      <c r="M95" s="1"/>
      <c r="N95" s="1"/>
      <c r="O95" s="1"/>
      <c r="P95" s="858"/>
    </row>
    <row r="96" spans="1:21" s="2" customFormat="1" x14ac:dyDescent="0.35">
      <c r="A96" s="1"/>
      <c r="B96" s="1"/>
      <c r="C96" s="1"/>
      <c r="D96" s="1"/>
      <c r="E96" s="1"/>
      <c r="F96" s="1"/>
      <c r="G96" s="1"/>
      <c r="H96" s="1"/>
      <c r="I96" s="1"/>
      <c r="J96" s="1"/>
      <c r="K96" s="1"/>
      <c r="L96" s="1"/>
      <c r="M96" s="1"/>
      <c r="N96" s="1"/>
      <c r="O96" s="1"/>
    </row>
    <row r="97" spans="1:15" s="2" customFormat="1" x14ac:dyDescent="0.35">
      <c r="A97" s="1"/>
      <c r="B97" s="1"/>
      <c r="C97" s="1"/>
      <c r="D97" s="1"/>
      <c r="E97" s="1"/>
      <c r="F97" s="1"/>
      <c r="G97" s="1"/>
      <c r="H97" s="1"/>
      <c r="I97" s="1"/>
      <c r="J97" s="1"/>
      <c r="K97" s="1"/>
      <c r="L97" s="1"/>
      <c r="M97" s="1"/>
      <c r="N97" s="1"/>
      <c r="O97" s="1"/>
    </row>
    <row r="99" spans="1:15" s="2" customFormat="1" x14ac:dyDescent="0.35">
      <c r="A99" s="1"/>
      <c r="B99" s="1"/>
      <c r="C99" s="1"/>
      <c r="D99" s="1"/>
      <c r="E99" s="1"/>
      <c r="F99" s="1"/>
      <c r="G99" s="1"/>
      <c r="H99" s="1"/>
      <c r="I99" s="1"/>
      <c r="J99" s="1"/>
      <c r="K99" s="1"/>
      <c r="L99" s="1"/>
      <c r="M99" s="1"/>
      <c r="N99" s="1"/>
      <c r="O99" s="1"/>
    </row>
  </sheetData>
  <mergeCells count="15">
    <mergeCell ref="J6:J7"/>
    <mergeCell ref="K6:K7"/>
    <mergeCell ref="A3:Q3"/>
    <mergeCell ref="P7:P8"/>
    <mergeCell ref="P6:Q6"/>
    <mergeCell ref="B7:B8"/>
    <mergeCell ref="F6:F8"/>
    <mergeCell ref="G6:G8"/>
    <mergeCell ref="M6:M7"/>
    <mergeCell ref="L6:L8"/>
    <mergeCell ref="O6:O7"/>
    <mergeCell ref="B6:E6"/>
    <mergeCell ref="N6:N7"/>
    <mergeCell ref="H6:H8"/>
    <mergeCell ref="I6:I8"/>
  </mergeCells>
  <pageMargins left="0.7" right="0.7" top="0.75" bottom="0.75" header="0.3" footer="0.3"/>
  <pageSetup scale="50" fitToHeight="0" orientation="landscape"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54</vt:i4>
      </vt:variant>
      <vt:variant>
        <vt:lpstr>Benannte Bereiche</vt:lpstr>
      </vt:variant>
      <vt:variant>
        <vt:i4>1</vt:i4>
      </vt:variant>
    </vt:vector>
  </HeadingPairs>
  <TitlesOfParts>
    <vt:vector size="55" baseType="lpstr">
      <vt:lpstr>AppendixTables</vt:lpstr>
      <vt:lpstr>TableA1</vt:lpstr>
      <vt:lpstr>TableA2</vt:lpstr>
      <vt:lpstr>TableA2b</vt:lpstr>
      <vt:lpstr>TableA3</vt:lpstr>
      <vt:lpstr>TableA4</vt:lpstr>
      <vt:lpstr>TableA5</vt:lpstr>
      <vt:lpstr>TableA6</vt:lpstr>
      <vt:lpstr>TableA7</vt:lpstr>
      <vt:lpstr>TableA8</vt:lpstr>
      <vt:lpstr>TableA9</vt:lpstr>
      <vt:lpstr>TableA10</vt:lpstr>
      <vt:lpstr>TableA10b</vt:lpstr>
      <vt:lpstr>TableA11</vt:lpstr>
      <vt:lpstr>TableA11b</vt:lpstr>
      <vt:lpstr>TableB1</vt:lpstr>
      <vt:lpstr>TableB1b</vt:lpstr>
      <vt:lpstr>TableB2</vt:lpstr>
      <vt:lpstr>TableB3</vt:lpstr>
      <vt:lpstr>TableB4</vt:lpstr>
      <vt:lpstr>TableB5</vt:lpstr>
      <vt:lpstr>TableB6</vt:lpstr>
      <vt:lpstr>TableB7</vt:lpstr>
      <vt:lpstr>TableB8</vt:lpstr>
      <vt:lpstr>TableB9</vt:lpstr>
      <vt:lpstr>TableB10</vt:lpstr>
      <vt:lpstr>TableB11</vt:lpstr>
      <vt:lpstr>TableB12a</vt:lpstr>
      <vt:lpstr>TableB12b</vt:lpstr>
      <vt:lpstr>TableC1</vt:lpstr>
      <vt:lpstr>TableC2</vt:lpstr>
      <vt:lpstr>TableC3</vt:lpstr>
      <vt:lpstr>TableC4</vt:lpstr>
      <vt:lpstr>TableC4b</vt:lpstr>
      <vt:lpstr>TableC4c</vt:lpstr>
      <vt:lpstr>TableC4d</vt:lpstr>
      <vt:lpstr>TableC4e</vt:lpstr>
      <vt:lpstr>TableC5</vt:lpstr>
      <vt:lpstr>TableC5b</vt:lpstr>
      <vt:lpstr>TableC6</vt:lpstr>
      <vt:lpstr>TableD1a</vt:lpstr>
      <vt:lpstr>TableD1b</vt:lpstr>
      <vt:lpstr>TableD2</vt:lpstr>
      <vt:lpstr>TableD2(aux)</vt:lpstr>
      <vt:lpstr>Table E1</vt:lpstr>
      <vt:lpstr>Table E2 </vt:lpstr>
      <vt:lpstr>Table E3</vt:lpstr>
      <vt:lpstr>TableF1a</vt:lpstr>
      <vt:lpstr>TableF1b</vt:lpstr>
      <vt:lpstr>TableF1c</vt:lpstr>
      <vt:lpstr>TableF2</vt:lpstr>
      <vt:lpstr>TableF3</vt:lpstr>
      <vt:lpstr>Disc. 1</vt:lpstr>
      <vt:lpstr>Disc. 2</vt:lpstr>
      <vt:lpstr>TableA1!Drucktitel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Zucman</dc:creator>
  <cp:lastModifiedBy>Theresa Neef</cp:lastModifiedBy>
  <cp:lastPrinted>2018-07-26T17:42:33Z</cp:lastPrinted>
  <dcterms:created xsi:type="dcterms:W3CDTF">2018-03-02T03:48:08Z</dcterms:created>
  <dcterms:modified xsi:type="dcterms:W3CDTF">2021-05-19T19:09:42Z</dcterms:modified>
</cp:coreProperties>
</file>