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82B919FC-019B-40F8-B1E5-4215B4417A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SI계산" sheetId="6" r:id="rId1"/>
    <sheet name="AUC계산" sheetId="7" r:id="rId2"/>
    <sheet name="모델비교" sheetId="1" r:id="rId3"/>
    <sheet name="모델비교 테이블예시" sheetId="8" r:id="rId4"/>
    <sheet name="모델내검증" sheetId="4" r:id="rId5"/>
    <sheet name="스코어링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8" l="1"/>
  <c r="R15" i="8"/>
  <c r="Q15" i="8"/>
  <c r="O15" i="8"/>
  <c r="N15" i="8"/>
  <c r="M15" i="8"/>
  <c r="K15" i="8"/>
  <c r="J15" i="8"/>
  <c r="I15" i="8"/>
  <c r="J6" i="7"/>
  <c r="L6" i="7"/>
  <c r="J7" i="7"/>
  <c r="L7" i="7"/>
  <c r="J8" i="7"/>
  <c r="L8" i="7"/>
  <c r="J9" i="7"/>
  <c r="L9" i="7"/>
  <c r="J10" i="7"/>
  <c r="L10" i="7"/>
  <c r="J11" i="7"/>
  <c r="L11" i="7"/>
  <c r="J12" i="7"/>
  <c r="L12" i="7"/>
  <c r="J13" i="7"/>
  <c r="L13" i="7"/>
  <c r="J14" i="7"/>
  <c r="L14" i="7"/>
  <c r="J15" i="7"/>
  <c r="L15" i="7"/>
  <c r="N7" i="7"/>
  <c r="Q7" i="7"/>
  <c r="N6" i="7"/>
  <c r="Q6" i="7"/>
  <c r="K6" i="7"/>
  <c r="M6" i="7"/>
  <c r="K7" i="7"/>
  <c r="M7" i="7"/>
  <c r="K8" i="7"/>
  <c r="M8" i="7"/>
  <c r="K9" i="7"/>
  <c r="M9" i="7"/>
  <c r="K10" i="7"/>
  <c r="M10" i="7"/>
  <c r="K11" i="7"/>
  <c r="M11" i="7"/>
  <c r="K12" i="7"/>
  <c r="M12" i="7"/>
  <c r="K13" i="7"/>
  <c r="M13" i="7"/>
  <c r="K14" i="7"/>
  <c r="M14" i="7"/>
  <c r="K15" i="7"/>
  <c r="M15" i="7"/>
  <c r="O6" i="7"/>
  <c r="R6" i="7"/>
  <c r="O7" i="7"/>
  <c r="R7" i="7"/>
  <c r="S7" i="7"/>
  <c r="N8" i="7"/>
  <c r="Q8" i="7"/>
  <c r="O8" i="7"/>
  <c r="R8" i="7"/>
  <c r="S8" i="7"/>
  <c r="N9" i="7"/>
  <c r="Q9" i="7"/>
  <c r="O9" i="7"/>
  <c r="R9" i="7"/>
  <c r="S9" i="7"/>
  <c r="N10" i="7"/>
  <c r="Q10" i="7"/>
  <c r="O10" i="7"/>
  <c r="R10" i="7"/>
  <c r="S10" i="7"/>
  <c r="N11" i="7"/>
  <c r="Q11" i="7"/>
  <c r="O11" i="7"/>
  <c r="R11" i="7"/>
  <c r="S11" i="7"/>
  <c r="N12" i="7"/>
  <c r="Q12" i="7"/>
  <c r="O12" i="7"/>
  <c r="R12" i="7"/>
  <c r="S12" i="7"/>
  <c r="N13" i="7"/>
  <c r="Q13" i="7"/>
  <c r="O13" i="7"/>
  <c r="R13" i="7"/>
  <c r="S13" i="7"/>
  <c r="N14" i="7"/>
  <c r="Q14" i="7"/>
  <c r="O14" i="7"/>
  <c r="R14" i="7"/>
  <c r="S14" i="7"/>
  <c r="N15" i="7"/>
  <c r="Q15" i="7"/>
  <c r="O15" i="7"/>
  <c r="R15" i="7"/>
  <c r="S15" i="7"/>
  <c r="S6" i="7"/>
  <c r="P6" i="7"/>
  <c r="P7" i="7"/>
  <c r="P8" i="7"/>
  <c r="P9" i="7"/>
  <c r="P10" i="7"/>
  <c r="P11" i="7"/>
  <c r="P12" i="7"/>
  <c r="P13" i="7"/>
  <c r="P14" i="7"/>
  <c r="P15" i="7"/>
  <c r="P5" i="7"/>
  <c r="H5" i="7"/>
  <c r="F6" i="7"/>
  <c r="F7" i="7"/>
  <c r="F8" i="7"/>
  <c r="F9" i="7"/>
  <c r="F10" i="7"/>
  <c r="F11" i="7"/>
  <c r="F12" i="7"/>
  <c r="F13" i="7"/>
  <c r="F14" i="7"/>
  <c r="F15" i="7"/>
  <c r="E5" i="7"/>
  <c r="D5" i="7"/>
  <c r="F5" i="7"/>
  <c r="I7" i="4"/>
  <c r="H7" i="4"/>
  <c r="G7" i="4"/>
  <c r="I8" i="4"/>
  <c r="I9" i="4"/>
  <c r="I10" i="4"/>
  <c r="I11" i="4"/>
  <c r="I12" i="4"/>
  <c r="I13" i="4"/>
  <c r="I14" i="4"/>
  <c r="I15" i="4"/>
  <c r="I16" i="4"/>
  <c r="H8" i="4"/>
  <c r="H9" i="4"/>
  <c r="H10" i="4"/>
  <c r="H11" i="4"/>
  <c r="H12" i="4"/>
  <c r="H13" i="4"/>
  <c r="H14" i="4"/>
  <c r="H15" i="4"/>
  <c r="H16" i="4"/>
  <c r="G16" i="4"/>
  <c r="K7" i="4"/>
  <c r="K16" i="4"/>
  <c r="N7" i="4"/>
  <c r="L7" i="4"/>
  <c r="L16" i="4"/>
  <c r="O7" i="4"/>
  <c r="P7" i="4"/>
  <c r="G8" i="4"/>
  <c r="K8" i="4"/>
  <c r="N8" i="4"/>
  <c r="L8" i="4"/>
  <c r="O8" i="4"/>
  <c r="P8" i="4"/>
  <c r="G9" i="4"/>
  <c r="K9" i="4"/>
  <c r="N9" i="4"/>
  <c r="L9" i="4"/>
  <c r="O9" i="4"/>
  <c r="P9" i="4"/>
  <c r="G10" i="4"/>
  <c r="K10" i="4"/>
  <c r="N10" i="4"/>
  <c r="L10" i="4"/>
  <c r="O10" i="4"/>
  <c r="P10" i="4"/>
  <c r="G11" i="4"/>
  <c r="K11" i="4"/>
  <c r="N11" i="4"/>
  <c r="L11" i="4"/>
  <c r="O11" i="4"/>
  <c r="P11" i="4"/>
  <c r="G12" i="4"/>
  <c r="K12" i="4"/>
  <c r="N12" i="4"/>
  <c r="L12" i="4"/>
  <c r="O12" i="4"/>
  <c r="P12" i="4"/>
  <c r="G13" i="4"/>
  <c r="K13" i="4"/>
  <c r="N13" i="4"/>
  <c r="L13" i="4"/>
  <c r="O13" i="4"/>
  <c r="P13" i="4"/>
  <c r="G14" i="4"/>
  <c r="K14" i="4"/>
  <c r="N14" i="4"/>
  <c r="L14" i="4"/>
  <c r="O14" i="4"/>
  <c r="P14" i="4"/>
  <c r="G15" i="4"/>
  <c r="K15" i="4"/>
  <c r="N15" i="4"/>
  <c r="L15" i="4"/>
  <c r="O15" i="4"/>
  <c r="P15" i="4"/>
  <c r="N16" i="4"/>
  <c r="O16" i="4"/>
  <c r="P16" i="4"/>
  <c r="P17" i="4"/>
  <c r="S5" i="7"/>
  <c r="G5" i="7"/>
  <c r="F5" i="6"/>
  <c r="K28" i="6"/>
  <c r="E5" i="6"/>
  <c r="J27" i="6"/>
  <c r="D5" i="6"/>
  <c r="I27" i="6"/>
  <c r="M27" i="6"/>
  <c r="K30" i="6"/>
  <c r="J30" i="6"/>
  <c r="I30" i="6"/>
  <c r="M30" i="6"/>
  <c r="I29" i="6"/>
  <c r="I28" i="6"/>
  <c r="K27" i="6"/>
  <c r="J26" i="6"/>
  <c r="I26" i="6"/>
  <c r="K25" i="6"/>
  <c r="I25" i="6"/>
  <c r="K24" i="6"/>
  <c r="I24" i="6"/>
  <c r="I23" i="6"/>
  <c r="K22" i="6"/>
  <c r="J22" i="6"/>
  <c r="I22" i="6"/>
  <c r="K21" i="6"/>
  <c r="K5" i="6"/>
  <c r="J21" i="6"/>
  <c r="J5" i="6"/>
  <c r="I21" i="6"/>
  <c r="I5" i="6"/>
  <c r="C49" i="6"/>
  <c r="E20" i="6"/>
  <c r="C48" i="6"/>
  <c r="E19" i="6"/>
  <c r="C45" i="6"/>
  <c r="E16" i="6"/>
  <c r="C44" i="6"/>
  <c r="E15" i="6"/>
  <c r="C41" i="6"/>
  <c r="E12" i="6"/>
  <c r="C40" i="6"/>
  <c r="E11" i="6"/>
  <c r="C47" i="6"/>
  <c r="E18" i="6"/>
  <c r="C46" i="6"/>
  <c r="E17" i="6"/>
  <c r="C43" i="6"/>
  <c r="E14" i="6"/>
  <c r="C42" i="6"/>
  <c r="E13" i="6"/>
  <c r="F4" i="6"/>
  <c r="K12" i="6"/>
  <c r="E4" i="6"/>
  <c r="J15" i="6"/>
  <c r="J12" i="6"/>
  <c r="J23" i="6"/>
  <c r="J25" i="6"/>
  <c r="J29" i="6"/>
  <c r="M29" i="6"/>
  <c r="J11" i="6"/>
  <c r="J20" i="6"/>
  <c r="C50" i="6"/>
  <c r="D50" i="6"/>
  <c r="K29" i="6"/>
  <c r="N29" i="6"/>
  <c r="N22" i="6"/>
  <c r="K23" i="6"/>
  <c r="N23" i="6"/>
  <c r="K26" i="6"/>
  <c r="N26" i="6"/>
  <c r="N30" i="6"/>
  <c r="M23" i="6"/>
  <c r="J24" i="6"/>
  <c r="M24" i="6"/>
  <c r="N25" i="6"/>
  <c r="J28" i="6"/>
  <c r="M28" i="6"/>
  <c r="N27" i="6"/>
  <c r="N21" i="6"/>
  <c r="M21" i="6"/>
  <c r="M22" i="6"/>
  <c r="N24" i="6"/>
  <c r="M25" i="6"/>
  <c r="M26" i="6"/>
  <c r="K17" i="6"/>
  <c r="K13" i="6"/>
  <c r="J16" i="6"/>
  <c r="D4" i="6"/>
  <c r="I14" i="6"/>
  <c r="D40" i="6"/>
  <c r="D44" i="6"/>
  <c r="D48" i="6"/>
  <c r="D43" i="6"/>
  <c r="D47" i="6"/>
  <c r="D41" i="6"/>
  <c r="D45" i="6"/>
  <c r="D49" i="6"/>
  <c r="D42" i="6"/>
  <c r="D46" i="6"/>
  <c r="N12" i="6"/>
  <c r="I15" i="6"/>
  <c r="M15" i="6"/>
  <c r="I20" i="6"/>
  <c r="M20" i="6"/>
  <c r="K18" i="6"/>
  <c r="J17" i="6"/>
  <c r="N17" i="6"/>
  <c r="I16" i="6"/>
  <c r="K14" i="6"/>
  <c r="J13" i="6"/>
  <c r="N13" i="6"/>
  <c r="I12" i="6"/>
  <c r="M12" i="6"/>
  <c r="K11" i="6"/>
  <c r="K19" i="6"/>
  <c r="J18" i="6"/>
  <c r="N18" i="6"/>
  <c r="I17" i="6"/>
  <c r="M17" i="6"/>
  <c r="K15" i="6"/>
  <c r="N15" i="6"/>
  <c r="J14" i="6"/>
  <c r="N14" i="6"/>
  <c r="I13" i="6"/>
  <c r="M13" i="6"/>
  <c r="I19" i="6"/>
  <c r="I11" i="6"/>
  <c r="K20" i="6"/>
  <c r="N20" i="6"/>
  <c r="J19" i="6"/>
  <c r="N19" i="6"/>
  <c r="I18" i="6"/>
  <c r="K16" i="6"/>
  <c r="C17" i="4"/>
  <c r="S8" i="4"/>
  <c r="S9" i="4"/>
  <c r="S10" i="4"/>
  <c r="S11" i="4"/>
  <c r="S12" i="4"/>
  <c r="S13" i="4"/>
  <c r="S14" i="4"/>
  <c r="S15" i="4"/>
  <c r="S16" i="4"/>
  <c r="S17" i="4"/>
  <c r="S7" i="4"/>
  <c r="F8" i="4"/>
  <c r="F16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F15" i="4"/>
  <c r="R15" i="4"/>
  <c r="R16" i="4"/>
  <c r="R17" i="4"/>
  <c r="F7" i="4"/>
  <c r="R7" i="4"/>
  <c r="E8" i="4"/>
  <c r="D17" i="4"/>
  <c r="E17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E15" i="4"/>
  <c r="Q15" i="4"/>
  <c r="E16" i="4"/>
  <c r="Q16" i="4"/>
  <c r="Q17" i="4"/>
  <c r="E7" i="4"/>
  <c r="Q7" i="4"/>
  <c r="M7" i="4"/>
  <c r="M8" i="4"/>
  <c r="M9" i="4"/>
  <c r="M10" i="4"/>
  <c r="M11" i="4"/>
  <c r="M12" i="4"/>
  <c r="M13" i="4"/>
  <c r="M14" i="4"/>
  <c r="M15" i="4"/>
  <c r="M16" i="4"/>
  <c r="M17" i="4"/>
  <c r="J8" i="4"/>
  <c r="J9" i="4"/>
  <c r="J10" i="4"/>
  <c r="J11" i="4"/>
  <c r="J12" i="4"/>
  <c r="J13" i="4"/>
  <c r="J14" i="4"/>
  <c r="J15" i="4"/>
  <c r="J16" i="4"/>
  <c r="J7" i="4"/>
  <c r="M14" i="6"/>
  <c r="N28" i="6"/>
  <c r="N16" i="6"/>
  <c r="M16" i="6"/>
  <c r="K4" i="6"/>
  <c r="J4" i="6"/>
  <c r="F41" i="6"/>
  <c r="F40" i="6"/>
  <c r="F39" i="6"/>
  <c r="N11" i="6"/>
  <c r="N4" i="6"/>
  <c r="I4" i="6"/>
  <c r="M11" i="6"/>
  <c r="M18" i="6"/>
  <c r="M19" i="6"/>
  <c r="N12" i="5"/>
  <c r="N11" i="5"/>
  <c r="N10" i="5"/>
  <c r="N9" i="5"/>
  <c r="N8" i="5"/>
  <c r="N7" i="5"/>
  <c r="N6" i="5"/>
  <c r="N5" i="5"/>
  <c r="N4" i="5"/>
  <c r="V12" i="5"/>
  <c r="W12" i="5"/>
  <c r="R12" i="5"/>
  <c r="S12" i="5"/>
  <c r="T12" i="5"/>
  <c r="Q12" i="5"/>
  <c r="V11" i="5"/>
  <c r="W11" i="5"/>
  <c r="R11" i="5"/>
  <c r="S11" i="5"/>
  <c r="T11" i="5"/>
  <c r="Q11" i="5"/>
  <c r="V10" i="5"/>
  <c r="V9" i="5"/>
  <c r="W9" i="5"/>
  <c r="R10" i="5"/>
  <c r="S10" i="5"/>
  <c r="T10" i="5"/>
  <c r="Q10" i="5"/>
  <c r="R9" i="5"/>
  <c r="S9" i="5"/>
  <c r="T9" i="5"/>
  <c r="Q9" i="5"/>
  <c r="V8" i="5"/>
  <c r="W8" i="5"/>
  <c r="R8" i="5"/>
  <c r="S8" i="5"/>
  <c r="T8" i="5"/>
  <c r="Q8" i="5"/>
  <c r="U8" i="5"/>
  <c r="V7" i="5"/>
  <c r="W7" i="5"/>
  <c r="R7" i="5"/>
  <c r="S7" i="5"/>
  <c r="T7" i="5"/>
  <c r="Q7" i="5"/>
  <c r="U7" i="5"/>
  <c r="V6" i="5"/>
  <c r="V5" i="5"/>
  <c r="W5" i="5"/>
  <c r="R6" i="5"/>
  <c r="S6" i="5"/>
  <c r="T6" i="5"/>
  <c r="Q6" i="5"/>
  <c r="R5" i="5"/>
  <c r="S5" i="5"/>
  <c r="T5" i="5"/>
  <c r="Q5" i="5"/>
  <c r="V4" i="5"/>
  <c r="W4" i="5"/>
  <c r="R4" i="5"/>
  <c r="S4" i="5"/>
  <c r="T4" i="5"/>
  <c r="Q4" i="5"/>
  <c r="U4" i="5"/>
  <c r="V3" i="5"/>
  <c r="Q3" i="5"/>
  <c r="U3" i="5"/>
  <c r="R3" i="5"/>
  <c r="S3" i="5"/>
  <c r="T3" i="5"/>
  <c r="M13" i="5"/>
  <c r="L13" i="5"/>
  <c r="N3" i="5"/>
  <c r="E4" i="5"/>
  <c r="G4" i="5"/>
  <c r="D4" i="5"/>
  <c r="F4" i="5" s="1"/>
  <c r="M4" i="6"/>
  <c r="N13" i="5"/>
  <c r="W3" i="5"/>
  <c r="U11" i="5"/>
  <c r="U10" i="5"/>
  <c r="U9" i="5"/>
  <c r="U6" i="5"/>
  <c r="U5" i="5"/>
  <c r="W6" i="5"/>
  <c r="W10" i="5"/>
  <c r="D54" i="1"/>
  <c r="C54" i="1"/>
  <c r="N73" i="1"/>
  <c r="O73" i="1" s="1"/>
  <c r="N71" i="1"/>
  <c r="N69" i="1"/>
  <c r="N64" i="1"/>
  <c r="N57" i="1"/>
  <c r="N47" i="1"/>
  <c r="N42" i="1"/>
  <c r="N41" i="1"/>
  <c r="O41" i="1" s="1"/>
  <c r="N39" i="1"/>
  <c r="N35" i="1"/>
  <c r="N63" i="1"/>
  <c r="N46" i="1"/>
  <c r="N56" i="1"/>
  <c r="O56" i="1" s="1"/>
  <c r="N66" i="1"/>
  <c r="N70" i="1"/>
  <c r="N55" i="1"/>
  <c r="N54" i="1"/>
  <c r="N53" i="1"/>
  <c r="N43" i="1"/>
  <c r="N37" i="1"/>
  <c r="O37" i="1" s="1"/>
  <c r="N44" i="1"/>
  <c r="N65" i="1"/>
  <c r="N67" i="1"/>
  <c r="O67" i="1" s="1"/>
  <c r="N62" i="1"/>
  <c r="N61" i="1"/>
  <c r="N52" i="1"/>
  <c r="N51" i="1"/>
  <c r="N50" i="1"/>
  <c r="N40" i="1"/>
  <c r="N36" i="1"/>
  <c r="N68" i="1"/>
  <c r="N72" i="1"/>
  <c r="N60" i="1"/>
  <c r="N59" i="1"/>
  <c r="N58" i="1"/>
  <c r="N49" i="1"/>
  <c r="N48" i="1"/>
  <c r="N45" i="1"/>
  <c r="N38" i="1"/>
  <c r="N34" i="1"/>
  <c r="E45" i="1"/>
  <c r="E42" i="1"/>
  <c r="E41" i="1"/>
  <c r="E39" i="1"/>
  <c r="F39" i="1" s="1"/>
  <c r="E35" i="1"/>
  <c r="E53" i="1"/>
  <c r="E52" i="1"/>
  <c r="E51" i="1"/>
  <c r="E43" i="1"/>
  <c r="E37" i="1"/>
  <c r="E50" i="1"/>
  <c r="E49" i="1"/>
  <c r="E48" i="1"/>
  <c r="E40" i="1"/>
  <c r="E36" i="1"/>
  <c r="E47" i="1"/>
  <c r="E46" i="1"/>
  <c r="E44" i="1"/>
  <c r="E38" i="1"/>
  <c r="E34" i="1"/>
  <c r="Q24" i="1"/>
  <c r="Q23" i="1"/>
  <c r="Q22" i="1"/>
  <c r="Q21" i="1"/>
  <c r="Q20" i="1"/>
  <c r="Q19" i="1"/>
  <c r="Q18" i="1"/>
  <c r="Q17" i="1"/>
  <c r="R17" i="1" s="1"/>
  <c r="Q16" i="1"/>
  <c r="Q15" i="1"/>
  <c r="M24" i="1"/>
  <c r="M23" i="1"/>
  <c r="M22" i="1"/>
  <c r="M21" i="1"/>
  <c r="M20" i="1"/>
  <c r="M19" i="1"/>
  <c r="M18" i="1"/>
  <c r="M17" i="1"/>
  <c r="M16" i="1"/>
  <c r="M15" i="1"/>
  <c r="N15" i="1" s="1"/>
  <c r="I24" i="1"/>
  <c r="I23" i="1"/>
  <c r="I22" i="1"/>
  <c r="I21" i="1"/>
  <c r="I20" i="1"/>
  <c r="I19" i="1"/>
  <c r="I18" i="1"/>
  <c r="I17" i="1"/>
  <c r="I16" i="1"/>
  <c r="I15" i="1"/>
  <c r="E24" i="1"/>
  <c r="E23" i="1"/>
  <c r="E22" i="1"/>
  <c r="E21" i="1"/>
  <c r="E20" i="1"/>
  <c r="E19" i="1"/>
  <c r="E18" i="1"/>
  <c r="F18" i="1" s="1"/>
  <c r="E17" i="1"/>
  <c r="E16" i="1"/>
  <c r="E15" i="1"/>
  <c r="P8" i="1"/>
  <c r="P7" i="1"/>
  <c r="P6" i="1"/>
  <c r="L8" i="1"/>
  <c r="M8" i="1" s="1"/>
  <c r="L7" i="1"/>
  <c r="L9" i="1" s="1"/>
  <c r="M9" i="1" s="1"/>
  <c r="L6" i="1"/>
  <c r="M6" i="1" s="1"/>
  <c r="N6" i="1" s="1"/>
  <c r="H8" i="1"/>
  <c r="I8" i="1" s="1"/>
  <c r="H7" i="1"/>
  <c r="H6" i="1"/>
  <c r="I6" i="1" s="1"/>
  <c r="D8" i="1"/>
  <c r="D7" i="1"/>
  <c r="D6" i="1"/>
  <c r="P25" i="1"/>
  <c r="L25" i="1"/>
  <c r="H25" i="1"/>
  <c r="I25" i="1" s="1"/>
  <c r="D25" i="1"/>
  <c r="E25" i="1" s="1"/>
  <c r="O25" i="1"/>
  <c r="K25" i="1"/>
  <c r="G25" i="1"/>
  <c r="C25" i="1"/>
  <c r="O8" i="1"/>
  <c r="Q8" i="1" s="1"/>
  <c r="O7" i="1"/>
  <c r="O6" i="1"/>
  <c r="K8" i="1"/>
  <c r="K7" i="1"/>
  <c r="K6" i="1"/>
  <c r="G8" i="1"/>
  <c r="G7" i="1"/>
  <c r="G9" i="1" s="1"/>
  <c r="G6" i="1"/>
  <c r="C8" i="1"/>
  <c r="C7" i="1"/>
  <c r="C6" i="1"/>
  <c r="E6" i="1" s="1"/>
  <c r="F6" i="1" s="1"/>
  <c r="E7" i="1"/>
  <c r="Q6" i="1"/>
  <c r="M25" i="1"/>
  <c r="O55" i="1"/>
  <c r="E8" i="1"/>
  <c r="Q7" i="1"/>
  <c r="Q25" i="1"/>
  <c r="O69" i="1" s="1"/>
  <c r="O57" i="1"/>
  <c r="M7" i="1"/>
  <c r="P9" i="1"/>
  <c r="H9" i="1"/>
  <c r="I9" i="1" s="1"/>
  <c r="J9" i="1" s="1"/>
  <c r="D9" i="1"/>
  <c r="K9" i="1"/>
  <c r="C9" i="1"/>
  <c r="O54" i="1"/>
  <c r="O63" i="1"/>
  <c r="O66" i="1"/>
  <c r="O70" i="1"/>
  <c r="O46" i="1"/>
  <c r="O64" i="1"/>
  <c r="O53" i="1"/>
  <c r="O43" i="1"/>
  <c r="O47" i="1"/>
  <c r="O42" i="1"/>
  <c r="N23" i="1"/>
  <c r="N20" i="1"/>
  <c r="N17" i="1"/>
  <c r="E9" i="1"/>
  <c r="F8" i="1" s="1"/>
  <c r="F7" i="1"/>
  <c r="R22" i="1"/>
  <c r="F51" i="1"/>
  <c r="R19" i="1"/>
  <c r="F42" i="1"/>
  <c r="R20" i="1"/>
  <c r="N25" i="1"/>
  <c r="N16" i="1"/>
  <c r="N19" i="1"/>
  <c r="F53" i="1"/>
  <c r="F41" i="1"/>
  <c r="R21" i="1"/>
  <c r="N21" i="1"/>
  <c r="N22" i="1"/>
  <c r="F37" i="1"/>
  <c r="F43" i="1"/>
  <c r="N24" i="1"/>
  <c r="N18" i="1"/>
  <c r="F52" i="1"/>
  <c r="R23" i="1"/>
  <c r="R24" i="1"/>
  <c r="F9" i="1"/>
  <c r="H4" i="5" l="1"/>
  <c r="B10" i="5" s="1"/>
  <c r="B16" i="5" s="1"/>
  <c r="B13" i="5"/>
  <c r="B19" i="5" s="1"/>
  <c r="N7" i="1"/>
  <c r="N9" i="1"/>
  <c r="N8" i="1"/>
  <c r="J22" i="1"/>
  <c r="J16" i="1"/>
  <c r="J18" i="1"/>
  <c r="J21" i="1"/>
  <c r="O50" i="1"/>
  <c r="J24" i="1"/>
  <c r="F40" i="1"/>
  <c r="O62" i="1"/>
  <c r="J19" i="1"/>
  <c r="F49" i="1"/>
  <c r="O61" i="1"/>
  <c r="O52" i="1"/>
  <c r="O51" i="1"/>
  <c r="F48" i="1"/>
  <c r="O65" i="1"/>
  <c r="O44" i="1"/>
  <c r="F50" i="1"/>
  <c r="J23" i="1"/>
  <c r="O40" i="1"/>
  <c r="J25" i="1"/>
  <c r="J17" i="1"/>
  <c r="J20" i="1"/>
  <c r="F36" i="1"/>
  <c r="J15" i="1"/>
  <c r="O36" i="1"/>
  <c r="J6" i="1"/>
  <c r="J8" i="1"/>
  <c r="O34" i="1"/>
  <c r="O45" i="1"/>
  <c r="F16" i="1"/>
  <c r="O72" i="1"/>
  <c r="O58" i="1"/>
  <c r="O68" i="1"/>
  <c r="F34" i="1"/>
  <c r="F17" i="1"/>
  <c r="F22" i="1"/>
  <c r="F24" i="1"/>
  <c r="F38" i="1"/>
  <c r="O59" i="1"/>
  <c r="O49" i="1"/>
  <c r="O60" i="1"/>
  <c r="F15" i="1"/>
  <c r="F20" i="1"/>
  <c r="F19" i="1"/>
  <c r="F21" i="1"/>
  <c r="F25" i="1"/>
  <c r="F44" i="1"/>
  <c r="F46" i="1"/>
  <c r="O48" i="1"/>
  <c r="O38" i="1"/>
  <c r="F23" i="1"/>
  <c r="F47" i="1"/>
  <c r="O9" i="1"/>
  <c r="Q9" i="1" s="1"/>
  <c r="R8" i="1" s="1"/>
  <c r="O71" i="1"/>
  <c r="R16" i="1"/>
  <c r="F45" i="1"/>
  <c r="O39" i="1"/>
  <c r="O35" i="1"/>
  <c r="F35" i="1"/>
  <c r="R18" i="1"/>
  <c r="I7" i="1"/>
  <c r="J7" i="1" s="1"/>
  <c r="R25" i="1"/>
  <c r="R15" i="1"/>
  <c r="R6" i="1" l="1"/>
  <c r="R7" i="1"/>
  <c r="R9" i="1"/>
</calcChain>
</file>

<file path=xl/sharedStrings.xml><?xml version="1.0" encoding="utf-8"?>
<sst xmlns="http://schemas.openxmlformats.org/spreadsheetml/2006/main" count="254" uniqueCount="137">
  <si>
    <t>전체</t>
    <phoneticPr fontId="2" type="noConversion"/>
  </si>
  <si>
    <t>LIFT</t>
    <phoneticPr fontId="2" type="noConversion"/>
  </si>
  <si>
    <t>그룹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</si>
  <si>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</si>
  <si>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</si>
  <si>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</si>
  <si>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계</t>
    <phoneticPr fontId="2" type="noConversion"/>
  </si>
  <si>
    <t>타겟율</t>
    <phoneticPr fontId="2" type="noConversion"/>
  </si>
  <si>
    <t>아동학대예측모델</t>
    <phoneticPr fontId="2" type="noConversion"/>
  </si>
  <si>
    <t>순위</t>
    <phoneticPr fontId="2" type="noConversion"/>
  </si>
  <si>
    <t>타겟</t>
    <phoneticPr fontId="2" type="noConversion"/>
  </si>
  <si>
    <t>통합추천스코어</t>
    <phoneticPr fontId="2" type="noConversion"/>
  </si>
  <si>
    <t>스코어</t>
    <phoneticPr fontId="2" type="noConversion"/>
  </si>
  <si>
    <t>모델 내에서의 평가</t>
    <phoneticPr fontId="2" type="noConversion"/>
  </si>
  <si>
    <t>모델간의 평가</t>
    <phoneticPr fontId="2" type="noConversion"/>
  </si>
  <si>
    <t>PROB</t>
    <phoneticPr fontId="2" type="noConversion"/>
  </si>
  <si>
    <t>ODDS</t>
    <phoneticPr fontId="2" type="noConversion"/>
  </si>
  <si>
    <t>LOGIT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</si>
  <si>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</si>
  <si>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</si>
  <si>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</si>
  <si>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S</t>
    <phoneticPr fontId="2" type="noConversion"/>
  </si>
  <si>
    <t>MAXSCORE</t>
    <phoneticPr fontId="2" type="noConversion"/>
  </si>
  <si>
    <t>G</t>
    <phoneticPr fontId="2" type="noConversion"/>
  </si>
  <si>
    <t>기울기(A)</t>
    <phoneticPr fontId="2" type="noConversion"/>
  </si>
  <si>
    <t>Y절편(B)</t>
    <phoneticPr fontId="2" type="noConversion"/>
  </si>
  <si>
    <t>PDO</t>
    <phoneticPr fontId="2" type="noConversion"/>
  </si>
  <si>
    <t>등급</t>
    <phoneticPr fontId="2" type="noConversion"/>
  </si>
  <si>
    <t>고객수</t>
    <phoneticPr fontId="2" type="noConversion"/>
  </si>
  <si>
    <t>타겟수</t>
    <phoneticPr fontId="2" type="noConversion"/>
  </si>
  <si>
    <t>총합계</t>
    <phoneticPr fontId="2" type="noConversion"/>
  </si>
  <si>
    <t>prob</t>
    <phoneticPr fontId="2" type="noConversion"/>
  </si>
  <si>
    <t>Y</t>
    <phoneticPr fontId="2" type="noConversion"/>
  </si>
  <si>
    <t>N</t>
    <phoneticPr fontId="2" type="noConversion"/>
  </si>
  <si>
    <t>1:N</t>
    <phoneticPr fontId="2" type="noConversion"/>
  </si>
  <si>
    <t>ODDS증가</t>
    <phoneticPr fontId="2" type="noConversion"/>
  </si>
  <si>
    <t>실제ODDS</t>
    <phoneticPr fontId="2" type="noConversion"/>
  </si>
  <si>
    <t>실제ODDS증가</t>
    <phoneticPr fontId="2" type="noConversion"/>
  </si>
  <si>
    <t>GROUP</t>
    <phoneticPr fontId="2" type="noConversion"/>
  </si>
  <si>
    <t>가입고객</t>
    <phoneticPr fontId="2" type="noConversion"/>
  </si>
  <si>
    <t>가입률</t>
    <phoneticPr fontId="2" type="noConversion"/>
  </si>
  <si>
    <t>누적</t>
    <phoneticPr fontId="2" type="noConversion"/>
  </si>
  <si>
    <t>누적회원수</t>
    <phoneticPr fontId="2" type="noConversion"/>
  </si>
  <si>
    <t>TOTAL</t>
    <phoneticPr fontId="2" type="noConversion"/>
  </si>
  <si>
    <t>누적고객비중</t>
    <phoneticPr fontId="2" type="noConversion"/>
  </si>
  <si>
    <t>K-S통계량</t>
    <phoneticPr fontId="2" type="noConversion"/>
  </si>
  <si>
    <t xml:space="preserve">K-S </t>
    <phoneticPr fontId="2" type="noConversion"/>
  </si>
  <si>
    <t>AUROC</t>
    <phoneticPr fontId="2" type="noConversion"/>
  </si>
  <si>
    <t>고객비중</t>
    <phoneticPr fontId="2" type="noConversion"/>
  </si>
  <si>
    <t>모델구분</t>
    <phoneticPr fontId="2" type="noConversion"/>
  </si>
  <si>
    <t>개발시점</t>
    <phoneticPr fontId="2" type="noConversion"/>
  </si>
  <si>
    <t>구분</t>
    <phoneticPr fontId="2" type="noConversion"/>
  </si>
  <si>
    <t>비중</t>
    <phoneticPr fontId="2" type="noConversion"/>
  </si>
  <si>
    <t>PSI</t>
    <phoneticPr fontId="2" type="noConversion"/>
  </si>
  <si>
    <t>개발</t>
    <phoneticPr fontId="2" type="noConversion"/>
  </si>
  <si>
    <t>개발기준월
(202201)</t>
    <phoneticPr fontId="2" type="noConversion"/>
  </si>
  <si>
    <t>가구수</t>
    <phoneticPr fontId="2" type="noConversion"/>
  </si>
  <si>
    <t>비율</t>
    <phoneticPr fontId="2" type="noConversion"/>
  </si>
  <si>
    <t>score_g</t>
  </si>
  <si>
    <t>sum</t>
  </si>
  <si>
    <t>size</t>
  </si>
  <si>
    <t>PSI최종</t>
    <phoneticPr fontId="2" type="noConversion"/>
  </si>
  <si>
    <t>AUC</t>
    <phoneticPr fontId="2" type="noConversion"/>
  </si>
  <si>
    <t>KS통계량</t>
    <phoneticPr fontId="2" type="noConversion"/>
  </si>
  <si>
    <t>누적고객수</t>
    <phoneticPr fontId="2" type="noConversion"/>
  </si>
  <si>
    <t>K-S통게량</t>
    <phoneticPr fontId="2" type="noConversion"/>
  </si>
  <si>
    <t>N(비타겟)</t>
    <phoneticPr fontId="2" type="noConversion"/>
  </si>
  <si>
    <t>Y(타겟)</t>
    <phoneticPr fontId="2" type="noConversion"/>
  </si>
  <si>
    <t>누적비중N</t>
    <phoneticPr fontId="2" type="noConversion"/>
  </si>
  <si>
    <t>누적비중Y</t>
    <phoneticPr fontId="2" type="noConversion"/>
  </si>
  <si>
    <t>카드가입예측모델</t>
  </si>
  <si>
    <t>신용대출예측모델</t>
  </si>
  <si>
    <t>보험가입예측모델</t>
  </si>
  <si>
    <t>카드가입</t>
  </si>
  <si>
    <t>카드가입1</t>
  </si>
  <si>
    <t>카드가입2</t>
  </si>
  <si>
    <t>카드가입3</t>
  </si>
  <si>
    <t>카드가입4</t>
  </si>
  <si>
    <t>카드가입5</t>
  </si>
  <si>
    <t>카드가입6</t>
  </si>
  <si>
    <t>카드가입7</t>
  </si>
  <si>
    <t>카드가입8</t>
  </si>
  <si>
    <t>카드가입10</t>
  </si>
  <si>
    <t>카드가입9</t>
  </si>
  <si>
    <t>신용대출</t>
  </si>
  <si>
    <t>신용대출1</t>
  </si>
  <si>
    <t>신용대출2</t>
  </si>
  <si>
    <t>신용대출10</t>
  </si>
  <si>
    <t>신용대출3</t>
  </si>
  <si>
    <t>신용대출4</t>
  </si>
  <si>
    <t>신용대출5</t>
  </si>
  <si>
    <t>신용대출6</t>
  </si>
  <si>
    <t>신용대출7</t>
  </si>
  <si>
    <t>신용대출9</t>
  </si>
  <si>
    <t>신용대출8</t>
  </si>
  <si>
    <t>보험가입</t>
  </si>
  <si>
    <t>저축가입예측모델</t>
  </si>
  <si>
    <t>저축가입</t>
  </si>
  <si>
    <t>저축가입1</t>
  </si>
  <si>
    <t>저축가입2</t>
  </si>
  <si>
    <t>저축가입3</t>
  </si>
  <si>
    <t>저축가입4</t>
  </si>
  <si>
    <t>저축가입5</t>
  </si>
  <si>
    <t>저축가입6</t>
  </si>
  <si>
    <t>저축가입7</t>
  </si>
  <si>
    <t>저축가입8</t>
  </si>
  <si>
    <t>저축가입9</t>
  </si>
  <si>
    <t>저축가입10</t>
  </si>
  <si>
    <t>보험가입1</t>
  </si>
  <si>
    <t>보험가입2</t>
  </si>
  <si>
    <t>보험가입9</t>
  </si>
  <si>
    <t>보험가입3</t>
  </si>
  <si>
    <t>보험가입4</t>
  </si>
  <si>
    <t>보험가입5</t>
  </si>
  <si>
    <t>보험가입8</t>
  </si>
  <si>
    <t>보험가입10</t>
  </si>
  <si>
    <t>보험가입7</t>
  </si>
  <si>
    <t>보험가입6</t>
  </si>
  <si>
    <t>신용대출
예측모델</t>
    <phoneticPr fontId="2" type="noConversion"/>
  </si>
  <si>
    <t>신용대출 예측모델</t>
    <phoneticPr fontId="2" type="noConversion"/>
  </si>
  <si>
    <t>보헙가입
예측모델</t>
    <phoneticPr fontId="2" type="noConversion"/>
  </si>
  <si>
    <t>보험가입 예측모델</t>
    <phoneticPr fontId="2" type="noConversion"/>
  </si>
  <si>
    <t>24.1월</t>
    <phoneticPr fontId="2" type="noConversion"/>
  </si>
  <si>
    <t>고객명</t>
    <phoneticPr fontId="2" type="noConversion"/>
  </si>
  <si>
    <t>key</t>
    <phoneticPr fontId="2" type="noConversion"/>
  </si>
  <si>
    <t>기준월</t>
    <phoneticPr fontId="2" type="noConversion"/>
  </si>
  <si>
    <t>고길동</t>
    <phoneticPr fontId="2" type="noConversion"/>
  </si>
  <si>
    <t>1순위</t>
    <phoneticPr fontId="2" type="noConversion"/>
  </si>
  <si>
    <t>2순위</t>
    <phoneticPr fontId="2" type="noConversion"/>
  </si>
  <si>
    <t>3순위</t>
    <phoneticPr fontId="2" type="noConversion"/>
  </si>
  <si>
    <t>4순위</t>
    <phoneticPr fontId="2" type="noConversion"/>
  </si>
  <si>
    <t>카드가입</t>
    <phoneticPr fontId="2" type="noConversion"/>
  </si>
  <si>
    <t>신용대출</t>
    <phoneticPr fontId="2" type="noConversion"/>
  </si>
  <si>
    <t>보험가입</t>
    <phoneticPr fontId="2" type="noConversion"/>
  </si>
  <si>
    <t>X</t>
    <phoneticPr fontId="2" type="noConversion"/>
  </si>
  <si>
    <t>저축가입</t>
    <phoneticPr fontId="2" type="noConversion"/>
  </si>
  <si>
    <t>테이블 형상 예시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</si>
</sst>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_-* #,##0.00_-;\-* #,##0.00_-;_-* &quot;-&quot;_-;_-@_-"/>
    <numFmt numFmtId="178" formatCode="_-* #,##0.000_-;\-* #,##0.000_-;_-* &quot;-&quot;_-;_-@_-"/>
    <numFmt numFmtId="179" formatCode="0.0%"/>
    <numFmt numFmtId="180" formatCode="0.000"/>
    <numFmt numFmtId="181" formatCode="0.000%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41" fontId="0" fillId="4" borderId="10" xfId="1" applyFont="1" applyFill="1" applyBorder="1" applyAlignment="1"/>
    <xf numFmtId="41" fontId="0" fillId="4" borderId="2" xfId="1" applyFont="1" applyFill="1" applyBorder="1" applyAlignment="1"/>
    <xf numFmtId="41" fontId="0" fillId="4" borderId="28" xfId="1" applyFont="1" applyFill="1" applyBorder="1" applyAlignment="1"/>
    <xf numFmtId="41" fontId="0" fillId="4" borderId="29" xfId="1" applyFont="1" applyFill="1" applyBorder="1" applyAlignment="1"/>
    <xf numFmtId="41" fontId="0" fillId="5" borderId="28" xfId="1" applyFont="1" applyFill="1" applyBorder="1" applyAlignment="1"/>
    <xf numFmtId="41" fontId="0" fillId="5" borderId="29" xfId="1" applyFont="1" applyFill="1" applyBorder="1" applyAlignment="1"/>
    <xf numFmtId="41" fontId="0" fillId="2" borderId="28" xfId="1" applyFont="1" applyFill="1" applyBorder="1" applyAlignment="1"/>
    <xf numFmtId="41" fontId="0" fillId="2" borderId="29" xfId="1" applyFont="1" applyFill="1" applyBorder="1" applyAlignment="1"/>
    <xf numFmtId="41" fontId="0" fillId="2" borderId="12" xfId="1" applyFont="1" applyFill="1" applyBorder="1" applyAlignment="1"/>
    <xf numFmtId="41" fontId="0" fillId="2" borderId="3" xfId="1" applyFont="1" applyFill="1" applyBorder="1" applyAlignment="1"/>
    <xf numFmtId="41" fontId="0" fillId="2" borderId="14" xfId="1" applyFont="1" applyFill="1" applyBorder="1" applyAlignment="1"/>
    <xf numFmtId="41" fontId="0" fillId="2" borderId="4" xfId="1" applyFont="1" applyFill="1" applyBorder="1" applyAlignment="1"/>
    <xf numFmtId="41" fontId="3" fillId="0" borderId="24" xfId="1" applyFont="1" applyBorder="1" applyAlignment="1"/>
    <xf numFmtId="41" fontId="3" fillId="0" borderId="25" xfId="1" applyFont="1" applyBorder="1" applyAlignment="1"/>
    <xf numFmtId="41" fontId="0" fillId="5" borderId="12" xfId="1" applyFont="1" applyFill="1" applyBorder="1" applyAlignment="1"/>
    <xf numFmtId="41" fontId="0" fillId="5" borderId="3" xfId="1" applyFont="1" applyFill="1" applyBorder="1" applyAlignment="1"/>
    <xf numFmtId="10" fontId="0" fillId="4" borderId="2" xfId="2" applyNumberFormat="1" applyFont="1" applyFill="1" applyBorder="1" applyAlignment="1"/>
    <xf numFmtId="10" fontId="0" fillId="4" borderId="29" xfId="2" applyNumberFormat="1" applyFont="1" applyFill="1" applyBorder="1" applyAlignment="1"/>
    <xf numFmtId="10" fontId="0" fillId="5" borderId="29" xfId="2" applyNumberFormat="1" applyFont="1" applyFill="1" applyBorder="1" applyAlignment="1"/>
    <xf numFmtId="10" fontId="0" fillId="2" borderId="29" xfId="2" applyNumberFormat="1" applyFont="1" applyFill="1" applyBorder="1" applyAlignment="1"/>
    <xf numFmtId="10" fontId="0" fillId="2" borderId="3" xfId="2" applyNumberFormat="1" applyFont="1" applyFill="1" applyBorder="1" applyAlignment="1"/>
    <xf numFmtId="10" fontId="0" fillId="2" borderId="4" xfId="2" applyNumberFormat="1" applyFont="1" applyFill="1" applyBorder="1" applyAlignment="1"/>
    <xf numFmtId="10" fontId="3" fillId="0" borderId="25" xfId="2" applyNumberFormat="1" applyFont="1" applyBorder="1" applyAlignment="1"/>
    <xf numFmtId="10" fontId="0" fillId="5" borderId="3" xfId="2" applyNumberFormat="1" applyFont="1" applyFill="1" applyBorder="1" applyAlignment="1"/>
    <xf numFmtId="176" fontId="0" fillId="4" borderId="11" xfId="1" applyNumberFormat="1" applyFont="1" applyFill="1" applyBorder="1" applyAlignment="1"/>
    <xf numFmtId="176" fontId="0" fillId="4" borderId="30" xfId="1" applyNumberFormat="1" applyFont="1" applyFill="1" applyBorder="1" applyAlignment="1"/>
    <xf numFmtId="176" fontId="0" fillId="5" borderId="30" xfId="1" applyNumberFormat="1" applyFont="1" applyFill="1" applyBorder="1" applyAlignment="1"/>
    <xf numFmtId="176" fontId="0" fillId="2" borderId="30" xfId="1" applyNumberFormat="1" applyFont="1" applyFill="1" applyBorder="1" applyAlignment="1"/>
    <xf numFmtId="176" fontId="0" fillId="2" borderId="13" xfId="1" applyNumberFormat="1" applyFont="1" applyFill="1" applyBorder="1" applyAlignment="1"/>
    <xf numFmtId="176" fontId="0" fillId="2" borderId="15" xfId="1" applyNumberFormat="1" applyFont="1" applyFill="1" applyBorder="1" applyAlignment="1"/>
    <xf numFmtId="176" fontId="3" fillId="0" borderId="26" xfId="1" applyNumberFormat="1" applyFont="1" applyBorder="1" applyAlignment="1"/>
    <xf numFmtId="176" fontId="0" fillId="5" borderId="13" xfId="1" applyNumberFormat="1" applyFont="1" applyFill="1" applyBorder="1" applyAlignment="1"/>
    <xf numFmtId="176" fontId="0" fillId="5" borderId="13" xfId="0" applyNumberFormat="1" applyFill="1" applyBorder="1"/>
    <xf numFmtId="176" fontId="0" fillId="2" borderId="15" xfId="0" applyNumberFormat="1" applyFill="1" applyBorder="1"/>
    <xf numFmtId="176" fontId="3" fillId="0" borderId="26" xfId="0" applyNumberFormat="1" applyFont="1" applyBorder="1"/>
    <xf numFmtId="0" fontId="3" fillId="5" borderId="27" xfId="0" applyFont="1" applyFill="1" applyBorder="1" applyAlignment="1">
      <alignment horizontal="center"/>
    </xf>
    <xf numFmtId="41" fontId="3" fillId="5" borderId="28" xfId="1" applyFont="1" applyFill="1" applyBorder="1" applyAlignment="1"/>
    <xf numFmtId="41" fontId="3" fillId="5" borderId="29" xfId="1" applyFont="1" applyFill="1" applyBorder="1" applyAlignment="1"/>
    <xf numFmtId="10" fontId="3" fillId="5" borderId="29" xfId="2" applyNumberFormat="1" applyFont="1" applyFill="1" applyBorder="1" applyAlignment="1"/>
    <xf numFmtId="176" fontId="3" fillId="5" borderId="30" xfId="1" applyNumberFormat="1" applyFont="1" applyFill="1" applyBorder="1" applyAlignment="1"/>
    <xf numFmtId="0" fontId="4" fillId="4" borderId="16" xfId="0" applyFont="1" applyFill="1" applyBorder="1" applyAlignment="1">
      <alignment horizontal="center"/>
    </xf>
    <xf numFmtId="41" fontId="4" fillId="4" borderId="10" xfId="1" applyFont="1" applyFill="1" applyBorder="1" applyAlignment="1"/>
    <xf numFmtId="41" fontId="4" fillId="4" borderId="2" xfId="1" applyFont="1" applyFill="1" applyBorder="1" applyAlignment="1"/>
    <xf numFmtId="10" fontId="4" fillId="4" borderId="2" xfId="2" applyNumberFormat="1" applyFont="1" applyFill="1" applyBorder="1" applyAlignment="1"/>
    <xf numFmtId="176" fontId="4" fillId="4" borderId="11" xfId="1" applyNumberFormat="1" applyFont="1" applyFill="1" applyBorder="1" applyAlignment="1"/>
    <xf numFmtId="0" fontId="4" fillId="4" borderId="27" xfId="0" applyFont="1" applyFill="1" applyBorder="1" applyAlignment="1">
      <alignment horizontal="center"/>
    </xf>
    <xf numFmtId="41" fontId="4" fillId="4" borderId="28" xfId="1" applyFont="1" applyFill="1" applyBorder="1" applyAlignment="1"/>
    <xf numFmtId="41" fontId="4" fillId="4" borderId="29" xfId="1" applyFont="1" applyFill="1" applyBorder="1" applyAlignment="1"/>
    <xf numFmtId="10" fontId="4" fillId="4" borderId="29" xfId="2" applyNumberFormat="1" applyFont="1" applyFill="1" applyBorder="1" applyAlignment="1"/>
    <xf numFmtId="176" fontId="4" fillId="4" borderId="30" xfId="1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0" fontId="4" fillId="0" borderId="9" xfId="0" applyFont="1" applyBorder="1"/>
    <xf numFmtId="0" fontId="4" fillId="4" borderId="17" xfId="0" applyFont="1" applyFill="1" applyBorder="1" applyAlignment="1">
      <alignment horizontal="center"/>
    </xf>
    <xf numFmtId="41" fontId="4" fillId="4" borderId="12" xfId="1" applyFont="1" applyFill="1" applyBorder="1" applyAlignment="1"/>
    <xf numFmtId="41" fontId="4" fillId="4" borderId="3" xfId="1" applyFont="1" applyFill="1" applyBorder="1" applyAlignment="1"/>
    <xf numFmtId="10" fontId="4" fillId="4" borderId="3" xfId="2" applyNumberFormat="1" applyFont="1" applyFill="1" applyBorder="1" applyAlignment="1"/>
    <xf numFmtId="176" fontId="4" fillId="4" borderId="13" xfId="1" applyNumberFormat="1" applyFont="1" applyFill="1" applyBorder="1" applyAlignment="1"/>
    <xf numFmtId="0" fontId="4" fillId="5" borderId="17" xfId="0" applyFont="1" applyFill="1" applyBorder="1" applyAlignment="1">
      <alignment horizontal="center"/>
    </xf>
    <xf numFmtId="41" fontId="4" fillId="5" borderId="12" xfId="1" applyFont="1" applyFill="1" applyBorder="1" applyAlignment="1"/>
    <xf numFmtId="41" fontId="4" fillId="5" borderId="3" xfId="1" applyFont="1" applyFill="1" applyBorder="1" applyAlignment="1"/>
    <xf numFmtId="10" fontId="4" fillId="5" borderId="3" xfId="2" applyNumberFormat="1" applyFont="1" applyFill="1" applyBorder="1" applyAlignment="1"/>
    <xf numFmtId="176" fontId="4" fillId="5" borderId="13" xfId="1" applyNumberFormat="1" applyFont="1" applyFill="1" applyBorder="1" applyAlignment="1"/>
    <xf numFmtId="0" fontId="4" fillId="2" borderId="17" xfId="0" applyFont="1" applyFill="1" applyBorder="1" applyAlignment="1">
      <alignment horizontal="center"/>
    </xf>
    <xf numFmtId="41" fontId="4" fillId="2" borderId="12" xfId="1" applyFont="1" applyFill="1" applyBorder="1" applyAlignment="1"/>
    <xf numFmtId="41" fontId="4" fillId="2" borderId="3" xfId="1" applyFont="1" applyFill="1" applyBorder="1" applyAlignment="1"/>
    <xf numFmtId="10" fontId="4" fillId="2" borderId="3" xfId="2" applyNumberFormat="1" applyFont="1" applyFill="1" applyBorder="1" applyAlignment="1"/>
    <xf numFmtId="176" fontId="4" fillId="2" borderId="13" xfId="1" applyNumberFormat="1" applyFont="1" applyFill="1" applyBorder="1" applyAlignment="1"/>
    <xf numFmtId="0" fontId="4" fillId="2" borderId="18" xfId="0" applyFont="1" applyFill="1" applyBorder="1" applyAlignment="1">
      <alignment horizontal="center"/>
    </xf>
    <xf numFmtId="41" fontId="4" fillId="2" borderId="14" xfId="1" applyFont="1" applyFill="1" applyBorder="1" applyAlignment="1"/>
    <xf numFmtId="41" fontId="4" fillId="2" borderId="4" xfId="1" applyFont="1" applyFill="1" applyBorder="1" applyAlignment="1"/>
    <xf numFmtId="10" fontId="4" fillId="2" borderId="4" xfId="2" applyNumberFormat="1" applyFont="1" applyFill="1" applyBorder="1" applyAlignment="1"/>
    <xf numFmtId="176" fontId="4" fillId="2" borderId="15" xfId="1" applyNumberFormat="1" applyFont="1" applyFill="1" applyBorder="1" applyAlignment="1"/>
    <xf numFmtId="0" fontId="5" fillId="3" borderId="0" xfId="0" applyFont="1" applyFill="1" applyAlignment="1">
      <alignment horizontal="center"/>
    </xf>
    <xf numFmtId="0" fontId="5" fillId="0" borderId="0" xfId="0" applyFont="1"/>
    <xf numFmtId="0" fontId="3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1" fontId="0" fillId="0" borderId="0" xfId="1" applyFont="1" applyAlignment="1"/>
    <xf numFmtId="176" fontId="0" fillId="0" borderId="0" xfId="1" applyNumberFormat="1" applyFont="1" applyAlignment="1"/>
    <xf numFmtId="177" fontId="0" fillId="0" borderId="0" xfId="1" applyNumberFormat="1" applyFont="1" applyAlignment="1"/>
    <xf numFmtId="178" fontId="0" fillId="6" borderId="0" xfId="1" applyNumberFormat="1" applyFont="1" applyFill="1" applyAlignment="1"/>
    <xf numFmtId="178" fontId="0" fillId="0" borderId="0" xfId="1" applyNumberFormat="1" applyFont="1" applyAlignment="1"/>
    <xf numFmtId="176" fontId="0" fillId="0" borderId="0" xfId="0" applyNumberFormat="1"/>
    <xf numFmtId="179" fontId="0" fillId="0" borderId="0" xfId="2" applyNumberFormat="1" applyFont="1" applyAlignment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/>
    <xf numFmtId="179" fontId="0" fillId="4" borderId="2" xfId="2" applyNumberFormat="1" applyFont="1" applyFill="1" applyBorder="1" applyAlignment="1"/>
    <xf numFmtId="179" fontId="0" fillId="4" borderId="29" xfId="2" applyNumberFormat="1" applyFont="1" applyFill="1" applyBorder="1" applyAlignment="1"/>
    <xf numFmtId="179" fontId="0" fillId="5" borderId="29" xfId="2" applyNumberFormat="1" applyFont="1" applyFill="1" applyBorder="1" applyAlignment="1"/>
    <xf numFmtId="179" fontId="3" fillId="5" borderId="29" xfId="2" applyNumberFormat="1" applyFont="1" applyFill="1" applyBorder="1" applyAlignment="1"/>
    <xf numFmtId="179" fontId="0" fillId="2" borderId="29" xfId="2" applyNumberFormat="1" applyFont="1" applyFill="1" applyBorder="1" applyAlignment="1"/>
    <xf numFmtId="179" fontId="0" fillId="2" borderId="3" xfId="2" applyNumberFormat="1" applyFont="1" applyFill="1" applyBorder="1" applyAlignment="1"/>
    <xf numFmtId="179" fontId="0" fillId="2" borderId="4" xfId="2" applyNumberFormat="1" applyFont="1" applyFill="1" applyBorder="1" applyAlignment="1"/>
    <xf numFmtId="179" fontId="3" fillId="0" borderId="25" xfId="2" applyNumberFormat="1" applyFont="1" applyBorder="1" applyAlignment="1"/>
    <xf numFmtId="0" fontId="0" fillId="0" borderId="1" xfId="0" applyBorder="1" applyAlignment="1">
      <alignment horizontal="center" vertical="center" wrapText="1"/>
    </xf>
    <xf numFmtId="41" fontId="0" fillId="3" borderId="2" xfId="1" applyFont="1" applyFill="1" applyBorder="1" applyAlignment="1"/>
    <xf numFmtId="41" fontId="0" fillId="3" borderId="3" xfId="1" applyFont="1" applyFill="1" applyBorder="1" applyAlignment="1"/>
    <xf numFmtId="41" fontId="0" fillId="3" borderId="4" xfId="1" applyFont="1" applyFill="1" applyBorder="1" applyAlignment="1"/>
    <xf numFmtId="41" fontId="0" fillId="0" borderId="1" xfId="1" applyFont="1" applyBorder="1" applyAlignment="1"/>
    <xf numFmtId="9" fontId="0" fillId="0" borderId="1" xfId="2" applyFont="1" applyBorder="1" applyAlignment="1"/>
    <xf numFmtId="179" fontId="0" fillId="6" borderId="1" xfId="2" applyNumberFormat="1" applyFont="1" applyFill="1" applyBorder="1" applyAlignment="1"/>
    <xf numFmtId="179" fontId="5" fillId="6" borderId="1" xfId="2" applyNumberFormat="1" applyFont="1" applyFill="1" applyBorder="1" applyAlignment="1"/>
    <xf numFmtId="0" fontId="0" fillId="2" borderId="0" xfId="0" applyFill="1"/>
    <xf numFmtId="179" fontId="0" fillId="2" borderId="0" xfId="2" applyNumberFormat="1" applyFont="1" applyFill="1" applyAlignment="1"/>
    <xf numFmtId="181" fontId="0" fillId="0" borderId="1" xfId="2" applyNumberFormat="1" applyFont="1" applyBorder="1" applyAlignment="1"/>
    <xf numFmtId="179" fontId="0" fillId="0" borderId="1" xfId="0" applyNumberFormat="1" applyBorder="1"/>
    <xf numFmtId="43" fontId="0" fillId="0" borderId="1" xfId="0" applyNumberFormat="1" applyBorder="1"/>
    <xf numFmtId="176" fontId="0" fillId="0" borderId="1" xfId="1" applyNumberFormat="1" applyFont="1" applyBorder="1" applyAlignment="1"/>
    <xf numFmtId="179" fontId="0" fillId="0" borderId="1" xfId="2" applyNumberFormat="1" applyFont="1" applyBorder="1" applyAlignment="1"/>
    <xf numFmtId="0" fontId="0" fillId="8" borderId="2" xfId="0" applyFill="1" applyBorder="1"/>
    <xf numFmtId="179" fontId="0" fillId="8" borderId="2" xfId="2" applyNumberFormat="1" applyFont="1" applyFill="1" applyBorder="1" applyAlignment="1"/>
    <xf numFmtId="9" fontId="0" fillId="8" borderId="2" xfId="2" applyFont="1" applyFill="1" applyBorder="1" applyAlignment="1"/>
    <xf numFmtId="179" fontId="0" fillId="8" borderId="2" xfId="0" applyNumberFormat="1" applyFill="1" applyBorder="1"/>
    <xf numFmtId="177" fontId="0" fillId="8" borderId="2" xfId="1" applyNumberFormat="1" applyFont="1" applyFill="1" applyBorder="1" applyAlignment="1"/>
    <xf numFmtId="43" fontId="0" fillId="8" borderId="2" xfId="0" applyNumberFormat="1" applyFill="1" applyBorder="1"/>
    <xf numFmtId="176" fontId="0" fillId="8" borderId="2" xfId="1" applyNumberFormat="1" applyFont="1" applyFill="1" applyBorder="1" applyAlignment="1"/>
    <xf numFmtId="0" fontId="0" fillId="8" borderId="3" xfId="0" applyFill="1" applyBorder="1"/>
    <xf numFmtId="179" fontId="0" fillId="8" borderId="3" xfId="2" applyNumberFormat="1" applyFont="1" applyFill="1" applyBorder="1" applyAlignment="1"/>
    <xf numFmtId="9" fontId="0" fillId="8" borderId="3" xfId="2" applyFont="1" applyFill="1" applyBorder="1" applyAlignment="1"/>
    <xf numFmtId="179" fontId="0" fillId="8" borderId="3" xfId="0" applyNumberFormat="1" applyFill="1" applyBorder="1"/>
    <xf numFmtId="177" fontId="0" fillId="8" borderId="3" xfId="1" applyNumberFormat="1" applyFont="1" applyFill="1" applyBorder="1" applyAlignment="1"/>
    <xf numFmtId="43" fontId="0" fillId="8" borderId="3" xfId="0" applyNumberFormat="1" applyFill="1" applyBorder="1"/>
    <xf numFmtId="176" fontId="0" fillId="8" borderId="3" xfId="1" applyNumberFormat="1" applyFont="1" applyFill="1" applyBorder="1" applyAlignment="1"/>
    <xf numFmtId="0" fontId="0" fillId="7" borderId="3" xfId="0" applyFill="1" applyBorder="1"/>
    <xf numFmtId="179" fontId="0" fillId="7" borderId="3" xfId="2" applyNumberFormat="1" applyFont="1" applyFill="1" applyBorder="1" applyAlignment="1"/>
    <xf numFmtId="9" fontId="0" fillId="7" borderId="3" xfId="2" applyFont="1" applyFill="1" applyBorder="1" applyAlignment="1"/>
    <xf numFmtId="179" fontId="0" fillId="7" borderId="3" xfId="0" applyNumberFormat="1" applyFill="1" applyBorder="1"/>
    <xf numFmtId="177" fontId="0" fillId="7" borderId="3" xfId="1" applyNumberFormat="1" applyFont="1" applyFill="1" applyBorder="1" applyAlignment="1"/>
    <xf numFmtId="43" fontId="0" fillId="7" borderId="3" xfId="0" applyNumberFormat="1" applyFill="1" applyBorder="1"/>
    <xf numFmtId="176" fontId="0" fillId="7" borderId="3" xfId="1" applyNumberFormat="1" applyFont="1" applyFill="1" applyBorder="1" applyAlignment="1"/>
    <xf numFmtId="0" fontId="0" fillId="2" borderId="3" xfId="0" applyFill="1" applyBorder="1"/>
    <xf numFmtId="9" fontId="0" fillId="2" borderId="3" xfId="2" applyFont="1" applyFill="1" applyBorder="1" applyAlignment="1"/>
    <xf numFmtId="179" fontId="0" fillId="2" borderId="3" xfId="0" applyNumberFormat="1" applyFill="1" applyBorder="1"/>
    <xf numFmtId="177" fontId="0" fillId="2" borderId="3" xfId="1" applyNumberFormat="1" applyFont="1" applyFill="1" applyBorder="1" applyAlignment="1"/>
    <xf numFmtId="43" fontId="0" fillId="2" borderId="3" xfId="0" applyNumberFormat="1" applyFill="1" applyBorder="1"/>
    <xf numFmtId="176" fontId="0" fillId="2" borderId="3" xfId="1" applyNumberFormat="1" applyFont="1" applyFill="1" applyBorder="1" applyAlignment="1"/>
    <xf numFmtId="0" fontId="0" fillId="2" borderId="4" xfId="0" applyFill="1" applyBorder="1"/>
    <xf numFmtId="9" fontId="0" fillId="2" borderId="4" xfId="2" applyFont="1" applyFill="1" applyBorder="1" applyAlignment="1"/>
    <xf numFmtId="179" fontId="0" fillId="2" borderId="4" xfId="0" applyNumberFormat="1" applyFill="1" applyBorder="1"/>
    <xf numFmtId="177" fontId="0" fillId="2" borderId="4" xfId="1" applyNumberFormat="1" applyFont="1" applyFill="1" applyBorder="1" applyAlignment="1"/>
    <xf numFmtId="43" fontId="0" fillId="2" borderId="4" xfId="0" applyNumberFormat="1" applyFill="1" applyBorder="1"/>
    <xf numFmtId="176" fontId="0" fillId="2" borderId="4" xfId="1" applyNumberFormat="1" applyFont="1" applyFill="1" applyBorder="1" applyAlignment="1"/>
    <xf numFmtId="0" fontId="0" fillId="0" borderId="6" xfId="0" applyBorder="1"/>
    <xf numFmtId="0" fontId="0" fillId="0" borderId="33" xfId="0" applyBorder="1"/>
    <xf numFmtId="0" fontId="0" fillId="0" borderId="7" xfId="0" applyBorder="1"/>
    <xf numFmtId="41" fontId="0" fillId="8" borderId="2" xfId="1" applyFont="1" applyFill="1" applyBorder="1" applyAlignment="1"/>
    <xf numFmtId="41" fontId="0" fillId="8" borderId="3" xfId="1" applyFont="1" applyFill="1" applyBorder="1" applyAlignment="1"/>
    <xf numFmtId="41" fontId="0" fillId="7" borderId="3" xfId="1" applyFont="1" applyFill="1" applyBorder="1" applyAlignment="1"/>
    <xf numFmtId="41" fontId="0" fillId="0" borderId="1" xfId="1" applyFont="1" applyBorder="1" applyAlignment="1">
      <alignment horizontal="center" vertical="center"/>
    </xf>
    <xf numFmtId="177" fontId="0" fillId="0" borderId="1" xfId="1" applyNumberFormat="1" applyFont="1" applyBorder="1" applyAlignment="1">
      <alignment horizontal="right" vertical="center"/>
    </xf>
    <xf numFmtId="41" fontId="0" fillId="0" borderId="2" xfId="0" applyNumberFormat="1" applyBorder="1"/>
    <xf numFmtId="10" fontId="0" fillId="0" borderId="2" xfId="2" applyNumberFormat="1" applyFont="1" applyBorder="1" applyAlignment="1"/>
    <xf numFmtId="10" fontId="0" fillId="0" borderId="2" xfId="0" applyNumberFormat="1" applyBorder="1"/>
    <xf numFmtId="179" fontId="0" fillId="0" borderId="2" xfId="2" applyNumberFormat="1" applyFont="1" applyBorder="1" applyAlignment="1"/>
    <xf numFmtId="41" fontId="0" fillId="0" borderId="3" xfId="0" applyNumberFormat="1" applyBorder="1"/>
    <xf numFmtId="10" fontId="0" fillId="0" borderId="3" xfId="2" applyNumberFormat="1" applyFont="1" applyBorder="1" applyAlignment="1"/>
    <xf numFmtId="10" fontId="0" fillId="0" borderId="3" xfId="0" applyNumberFormat="1" applyBorder="1"/>
    <xf numFmtId="179" fontId="0" fillId="0" borderId="3" xfId="2" applyNumberFormat="1" applyFont="1" applyBorder="1" applyAlignment="1"/>
    <xf numFmtId="41" fontId="0" fillId="0" borderId="4" xfId="0" applyNumberFormat="1" applyBorder="1"/>
    <xf numFmtId="10" fontId="0" fillId="0" borderId="4" xfId="2" applyNumberFormat="1" applyFont="1" applyBorder="1" applyAlignment="1"/>
    <xf numFmtId="10" fontId="0" fillId="0" borderId="4" xfId="0" applyNumberFormat="1" applyBorder="1"/>
    <xf numFmtId="179" fontId="0" fillId="0" borderId="4" xfId="2" applyNumberFormat="1" applyFont="1" applyBorder="1" applyAlignment="1"/>
    <xf numFmtId="41" fontId="0" fillId="3" borderId="2" xfId="1" applyFont="1" applyFill="1" applyBorder="1" applyAlignment="1">
      <alignment horizontal="center" vertical="center"/>
    </xf>
    <xf numFmtId="176" fontId="0" fillId="0" borderId="2" xfId="1" applyNumberFormat="1" applyFont="1" applyBorder="1" applyAlignment="1">
      <alignment horizontal="right" vertical="center"/>
    </xf>
    <xf numFmtId="41" fontId="0" fillId="3" borderId="3" xfId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right" vertical="center"/>
    </xf>
    <xf numFmtId="41" fontId="0" fillId="3" borderId="4" xfId="1" applyFont="1" applyFill="1" applyBorder="1" applyAlignment="1">
      <alignment horizontal="center" vertical="center"/>
    </xf>
    <xf numFmtId="176" fontId="0" fillId="0" borderId="4" xfId="1" applyNumberFormat="1" applyFont="1" applyBorder="1" applyAlignment="1">
      <alignment horizontal="right" vertical="center"/>
    </xf>
    <xf numFmtId="179" fontId="5" fillId="6" borderId="1" xfId="2" applyNumberFormat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41" fontId="0" fillId="2" borderId="0" xfId="1" applyFont="1" applyFill="1" applyAlignment="1"/>
    <xf numFmtId="0" fontId="0" fillId="0" borderId="1" xfId="0" applyBorder="1" applyAlignment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16" xfId="0" applyFont="1" applyFill="1" applyBorder="1" applyAlignment="1">
      <alignment horizontal="center"/>
    </xf>
    <xf numFmtId="41" fontId="6" fillId="4" borderId="10" xfId="1" applyFont="1" applyFill="1" applyBorder="1" applyAlignment="1"/>
    <xf numFmtId="41" fontId="6" fillId="4" borderId="2" xfId="1" applyFont="1" applyFill="1" applyBorder="1" applyAlignment="1"/>
    <xf numFmtId="10" fontId="6" fillId="4" borderId="2" xfId="2" applyNumberFormat="1" applyFont="1" applyFill="1" applyBorder="1" applyAlignment="1"/>
    <xf numFmtId="176" fontId="6" fillId="4" borderId="11" xfId="1" applyNumberFormat="1" applyFont="1" applyFill="1" applyBorder="1" applyAlignment="1"/>
    <xf numFmtId="41" fontId="6" fillId="5" borderId="28" xfId="1" applyFont="1" applyFill="1" applyBorder="1" applyAlignment="1"/>
    <xf numFmtId="41" fontId="6" fillId="5" borderId="29" xfId="1" applyFont="1" applyFill="1" applyBorder="1" applyAlignment="1"/>
    <xf numFmtId="10" fontId="6" fillId="5" borderId="29" xfId="2" applyNumberFormat="1" applyFont="1" applyFill="1" applyBorder="1" applyAlignment="1"/>
    <xf numFmtId="176" fontId="6" fillId="5" borderId="30" xfId="1" applyNumberFormat="1" applyFont="1" applyFill="1" applyBorder="1" applyAlignment="1"/>
    <xf numFmtId="41" fontId="6" fillId="2" borderId="28" xfId="1" applyFont="1" applyFill="1" applyBorder="1" applyAlignment="1"/>
    <xf numFmtId="41" fontId="6" fillId="2" borderId="29" xfId="1" applyFont="1" applyFill="1" applyBorder="1" applyAlignment="1"/>
    <xf numFmtId="10" fontId="6" fillId="2" borderId="29" xfId="2" applyNumberFormat="1" applyFont="1" applyFill="1" applyBorder="1" applyAlignment="1"/>
    <xf numFmtId="176" fontId="6" fillId="2" borderId="30" xfId="1" applyNumberFormat="1" applyFont="1" applyFill="1" applyBorder="1" applyAlignment="1"/>
    <xf numFmtId="0" fontId="7" fillId="4" borderId="16" xfId="0" applyFont="1" applyFill="1" applyBorder="1" applyAlignment="1">
      <alignment horizontal="center"/>
    </xf>
    <xf numFmtId="41" fontId="7" fillId="4" borderId="10" xfId="1" applyFont="1" applyFill="1" applyBorder="1" applyAlignment="1"/>
    <xf numFmtId="41" fontId="7" fillId="4" borderId="2" xfId="1" applyFont="1" applyFill="1" applyBorder="1" applyAlignment="1"/>
    <xf numFmtId="10" fontId="7" fillId="4" borderId="2" xfId="2" applyNumberFormat="1" applyFont="1" applyFill="1" applyBorder="1" applyAlignment="1"/>
    <xf numFmtId="176" fontId="7" fillId="4" borderId="11" xfId="1" applyNumberFormat="1" applyFont="1" applyFill="1" applyBorder="1" applyAlignment="1"/>
    <xf numFmtId="0" fontId="7" fillId="5" borderId="17" xfId="0" applyFont="1" applyFill="1" applyBorder="1" applyAlignment="1">
      <alignment horizontal="center"/>
    </xf>
    <xf numFmtId="41" fontId="7" fillId="5" borderId="12" xfId="1" applyFont="1" applyFill="1" applyBorder="1" applyAlignment="1"/>
    <xf numFmtId="41" fontId="7" fillId="5" borderId="3" xfId="1" applyFont="1" applyFill="1" applyBorder="1" applyAlignment="1"/>
    <xf numFmtId="10" fontId="7" fillId="5" borderId="3" xfId="2" applyNumberFormat="1" applyFont="1" applyFill="1" applyBorder="1" applyAlignment="1"/>
    <xf numFmtId="176" fontId="7" fillId="5" borderId="13" xfId="1" applyNumberFormat="1" applyFont="1" applyFill="1" applyBorder="1" applyAlignment="1"/>
    <xf numFmtId="41" fontId="8" fillId="5" borderId="28" xfId="1" applyFont="1" applyFill="1" applyBorder="1" applyAlignment="1"/>
    <xf numFmtId="41" fontId="8" fillId="5" borderId="29" xfId="1" applyFont="1" applyFill="1" applyBorder="1" applyAlignment="1"/>
    <xf numFmtId="10" fontId="8" fillId="5" borderId="29" xfId="2" applyNumberFormat="1" applyFont="1" applyFill="1" applyBorder="1" applyAlignment="1"/>
    <xf numFmtId="176" fontId="8" fillId="5" borderId="30" xfId="1" applyNumberFormat="1" applyFont="1" applyFill="1" applyBorder="1" applyAlignment="1"/>
    <xf numFmtId="41" fontId="6" fillId="4" borderId="28" xfId="1" applyFont="1" applyFill="1" applyBorder="1" applyAlignment="1"/>
    <xf numFmtId="41" fontId="6" fillId="4" borderId="29" xfId="1" applyFont="1" applyFill="1" applyBorder="1" applyAlignment="1"/>
    <xf numFmtId="10" fontId="6" fillId="4" borderId="29" xfId="2" applyNumberFormat="1" applyFont="1" applyFill="1" applyBorder="1" applyAlignment="1"/>
    <xf numFmtId="176" fontId="6" fillId="4" borderId="30" xfId="1" applyNumberFormat="1" applyFont="1" applyFill="1" applyBorder="1" applyAlignment="1"/>
    <xf numFmtId="0" fontId="7" fillId="4" borderId="17" xfId="0" applyFont="1" applyFill="1" applyBorder="1" applyAlignment="1">
      <alignment horizontal="center"/>
    </xf>
    <xf numFmtId="41" fontId="7" fillId="4" borderId="12" xfId="1" applyFont="1" applyFill="1" applyBorder="1" applyAlignment="1"/>
    <xf numFmtId="41" fontId="7" fillId="4" borderId="3" xfId="1" applyFont="1" applyFill="1" applyBorder="1" applyAlignment="1"/>
    <xf numFmtId="10" fontId="7" fillId="4" borderId="3" xfId="2" applyNumberFormat="1" applyFont="1" applyFill="1" applyBorder="1" applyAlignment="1"/>
    <xf numFmtId="176" fontId="7" fillId="4" borderId="13" xfId="1" applyNumberFormat="1" applyFont="1" applyFill="1" applyBorder="1" applyAlignment="1"/>
    <xf numFmtId="0" fontId="5" fillId="0" borderId="1" xfId="0" applyFont="1" applyBorder="1"/>
    <xf numFmtId="176" fontId="5" fillId="0" borderId="1" xfId="1" applyNumberFormat="1" applyFont="1" applyBorder="1" applyAlignment="1"/>
    <xf numFmtId="0" fontId="0" fillId="0" borderId="36" xfId="0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0"/>
  <sheetViews>
    <sheetView tabSelected="1" workbookViewId="0">
      <selection activeCell="B2" sqref="B2"/>
    </sheetView>
  </sheetViews>
  <sheetFormatPr defaultRowHeight="16.5" x14ac:dyDescent="0.3"/>
  <cols>
    <col min="2" max="2" width="17.5" customWidth="1"/>
    <col min="3" max="3" width="12.375" bestFit="1" customWidth="1"/>
    <col min="4" max="4" width="10.625" bestFit="1" customWidth="1"/>
    <col min="5" max="5" width="11.625" customWidth="1"/>
    <col min="6" max="6" width="10.625" bestFit="1" customWidth="1"/>
    <col min="7" max="7" width="9.125" bestFit="1" customWidth="1"/>
  </cols>
  <sheetData>
    <row r="2" spans="2:14" x14ac:dyDescent="0.3">
      <c r="M2" t="s">
        <v>61</v>
      </c>
    </row>
    <row r="3" spans="2:14" x14ac:dyDescent="0.3">
      <c r="B3" s="1" t="s">
        <v>49</v>
      </c>
      <c r="C3" s="1" t="s">
        <v>50</v>
      </c>
      <c r="D3" s="1">
        <v>202201</v>
      </c>
      <c r="E3" s="1">
        <v>202203</v>
      </c>
      <c r="F3" s="1">
        <v>202205</v>
      </c>
      <c r="I3" s="1" t="s">
        <v>54</v>
      </c>
      <c r="J3" s="1">
        <v>202203</v>
      </c>
      <c r="K3" s="1">
        <v>202205</v>
      </c>
      <c r="M3" s="1">
        <v>202203</v>
      </c>
      <c r="N3" s="1">
        <v>202205</v>
      </c>
    </row>
    <row r="4" spans="2:14" ht="18.75" customHeight="1" x14ac:dyDescent="0.3">
      <c r="B4" s="202" t="s">
        <v>119</v>
      </c>
      <c r="C4" s="1">
        <v>202201</v>
      </c>
      <c r="D4" s="128">
        <f>SUM(E11:E20)</f>
        <v>1333544</v>
      </c>
      <c r="E4" s="128">
        <f t="shared" ref="E4:F4" si="0">SUM(F11:F20)</f>
        <v>1316141</v>
      </c>
      <c r="F4" s="128">
        <f t="shared" si="0"/>
        <v>1073895</v>
      </c>
      <c r="I4" s="129">
        <f>SUM(I11:I20)</f>
        <v>1</v>
      </c>
      <c r="J4" s="129">
        <f t="shared" ref="J4:N4" si="1">SUM(J11:J20)</f>
        <v>1</v>
      </c>
      <c r="K4" s="129">
        <f t="shared" si="1"/>
        <v>1</v>
      </c>
      <c r="M4" s="131">
        <f t="shared" si="1"/>
        <v>0.15884464132291717</v>
      </c>
      <c r="N4" s="131">
        <f t="shared" si="1"/>
        <v>0.29494088975390342</v>
      </c>
    </row>
    <row r="5" spans="2:14" x14ac:dyDescent="0.3">
      <c r="B5" s="1" t="s">
        <v>121</v>
      </c>
      <c r="C5" s="1"/>
      <c r="D5" s="128">
        <f>SUM(E21:E30)</f>
        <v>0</v>
      </c>
      <c r="E5" s="128">
        <f>SUM(F21:F30)</f>
        <v>0</v>
      </c>
      <c r="F5" s="128">
        <f>SUM(G21:G30)</f>
        <v>0</v>
      </c>
      <c r="I5" s="129" t="e">
        <f>SUM(I21:I30)</f>
        <v>#DIV/0!</v>
      </c>
      <c r="J5" s="129" t="e">
        <f t="shared" ref="J5:K5" si="2">SUM(J21:J30)</f>
        <v>#DIV/0!</v>
      </c>
      <c r="K5" s="129" t="e">
        <f t="shared" si="2"/>
        <v>#DIV/0!</v>
      </c>
      <c r="M5" s="130"/>
      <c r="N5" s="130"/>
    </row>
    <row r="9" spans="2:14" x14ac:dyDescent="0.3">
      <c r="I9" s="104" t="s">
        <v>52</v>
      </c>
      <c r="J9" s="104"/>
      <c r="K9" s="104"/>
      <c r="L9" s="104"/>
      <c r="M9" s="104" t="s">
        <v>53</v>
      </c>
      <c r="N9" s="104"/>
    </row>
    <row r="10" spans="2:14" ht="33" x14ac:dyDescent="0.3">
      <c r="B10" s="103" t="s">
        <v>51</v>
      </c>
      <c r="C10" s="103" t="s">
        <v>49</v>
      </c>
      <c r="D10" s="103" t="s">
        <v>27</v>
      </c>
      <c r="E10" s="124" t="s">
        <v>55</v>
      </c>
      <c r="F10" s="103">
        <v>202203</v>
      </c>
      <c r="G10" s="103">
        <v>202205</v>
      </c>
      <c r="H10" s="114"/>
      <c r="I10" s="103">
        <v>202201</v>
      </c>
      <c r="J10" s="103">
        <v>202203</v>
      </c>
      <c r="K10" s="103">
        <v>202205</v>
      </c>
      <c r="L10" s="104"/>
      <c r="M10" s="103">
        <v>202203</v>
      </c>
      <c r="N10" s="103">
        <v>202205</v>
      </c>
    </row>
    <row r="11" spans="2:14" x14ac:dyDescent="0.3">
      <c r="B11" s="208"/>
      <c r="C11" s="207" t="s">
        <v>118</v>
      </c>
      <c r="D11" s="3">
        <v>1</v>
      </c>
      <c r="E11" s="125">
        <f>C40</f>
        <v>58317</v>
      </c>
      <c r="F11" s="125">
        <v>43339</v>
      </c>
      <c r="G11" s="125">
        <v>13588</v>
      </c>
      <c r="I11" s="99">
        <f>E11/$D$4</f>
        <v>4.3730840527196703E-2</v>
      </c>
      <c r="J11" s="99">
        <f>F11/$E$4</f>
        <v>3.2928842730376155E-2</v>
      </c>
      <c r="K11" s="99">
        <f>G11/$F$4</f>
        <v>1.2653006113260607E-2</v>
      </c>
      <c r="L11" s="104"/>
      <c r="M11" s="99">
        <f>(I11-J11)*LN(I11/J11)</f>
        <v>3.0645768274101919E-3</v>
      </c>
      <c r="N11" s="99">
        <f>(J11-K11)*LN(J11/K11)</f>
        <v>1.9392907632992989E-2</v>
      </c>
    </row>
    <row r="12" spans="2:14" x14ac:dyDescent="0.3">
      <c r="B12" s="208"/>
      <c r="C12" s="208"/>
      <c r="D12" s="4">
        <v>2</v>
      </c>
      <c r="E12" s="126">
        <f t="shared" ref="E12:E20" si="3">C41</f>
        <v>30470</v>
      </c>
      <c r="F12" s="126">
        <v>122318</v>
      </c>
      <c r="G12" s="126">
        <v>11915</v>
      </c>
      <c r="I12" s="100">
        <f t="shared" ref="I12:I20" si="4">E12/$D$4</f>
        <v>2.2848889875399687E-2</v>
      </c>
      <c r="J12" s="100">
        <f t="shared" ref="J12:J20" si="5">F12/$E$4</f>
        <v>9.2936850990889275E-2</v>
      </c>
      <c r="K12" s="100">
        <f t="shared" ref="K12:K20" si="6">G12/$F$4</f>
        <v>1.1095125687334423E-2</v>
      </c>
      <c r="L12" s="104"/>
      <c r="M12" s="100">
        <f t="shared" ref="M12:M20" si="7">(I12-J12)*LN(I12/J12)</f>
        <v>9.8334650554503938E-2</v>
      </c>
      <c r="N12" s="100">
        <f t="shared" ref="N12:N20" si="8">(J12-K12)*LN(J12/K12)</f>
        <v>0.17394757790484977</v>
      </c>
    </row>
    <row r="13" spans="2:14" x14ac:dyDescent="0.3">
      <c r="B13" s="208"/>
      <c r="C13" s="208"/>
      <c r="D13" s="4">
        <v>3</v>
      </c>
      <c r="E13" s="126">
        <f t="shared" si="3"/>
        <v>149389</v>
      </c>
      <c r="F13" s="126">
        <v>118226</v>
      </c>
      <c r="G13" s="126">
        <v>101938</v>
      </c>
      <c r="I13" s="100">
        <f t="shared" si="4"/>
        <v>0.11202405020006839</v>
      </c>
      <c r="J13" s="100">
        <f t="shared" si="5"/>
        <v>8.9827761615206878E-2</v>
      </c>
      <c r="K13" s="100">
        <f t="shared" si="6"/>
        <v>9.4923619162022355E-2</v>
      </c>
      <c r="L13" s="104"/>
      <c r="M13" s="100">
        <f t="shared" si="7"/>
        <v>4.9013734637194713E-3</v>
      </c>
      <c r="N13" s="100">
        <f t="shared" si="8"/>
        <v>2.8118168631719847E-4</v>
      </c>
    </row>
    <row r="14" spans="2:14" x14ac:dyDescent="0.3">
      <c r="B14" s="208"/>
      <c r="C14" s="208"/>
      <c r="D14" s="4">
        <v>4</v>
      </c>
      <c r="E14" s="126">
        <f t="shared" si="3"/>
        <v>49544</v>
      </c>
      <c r="F14" s="126">
        <v>97182</v>
      </c>
      <c r="G14" s="126">
        <v>42312</v>
      </c>
      <c r="I14" s="100">
        <f t="shared" si="4"/>
        <v>3.7152129963465771E-2</v>
      </c>
      <c r="J14" s="100">
        <f t="shared" si="5"/>
        <v>7.3838593281418938E-2</v>
      </c>
      <c r="K14" s="100">
        <f t="shared" si="6"/>
        <v>3.9400500048887462E-2</v>
      </c>
      <c r="L14" s="104"/>
      <c r="M14" s="100">
        <f t="shared" si="7"/>
        <v>2.5198480169571193E-2</v>
      </c>
      <c r="N14" s="100">
        <f t="shared" si="8"/>
        <v>2.1630670751267924E-2</v>
      </c>
    </row>
    <row r="15" spans="2:14" x14ac:dyDescent="0.3">
      <c r="B15" s="208"/>
      <c r="C15" s="208"/>
      <c r="D15" s="4">
        <v>5</v>
      </c>
      <c r="E15" s="126">
        <f t="shared" si="3"/>
        <v>103798</v>
      </c>
      <c r="F15" s="126">
        <v>107160</v>
      </c>
      <c r="G15" s="126">
        <v>85117</v>
      </c>
      <c r="I15" s="100">
        <f t="shared" si="4"/>
        <v>7.7836201880102943E-2</v>
      </c>
      <c r="J15" s="100">
        <f t="shared" si="5"/>
        <v>8.1419847873442128E-2</v>
      </c>
      <c r="K15" s="100">
        <f t="shared" si="6"/>
        <v>7.9260076636915158E-2</v>
      </c>
      <c r="L15" s="104"/>
      <c r="M15" s="100">
        <f t="shared" si="7"/>
        <v>1.6130862124034051E-4</v>
      </c>
      <c r="N15" s="100">
        <f t="shared" si="8"/>
        <v>5.8064412978760325E-5</v>
      </c>
    </row>
    <row r="16" spans="2:14" x14ac:dyDescent="0.3">
      <c r="B16" s="208"/>
      <c r="C16" s="208"/>
      <c r="D16" s="4">
        <v>6</v>
      </c>
      <c r="E16" s="126">
        <f t="shared" si="3"/>
        <v>136865</v>
      </c>
      <c r="F16" s="126">
        <v>86410</v>
      </c>
      <c r="G16" s="126">
        <v>92901</v>
      </c>
      <c r="I16" s="100">
        <f t="shared" si="4"/>
        <v>0.10263253405961859</v>
      </c>
      <c r="J16" s="100">
        <f t="shared" si="5"/>
        <v>6.5654059861367436E-2</v>
      </c>
      <c r="K16" s="100">
        <f t="shared" si="6"/>
        <v>8.650845753076418E-2</v>
      </c>
      <c r="L16" s="104"/>
      <c r="M16" s="100">
        <f t="shared" si="7"/>
        <v>1.6520338162132234E-2</v>
      </c>
      <c r="N16" s="100">
        <f t="shared" si="8"/>
        <v>5.7525342827630162E-3</v>
      </c>
    </row>
    <row r="17" spans="2:14" x14ac:dyDescent="0.3">
      <c r="B17" s="208"/>
      <c r="C17" s="208"/>
      <c r="D17" s="4">
        <v>7</v>
      </c>
      <c r="E17" s="126">
        <f t="shared" si="3"/>
        <v>151087</v>
      </c>
      <c r="F17" s="126">
        <v>125072</v>
      </c>
      <c r="G17" s="126">
        <v>104015</v>
      </c>
      <c r="I17" s="100">
        <f t="shared" si="4"/>
        <v>0.11329734901885502</v>
      </c>
      <c r="J17" s="100">
        <f t="shared" si="5"/>
        <v>9.5029331963672581E-2</v>
      </c>
      <c r="K17" s="100">
        <f t="shared" si="6"/>
        <v>9.6857700240712552E-2</v>
      </c>
      <c r="L17" s="104"/>
      <c r="M17" s="100">
        <f t="shared" si="7"/>
        <v>3.2120685153531883E-3</v>
      </c>
      <c r="N17" s="100">
        <f t="shared" si="8"/>
        <v>3.4843748338478646E-5</v>
      </c>
    </row>
    <row r="18" spans="2:14" x14ac:dyDescent="0.3">
      <c r="B18" s="208"/>
      <c r="C18" s="208"/>
      <c r="D18" s="4">
        <v>8</v>
      </c>
      <c r="E18" s="126">
        <f t="shared" si="3"/>
        <v>131340</v>
      </c>
      <c r="F18" s="126">
        <v>151273</v>
      </c>
      <c r="G18" s="126">
        <v>90976</v>
      </c>
      <c r="I18" s="100">
        <f t="shared" si="4"/>
        <v>9.8489438668690352E-2</v>
      </c>
      <c r="J18" s="100">
        <f t="shared" si="5"/>
        <v>0.11493677349159398</v>
      </c>
      <c r="K18" s="100">
        <f t="shared" si="6"/>
        <v>8.4715917291727783E-2</v>
      </c>
      <c r="L18" s="104"/>
      <c r="M18" s="100">
        <f t="shared" si="7"/>
        <v>2.5400089668213425E-3</v>
      </c>
      <c r="N18" s="100">
        <f t="shared" si="8"/>
        <v>9.219738673755638E-3</v>
      </c>
    </row>
    <row r="19" spans="2:14" x14ac:dyDescent="0.3">
      <c r="B19" s="208"/>
      <c r="C19" s="208"/>
      <c r="D19" s="4">
        <v>9</v>
      </c>
      <c r="E19" s="126">
        <f t="shared" si="3"/>
        <v>185174</v>
      </c>
      <c r="F19" s="126">
        <v>153823</v>
      </c>
      <c r="G19" s="126">
        <v>127379</v>
      </c>
      <c r="I19" s="100">
        <f t="shared" si="4"/>
        <v>0.1388585603474651</v>
      </c>
      <c r="J19" s="100">
        <f t="shared" si="5"/>
        <v>0.11687425587380075</v>
      </c>
      <c r="K19" s="100">
        <f t="shared" si="6"/>
        <v>0.1186140171990744</v>
      </c>
      <c r="L19" s="104"/>
      <c r="M19" s="100">
        <f t="shared" si="7"/>
        <v>3.7891541057868518E-3</v>
      </c>
      <c r="N19" s="100">
        <f t="shared" si="8"/>
        <v>2.5706796344198663E-5</v>
      </c>
    </row>
    <row r="20" spans="2:14" x14ac:dyDescent="0.3">
      <c r="B20" s="208"/>
      <c r="C20" s="208"/>
      <c r="D20" s="5">
        <v>10</v>
      </c>
      <c r="E20" s="127">
        <f t="shared" si="3"/>
        <v>337560</v>
      </c>
      <c r="F20" s="127">
        <v>311338</v>
      </c>
      <c r="G20" s="127">
        <v>403754</v>
      </c>
      <c r="I20" s="101">
        <f t="shared" si="4"/>
        <v>0.25313000545913744</v>
      </c>
      <c r="J20" s="101">
        <f t="shared" si="5"/>
        <v>0.23655368231823187</v>
      </c>
      <c r="K20" s="101">
        <f t="shared" si="6"/>
        <v>0.37597158008930109</v>
      </c>
      <c r="L20" s="104"/>
      <c r="M20" s="101">
        <f t="shared" si="7"/>
        <v>1.1226819363784077E-3</v>
      </c>
      <c r="N20" s="101">
        <f t="shared" si="8"/>
        <v>6.459766386429544E-2</v>
      </c>
    </row>
    <row r="21" spans="2:14" x14ac:dyDescent="0.3">
      <c r="B21" s="208"/>
      <c r="C21" s="207" t="s">
        <v>120</v>
      </c>
      <c r="D21" s="3">
        <v>1</v>
      </c>
      <c r="E21" s="125"/>
      <c r="F21" s="125"/>
      <c r="G21" s="125"/>
      <c r="I21" s="99" t="e">
        <f>E21/$D$5</f>
        <v>#DIV/0!</v>
      </c>
      <c r="J21" s="99" t="e">
        <f>F21/$E$5</f>
        <v>#DIV/0!</v>
      </c>
      <c r="K21" s="99" t="e">
        <f>G21/$F$5</f>
        <v>#DIV/0!</v>
      </c>
      <c r="L21" s="104"/>
      <c r="M21" s="99" t="e">
        <f>(I21-J21)*LN(I21/J21)</f>
        <v>#DIV/0!</v>
      </c>
      <c r="N21" s="99" t="e">
        <f>(J21-K21)*LN(J21/K21)</f>
        <v>#DIV/0!</v>
      </c>
    </row>
    <row r="22" spans="2:14" x14ac:dyDescent="0.3">
      <c r="B22" s="208"/>
      <c r="C22" s="208"/>
      <c r="D22" s="4">
        <v>2</v>
      </c>
      <c r="E22" s="126"/>
      <c r="F22" s="126"/>
      <c r="G22" s="126"/>
      <c r="I22" s="100" t="e">
        <f t="shared" ref="I22:I30" si="9">E22/$D$5</f>
        <v>#DIV/0!</v>
      </c>
      <c r="J22" s="100" t="e">
        <f t="shared" ref="J22:J30" si="10">F22/$E$5</f>
        <v>#DIV/0!</v>
      </c>
      <c r="K22" s="100" t="e">
        <f t="shared" ref="K22:K30" si="11">G22/$F$5</f>
        <v>#DIV/0!</v>
      </c>
      <c r="L22" s="104"/>
      <c r="M22" s="100" t="e">
        <f t="shared" ref="M22:M30" si="12">(I22-J22)*LN(I22/J22)</f>
        <v>#DIV/0!</v>
      </c>
      <c r="N22" s="100" t="e">
        <f t="shared" ref="N22:N30" si="13">(J22-K22)*LN(J22/K22)</f>
        <v>#DIV/0!</v>
      </c>
    </row>
    <row r="23" spans="2:14" x14ac:dyDescent="0.3">
      <c r="B23" s="208"/>
      <c r="C23" s="208"/>
      <c r="D23" s="4">
        <v>3</v>
      </c>
      <c r="E23" s="126"/>
      <c r="F23" s="126"/>
      <c r="G23" s="126"/>
      <c r="I23" s="100" t="e">
        <f t="shared" si="9"/>
        <v>#DIV/0!</v>
      </c>
      <c r="J23" s="100" t="e">
        <f t="shared" si="10"/>
        <v>#DIV/0!</v>
      </c>
      <c r="K23" s="100" t="e">
        <f t="shared" si="11"/>
        <v>#DIV/0!</v>
      </c>
      <c r="L23" s="104"/>
      <c r="M23" s="100" t="e">
        <f t="shared" si="12"/>
        <v>#DIV/0!</v>
      </c>
      <c r="N23" s="100" t="e">
        <f t="shared" si="13"/>
        <v>#DIV/0!</v>
      </c>
    </row>
    <row r="24" spans="2:14" x14ac:dyDescent="0.3">
      <c r="B24" s="208"/>
      <c r="C24" s="208"/>
      <c r="D24" s="4">
        <v>4</v>
      </c>
      <c r="E24" s="126"/>
      <c r="F24" s="126"/>
      <c r="G24" s="126"/>
      <c r="I24" s="100" t="e">
        <f t="shared" si="9"/>
        <v>#DIV/0!</v>
      </c>
      <c r="J24" s="100" t="e">
        <f t="shared" si="10"/>
        <v>#DIV/0!</v>
      </c>
      <c r="K24" s="100" t="e">
        <f t="shared" si="11"/>
        <v>#DIV/0!</v>
      </c>
      <c r="L24" s="104"/>
      <c r="M24" s="100" t="e">
        <f t="shared" si="12"/>
        <v>#DIV/0!</v>
      </c>
      <c r="N24" s="100" t="e">
        <f t="shared" si="13"/>
        <v>#DIV/0!</v>
      </c>
    </row>
    <row r="25" spans="2:14" x14ac:dyDescent="0.3">
      <c r="B25" s="208"/>
      <c r="C25" s="208"/>
      <c r="D25" s="4">
        <v>5</v>
      </c>
      <c r="E25" s="126"/>
      <c r="F25" s="126"/>
      <c r="G25" s="126"/>
      <c r="I25" s="100" t="e">
        <f t="shared" si="9"/>
        <v>#DIV/0!</v>
      </c>
      <c r="J25" s="100" t="e">
        <f t="shared" si="10"/>
        <v>#DIV/0!</v>
      </c>
      <c r="K25" s="100" t="e">
        <f t="shared" si="11"/>
        <v>#DIV/0!</v>
      </c>
      <c r="L25" s="104"/>
      <c r="M25" s="100" t="e">
        <f t="shared" si="12"/>
        <v>#DIV/0!</v>
      </c>
      <c r="N25" s="100" t="e">
        <f t="shared" si="13"/>
        <v>#DIV/0!</v>
      </c>
    </row>
    <row r="26" spans="2:14" x14ac:dyDescent="0.3">
      <c r="B26" s="208"/>
      <c r="C26" s="208"/>
      <c r="D26" s="4">
        <v>6</v>
      </c>
      <c r="E26" s="126"/>
      <c r="F26" s="126"/>
      <c r="G26" s="126"/>
      <c r="I26" s="100" t="e">
        <f t="shared" si="9"/>
        <v>#DIV/0!</v>
      </c>
      <c r="J26" s="100" t="e">
        <f t="shared" si="10"/>
        <v>#DIV/0!</v>
      </c>
      <c r="K26" s="100" t="e">
        <f t="shared" si="11"/>
        <v>#DIV/0!</v>
      </c>
      <c r="L26" s="104"/>
      <c r="M26" s="100" t="e">
        <f t="shared" si="12"/>
        <v>#DIV/0!</v>
      </c>
      <c r="N26" s="100" t="e">
        <f t="shared" si="13"/>
        <v>#DIV/0!</v>
      </c>
    </row>
    <row r="27" spans="2:14" x14ac:dyDescent="0.3">
      <c r="B27" s="208"/>
      <c r="C27" s="208"/>
      <c r="D27" s="4">
        <v>7</v>
      </c>
      <c r="E27" s="126"/>
      <c r="F27" s="126"/>
      <c r="G27" s="126"/>
      <c r="I27" s="100" t="e">
        <f t="shared" si="9"/>
        <v>#DIV/0!</v>
      </c>
      <c r="J27" s="100" t="e">
        <f t="shared" si="10"/>
        <v>#DIV/0!</v>
      </c>
      <c r="K27" s="100" t="e">
        <f t="shared" si="11"/>
        <v>#DIV/0!</v>
      </c>
      <c r="L27" s="104"/>
      <c r="M27" s="100" t="e">
        <f t="shared" si="12"/>
        <v>#DIV/0!</v>
      </c>
      <c r="N27" s="100" t="e">
        <f t="shared" si="13"/>
        <v>#DIV/0!</v>
      </c>
    </row>
    <row r="28" spans="2:14" x14ac:dyDescent="0.3">
      <c r="B28" s="208"/>
      <c r="C28" s="208"/>
      <c r="D28" s="4">
        <v>8</v>
      </c>
      <c r="E28" s="126"/>
      <c r="F28" s="126"/>
      <c r="G28" s="126"/>
      <c r="I28" s="100" t="e">
        <f t="shared" si="9"/>
        <v>#DIV/0!</v>
      </c>
      <c r="J28" s="100" t="e">
        <f t="shared" si="10"/>
        <v>#DIV/0!</v>
      </c>
      <c r="K28" s="100" t="e">
        <f t="shared" si="11"/>
        <v>#DIV/0!</v>
      </c>
      <c r="L28" s="104"/>
      <c r="M28" s="100" t="e">
        <f t="shared" si="12"/>
        <v>#DIV/0!</v>
      </c>
      <c r="N28" s="100" t="e">
        <f t="shared" si="13"/>
        <v>#DIV/0!</v>
      </c>
    </row>
    <row r="29" spans="2:14" x14ac:dyDescent="0.3">
      <c r="B29" s="208"/>
      <c r="C29" s="208"/>
      <c r="D29" s="4">
        <v>9</v>
      </c>
      <c r="E29" s="126"/>
      <c r="F29" s="126"/>
      <c r="G29" s="126"/>
      <c r="I29" s="100" t="e">
        <f t="shared" si="9"/>
        <v>#DIV/0!</v>
      </c>
      <c r="J29" s="100" t="e">
        <f t="shared" si="10"/>
        <v>#DIV/0!</v>
      </c>
      <c r="K29" s="100" t="e">
        <f t="shared" si="11"/>
        <v>#DIV/0!</v>
      </c>
      <c r="L29" s="104"/>
      <c r="M29" s="100" t="e">
        <f t="shared" si="12"/>
        <v>#DIV/0!</v>
      </c>
      <c r="N29" s="100" t="e">
        <f t="shared" si="13"/>
        <v>#DIV/0!</v>
      </c>
    </row>
    <row r="30" spans="2:14" x14ac:dyDescent="0.3">
      <c r="B30" s="208"/>
      <c r="C30" s="208"/>
      <c r="D30" s="5">
        <v>10</v>
      </c>
      <c r="E30" s="127"/>
      <c r="F30" s="127"/>
      <c r="G30" s="127"/>
      <c r="I30" s="101" t="e">
        <f t="shared" si="9"/>
        <v>#DIV/0!</v>
      </c>
      <c r="J30" s="101" t="e">
        <f t="shared" si="10"/>
        <v>#DIV/0!</v>
      </c>
      <c r="K30" s="101" t="e">
        <f t="shared" si="11"/>
        <v>#DIV/0!</v>
      </c>
      <c r="L30" s="104"/>
      <c r="M30" s="101" t="e">
        <f t="shared" si="12"/>
        <v>#DIV/0!</v>
      </c>
      <c r="N30" s="101" t="e">
        <f t="shared" si="13"/>
        <v>#DIV/0!</v>
      </c>
    </row>
    <row r="36" spans="2:11" ht="17.25" thickBot="1" x14ac:dyDescent="0.35"/>
    <row r="37" spans="2:11" x14ac:dyDescent="0.3">
      <c r="B37" s="203" t="s">
        <v>2</v>
      </c>
      <c r="C37" s="205" t="s">
        <v>8</v>
      </c>
      <c r="D37" s="206"/>
      <c r="H37" t="s">
        <v>58</v>
      </c>
      <c r="I37" t="s">
        <v>59</v>
      </c>
      <c r="J37" t="s">
        <v>60</v>
      </c>
    </row>
    <row r="38" spans="2:11" x14ac:dyDescent="0.3">
      <c r="B38" s="204"/>
      <c r="C38" s="6" t="s">
        <v>56</v>
      </c>
      <c r="D38" s="2" t="s">
        <v>57</v>
      </c>
      <c r="H38">
        <v>9</v>
      </c>
      <c r="I38">
        <v>880</v>
      </c>
      <c r="J38">
        <v>62082923</v>
      </c>
      <c r="K38">
        <v>58317</v>
      </c>
    </row>
    <row r="39" spans="2:11" x14ac:dyDescent="0.3">
      <c r="B39" s="10"/>
      <c r="C39" s="8"/>
      <c r="D39" s="1"/>
      <c r="E39" s="114" t="s">
        <v>3</v>
      </c>
      <c r="F39" s="115">
        <f>D40+D41</f>
        <v>6.657973040259639E-2</v>
      </c>
      <c r="H39">
        <v>8</v>
      </c>
      <c r="I39">
        <v>750</v>
      </c>
      <c r="J39">
        <v>24711941</v>
      </c>
      <c r="K39">
        <v>30470</v>
      </c>
    </row>
    <row r="40" spans="2:11" x14ac:dyDescent="0.3">
      <c r="B40" s="12">
        <v>1</v>
      </c>
      <c r="C40" s="19">
        <f>K38</f>
        <v>58317</v>
      </c>
      <c r="D40" s="116">
        <f>C40/$C$50</f>
        <v>4.3730840527196703E-2</v>
      </c>
      <c r="E40" s="114" t="s">
        <v>4</v>
      </c>
      <c r="F40" s="115">
        <f>D42+D43+D44</f>
        <v>0.22701238204363711</v>
      </c>
      <c r="H40">
        <v>7</v>
      </c>
      <c r="I40">
        <v>640</v>
      </c>
      <c r="J40">
        <v>104282098</v>
      </c>
      <c r="K40">
        <v>149389</v>
      </c>
    </row>
    <row r="41" spans="2:11" x14ac:dyDescent="0.3">
      <c r="B41" s="18">
        <v>2</v>
      </c>
      <c r="C41" s="21">
        <f t="shared" ref="C41:C49" si="14">K39</f>
        <v>30470</v>
      </c>
      <c r="D41" s="117">
        <f t="shared" ref="D41:D50" si="15">C41/$C$50</f>
        <v>2.2848889875399687E-2</v>
      </c>
      <c r="E41" s="114" t="s">
        <v>5</v>
      </c>
      <c r="F41" s="112">
        <f>(D45+D46+D47+D48+D49)</f>
        <v>0.70640788755376649</v>
      </c>
      <c r="H41">
        <v>6</v>
      </c>
      <c r="I41">
        <v>570</v>
      </c>
      <c r="J41">
        <v>29998709</v>
      </c>
      <c r="K41">
        <v>49544</v>
      </c>
    </row>
    <row r="42" spans="2:11" x14ac:dyDescent="0.3">
      <c r="B42" s="17">
        <v>3</v>
      </c>
      <c r="C42" s="23">
        <f t="shared" si="14"/>
        <v>149389</v>
      </c>
      <c r="D42" s="118">
        <f t="shared" si="15"/>
        <v>0.11202405020006839</v>
      </c>
      <c r="H42">
        <v>5</v>
      </c>
      <c r="I42">
        <v>500</v>
      </c>
      <c r="J42">
        <v>55883787</v>
      </c>
      <c r="K42">
        <v>103798</v>
      </c>
    </row>
    <row r="43" spans="2:11" x14ac:dyDescent="0.3">
      <c r="B43" s="17">
        <v>4</v>
      </c>
      <c r="C43" s="23">
        <f t="shared" si="14"/>
        <v>49544</v>
      </c>
      <c r="D43" s="118">
        <f t="shared" si="15"/>
        <v>3.7152129963465771E-2</v>
      </c>
      <c r="H43">
        <v>4</v>
      </c>
      <c r="I43">
        <v>430</v>
      </c>
      <c r="J43">
        <v>62583240</v>
      </c>
      <c r="K43">
        <v>136865</v>
      </c>
    </row>
    <row r="44" spans="2:11" x14ac:dyDescent="0.3">
      <c r="B44" s="54">
        <v>5</v>
      </c>
      <c r="C44" s="55">
        <f t="shared" si="14"/>
        <v>103798</v>
      </c>
      <c r="D44" s="119">
        <f t="shared" si="15"/>
        <v>7.7836201880102943E-2</v>
      </c>
      <c r="H44">
        <v>3</v>
      </c>
      <c r="I44">
        <v>360</v>
      </c>
      <c r="J44">
        <v>59787160</v>
      </c>
      <c r="K44">
        <v>151087</v>
      </c>
    </row>
    <row r="45" spans="2:11" x14ac:dyDescent="0.3">
      <c r="B45" s="16">
        <v>6</v>
      </c>
      <c r="C45" s="25">
        <f t="shared" si="14"/>
        <v>136865</v>
      </c>
      <c r="D45" s="120">
        <f t="shared" si="15"/>
        <v>0.10263253405961859</v>
      </c>
      <c r="H45">
        <v>2</v>
      </c>
      <c r="I45">
        <v>290</v>
      </c>
      <c r="J45">
        <v>42615674</v>
      </c>
      <c r="K45">
        <v>131340</v>
      </c>
    </row>
    <row r="46" spans="2:11" x14ac:dyDescent="0.3">
      <c r="B46" s="16">
        <v>7</v>
      </c>
      <c r="C46" s="25">
        <f t="shared" si="14"/>
        <v>151087</v>
      </c>
      <c r="D46" s="120">
        <f t="shared" si="15"/>
        <v>0.11329734901885502</v>
      </c>
      <c r="H46">
        <v>1</v>
      </c>
      <c r="I46">
        <v>220</v>
      </c>
      <c r="J46">
        <v>46824513</v>
      </c>
      <c r="K46">
        <v>185174</v>
      </c>
    </row>
    <row r="47" spans="2:11" x14ac:dyDescent="0.3">
      <c r="B47" s="16">
        <v>8</v>
      </c>
      <c r="C47" s="25">
        <f t="shared" si="14"/>
        <v>131340</v>
      </c>
      <c r="D47" s="120">
        <f t="shared" si="15"/>
        <v>9.8489438668690352E-2</v>
      </c>
      <c r="H47">
        <v>0</v>
      </c>
      <c r="I47">
        <v>0</v>
      </c>
      <c r="J47">
        <v>40269033</v>
      </c>
      <c r="K47">
        <v>337560</v>
      </c>
    </row>
    <row r="48" spans="2:11" x14ac:dyDescent="0.3">
      <c r="B48" s="14">
        <v>9</v>
      </c>
      <c r="C48" s="27">
        <f t="shared" si="14"/>
        <v>185174</v>
      </c>
      <c r="D48" s="121">
        <f t="shared" si="15"/>
        <v>0.1388585603474651</v>
      </c>
    </row>
    <row r="49" spans="2:4" x14ac:dyDescent="0.3">
      <c r="B49" s="15">
        <v>10</v>
      </c>
      <c r="C49" s="29">
        <f t="shared" si="14"/>
        <v>337560</v>
      </c>
      <c r="D49" s="122">
        <f t="shared" si="15"/>
        <v>0.25313000545913744</v>
      </c>
    </row>
    <row r="50" spans="2:4" ht="17.25" thickBot="1" x14ac:dyDescent="0.35">
      <c r="B50" s="11" t="s">
        <v>6</v>
      </c>
      <c r="C50" s="31">
        <f>SUM(C40:C49)</f>
        <v>1333544</v>
      </c>
      <c r="D50" s="123">
        <f t="shared" si="15"/>
        <v>1</v>
      </c>
    </row>
  </sheetData>
  <mergeCells count="6">
    <mergeCell ref="B37:B38"/>
    <mergeCell ref="C37:D37"/>
    <mergeCell ref="C11:C20"/>
    <mergeCell ref="B11:B20"/>
    <mergeCell ref="B21:B30"/>
    <mergeCell ref="C21:C30"/>
  </mergeCells>
  <phoneticPr fontId="2" type="noConversion"/>
  <conditionalFormatting sqref="D40:D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{9A4E471E-B75B-43B2-AAF3-F7A970A2A8B2}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E471E-B75B-43B2-AAF3-F7A970A2A8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D40:D49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S15"/>
  <sheetViews>
    <sheetView workbookViewId="0">
      <selection activeCell="B6" sqref="B6:B15"/>
    </sheetView>
  </sheetViews>
  <sheetFormatPr defaultRowHeight="16.5" x14ac:dyDescent="0.3"/>
  <cols>
    <col min="2" max="2" width="15.375" customWidth="1"/>
    <col min="14" max="14" width="10.125" customWidth="1"/>
    <col min="15" max="15" width="9.875" customWidth="1"/>
    <col min="19" max="19" width="6.375" style="112" bestFit="1" customWidth="1"/>
  </cols>
  <sheetData>
    <row r="4" spans="2:19" x14ac:dyDescent="0.3">
      <c r="B4" s="210" t="s">
        <v>49</v>
      </c>
      <c r="C4" s="103" t="s">
        <v>27</v>
      </c>
      <c r="D4" s="103" t="s">
        <v>56</v>
      </c>
      <c r="E4" s="103" t="s">
        <v>29</v>
      </c>
      <c r="F4" s="103" t="s">
        <v>7</v>
      </c>
      <c r="G4" s="103" t="s">
        <v>62</v>
      </c>
      <c r="H4" s="103" t="s">
        <v>63</v>
      </c>
      <c r="J4" s="209" t="s">
        <v>28</v>
      </c>
      <c r="K4" s="209"/>
      <c r="L4" s="209" t="s">
        <v>64</v>
      </c>
      <c r="M4" s="209"/>
      <c r="N4" s="209" t="s">
        <v>65</v>
      </c>
      <c r="O4" s="209"/>
      <c r="P4" s="209"/>
      <c r="Q4" s="209" t="s">
        <v>62</v>
      </c>
      <c r="R4" s="209"/>
      <c r="S4" s="209"/>
    </row>
    <row r="5" spans="2:19" x14ac:dyDescent="0.3">
      <c r="B5" s="211"/>
      <c r="C5" s="103" t="s">
        <v>6</v>
      </c>
      <c r="D5" s="178">
        <f>SUM(D6:D15)</f>
        <v>82616</v>
      </c>
      <c r="E5" s="178">
        <f>SUM(E6:E15)</f>
        <v>45</v>
      </c>
      <c r="F5" s="179">
        <f>IF(D5=0,0,E5/D5)*100</f>
        <v>5.4468868015880696E-2</v>
      </c>
      <c r="G5" s="198">
        <f>S5</f>
        <v>0.76461711738988269</v>
      </c>
      <c r="H5" s="199">
        <f>P5</f>
        <v>0.34711379701509415</v>
      </c>
      <c r="J5" s="1" t="s">
        <v>66</v>
      </c>
      <c r="K5" s="1" t="s">
        <v>67</v>
      </c>
      <c r="L5" s="1" t="s">
        <v>66</v>
      </c>
      <c r="M5" s="1" t="s">
        <v>67</v>
      </c>
      <c r="N5" s="1" t="s">
        <v>68</v>
      </c>
      <c r="O5" s="1" t="s">
        <v>69</v>
      </c>
      <c r="P5" s="138">
        <f>MAX(P6:P15)</f>
        <v>0.34711379701509415</v>
      </c>
      <c r="Q5" s="1"/>
      <c r="R5" s="1"/>
      <c r="S5" s="138">
        <f>SUM(S6:S15)</f>
        <v>0.76461711738988269</v>
      </c>
    </row>
    <row r="6" spans="2:19" x14ac:dyDescent="0.3">
      <c r="B6" s="207" t="s">
        <v>118</v>
      </c>
      <c r="C6" s="99">
        <v>1</v>
      </c>
      <c r="D6" s="192">
        <v>9</v>
      </c>
      <c r="E6" s="192">
        <v>1</v>
      </c>
      <c r="F6" s="193">
        <f t="shared" ref="F6:F15" si="0">IF(D6=0,0,E6/D6)*100</f>
        <v>11.111111111111111</v>
      </c>
      <c r="G6" s="208"/>
      <c r="H6" s="208"/>
      <c r="J6" s="180">
        <f>D6-E6</f>
        <v>8</v>
      </c>
      <c r="K6" s="180">
        <f>E6</f>
        <v>1</v>
      </c>
      <c r="L6" s="180">
        <f>J6</f>
        <v>8</v>
      </c>
      <c r="M6" s="180">
        <f>K6</f>
        <v>1</v>
      </c>
      <c r="N6" s="181">
        <f>L6/$L$15</f>
        <v>9.6886316018941274E-5</v>
      </c>
      <c r="O6" s="181">
        <f>M6/$M$15</f>
        <v>2.2222222222222223E-2</v>
      </c>
      <c r="P6" s="182">
        <f>O6-N6</f>
        <v>2.2125335906203282E-2</v>
      </c>
      <c r="Q6" s="182">
        <f>N6</f>
        <v>9.6886316018941274E-5</v>
      </c>
      <c r="R6" s="182">
        <f>O6</f>
        <v>2.2222222222222223E-2</v>
      </c>
      <c r="S6" s="183">
        <f>(Q6-Q5)*R5+(R6-R5)*(Q6-Q5)/2</f>
        <v>1.0765146224326808E-6</v>
      </c>
    </row>
    <row r="7" spans="2:19" x14ac:dyDescent="0.3">
      <c r="B7" s="208"/>
      <c r="C7" s="100">
        <v>2</v>
      </c>
      <c r="D7" s="194">
        <v>51</v>
      </c>
      <c r="E7" s="194">
        <v>3</v>
      </c>
      <c r="F7" s="195">
        <f t="shared" si="0"/>
        <v>5.8823529411764701</v>
      </c>
      <c r="G7" s="208"/>
      <c r="H7" s="208"/>
      <c r="J7" s="184">
        <f t="shared" ref="J7:J15" si="1">D7-E7</f>
        <v>48</v>
      </c>
      <c r="K7" s="184">
        <f t="shared" ref="K7:K15" si="2">E7</f>
        <v>3</v>
      </c>
      <c r="L7" s="184">
        <f>L6+J7</f>
        <v>56</v>
      </c>
      <c r="M7" s="184">
        <f>M6+K7</f>
        <v>4</v>
      </c>
      <c r="N7" s="185">
        <f t="shared" ref="N7:N15" si="3">L7/$L$15</f>
        <v>6.7820421213258891E-4</v>
      </c>
      <c r="O7" s="185">
        <f t="shared" ref="O7:O15" si="4">M7/$M$15</f>
        <v>8.8888888888888892E-2</v>
      </c>
      <c r="P7" s="186">
        <f t="shared" ref="P7:P15" si="5">O7-N7</f>
        <v>8.8210684676756301E-2</v>
      </c>
      <c r="Q7" s="186">
        <f t="shared" ref="Q7:Q15" si="6">N7</f>
        <v>6.7820421213258891E-4</v>
      </c>
      <c r="R7" s="186">
        <f t="shared" ref="R7:R15" si="7">O7</f>
        <v>8.8888888888888892E-2</v>
      </c>
      <c r="S7" s="187">
        <f t="shared" ref="S7:S15" si="8">(Q7-Q6)*R6+(R7-R6)*(Q7-Q6)/2</f>
        <v>3.2295438672980423E-5</v>
      </c>
    </row>
    <row r="8" spans="2:19" x14ac:dyDescent="0.3">
      <c r="B8" s="208"/>
      <c r="C8" s="100">
        <v>3</v>
      </c>
      <c r="D8" s="194">
        <v>267</v>
      </c>
      <c r="E8" s="194">
        <v>4</v>
      </c>
      <c r="F8" s="195">
        <f t="shared" si="0"/>
        <v>1.4981273408239701</v>
      </c>
      <c r="G8" s="208"/>
      <c r="H8" s="208"/>
      <c r="J8" s="184">
        <f t="shared" si="1"/>
        <v>263</v>
      </c>
      <c r="K8" s="184">
        <f t="shared" si="2"/>
        <v>4</v>
      </c>
      <c r="L8" s="184">
        <f t="shared" ref="L8:L15" si="9">L7+J8</f>
        <v>319</v>
      </c>
      <c r="M8" s="184">
        <f t="shared" ref="M8:M15" si="10">M7+K8</f>
        <v>8</v>
      </c>
      <c r="N8" s="185">
        <f t="shared" si="3"/>
        <v>3.8633418512552834E-3</v>
      </c>
      <c r="O8" s="185">
        <f t="shared" si="4"/>
        <v>0.17777777777777778</v>
      </c>
      <c r="P8" s="186">
        <f t="shared" si="5"/>
        <v>0.1739144359265225</v>
      </c>
      <c r="Q8" s="186">
        <f t="shared" si="6"/>
        <v>3.8633418512552834E-3</v>
      </c>
      <c r="R8" s="186">
        <f t="shared" si="7"/>
        <v>0.17777777777777778</v>
      </c>
      <c r="S8" s="187">
        <f t="shared" si="8"/>
        <v>4.2468501854969266E-4</v>
      </c>
    </row>
    <row r="9" spans="2:19" x14ac:dyDescent="0.3">
      <c r="B9" s="208"/>
      <c r="C9" s="100">
        <v>4</v>
      </c>
      <c r="D9" s="194">
        <v>1835</v>
      </c>
      <c r="E9" s="194">
        <v>4</v>
      </c>
      <c r="F9" s="195">
        <f t="shared" si="0"/>
        <v>0.21798365122615804</v>
      </c>
      <c r="G9" s="208"/>
      <c r="H9" s="208"/>
      <c r="J9" s="184">
        <f t="shared" si="1"/>
        <v>1831</v>
      </c>
      <c r="K9" s="184">
        <f t="shared" si="2"/>
        <v>4</v>
      </c>
      <c r="L9" s="184">
        <f t="shared" si="9"/>
        <v>2150</v>
      </c>
      <c r="M9" s="184">
        <f t="shared" si="10"/>
        <v>12</v>
      </c>
      <c r="N9" s="185">
        <f t="shared" si="3"/>
        <v>2.6038197430090469E-2</v>
      </c>
      <c r="O9" s="185">
        <f t="shared" si="4"/>
        <v>0.26666666666666666</v>
      </c>
      <c r="P9" s="186">
        <f t="shared" si="5"/>
        <v>0.24062846923657619</v>
      </c>
      <c r="Q9" s="186">
        <f t="shared" si="6"/>
        <v>2.6038197430090469E-2</v>
      </c>
      <c r="R9" s="186">
        <f t="shared" si="7"/>
        <v>0.26666666666666666</v>
      </c>
      <c r="S9" s="187">
        <f t="shared" si="8"/>
        <v>4.9277456841855969E-3</v>
      </c>
    </row>
    <row r="10" spans="2:19" x14ac:dyDescent="0.3">
      <c r="B10" s="208"/>
      <c r="C10" s="100">
        <v>5</v>
      </c>
      <c r="D10" s="194">
        <v>11571</v>
      </c>
      <c r="E10" s="194">
        <v>11</v>
      </c>
      <c r="F10" s="195">
        <f t="shared" si="0"/>
        <v>9.5065249330222104E-2</v>
      </c>
      <c r="G10" s="208"/>
      <c r="H10" s="208"/>
      <c r="J10" s="184">
        <f t="shared" si="1"/>
        <v>11560</v>
      </c>
      <c r="K10" s="184">
        <f t="shared" si="2"/>
        <v>11</v>
      </c>
      <c r="L10" s="184">
        <f t="shared" si="9"/>
        <v>13710</v>
      </c>
      <c r="M10" s="184">
        <f t="shared" si="10"/>
        <v>23</v>
      </c>
      <c r="N10" s="185">
        <f t="shared" si="3"/>
        <v>0.1660389240774606</v>
      </c>
      <c r="O10" s="185">
        <f t="shared" si="4"/>
        <v>0.51111111111111107</v>
      </c>
      <c r="P10" s="186">
        <f t="shared" si="5"/>
        <v>0.3450721870336505</v>
      </c>
      <c r="Q10" s="186">
        <f t="shared" si="6"/>
        <v>0.1660389240774606</v>
      </c>
      <c r="R10" s="186">
        <f t="shared" si="7"/>
        <v>0.51111111111111107</v>
      </c>
      <c r="S10" s="187">
        <f t="shared" si="8"/>
        <v>5.4444727029532819E-2</v>
      </c>
    </row>
    <row r="11" spans="2:19" x14ac:dyDescent="0.3">
      <c r="B11" s="208"/>
      <c r="C11" s="100">
        <v>6</v>
      </c>
      <c r="D11" s="194">
        <v>29206</v>
      </c>
      <c r="E11" s="194">
        <v>16</v>
      </c>
      <c r="F11" s="195">
        <f t="shared" si="0"/>
        <v>5.4783263712935702E-2</v>
      </c>
      <c r="G11" s="208"/>
      <c r="H11" s="208"/>
      <c r="J11" s="184">
        <f t="shared" si="1"/>
        <v>29190</v>
      </c>
      <c r="K11" s="184">
        <f t="shared" si="2"/>
        <v>16</v>
      </c>
      <c r="L11" s="184">
        <f t="shared" si="9"/>
        <v>42900</v>
      </c>
      <c r="M11" s="184">
        <f t="shared" si="10"/>
        <v>39</v>
      </c>
      <c r="N11" s="185">
        <f t="shared" si="3"/>
        <v>0.51955286965157255</v>
      </c>
      <c r="O11" s="185">
        <f t="shared" si="4"/>
        <v>0.8666666666666667</v>
      </c>
      <c r="P11" s="186">
        <f t="shared" si="5"/>
        <v>0.34711379701509415</v>
      </c>
      <c r="Q11" s="186">
        <f t="shared" si="6"/>
        <v>0.51955286965157255</v>
      </c>
      <c r="R11" s="186">
        <f t="shared" si="7"/>
        <v>0.8666666666666667</v>
      </c>
      <c r="S11" s="187">
        <f t="shared" si="8"/>
        <v>0.24353182917327715</v>
      </c>
    </row>
    <row r="12" spans="2:19" x14ac:dyDescent="0.3">
      <c r="B12" s="208"/>
      <c r="C12" s="100">
        <v>7</v>
      </c>
      <c r="D12" s="194">
        <v>23777</v>
      </c>
      <c r="E12" s="194">
        <v>6</v>
      </c>
      <c r="F12" s="195">
        <f t="shared" si="0"/>
        <v>2.523447028641124E-2</v>
      </c>
      <c r="G12" s="208"/>
      <c r="H12" s="208"/>
      <c r="J12" s="184">
        <f t="shared" si="1"/>
        <v>23771</v>
      </c>
      <c r="K12" s="184">
        <f t="shared" si="2"/>
        <v>6</v>
      </c>
      <c r="L12" s="184">
        <f t="shared" si="9"/>
        <v>66671</v>
      </c>
      <c r="M12" s="184">
        <f t="shared" si="10"/>
        <v>45</v>
      </c>
      <c r="N12" s="185">
        <f t="shared" si="3"/>
        <v>0.80743844691235422</v>
      </c>
      <c r="O12" s="185">
        <f t="shared" si="4"/>
        <v>1</v>
      </c>
      <c r="P12" s="186">
        <f t="shared" si="5"/>
        <v>0.19256155308764578</v>
      </c>
      <c r="Q12" s="186">
        <f t="shared" si="6"/>
        <v>0.80743844691235422</v>
      </c>
      <c r="R12" s="186">
        <f t="shared" si="7"/>
        <v>1</v>
      </c>
      <c r="S12" s="187">
        <f t="shared" si="8"/>
        <v>0.26869320544339625</v>
      </c>
    </row>
    <row r="13" spans="2:19" x14ac:dyDescent="0.3">
      <c r="B13" s="208"/>
      <c r="C13" s="100">
        <v>8</v>
      </c>
      <c r="D13" s="194">
        <v>14270</v>
      </c>
      <c r="E13" s="194">
        <v>0</v>
      </c>
      <c r="F13" s="195">
        <f t="shared" si="0"/>
        <v>0</v>
      </c>
      <c r="G13" s="208"/>
      <c r="H13" s="208"/>
      <c r="J13" s="184">
        <f t="shared" si="1"/>
        <v>14270</v>
      </c>
      <c r="K13" s="184">
        <f t="shared" si="2"/>
        <v>0</v>
      </c>
      <c r="L13" s="184">
        <f t="shared" si="9"/>
        <v>80941</v>
      </c>
      <c r="M13" s="184">
        <f t="shared" si="10"/>
        <v>45</v>
      </c>
      <c r="N13" s="185">
        <f t="shared" si="3"/>
        <v>0.98025941311114073</v>
      </c>
      <c r="O13" s="185">
        <f t="shared" si="4"/>
        <v>1</v>
      </c>
      <c r="P13" s="186">
        <f t="shared" si="5"/>
        <v>1.9740586888859268E-2</v>
      </c>
      <c r="Q13" s="186">
        <f t="shared" si="6"/>
        <v>0.98025941311114073</v>
      </c>
      <c r="R13" s="186">
        <f t="shared" si="7"/>
        <v>1</v>
      </c>
      <c r="S13" s="187">
        <f t="shared" si="8"/>
        <v>0.17282096619878651</v>
      </c>
    </row>
    <row r="14" spans="2:19" x14ac:dyDescent="0.3">
      <c r="B14" s="208"/>
      <c r="C14" s="100">
        <v>9</v>
      </c>
      <c r="D14" s="194">
        <v>1510</v>
      </c>
      <c r="E14" s="194">
        <v>0</v>
      </c>
      <c r="F14" s="195">
        <f t="shared" si="0"/>
        <v>0</v>
      </c>
      <c r="G14" s="208"/>
      <c r="H14" s="208"/>
      <c r="J14" s="184">
        <f t="shared" si="1"/>
        <v>1510</v>
      </c>
      <c r="K14" s="184">
        <f t="shared" si="2"/>
        <v>0</v>
      </c>
      <c r="L14" s="184">
        <f t="shared" si="9"/>
        <v>82451</v>
      </c>
      <c r="M14" s="184">
        <f t="shared" si="10"/>
        <v>45</v>
      </c>
      <c r="N14" s="185">
        <f t="shared" si="3"/>
        <v>0.99854670525971589</v>
      </c>
      <c r="O14" s="185">
        <f t="shared" si="4"/>
        <v>1</v>
      </c>
      <c r="P14" s="186">
        <f t="shared" si="5"/>
        <v>1.4532947402841057E-3</v>
      </c>
      <c r="Q14" s="186">
        <f t="shared" si="6"/>
        <v>0.99854670525971589</v>
      </c>
      <c r="R14" s="186">
        <f t="shared" si="7"/>
        <v>1</v>
      </c>
      <c r="S14" s="187">
        <f t="shared" si="8"/>
        <v>1.8287292148575163E-2</v>
      </c>
    </row>
    <row r="15" spans="2:19" x14ac:dyDescent="0.3">
      <c r="B15" s="208"/>
      <c r="C15" s="101">
        <v>10</v>
      </c>
      <c r="D15" s="196">
        <v>120</v>
      </c>
      <c r="E15" s="196">
        <v>0</v>
      </c>
      <c r="F15" s="197">
        <f t="shared" si="0"/>
        <v>0</v>
      </c>
      <c r="G15" s="208"/>
      <c r="H15" s="208"/>
      <c r="J15" s="188">
        <f t="shared" si="1"/>
        <v>120</v>
      </c>
      <c r="K15" s="188">
        <f t="shared" si="2"/>
        <v>0</v>
      </c>
      <c r="L15" s="188">
        <f t="shared" si="9"/>
        <v>82571</v>
      </c>
      <c r="M15" s="188">
        <f t="shared" si="10"/>
        <v>45</v>
      </c>
      <c r="N15" s="189">
        <f t="shared" si="3"/>
        <v>1</v>
      </c>
      <c r="O15" s="189">
        <f t="shared" si="4"/>
        <v>1</v>
      </c>
      <c r="P15" s="190">
        <f t="shared" si="5"/>
        <v>0</v>
      </c>
      <c r="Q15" s="190">
        <f t="shared" si="6"/>
        <v>1</v>
      </c>
      <c r="R15" s="190">
        <f t="shared" si="7"/>
        <v>1</v>
      </c>
      <c r="S15" s="191">
        <f t="shared" si="8"/>
        <v>1.4532947402841057E-3</v>
      </c>
    </row>
  </sheetData>
  <mergeCells count="8">
    <mergeCell ref="J4:K4"/>
    <mergeCell ref="L4:M4"/>
    <mergeCell ref="N4:P4"/>
    <mergeCell ref="Q4:S4"/>
    <mergeCell ref="B6:B15"/>
    <mergeCell ref="G6:G15"/>
    <mergeCell ref="H6:H15"/>
    <mergeCell ref="B4:B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73"/>
  <sheetViews>
    <sheetView topLeftCell="A24" workbookViewId="0">
      <selection activeCell="O20" sqref="O20"/>
    </sheetView>
  </sheetViews>
  <sheetFormatPr defaultRowHeight="16.5" x14ac:dyDescent="0.3"/>
  <cols>
    <col min="6" max="6" width="7.25" customWidth="1"/>
    <col min="10" max="10" width="8.5" customWidth="1"/>
    <col min="11" max="11" width="9.875" customWidth="1"/>
    <col min="14" max="14" width="8.5" customWidth="1"/>
    <col min="16" max="16" width="9.875" customWidth="1"/>
    <col min="18" max="18" width="7.375" customWidth="1"/>
  </cols>
  <sheetData>
    <row r="2" spans="2:18" ht="17.25" thickBot="1" x14ac:dyDescent="0.35">
      <c r="B2" t="s">
        <v>13</v>
      </c>
    </row>
    <row r="3" spans="2:18" x14ac:dyDescent="0.3">
      <c r="B3" s="212" t="s">
        <v>2</v>
      </c>
      <c r="C3" s="214" t="s">
        <v>70</v>
      </c>
      <c r="D3" s="215"/>
      <c r="E3" s="215"/>
      <c r="F3" s="216"/>
      <c r="G3" s="214" t="s">
        <v>71</v>
      </c>
      <c r="H3" s="215"/>
      <c r="I3" s="215"/>
      <c r="J3" s="216"/>
      <c r="K3" s="214" t="s">
        <v>72</v>
      </c>
      <c r="L3" s="215"/>
      <c r="M3" s="215"/>
      <c r="N3" s="216"/>
      <c r="O3" s="214" t="s">
        <v>96</v>
      </c>
      <c r="P3" s="215"/>
      <c r="Q3" s="215"/>
      <c r="R3" s="216"/>
    </row>
    <row r="4" spans="2:18" x14ac:dyDescent="0.3">
      <c r="B4" s="213"/>
      <c r="C4" s="95" t="s">
        <v>0</v>
      </c>
      <c r="D4" s="96" t="s">
        <v>73</v>
      </c>
      <c r="E4" s="96" t="s">
        <v>7</v>
      </c>
      <c r="F4" s="97" t="s">
        <v>1</v>
      </c>
      <c r="G4" s="95" t="s">
        <v>0</v>
      </c>
      <c r="H4" s="96" t="s">
        <v>84</v>
      </c>
      <c r="I4" s="96" t="s">
        <v>7</v>
      </c>
      <c r="J4" s="97" t="s">
        <v>1</v>
      </c>
      <c r="K4" s="95" t="s">
        <v>0</v>
      </c>
      <c r="L4" s="96" t="s">
        <v>95</v>
      </c>
      <c r="M4" s="96" t="s">
        <v>7</v>
      </c>
      <c r="N4" s="97" t="s">
        <v>1</v>
      </c>
      <c r="O4" s="95" t="s">
        <v>0</v>
      </c>
      <c r="P4" s="96" t="s">
        <v>97</v>
      </c>
      <c r="Q4" s="96" t="s">
        <v>7</v>
      </c>
      <c r="R4" s="97" t="s">
        <v>1</v>
      </c>
    </row>
    <row r="5" spans="2:18" x14ac:dyDescent="0.3">
      <c r="B5" s="10"/>
      <c r="C5" s="8"/>
      <c r="D5" s="1"/>
      <c r="E5" s="1"/>
      <c r="F5" s="9"/>
      <c r="G5" s="8"/>
      <c r="H5" s="1"/>
      <c r="I5" s="1"/>
      <c r="J5" s="9"/>
      <c r="K5" s="8"/>
      <c r="L5" s="1"/>
      <c r="M5" s="1"/>
      <c r="N5" s="9"/>
      <c r="O5" s="8"/>
      <c r="P5" s="1"/>
      <c r="Q5" s="1"/>
      <c r="R5" s="9"/>
    </row>
    <row r="6" spans="2:18" x14ac:dyDescent="0.3">
      <c r="B6" s="12" t="s">
        <v>3</v>
      </c>
      <c r="C6" s="19">
        <f>C15+C16</f>
        <v>1500</v>
      </c>
      <c r="D6" s="20">
        <f>D15+D16</f>
        <v>21</v>
      </c>
      <c r="E6" s="35">
        <f>D6/C6</f>
        <v>1.4E-2</v>
      </c>
      <c r="F6" s="43">
        <f>E6/$E$9</f>
        <v>4.4831460674157304</v>
      </c>
      <c r="G6" s="19">
        <f>G15+G16</f>
        <v>800</v>
      </c>
      <c r="H6" s="20">
        <f>H15+H16</f>
        <v>18</v>
      </c>
      <c r="I6" s="35">
        <f>H6/G6</f>
        <v>2.2499999999999999E-2</v>
      </c>
      <c r="J6" s="43">
        <f>I6/$I$9</f>
        <v>2.6287128712871284</v>
      </c>
      <c r="K6" s="19">
        <f>K15+K16</f>
        <v>300</v>
      </c>
      <c r="L6" s="20">
        <f>L15+L16</f>
        <v>13</v>
      </c>
      <c r="M6" s="35">
        <f>L6/K6</f>
        <v>4.3333333333333335E-2</v>
      </c>
      <c r="N6" s="43">
        <f>M6/$M$9</f>
        <v>2.2365591397849465</v>
      </c>
      <c r="O6" s="19">
        <f>O15+O16</f>
        <v>3000</v>
      </c>
      <c r="P6" s="20">
        <f>P15+P16</f>
        <v>60</v>
      </c>
      <c r="Q6" s="35">
        <f>P6/O6</f>
        <v>0.02</v>
      </c>
      <c r="R6" s="43">
        <f>Q6/$Q$9</f>
        <v>3.5652173913043481</v>
      </c>
    </row>
    <row r="7" spans="2:18" x14ac:dyDescent="0.3">
      <c r="B7" s="13" t="s">
        <v>4</v>
      </c>
      <c r="C7" s="33">
        <f>C17+C18+C19</f>
        <v>8000</v>
      </c>
      <c r="D7" s="34">
        <f>D17+D18+D19</f>
        <v>29</v>
      </c>
      <c r="E7" s="42">
        <f t="shared" ref="E7:E9" si="0">D7/C7</f>
        <v>3.6250000000000002E-3</v>
      </c>
      <c r="F7" s="50">
        <f t="shared" ref="F7:F9" si="1">E7/$E$9</f>
        <v>1.1608146067415732</v>
      </c>
      <c r="G7" s="33">
        <f>G17+G18+G19</f>
        <v>3000</v>
      </c>
      <c r="H7" s="34">
        <f>H17+H18+H19</f>
        <v>27</v>
      </c>
      <c r="I7" s="42">
        <f t="shared" ref="I7:I9" si="2">H7/G7</f>
        <v>8.9999999999999993E-3</v>
      </c>
      <c r="J7" s="51">
        <f t="shared" ref="J7:J9" si="3">I7/$I$9</f>
        <v>1.0514851485148513</v>
      </c>
      <c r="K7" s="33">
        <f>K17+K18+K19</f>
        <v>1100</v>
      </c>
      <c r="L7" s="34">
        <f>L17+L18+L19</f>
        <v>22</v>
      </c>
      <c r="M7" s="42">
        <f t="shared" ref="M7:M9" si="4">L7/K7</f>
        <v>0.02</v>
      </c>
      <c r="N7" s="50">
        <f t="shared" ref="N7:N9" si="5">M7/$M$9</f>
        <v>1.032258064516129</v>
      </c>
      <c r="O7" s="33">
        <f>O17+O18+O19</f>
        <v>10000</v>
      </c>
      <c r="P7" s="34">
        <f>P17+P18+P19</f>
        <v>85</v>
      </c>
      <c r="Q7" s="42">
        <f t="shared" ref="Q7:Q9" si="6">P7/O7</f>
        <v>8.5000000000000006E-3</v>
      </c>
      <c r="R7" s="50">
        <f t="shared" ref="R7:R9" si="7">Q7/$Q$9</f>
        <v>1.5152173913043481</v>
      </c>
    </row>
    <row r="8" spans="2:18" x14ac:dyDescent="0.3">
      <c r="B8" s="15" t="s">
        <v>5</v>
      </c>
      <c r="C8" s="29">
        <f>C20+C21+C22+C23+C24</f>
        <v>19000</v>
      </c>
      <c r="D8" s="30">
        <f>D20+D21+D22+D23+D24</f>
        <v>39</v>
      </c>
      <c r="E8" s="40">
        <f t="shared" si="0"/>
        <v>2.0526315789473684E-3</v>
      </c>
      <c r="F8" s="48">
        <f t="shared" si="1"/>
        <v>0.65730337078651691</v>
      </c>
      <c r="G8" s="29">
        <f>G20+G21+G22+G23+G24</f>
        <v>8000</v>
      </c>
      <c r="H8" s="30">
        <f>H20+H21+H22+H23+H24</f>
        <v>56</v>
      </c>
      <c r="I8" s="40">
        <f t="shared" si="2"/>
        <v>7.0000000000000001E-3</v>
      </c>
      <c r="J8" s="52">
        <f t="shared" si="3"/>
        <v>0.81782178217821777</v>
      </c>
      <c r="K8" s="29">
        <f>K20+K21+K22+K23+K24</f>
        <v>1800</v>
      </c>
      <c r="L8" s="30">
        <f>L20+L21+L22+L23+L24</f>
        <v>27</v>
      </c>
      <c r="M8" s="40">
        <f t="shared" si="4"/>
        <v>1.4999999999999999E-2</v>
      </c>
      <c r="N8" s="48">
        <f t="shared" si="5"/>
        <v>0.77419354838709675</v>
      </c>
      <c r="O8" s="29">
        <f>O20+O21+O22+O23+O24</f>
        <v>28000</v>
      </c>
      <c r="P8" s="30">
        <f>P20+P21+P22+P23+P24</f>
        <v>85</v>
      </c>
      <c r="Q8" s="40">
        <f t="shared" si="6"/>
        <v>3.0357142857142857E-3</v>
      </c>
      <c r="R8" s="48">
        <f t="shared" si="7"/>
        <v>0.54114906832298137</v>
      </c>
    </row>
    <row r="9" spans="2:18" ht="17.25" thickBot="1" x14ac:dyDescent="0.35">
      <c r="B9" s="11" t="s">
        <v>6</v>
      </c>
      <c r="C9" s="31">
        <f>SUM(C6:C8)</f>
        <v>28500</v>
      </c>
      <c r="D9" s="32">
        <f>SUM(D6:D8)</f>
        <v>89</v>
      </c>
      <c r="E9" s="41">
        <f t="shared" si="0"/>
        <v>3.1228070175438596E-3</v>
      </c>
      <c r="F9" s="49">
        <f t="shared" si="1"/>
        <v>1</v>
      </c>
      <c r="G9" s="31">
        <f>SUM(G6:G8)</f>
        <v>11800</v>
      </c>
      <c r="H9" s="32">
        <f>SUM(H6:H8)</f>
        <v>101</v>
      </c>
      <c r="I9" s="41">
        <f t="shared" si="2"/>
        <v>8.5593220338983055E-3</v>
      </c>
      <c r="J9" s="53">
        <f t="shared" si="3"/>
        <v>1</v>
      </c>
      <c r="K9" s="31">
        <f>SUM(K6:K8)</f>
        <v>3200</v>
      </c>
      <c r="L9" s="32">
        <f>SUM(L6:L8)</f>
        <v>62</v>
      </c>
      <c r="M9" s="41">
        <f t="shared" si="4"/>
        <v>1.9375E-2</v>
      </c>
      <c r="N9" s="49">
        <f t="shared" si="5"/>
        <v>1</v>
      </c>
      <c r="O9" s="31">
        <f>SUM(O6:O8)</f>
        <v>41000</v>
      </c>
      <c r="P9" s="32">
        <f>SUM(P6:P8)</f>
        <v>230</v>
      </c>
      <c r="Q9" s="41">
        <f t="shared" si="6"/>
        <v>5.6097560975609754E-3</v>
      </c>
      <c r="R9" s="49">
        <f t="shared" si="7"/>
        <v>1</v>
      </c>
    </row>
    <row r="11" spans="2:18" ht="17.25" thickBot="1" x14ac:dyDescent="0.35"/>
    <row r="12" spans="2:18" x14ac:dyDescent="0.3">
      <c r="B12" s="203" t="s">
        <v>2</v>
      </c>
      <c r="C12" s="217" t="s">
        <v>70</v>
      </c>
      <c r="D12" s="218"/>
      <c r="E12" s="218"/>
      <c r="F12" s="219"/>
      <c r="G12" s="217" t="s">
        <v>71</v>
      </c>
      <c r="H12" s="218"/>
      <c r="I12" s="218"/>
      <c r="J12" s="219"/>
      <c r="K12" s="217" t="s">
        <v>72</v>
      </c>
      <c r="L12" s="218"/>
      <c r="M12" s="218"/>
      <c r="N12" s="219"/>
      <c r="O12" s="217" t="s">
        <v>96</v>
      </c>
      <c r="P12" s="218"/>
      <c r="Q12" s="218"/>
      <c r="R12" s="219"/>
    </row>
    <row r="13" spans="2:18" x14ac:dyDescent="0.3">
      <c r="B13" s="204"/>
      <c r="C13" s="6" t="s">
        <v>0</v>
      </c>
      <c r="D13" s="2" t="s">
        <v>73</v>
      </c>
      <c r="E13" s="2" t="s">
        <v>7</v>
      </c>
      <c r="F13" s="7" t="s">
        <v>1</v>
      </c>
      <c r="G13" s="6" t="s">
        <v>0</v>
      </c>
      <c r="H13" s="2" t="s">
        <v>84</v>
      </c>
      <c r="I13" s="2" t="s">
        <v>7</v>
      </c>
      <c r="J13" s="7" t="s">
        <v>1</v>
      </c>
      <c r="K13" s="6" t="s">
        <v>0</v>
      </c>
      <c r="L13" s="2" t="s">
        <v>95</v>
      </c>
      <c r="M13" s="2" t="s">
        <v>7</v>
      </c>
      <c r="N13" s="7" t="s">
        <v>1</v>
      </c>
      <c r="O13" s="6" t="s">
        <v>0</v>
      </c>
      <c r="P13" s="2" t="s">
        <v>97</v>
      </c>
      <c r="Q13" s="2" t="s">
        <v>7</v>
      </c>
      <c r="R13" s="7" t="s">
        <v>1</v>
      </c>
    </row>
    <row r="14" spans="2:18" x14ac:dyDescent="0.3">
      <c r="B14" s="10"/>
      <c r="C14" s="8"/>
      <c r="D14" s="1"/>
      <c r="E14" s="1"/>
      <c r="F14" s="9"/>
      <c r="G14" s="8"/>
      <c r="H14" s="1"/>
      <c r="I14" s="1"/>
      <c r="J14" s="9"/>
      <c r="K14" s="8"/>
      <c r="L14" s="1"/>
      <c r="M14" s="1"/>
      <c r="N14" s="9"/>
      <c r="O14" s="8"/>
      <c r="P14" s="1"/>
      <c r="Q14" s="1"/>
      <c r="R14" s="9"/>
    </row>
    <row r="15" spans="2:18" x14ac:dyDescent="0.3">
      <c r="B15" s="222">
        <v>1</v>
      </c>
      <c r="C15" s="223">
        <v>500</v>
      </c>
      <c r="D15" s="224">
        <v>10</v>
      </c>
      <c r="E15" s="225">
        <f>D15/C15</f>
        <v>0.02</v>
      </c>
      <c r="F15" s="226">
        <f>E15/$E$25</f>
        <v>6.404494382022472</v>
      </c>
      <c r="G15" s="19">
        <v>300</v>
      </c>
      <c r="H15" s="20">
        <v>10</v>
      </c>
      <c r="I15" s="35">
        <f>H15/G15</f>
        <v>3.3333333333333333E-2</v>
      </c>
      <c r="J15" s="43">
        <f>I15/$I$25</f>
        <v>3.894389438943894</v>
      </c>
      <c r="K15" s="19">
        <v>100</v>
      </c>
      <c r="L15" s="20">
        <v>7</v>
      </c>
      <c r="M15" s="35">
        <f>L15/K15</f>
        <v>7.0000000000000007E-2</v>
      </c>
      <c r="N15" s="43">
        <f>M15/$M$25</f>
        <v>3.612903225806452</v>
      </c>
      <c r="O15" s="19">
        <v>1000</v>
      </c>
      <c r="P15" s="20">
        <v>30</v>
      </c>
      <c r="Q15" s="35">
        <f>P15/O15</f>
        <v>0.03</v>
      </c>
      <c r="R15" s="43">
        <f>Q15/$Q$25</f>
        <v>5.3478260869565215</v>
      </c>
    </row>
    <row r="16" spans="2:18" x14ac:dyDescent="0.3">
      <c r="B16" s="18">
        <v>2</v>
      </c>
      <c r="C16" s="21">
        <v>1000</v>
      </c>
      <c r="D16" s="22">
        <v>11</v>
      </c>
      <c r="E16" s="36">
        <f t="shared" ref="E16:E25" si="8">D16/C16</f>
        <v>1.0999999999999999E-2</v>
      </c>
      <c r="F16" s="44">
        <f t="shared" ref="F16:F25" si="9">E16/$E$25</f>
        <v>3.5224719101123596</v>
      </c>
      <c r="G16" s="21">
        <v>500</v>
      </c>
      <c r="H16" s="22">
        <v>8</v>
      </c>
      <c r="I16" s="36">
        <f t="shared" ref="I16:I25" si="10">H16/G16</f>
        <v>1.6E-2</v>
      </c>
      <c r="J16" s="44">
        <f t="shared" ref="J16:J25" si="11">I16/$I$25</f>
        <v>1.8693069306930692</v>
      </c>
      <c r="K16" s="249">
        <v>200</v>
      </c>
      <c r="L16" s="250">
        <v>6</v>
      </c>
      <c r="M16" s="251">
        <f t="shared" ref="M16:M25" si="12">L16/K16</f>
        <v>0.03</v>
      </c>
      <c r="N16" s="252">
        <f t="shared" ref="N16:N25" si="13">M16/$M$25</f>
        <v>1.5483870967741935</v>
      </c>
      <c r="O16" s="21">
        <v>2000</v>
      </c>
      <c r="P16" s="22">
        <v>30</v>
      </c>
      <c r="Q16" s="36">
        <f t="shared" ref="Q16:Q25" si="14">P16/O16</f>
        <v>1.4999999999999999E-2</v>
      </c>
      <c r="R16" s="44">
        <f t="shared" ref="R16:R25" si="15">Q16/$Q$25</f>
        <v>2.6739130434782608</v>
      </c>
    </row>
    <row r="17" spans="2:18" x14ac:dyDescent="0.3">
      <c r="B17" s="17">
        <v>3</v>
      </c>
      <c r="C17" s="23">
        <v>2000</v>
      </c>
      <c r="D17" s="24">
        <v>9</v>
      </c>
      <c r="E17" s="37">
        <f t="shared" si="8"/>
        <v>4.4999999999999997E-3</v>
      </c>
      <c r="F17" s="45">
        <f t="shared" si="9"/>
        <v>1.441011235955056</v>
      </c>
      <c r="G17" s="23">
        <v>1000</v>
      </c>
      <c r="H17" s="24">
        <v>9</v>
      </c>
      <c r="I17" s="37">
        <f t="shared" si="10"/>
        <v>8.9999999999999993E-3</v>
      </c>
      <c r="J17" s="45">
        <f t="shared" si="11"/>
        <v>1.0514851485148513</v>
      </c>
      <c r="K17" s="245">
        <v>300</v>
      </c>
      <c r="L17" s="246">
        <v>6</v>
      </c>
      <c r="M17" s="247">
        <f t="shared" si="12"/>
        <v>0.02</v>
      </c>
      <c r="N17" s="248">
        <f t="shared" si="13"/>
        <v>1.032258064516129</v>
      </c>
      <c r="O17" s="23">
        <v>3000</v>
      </c>
      <c r="P17" s="24">
        <v>30</v>
      </c>
      <c r="Q17" s="37">
        <f t="shared" si="14"/>
        <v>0.01</v>
      </c>
      <c r="R17" s="45">
        <f t="shared" si="15"/>
        <v>1.7826086956521741</v>
      </c>
    </row>
    <row r="18" spans="2:18" x14ac:dyDescent="0.3">
      <c r="B18" s="17">
        <v>4</v>
      </c>
      <c r="C18" s="23">
        <v>3000</v>
      </c>
      <c r="D18" s="24">
        <v>10</v>
      </c>
      <c r="E18" s="37">
        <f t="shared" si="8"/>
        <v>3.3333333333333335E-3</v>
      </c>
      <c r="F18" s="45">
        <f t="shared" si="9"/>
        <v>1.0674157303370788</v>
      </c>
      <c r="G18" s="227">
        <v>1000</v>
      </c>
      <c r="H18" s="228">
        <v>9</v>
      </c>
      <c r="I18" s="229">
        <f t="shared" si="10"/>
        <v>8.9999999999999993E-3</v>
      </c>
      <c r="J18" s="230">
        <f t="shared" si="11"/>
        <v>1.0514851485148513</v>
      </c>
      <c r="K18" s="23">
        <v>300</v>
      </c>
      <c r="L18" s="24">
        <v>6</v>
      </c>
      <c r="M18" s="37">
        <f t="shared" si="12"/>
        <v>0.02</v>
      </c>
      <c r="N18" s="45">
        <f t="shared" si="13"/>
        <v>1.032258064516129</v>
      </c>
      <c r="O18" s="23">
        <v>3000</v>
      </c>
      <c r="P18" s="24">
        <v>30</v>
      </c>
      <c r="Q18" s="37">
        <f t="shared" si="14"/>
        <v>0.01</v>
      </c>
      <c r="R18" s="45">
        <f t="shared" si="15"/>
        <v>1.7826086956521741</v>
      </c>
    </row>
    <row r="19" spans="2:18" x14ac:dyDescent="0.3">
      <c r="B19" s="54">
        <v>5</v>
      </c>
      <c r="C19" s="55">
        <v>3000</v>
      </c>
      <c r="D19" s="56">
        <v>10</v>
      </c>
      <c r="E19" s="57">
        <f t="shared" si="8"/>
        <v>3.3333333333333335E-3</v>
      </c>
      <c r="F19" s="58">
        <f t="shared" si="9"/>
        <v>1.0674157303370788</v>
      </c>
      <c r="G19" s="55">
        <v>1000</v>
      </c>
      <c r="H19" s="56">
        <v>9</v>
      </c>
      <c r="I19" s="57">
        <f t="shared" si="10"/>
        <v>8.9999999999999993E-3</v>
      </c>
      <c r="J19" s="58">
        <f t="shared" si="11"/>
        <v>1.0514851485148513</v>
      </c>
      <c r="K19" s="55">
        <v>500</v>
      </c>
      <c r="L19" s="56">
        <v>10</v>
      </c>
      <c r="M19" s="57">
        <f t="shared" si="12"/>
        <v>0.02</v>
      </c>
      <c r="N19" s="58">
        <f t="shared" si="13"/>
        <v>1.032258064516129</v>
      </c>
      <c r="O19" s="55">
        <v>4000</v>
      </c>
      <c r="P19" s="56">
        <v>25</v>
      </c>
      <c r="Q19" s="57">
        <f t="shared" si="14"/>
        <v>6.2500000000000003E-3</v>
      </c>
      <c r="R19" s="58">
        <f t="shared" si="15"/>
        <v>1.1141304347826089</v>
      </c>
    </row>
    <row r="20" spans="2:18" x14ac:dyDescent="0.3">
      <c r="B20" s="16">
        <v>6</v>
      </c>
      <c r="C20" s="25">
        <v>4000</v>
      </c>
      <c r="D20" s="26">
        <v>10</v>
      </c>
      <c r="E20" s="38">
        <f t="shared" si="8"/>
        <v>2.5000000000000001E-3</v>
      </c>
      <c r="F20" s="46">
        <f t="shared" si="9"/>
        <v>0.800561797752809</v>
      </c>
      <c r="G20" s="25">
        <v>1500</v>
      </c>
      <c r="H20" s="26">
        <v>10</v>
      </c>
      <c r="I20" s="38">
        <f t="shared" si="10"/>
        <v>6.6666666666666671E-3</v>
      </c>
      <c r="J20" s="46">
        <f t="shared" si="11"/>
        <v>0.77887788778877887</v>
      </c>
      <c r="K20" s="25">
        <v>500</v>
      </c>
      <c r="L20" s="26">
        <v>5</v>
      </c>
      <c r="M20" s="38">
        <f t="shared" si="12"/>
        <v>0.01</v>
      </c>
      <c r="N20" s="46">
        <f t="shared" si="13"/>
        <v>0.5161290322580645</v>
      </c>
      <c r="O20" s="25">
        <v>4000</v>
      </c>
      <c r="P20" s="26">
        <v>20</v>
      </c>
      <c r="Q20" s="38">
        <f t="shared" si="14"/>
        <v>5.0000000000000001E-3</v>
      </c>
      <c r="R20" s="46">
        <f t="shared" si="15"/>
        <v>0.89130434782608703</v>
      </c>
    </row>
    <row r="21" spans="2:18" x14ac:dyDescent="0.3">
      <c r="B21" s="16">
        <v>7</v>
      </c>
      <c r="C21" s="25">
        <v>4000</v>
      </c>
      <c r="D21" s="26">
        <v>10</v>
      </c>
      <c r="E21" s="38">
        <f t="shared" si="8"/>
        <v>2.5000000000000001E-3</v>
      </c>
      <c r="F21" s="46">
        <f t="shared" si="9"/>
        <v>0.800561797752809</v>
      </c>
      <c r="G21" s="25">
        <v>1500</v>
      </c>
      <c r="H21" s="26">
        <v>10</v>
      </c>
      <c r="I21" s="38">
        <f t="shared" si="10"/>
        <v>6.6666666666666671E-3</v>
      </c>
      <c r="J21" s="46">
        <f t="shared" si="11"/>
        <v>0.77887788778877887</v>
      </c>
      <c r="K21" s="25">
        <v>400</v>
      </c>
      <c r="L21" s="26">
        <v>5</v>
      </c>
      <c r="M21" s="38">
        <f t="shared" si="12"/>
        <v>1.2500000000000001E-2</v>
      </c>
      <c r="N21" s="46">
        <f t="shared" si="13"/>
        <v>0.64516129032258074</v>
      </c>
      <c r="O21" s="231">
        <v>5000</v>
      </c>
      <c r="P21" s="232">
        <v>20</v>
      </c>
      <c r="Q21" s="233">
        <f t="shared" si="14"/>
        <v>4.0000000000000001E-3</v>
      </c>
      <c r="R21" s="234">
        <f t="shared" si="15"/>
        <v>0.71304347826086956</v>
      </c>
    </row>
    <row r="22" spans="2:18" x14ac:dyDescent="0.3">
      <c r="B22" s="16">
        <v>8</v>
      </c>
      <c r="C22" s="25">
        <v>4000</v>
      </c>
      <c r="D22" s="26">
        <v>10</v>
      </c>
      <c r="E22" s="38">
        <f t="shared" si="8"/>
        <v>2.5000000000000001E-3</v>
      </c>
      <c r="F22" s="46">
        <f t="shared" si="9"/>
        <v>0.800561797752809</v>
      </c>
      <c r="G22" s="25">
        <v>2000</v>
      </c>
      <c r="H22" s="26">
        <v>11</v>
      </c>
      <c r="I22" s="38">
        <f t="shared" si="10"/>
        <v>5.4999999999999997E-3</v>
      </c>
      <c r="J22" s="46">
        <f t="shared" si="11"/>
        <v>0.64257425742574248</v>
      </c>
      <c r="K22" s="25">
        <v>400</v>
      </c>
      <c r="L22" s="26">
        <v>7</v>
      </c>
      <c r="M22" s="38">
        <f t="shared" si="12"/>
        <v>1.7500000000000002E-2</v>
      </c>
      <c r="N22" s="46">
        <f t="shared" si="13"/>
        <v>0.90322580645161299</v>
      </c>
      <c r="O22" s="25">
        <v>6000</v>
      </c>
      <c r="P22" s="26">
        <v>20</v>
      </c>
      <c r="Q22" s="38">
        <f t="shared" si="14"/>
        <v>3.3333333333333335E-3</v>
      </c>
      <c r="R22" s="46">
        <f t="shared" si="15"/>
        <v>0.59420289855072472</v>
      </c>
    </row>
    <row r="23" spans="2:18" x14ac:dyDescent="0.3">
      <c r="B23" s="14">
        <v>9</v>
      </c>
      <c r="C23" s="27">
        <v>5000</v>
      </c>
      <c r="D23" s="28">
        <v>5</v>
      </c>
      <c r="E23" s="39">
        <f t="shared" si="8"/>
        <v>1E-3</v>
      </c>
      <c r="F23" s="47">
        <f t="shared" si="9"/>
        <v>0.3202247191011236</v>
      </c>
      <c r="G23" s="27">
        <v>2000</v>
      </c>
      <c r="H23" s="28">
        <v>12</v>
      </c>
      <c r="I23" s="39">
        <f t="shared" si="10"/>
        <v>6.0000000000000001E-3</v>
      </c>
      <c r="J23" s="47">
        <f t="shared" si="11"/>
        <v>0.70099009900990095</v>
      </c>
      <c r="K23" s="27">
        <v>300</v>
      </c>
      <c r="L23" s="28">
        <v>7</v>
      </c>
      <c r="M23" s="39">
        <f t="shared" si="12"/>
        <v>2.3333333333333334E-2</v>
      </c>
      <c r="N23" s="47">
        <f t="shared" si="13"/>
        <v>1.2043010752688172</v>
      </c>
      <c r="O23" s="27">
        <v>7000</v>
      </c>
      <c r="P23" s="28">
        <v>15</v>
      </c>
      <c r="Q23" s="39">
        <f t="shared" si="14"/>
        <v>2.142857142857143E-3</v>
      </c>
      <c r="R23" s="47">
        <f t="shared" si="15"/>
        <v>0.38198757763975161</v>
      </c>
    </row>
    <row r="24" spans="2:18" x14ac:dyDescent="0.3">
      <c r="B24" s="15">
        <v>10</v>
      </c>
      <c r="C24" s="29">
        <v>2000</v>
      </c>
      <c r="D24" s="30">
        <v>4</v>
      </c>
      <c r="E24" s="40">
        <f t="shared" si="8"/>
        <v>2E-3</v>
      </c>
      <c r="F24" s="48">
        <f t="shared" si="9"/>
        <v>0.6404494382022472</v>
      </c>
      <c r="G24" s="29">
        <v>1000</v>
      </c>
      <c r="H24" s="30">
        <v>13</v>
      </c>
      <c r="I24" s="40">
        <f t="shared" si="10"/>
        <v>1.2999999999999999E-2</v>
      </c>
      <c r="J24" s="48">
        <f t="shared" si="11"/>
        <v>1.5188118811881186</v>
      </c>
      <c r="K24" s="29">
        <v>200</v>
      </c>
      <c r="L24" s="30">
        <v>3</v>
      </c>
      <c r="M24" s="40">
        <f t="shared" si="12"/>
        <v>1.4999999999999999E-2</v>
      </c>
      <c r="N24" s="48">
        <f t="shared" si="13"/>
        <v>0.77419354838709675</v>
      </c>
      <c r="O24" s="29">
        <v>6000</v>
      </c>
      <c r="P24" s="30">
        <v>10</v>
      </c>
      <c r="Q24" s="40">
        <f t="shared" si="14"/>
        <v>1.6666666666666668E-3</v>
      </c>
      <c r="R24" s="48">
        <f t="shared" si="15"/>
        <v>0.29710144927536236</v>
      </c>
    </row>
    <row r="25" spans="2:18" ht="17.25" thickBot="1" x14ac:dyDescent="0.35">
      <c r="B25" s="11" t="s">
        <v>6</v>
      </c>
      <c r="C25" s="31">
        <f>SUM(C15:C24)</f>
        <v>28500</v>
      </c>
      <c r="D25" s="32">
        <f>SUM(D15:D24)</f>
        <v>89</v>
      </c>
      <c r="E25" s="41">
        <f t="shared" si="8"/>
        <v>3.1228070175438596E-3</v>
      </c>
      <c r="F25" s="49">
        <f t="shared" si="9"/>
        <v>1</v>
      </c>
      <c r="G25" s="31">
        <f>SUM(G15:G24)</f>
        <v>11800</v>
      </c>
      <c r="H25" s="32">
        <f>SUM(H15:H24)</f>
        <v>101</v>
      </c>
      <c r="I25" s="41">
        <f t="shared" si="10"/>
        <v>8.5593220338983055E-3</v>
      </c>
      <c r="J25" s="49">
        <f t="shared" si="11"/>
        <v>1</v>
      </c>
      <c r="K25" s="31">
        <f>SUM(K15:K24)</f>
        <v>3200</v>
      </c>
      <c r="L25" s="32">
        <f>SUM(L15:L24)</f>
        <v>62</v>
      </c>
      <c r="M25" s="41">
        <f t="shared" si="12"/>
        <v>1.9375E-2</v>
      </c>
      <c r="N25" s="49">
        <f t="shared" si="13"/>
        <v>1</v>
      </c>
      <c r="O25" s="31">
        <f>SUM(O15:O24)</f>
        <v>41000</v>
      </c>
      <c r="P25" s="32">
        <f>SUM(P15:P24)</f>
        <v>230</v>
      </c>
      <c r="Q25" s="41">
        <f t="shared" si="14"/>
        <v>5.6097560975609754E-3</v>
      </c>
      <c r="R25" s="49">
        <f t="shared" si="15"/>
        <v>1</v>
      </c>
    </row>
    <row r="30" spans="2:18" ht="17.25" thickBot="1" x14ac:dyDescent="0.35">
      <c r="B30" t="s">
        <v>14</v>
      </c>
    </row>
    <row r="31" spans="2:18" x14ac:dyDescent="0.3">
      <c r="B31" s="212" t="s">
        <v>2</v>
      </c>
      <c r="C31" s="214" t="s">
        <v>9</v>
      </c>
      <c r="D31" s="215"/>
      <c r="E31" s="215"/>
      <c r="F31" s="216"/>
      <c r="K31" s="212" t="s">
        <v>2</v>
      </c>
      <c r="L31" s="214" t="s">
        <v>11</v>
      </c>
      <c r="M31" s="215"/>
      <c r="N31" s="215"/>
      <c r="O31" s="216"/>
    </row>
    <row r="32" spans="2:18" x14ac:dyDescent="0.3">
      <c r="B32" s="213"/>
      <c r="C32" s="95" t="s">
        <v>0</v>
      </c>
      <c r="D32" s="96" t="s">
        <v>10</v>
      </c>
      <c r="E32" s="96" t="s">
        <v>7</v>
      </c>
      <c r="F32" s="97" t="s">
        <v>1</v>
      </c>
      <c r="K32" s="213"/>
      <c r="L32" s="95" t="s">
        <v>0</v>
      </c>
      <c r="M32" s="96" t="s">
        <v>10</v>
      </c>
      <c r="N32" s="96" t="s">
        <v>7</v>
      </c>
      <c r="O32" s="97" t="s">
        <v>1</v>
      </c>
      <c r="P32" s="93" t="s">
        <v>12</v>
      </c>
    </row>
    <row r="33" spans="2:16" x14ac:dyDescent="0.3">
      <c r="B33" s="69"/>
      <c r="C33" s="70"/>
      <c r="D33" s="71"/>
      <c r="E33" s="71"/>
      <c r="F33" s="72"/>
      <c r="K33" s="10"/>
      <c r="L33" s="8"/>
      <c r="M33" s="1"/>
      <c r="N33" s="1"/>
      <c r="O33" s="9"/>
      <c r="P33" s="94"/>
    </row>
    <row r="34" spans="2:16" x14ac:dyDescent="0.3">
      <c r="B34" s="59" t="s">
        <v>74</v>
      </c>
      <c r="C34" s="60">
        <v>500</v>
      </c>
      <c r="D34" s="61">
        <v>10</v>
      </c>
      <c r="E34" s="62">
        <f t="shared" ref="E34:E53" si="16">D34/C34</f>
        <v>0.02</v>
      </c>
      <c r="F34" s="63">
        <f>E34/$E$25</f>
        <v>6.404494382022472</v>
      </c>
      <c r="K34" s="235" t="s">
        <v>74</v>
      </c>
      <c r="L34" s="236">
        <v>500</v>
      </c>
      <c r="M34" s="237">
        <v>10</v>
      </c>
      <c r="N34" s="238">
        <f t="shared" ref="N34:N73" si="17">M34/L34</f>
        <v>0.02</v>
      </c>
      <c r="O34" s="239">
        <f>N34/$E$25</f>
        <v>6.404494382022472</v>
      </c>
      <c r="P34" s="94">
        <v>900</v>
      </c>
    </row>
    <row r="35" spans="2:16" x14ac:dyDescent="0.3">
      <c r="B35" s="64" t="s">
        <v>98</v>
      </c>
      <c r="C35" s="65">
        <v>1000</v>
      </c>
      <c r="D35" s="66">
        <v>30</v>
      </c>
      <c r="E35" s="67">
        <f t="shared" si="16"/>
        <v>0.03</v>
      </c>
      <c r="F35" s="68">
        <f>E35/$Q$25</f>
        <v>5.3478260869565215</v>
      </c>
      <c r="K35" s="73" t="s">
        <v>98</v>
      </c>
      <c r="L35" s="74">
        <v>1000</v>
      </c>
      <c r="M35" s="75">
        <v>30</v>
      </c>
      <c r="N35" s="76">
        <f t="shared" si="17"/>
        <v>0.03</v>
      </c>
      <c r="O35" s="77">
        <f>N35/$Q$25</f>
        <v>5.3478260869565215</v>
      </c>
      <c r="P35" s="94">
        <v>900</v>
      </c>
    </row>
    <row r="36" spans="2:16" x14ac:dyDescent="0.3">
      <c r="B36" s="64" t="s">
        <v>85</v>
      </c>
      <c r="C36" s="65">
        <v>300</v>
      </c>
      <c r="D36" s="66">
        <v>10</v>
      </c>
      <c r="E36" s="67">
        <f t="shared" si="16"/>
        <v>3.3333333333333333E-2</v>
      </c>
      <c r="F36" s="68">
        <f>E36/$I$25</f>
        <v>3.894389438943894</v>
      </c>
      <c r="K36" s="73" t="s">
        <v>85</v>
      </c>
      <c r="L36" s="74">
        <v>300</v>
      </c>
      <c r="M36" s="75">
        <v>10</v>
      </c>
      <c r="N36" s="76">
        <f t="shared" si="17"/>
        <v>3.3333333333333333E-2</v>
      </c>
      <c r="O36" s="77">
        <f>N36/$I$25</f>
        <v>3.894389438943894</v>
      </c>
      <c r="P36" s="94">
        <v>800</v>
      </c>
    </row>
    <row r="37" spans="2:16" x14ac:dyDescent="0.3">
      <c r="B37" s="64" t="s">
        <v>108</v>
      </c>
      <c r="C37" s="65">
        <v>100</v>
      </c>
      <c r="D37" s="66">
        <v>7</v>
      </c>
      <c r="E37" s="67">
        <f t="shared" si="16"/>
        <v>7.0000000000000007E-2</v>
      </c>
      <c r="F37" s="68">
        <f>E37/$M$25</f>
        <v>3.612903225806452</v>
      </c>
      <c r="K37" s="73" t="s">
        <v>108</v>
      </c>
      <c r="L37" s="74">
        <v>100</v>
      </c>
      <c r="M37" s="75">
        <v>7</v>
      </c>
      <c r="N37" s="76">
        <f t="shared" si="17"/>
        <v>7.0000000000000007E-2</v>
      </c>
      <c r="O37" s="77">
        <f>N37/$M$25</f>
        <v>3.612903225806452</v>
      </c>
      <c r="P37" s="94">
        <v>800</v>
      </c>
    </row>
    <row r="38" spans="2:16" x14ac:dyDescent="0.3">
      <c r="B38" s="73" t="s">
        <v>75</v>
      </c>
      <c r="C38" s="74">
        <v>1000</v>
      </c>
      <c r="D38" s="75">
        <v>11</v>
      </c>
      <c r="E38" s="76">
        <f t="shared" si="16"/>
        <v>1.0999999999999999E-2</v>
      </c>
      <c r="F38" s="77">
        <f>E38/$E$25</f>
        <v>3.5224719101123596</v>
      </c>
      <c r="K38" s="73" t="s">
        <v>75</v>
      </c>
      <c r="L38" s="74">
        <v>1000</v>
      </c>
      <c r="M38" s="75">
        <v>11</v>
      </c>
      <c r="N38" s="76">
        <f t="shared" si="17"/>
        <v>1.0999999999999999E-2</v>
      </c>
      <c r="O38" s="77">
        <f>N38/$E$25</f>
        <v>3.5224719101123596</v>
      </c>
      <c r="P38" s="94">
        <v>800</v>
      </c>
    </row>
    <row r="39" spans="2:16" x14ac:dyDescent="0.3">
      <c r="B39" s="73" t="s">
        <v>99</v>
      </c>
      <c r="C39" s="74">
        <v>2000</v>
      </c>
      <c r="D39" s="75">
        <v>30</v>
      </c>
      <c r="E39" s="76">
        <f t="shared" si="16"/>
        <v>1.4999999999999999E-2</v>
      </c>
      <c r="F39" s="77">
        <f>E39/$Q$25</f>
        <v>2.6739130434782608</v>
      </c>
      <c r="K39" s="73" t="s">
        <v>99</v>
      </c>
      <c r="L39" s="74">
        <v>2000</v>
      </c>
      <c r="M39" s="75">
        <v>30</v>
      </c>
      <c r="N39" s="76">
        <f t="shared" si="17"/>
        <v>1.4999999999999999E-2</v>
      </c>
      <c r="O39" s="77">
        <f>N39/$Q$25</f>
        <v>2.6739130434782608</v>
      </c>
      <c r="P39" s="94">
        <v>800</v>
      </c>
    </row>
    <row r="40" spans="2:16" x14ac:dyDescent="0.3">
      <c r="B40" s="73" t="s">
        <v>86</v>
      </c>
      <c r="C40" s="74">
        <v>500</v>
      </c>
      <c r="D40" s="75">
        <v>8</v>
      </c>
      <c r="E40" s="76">
        <f t="shared" si="16"/>
        <v>1.6E-2</v>
      </c>
      <c r="F40" s="77">
        <f>E40/$I$25</f>
        <v>1.8693069306930692</v>
      </c>
      <c r="K40" s="73" t="s">
        <v>86</v>
      </c>
      <c r="L40" s="74">
        <v>500</v>
      </c>
      <c r="M40" s="75">
        <v>8</v>
      </c>
      <c r="N40" s="76">
        <f t="shared" si="17"/>
        <v>1.6E-2</v>
      </c>
      <c r="O40" s="77">
        <f>N40/$I$25</f>
        <v>1.8693069306930692</v>
      </c>
      <c r="P40" s="94">
        <v>700</v>
      </c>
    </row>
    <row r="41" spans="2:16" x14ac:dyDescent="0.3">
      <c r="B41" s="78" t="s">
        <v>100</v>
      </c>
      <c r="C41" s="79">
        <v>3000</v>
      </c>
      <c r="D41" s="80">
        <v>30</v>
      </c>
      <c r="E41" s="81">
        <f t="shared" si="16"/>
        <v>0.01</v>
      </c>
      <c r="F41" s="82">
        <f>E41/$Q$25</f>
        <v>1.7826086956521741</v>
      </c>
      <c r="K41" s="78" t="s">
        <v>100</v>
      </c>
      <c r="L41" s="79">
        <v>3000</v>
      </c>
      <c r="M41" s="80">
        <v>30</v>
      </c>
      <c r="N41" s="81">
        <f t="shared" si="17"/>
        <v>0.01</v>
      </c>
      <c r="O41" s="82">
        <f>N41/$Q$25</f>
        <v>1.7826086956521741</v>
      </c>
      <c r="P41" s="94">
        <v>700</v>
      </c>
    </row>
    <row r="42" spans="2:16" x14ac:dyDescent="0.3">
      <c r="B42" s="78" t="s">
        <v>101</v>
      </c>
      <c r="C42" s="79">
        <v>3000</v>
      </c>
      <c r="D42" s="80">
        <v>30</v>
      </c>
      <c r="E42" s="81">
        <f t="shared" si="16"/>
        <v>0.01</v>
      </c>
      <c r="F42" s="82">
        <f>E42/$Q$25</f>
        <v>1.7826086956521741</v>
      </c>
      <c r="K42" s="78" t="s">
        <v>101</v>
      </c>
      <c r="L42" s="79">
        <v>3000</v>
      </c>
      <c r="M42" s="80">
        <v>30</v>
      </c>
      <c r="N42" s="81">
        <f t="shared" si="17"/>
        <v>0.01</v>
      </c>
      <c r="O42" s="82">
        <f>N42/$Q$25</f>
        <v>1.7826086956521741</v>
      </c>
      <c r="P42" s="94">
        <v>700</v>
      </c>
    </row>
    <row r="43" spans="2:16" x14ac:dyDescent="0.3">
      <c r="B43" s="73" t="s">
        <v>109</v>
      </c>
      <c r="C43" s="74">
        <v>200</v>
      </c>
      <c r="D43" s="75">
        <v>6</v>
      </c>
      <c r="E43" s="76">
        <f t="shared" si="16"/>
        <v>0.03</v>
      </c>
      <c r="F43" s="77">
        <f>E43/$M$25</f>
        <v>1.5483870967741935</v>
      </c>
      <c r="K43" s="253" t="s">
        <v>109</v>
      </c>
      <c r="L43" s="254">
        <v>200</v>
      </c>
      <c r="M43" s="255">
        <v>6</v>
      </c>
      <c r="N43" s="256">
        <f t="shared" si="17"/>
        <v>0.03</v>
      </c>
      <c r="O43" s="257">
        <f>N43/$M$25</f>
        <v>1.5483870967741935</v>
      </c>
      <c r="P43" s="94">
        <v>700</v>
      </c>
    </row>
    <row r="44" spans="2:16" x14ac:dyDescent="0.3">
      <c r="B44" s="78" t="s">
        <v>76</v>
      </c>
      <c r="C44" s="79">
        <v>2000</v>
      </c>
      <c r="D44" s="80">
        <v>9</v>
      </c>
      <c r="E44" s="81">
        <f t="shared" si="16"/>
        <v>4.4999999999999997E-3</v>
      </c>
      <c r="F44" s="82">
        <f>E44/$E$25</f>
        <v>1.441011235955056</v>
      </c>
      <c r="K44" s="83" t="s">
        <v>87</v>
      </c>
      <c r="L44" s="84">
        <v>1000</v>
      </c>
      <c r="M44" s="85">
        <v>13</v>
      </c>
      <c r="N44" s="86">
        <f t="shared" si="17"/>
        <v>1.2999999999999999E-2</v>
      </c>
      <c r="O44" s="87">
        <f>N44/$I$25</f>
        <v>1.5188118811881186</v>
      </c>
      <c r="P44" s="94">
        <v>700</v>
      </c>
    </row>
    <row r="45" spans="2:16" x14ac:dyDescent="0.3">
      <c r="B45" s="78" t="s">
        <v>102</v>
      </c>
      <c r="C45" s="79">
        <v>4000</v>
      </c>
      <c r="D45" s="80">
        <v>25</v>
      </c>
      <c r="E45" s="81">
        <f t="shared" si="16"/>
        <v>6.2500000000000003E-3</v>
      </c>
      <c r="F45" s="82">
        <f>E45/$Q$25</f>
        <v>1.1141304347826089</v>
      </c>
      <c r="K45" s="78" t="s">
        <v>76</v>
      </c>
      <c r="L45" s="79">
        <v>2000</v>
      </c>
      <c r="M45" s="80">
        <v>9</v>
      </c>
      <c r="N45" s="81">
        <f t="shared" si="17"/>
        <v>4.4999999999999997E-3</v>
      </c>
      <c r="O45" s="82">
        <f>N45/$E$25</f>
        <v>1.441011235955056</v>
      </c>
      <c r="P45" s="94">
        <v>600</v>
      </c>
    </row>
    <row r="46" spans="2:16" x14ac:dyDescent="0.3">
      <c r="B46" s="78" t="s">
        <v>77</v>
      </c>
      <c r="C46" s="79">
        <v>3000</v>
      </c>
      <c r="D46" s="80">
        <v>10</v>
      </c>
      <c r="E46" s="81">
        <f t="shared" si="16"/>
        <v>3.3333333333333335E-3</v>
      </c>
      <c r="F46" s="82">
        <f>E46/$E$25</f>
        <v>1.0674157303370788</v>
      </c>
      <c r="K46" s="83" t="s">
        <v>110</v>
      </c>
      <c r="L46" s="84">
        <v>300</v>
      </c>
      <c r="M46" s="85">
        <v>7</v>
      </c>
      <c r="N46" s="86">
        <f t="shared" si="17"/>
        <v>2.3333333333333334E-2</v>
      </c>
      <c r="O46" s="87">
        <f>N46/$M$25</f>
        <v>1.2043010752688172</v>
      </c>
      <c r="P46" s="94">
        <v>600</v>
      </c>
    </row>
    <row r="47" spans="2:16" x14ac:dyDescent="0.3">
      <c r="B47" s="78" t="s">
        <v>78</v>
      </c>
      <c r="C47" s="79">
        <v>3000</v>
      </c>
      <c r="D47" s="80">
        <v>10</v>
      </c>
      <c r="E47" s="81">
        <f t="shared" si="16"/>
        <v>3.3333333333333335E-3</v>
      </c>
      <c r="F47" s="82">
        <f>E47/$E$25</f>
        <v>1.0674157303370788</v>
      </c>
      <c r="K47" s="78" t="s">
        <v>102</v>
      </c>
      <c r="L47" s="79">
        <v>4000</v>
      </c>
      <c r="M47" s="80">
        <v>25</v>
      </c>
      <c r="N47" s="81">
        <f t="shared" si="17"/>
        <v>6.2500000000000003E-3</v>
      </c>
      <c r="O47" s="82">
        <f>N47/$Q$25</f>
        <v>1.1141304347826089</v>
      </c>
      <c r="P47" s="94">
        <v>600</v>
      </c>
    </row>
    <row r="48" spans="2:16" x14ac:dyDescent="0.3">
      <c r="B48" s="78" t="s">
        <v>88</v>
      </c>
      <c r="C48" s="79">
        <v>1000</v>
      </c>
      <c r="D48" s="80">
        <v>9</v>
      </c>
      <c r="E48" s="81">
        <f t="shared" si="16"/>
        <v>8.9999999999999993E-3</v>
      </c>
      <c r="F48" s="82">
        <f>E48/$I$25</f>
        <v>1.0514851485148513</v>
      </c>
      <c r="K48" s="78" t="s">
        <v>77</v>
      </c>
      <c r="L48" s="79">
        <v>3000</v>
      </c>
      <c r="M48" s="80">
        <v>10</v>
      </c>
      <c r="N48" s="81">
        <f t="shared" si="17"/>
        <v>3.3333333333333335E-3</v>
      </c>
      <c r="O48" s="82">
        <f>N48/$E$25</f>
        <v>1.0674157303370788</v>
      </c>
      <c r="P48" s="94">
        <v>600</v>
      </c>
    </row>
    <row r="49" spans="2:16" x14ac:dyDescent="0.3">
      <c r="B49" s="78" t="s">
        <v>89</v>
      </c>
      <c r="C49" s="79">
        <v>1000</v>
      </c>
      <c r="D49" s="80">
        <v>9</v>
      </c>
      <c r="E49" s="81">
        <f t="shared" si="16"/>
        <v>8.9999999999999993E-3</v>
      </c>
      <c r="F49" s="82">
        <f>E49/$I$25</f>
        <v>1.0514851485148513</v>
      </c>
      <c r="K49" s="78" t="s">
        <v>78</v>
      </c>
      <c r="L49" s="79">
        <v>3000</v>
      </c>
      <c r="M49" s="80">
        <v>10</v>
      </c>
      <c r="N49" s="81">
        <f t="shared" si="17"/>
        <v>3.3333333333333335E-3</v>
      </c>
      <c r="O49" s="82">
        <f>N49/$E$25</f>
        <v>1.0674157303370788</v>
      </c>
      <c r="P49" s="94">
        <v>600</v>
      </c>
    </row>
    <row r="50" spans="2:16" x14ac:dyDescent="0.3">
      <c r="B50" s="78" t="s">
        <v>90</v>
      </c>
      <c r="C50" s="79">
        <v>1000</v>
      </c>
      <c r="D50" s="80">
        <v>9</v>
      </c>
      <c r="E50" s="81">
        <f t="shared" si="16"/>
        <v>8.9999999999999993E-3</v>
      </c>
      <c r="F50" s="82">
        <f>E50/$I$25</f>
        <v>1.0514851485148513</v>
      </c>
      <c r="K50" s="78" t="s">
        <v>88</v>
      </c>
      <c r="L50" s="79">
        <v>1000</v>
      </c>
      <c r="M50" s="80">
        <v>9</v>
      </c>
      <c r="N50" s="81">
        <f t="shared" si="17"/>
        <v>8.9999999999999993E-3</v>
      </c>
      <c r="O50" s="82">
        <f>N50/$I$25</f>
        <v>1.0514851485148513</v>
      </c>
      <c r="P50" s="94">
        <v>600</v>
      </c>
    </row>
    <row r="51" spans="2:16" x14ac:dyDescent="0.3">
      <c r="B51" s="78" t="s">
        <v>111</v>
      </c>
      <c r="C51" s="79">
        <v>300</v>
      </c>
      <c r="D51" s="80">
        <v>6</v>
      </c>
      <c r="E51" s="81">
        <f t="shared" si="16"/>
        <v>0.02</v>
      </c>
      <c r="F51" s="82">
        <f>E51/$M$25</f>
        <v>1.032258064516129</v>
      </c>
      <c r="K51" s="240" t="s">
        <v>89</v>
      </c>
      <c r="L51" s="241">
        <v>1000</v>
      </c>
      <c r="M51" s="242">
        <v>9</v>
      </c>
      <c r="N51" s="243">
        <f t="shared" si="17"/>
        <v>8.9999999999999993E-3</v>
      </c>
      <c r="O51" s="244">
        <f>N51/$I$25</f>
        <v>1.0514851485148513</v>
      </c>
      <c r="P51" s="94">
        <v>600</v>
      </c>
    </row>
    <row r="52" spans="2:16" x14ac:dyDescent="0.3">
      <c r="B52" s="78" t="s">
        <v>112</v>
      </c>
      <c r="C52" s="79">
        <v>300</v>
      </c>
      <c r="D52" s="80">
        <v>6</v>
      </c>
      <c r="E52" s="81">
        <f t="shared" si="16"/>
        <v>0.02</v>
      </c>
      <c r="F52" s="82">
        <f>E52/$M$25</f>
        <v>1.032258064516129</v>
      </c>
      <c r="K52" s="78" t="s">
        <v>90</v>
      </c>
      <c r="L52" s="79">
        <v>1000</v>
      </c>
      <c r="M52" s="80">
        <v>9</v>
      </c>
      <c r="N52" s="81">
        <f t="shared" si="17"/>
        <v>8.9999999999999993E-3</v>
      </c>
      <c r="O52" s="82">
        <f>N52/$I$25</f>
        <v>1.0514851485148513</v>
      </c>
      <c r="P52" s="94">
        <v>600</v>
      </c>
    </row>
    <row r="53" spans="2:16" x14ac:dyDescent="0.3">
      <c r="B53" s="78" t="s">
        <v>113</v>
      </c>
      <c r="C53" s="79">
        <v>500</v>
      </c>
      <c r="D53" s="80">
        <v>10</v>
      </c>
      <c r="E53" s="81">
        <f t="shared" si="16"/>
        <v>0.02</v>
      </c>
      <c r="F53" s="82">
        <f>E53/$M$25</f>
        <v>1.032258064516129</v>
      </c>
      <c r="K53" s="78" t="s">
        <v>111</v>
      </c>
      <c r="L53" s="79">
        <v>300</v>
      </c>
      <c r="M53" s="80">
        <v>6</v>
      </c>
      <c r="N53" s="81">
        <f t="shared" si="17"/>
        <v>0.02</v>
      </c>
      <c r="O53" s="82">
        <f>N53/$M$25</f>
        <v>1.032258064516129</v>
      </c>
      <c r="P53" s="94">
        <v>500</v>
      </c>
    </row>
    <row r="54" spans="2:16" x14ac:dyDescent="0.3">
      <c r="C54" s="102">
        <f>SUM(C34:C53)</f>
        <v>27700</v>
      </c>
      <c r="D54" s="102">
        <f>SUM(D34:D53)</f>
        <v>275</v>
      </c>
      <c r="K54" s="78" t="s">
        <v>112</v>
      </c>
      <c r="L54" s="79">
        <v>300</v>
      </c>
      <c r="M54" s="80">
        <v>6</v>
      </c>
      <c r="N54" s="81">
        <f t="shared" si="17"/>
        <v>0.02</v>
      </c>
      <c r="O54" s="82">
        <f>N54/$M$25</f>
        <v>1.032258064516129</v>
      </c>
      <c r="P54" s="94">
        <v>500</v>
      </c>
    </row>
    <row r="55" spans="2:16" x14ac:dyDescent="0.3">
      <c r="K55" s="78" t="s">
        <v>113</v>
      </c>
      <c r="L55" s="79">
        <v>500</v>
      </c>
      <c r="M55" s="80">
        <v>10</v>
      </c>
      <c r="N55" s="81">
        <f t="shared" si="17"/>
        <v>0.02</v>
      </c>
      <c r="O55" s="82">
        <f>N55/$M$25</f>
        <v>1.032258064516129</v>
      </c>
      <c r="P55" s="94">
        <v>500</v>
      </c>
    </row>
    <row r="56" spans="2:16" x14ac:dyDescent="0.3">
      <c r="K56" s="83" t="s">
        <v>114</v>
      </c>
      <c r="L56" s="84">
        <v>400</v>
      </c>
      <c r="M56" s="85">
        <v>7</v>
      </c>
      <c r="N56" s="86">
        <f t="shared" si="17"/>
        <v>1.7500000000000002E-2</v>
      </c>
      <c r="O56" s="87">
        <f>N56/$M$25</f>
        <v>0.90322580645161299</v>
      </c>
      <c r="P56" s="94">
        <v>500</v>
      </c>
    </row>
    <row r="57" spans="2:16" x14ac:dyDescent="0.3">
      <c r="K57" s="83" t="s">
        <v>103</v>
      </c>
      <c r="L57" s="84">
        <v>4000</v>
      </c>
      <c r="M57" s="85">
        <v>20</v>
      </c>
      <c r="N57" s="86">
        <f t="shared" si="17"/>
        <v>5.0000000000000001E-3</v>
      </c>
      <c r="O57" s="87">
        <f>N57/$Q$25</f>
        <v>0.89130434782608703</v>
      </c>
      <c r="P57" s="94">
        <v>500</v>
      </c>
    </row>
    <row r="58" spans="2:16" x14ac:dyDescent="0.3">
      <c r="K58" s="83" t="s">
        <v>79</v>
      </c>
      <c r="L58" s="84">
        <v>4000</v>
      </c>
      <c r="M58" s="85">
        <v>10</v>
      </c>
      <c r="N58" s="86">
        <f t="shared" si="17"/>
        <v>2.5000000000000001E-3</v>
      </c>
      <c r="O58" s="87">
        <f>N58/$E$25</f>
        <v>0.800561797752809</v>
      </c>
      <c r="P58" s="94">
        <v>400</v>
      </c>
    </row>
    <row r="59" spans="2:16" x14ac:dyDescent="0.3">
      <c r="K59" s="83" t="s">
        <v>80</v>
      </c>
      <c r="L59" s="84">
        <v>4000</v>
      </c>
      <c r="M59" s="85">
        <v>10</v>
      </c>
      <c r="N59" s="86">
        <f t="shared" si="17"/>
        <v>2.5000000000000001E-3</v>
      </c>
      <c r="O59" s="87">
        <f>N59/$E$25</f>
        <v>0.800561797752809</v>
      </c>
      <c r="P59" s="94">
        <v>400</v>
      </c>
    </row>
    <row r="60" spans="2:16" x14ac:dyDescent="0.3">
      <c r="K60" s="83" t="s">
        <v>81</v>
      </c>
      <c r="L60" s="84">
        <v>4000</v>
      </c>
      <c r="M60" s="85">
        <v>10</v>
      </c>
      <c r="N60" s="86">
        <f t="shared" si="17"/>
        <v>2.5000000000000001E-3</v>
      </c>
      <c r="O60" s="87">
        <f>N60/$E$25</f>
        <v>0.800561797752809</v>
      </c>
      <c r="P60" s="94">
        <v>400</v>
      </c>
    </row>
    <row r="61" spans="2:16" x14ac:dyDescent="0.3">
      <c r="K61" s="83" t="s">
        <v>91</v>
      </c>
      <c r="L61" s="84">
        <v>1500</v>
      </c>
      <c r="M61" s="85">
        <v>10</v>
      </c>
      <c r="N61" s="86">
        <f t="shared" si="17"/>
        <v>6.6666666666666671E-3</v>
      </c>
      <c r="O61" s="87">
        <f>N61/$I$25</f>
        <v>0.77887788778877887</v>
      </c>
      <c r="P61" s="94">
        <v>400</v>
      </c>
    </row>
    <row r="62" spans="2:16" x14ac:dyDescent="0.3">
      <c r="K62" s="83" t="s">
        <v>92</v>
      </c>
      <c r="L62" s="84">
        <v>1500</v>
      </c>
      <c r="M62" s="85">
        <v>10</v>
      </c>
      <c r="N62" s="86">
        <f t="shared" si="17"/>
        <v>6.6666666666666671E-3</v>
      </c>
      <c r="O62" s="87">
        <f>N62/$I$25</f>
        <v>0.77887788778877887</v>
      </c>
      <c r="P62" s="94">
        <v>400</v>
      </c>
    </row>
    <row r="63" spans="2:16" x14ac:dyDescent="0.3">
      <c r="K63" s="83" t="s">
        <v>115</v>
      </c>
      <c r="L63" s="84">
        <v>200</v>
      </c>
      <c r="M63" s="85">
        <v>3</v>
      </c>
      <c r="N63" s="86">
        <f t="shared" si="17"/>
        <v>1.4999999999999999E-2</v>
      </c>
      <c r="O63" s="87">
        <f>N63/$M$25</f>
        <v>0.77419354838709675</v>
      </c>
      <c r="P63" s="94">
        <v>400</v>
      </c>
    </row>
    <row r="64" spans="2:16" x14ac:dyDescent="0.3">
      <c r="K64" s="83" t="s">
        <v>104</v>
      </c>
      <c r="L64" s="84">
        <v>5000</v>
      </c>
      <c r="M64" s="85">
        <v>20</v>
      </c>
      <c r="N64" s="86">
        <f t="shared" si="17"/>
        <v>4.0000000000000001E-3</v>
      </c>
      <c r="O64" s="87">
        <f>N64/$Q$25</f>
        <v>0.71304347826086956</v>
      </c>
      <c r="P64" s="94">
        <v>300</v>
      </c>
    </row>
    <row r="65" spans="11:16" x14ac:dyDescent="0.3">
      <c r="K65" s="83" t="s">
        <v>93</v>
      </c>
      <c r="L65" s="84">
        <v>2000</v>
      </c>
      <c r="M65" s="85">
        <v>12</v>
      </c>
      <c r="N65" s="86">
        <f t="shared" si="17"/>
        <v>6.0000000000000001E-3</v>
      </c>
      <c r="O65" s="87">
        <f>N65/$I$25</f>
        <v>0.70099009900990095</v>
      </c>
      <c r="P65" s="94">
        <v>300</v>
      </c>
    </row>
    <row r="66" spans="11:16" x14ac:dyDescent="0.3">
      <c r="K66" s="83" t="s">
        <v>116</v>
      </c>
      <c r="L66" s="84">
        <v>400</v>
      </c>
      <c r="M66" s="85">
        <v>5</v>
      </c>
      <c r="N66" s="86">
        <f t="shared" si="17"/>
        <v>1.2500000000000001E-2</v>
      </c>
      <c r="O66" s="87">
        <f>N66/$M$25</f>
        <v>0.64516129032258074</v>
      </c>
      <c r="P66" s="94">
        <v>200</v>
      </c>
    </row>
    <row r="67" spans="11:16" x14ac:dyDescent="0.3">
      <c r="K67" s="83" t="s">
        <v>94</v>
      </c>
      <c r="L67" s="84">
        <v>2000</v>
      </c>
      <c r="M67" s="85">
        <v>11</v>
      </c>
      <c r="N67" s="86">
        <f t="shared" si="17"/>
        <v>5.4999999999999997E-3</v>
      </c>
      <c r="O67" s="87">
        <f>N67/$I$25</f>
        <v>0.64257425742574248</v>
      </c>
      <c r="P67" s="94">
        <v>200</v>
      </c>
    </row>
    <row r="68" spans="11:16" x14ac:dyDescent="0.3">
      <c r="K68" s="83" t="s">
        <v>82</v>
      </c>
      <c r="L68" s="84">
        <v>2000</v>
      </c>
      <c r="M68" s="85">
        <v>4</v>
      </c>
      <c r="N68" s="86">
        <f t="shared" si="17"/>
        <v>2E-3</v>
      </c>
      <c r="O68" s="87">
        <f>N68/$E$25</f>
        <v>0.6404494382022472</v>
      </c>
      <c r="P68" s="94">
        <v>200</v>
      </c>
    </row>
    <row r="69" spans="11:16" x14ac:dyDescent="0.3">
      <c r="K69" s="83" t="s">
        <v>105</v>
      </c>
      <c r="L69" s="84">
        <v>6000</v>
      </c>
      <c r="M69" s="85">
        <v>20</v>
      </c>
      <c r="N69" s="86">
        <f t="shared" si="17"/>
        <v>3.3333333333333335E-3</v>
      </c>
      <c r="O69" s="87">
        <f>N69/$Q$25</f>
        <v>0.59420289855072472</v>
      </c>
      <c r="P69" s="94">
        <v>200</v>
      </c>
    </row>
    <row r="70" spans="11:16" x14ac:dyDescent="0.3">
      <c r="K70" s="83" t="s">
        <v>117</v>
      </c>
      <c r="L70" s="84">
        <v>500</v>
      </c>
      <c r="M70" s="85">
        <v>5</v>
      </c>
      <c r="N70" s="86">
        <f t="shared" si="17"/>
        <v>0.01</v>
      </c>
      <c r="O70" s="87">
        <f>N70/$M$25</f>
        <v>0.5161290322580645</v>
      </c>
      <c r="P70" s="94">
        <v>200</v>
      </c>
    </row>
    <row r="71" spans="11:16" x14ac:dyDescent="0.3">
      <c r="K71" s="83" t="s">
        <v>106</v>
      </c>
      <c r="L71" s="84">
        <v>7000</v>
      </c>
      <c r="M71" s="85">
        <v>15</v>
      </c>
      <c r="N71" s="86">
        <f t="shared" si="17"/>
        <v>2.142857142857143E-3</v>
      </c>
      <c r="O71" s="87">
        <f>N71/$Q$25</f>
        <v>0.38198757763975161</v>
      </c>
      <c r="P71" s="94">
        <v>100</v>
      </c>
    </row>
    <row r="72" spans="11:16" x14ac:dyDescent="0.3">
      <c r="K72" s="83" t="s">
        <v>83</v>
      </c>
      <c r="L72" s="84">
        <v>5000</v>
      </c>
      <c r="M72" s="85">
        <v>5</v>
      </c>
      <c r="N72" s="86">
        <f t="shared" si="17"/>
        <v>1E-3</v>
      </c>
      <c r="O72" s="87">
        <f>N72/$E$25</f>
        <v>0.3202247191011236</v>
      </c>
      <c r="P72" s="94">
        <v>100</v>
      </c>
    </row>
    <row r="73" spans="11:16" x14ac:dyDescent="0.3">
      <c r="K73" s="88" t="s">
        <v>107</v>
      </c>
      <c r="L73" s="89">
        <v>6000</v>
      </c>
      <c r="M73" s="90">
        <v>10</v>
      </c>
      <c r="N73" s="91">
        <f t="shared" si="17"/>
        <v>1.6666666666666668E-3</v>
      </c>
      <c r="O73" s="92">
        <f>N73/$Q$25</f>
        <v>0.29710144927536236</v>
      </c>
      <c r="P73" s="94">
        <v>100</v>
      </c>
    </row>
  </sheetData>
  <sortState xmlns:xlrd2="http://schemas.microsoft.com/office/spreadsheetml/2017/richdata2" ref="K38:O76">
    <sortCondition descending="1" ref="O37"/>
  </sortState>
  <mergeCells count="14">
    <mergeCell ref="B31:B32"/>
    <mergeCell ref="C31:F31"/>
    <mergeCell ref="K31:K32"/>
    <mergeCell ref="L31:O31"/>
    <mergeCell ref="C3:F3"/>
    <mergeCell ref="G3:J3"/>
    <mergeCell ref="K3:N3"/>
    <mergeCell ref="O3:R3"/>
    <mergeCell ref="B3:B4"/>
    <mergeCell ref="B12:B13"/>
    <mergeCell ref="C12:F12"/>
    <mergeCell ref="G12:J12"/>
    <mergeCell ref="K12:N12"/>
    <mergeCell ref="O12:R12"/>
  </mergeCells>
  <phoneticPr fontId="2" type="noConversion"/>
  <conditionalFormatting sqref="P34:P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{1F24FB97-69BE-4B1A-A1FF-3F2C15386A56}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4FB97-69BE-4B1A-A1FF-3F2C15386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P34:P73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DFB8-BA9D-41B7-9B5E-8743EDE47E6D}">
  <dimension ref="C12:T15"/>
  <sheetViews>
    <sheetView showGridLines="0" workbookViewId="0"/>
  </sheetViews>
  <sheetFormatPr defaultRowHeight="16.5" x14ac:dyDescent="0.3"/>
  <sheetData>
    <row r="12" spans="3:20" x14ac:dyDescent="0.3">
      <c r="C12" s="260" t="s">
        <v>136</v>
      </c>
      <c r="D12" s="260"/>
    </row>
    <row r="13" spans="3:20" x14ac:dyDescent="0.3">
      <c r="C13" s="209" t="s">
        <v>124</v>
      </c>
      <c r="D13" s="209"/>
      <c r="E13" s="209" t="s">
        <v>9</v>
      </c>
      <c r="F13" s="209"/>
      <c r="G13" s="209"/>
      <c r="H13" s="209"/>
      <c r="I13" s="209" t="s">
        <v>2</v>
      </c>
      <c r="J13" s="209"/>
      <c r="K13" s="209"/>
      <c r="L13" s="209"/>
      <c r="M13" s="209" t="s">
        <v>1</v>
      </c>
      <c r="N13" s="209"/>
      <c r="O13" s="209"/>
      <c r="P13" s="209"/>
      <c r="Q13" s="209" t="s">
        <v>11</v>
      </c>
      <c r="R13" s="209"/>
      <c r="S13" s="209"/>
      <c r="T13" s="209"/>
    </row>
    <row r="14" spans="3:20" x14ac:dyDescent="0.3">
      <c r="C14" s="1" t="s">
        <v>122</v>
      </c>
      <c r="D14" s="1" t="s">
        <v>123</v>
      </c>
      <c r="E14" s="1" t="s">
        <v>127</v>
      </c>
      <c r="F14" s="1" t="s">
        <v>128</v>
      </c>
      <c r="G14" s="1" t="s">
        <v>129</v>
      </c>
      <c r="H14" s="1" t="s">
        <v>130</v>
      </c>
      <c r="I14" s="1" t="s">
        <v>131</v>
      </c>
      <c r="J14" s="1" t="s">
        <v>133</v>
      </c>
      <c r="K14" s="1" t="s">
        <v>132</v>
      </c>
      <c r="L14" s="1" t="s">
        <v>135</v>
      </c>
      <c r="M14" s="258" t="s">
        <v>131</v>
      </c>
      <c r="N14" s="258" t="s">
        <v>133</v>
      </c>
      <c r="O14" s="258" t="s">
        <v>132</v>
      </c>
      <c r="P14" s="258" t="s">
        <v>135</v>
      </c>
      <c r="Q14" s="1" t="s">
        <v>131</v>
      </c>
      <c r="R14" s="1" t="s">
        <v>133</v>
      </c>
      <c r="S14" s="1" t="s">
        <v>132</v>
      </c>
      <c r="T14" s="1" t="s">
        <v>135</v>
      </c>
    </row>
    <row r="15" spans="3:20" x14ac:dyDescent="0.3">
      <c r="C15" s="1" t="s">
        <v>125</v>
      </c>
      <c r="D15" s="1" t="s">
        <v>126</v>
      </c>
      <c r="E15" s="1" t="s">
        <v>131</v>
      </c>
      <c r="F15" s="1" t="s">
        <v>133</v>
      </c>
      <c r="G15" s="1" t="s">
        <v>132</v>
      </c>
      <c r="H15" s="1" t="s">
        <v>134</v>
      </c>
      <c r="I15" s="1" t="str">
        <f>모델비교!K34</f>
        <v>카드가입1</v>
      </c>
      <c r="J15" s="1" t="str">
        <f>모델비교!K43</f>
        <v>보험가입2</v>
      </c>
      <c r="K15" s="1" t="str">
        <f>모델비교!K51</f>
        <v>신용대출4</v>
      </c>
      <c r="L15" s="1" t="s">
        <v>134</v>
      </c>
      <c r="M15" s="259">
        <f>모델비교!O34</f>
        <v>6.404494382022472</v>
      </c>
      <c r="N15" s="259">
        <f>모델비교!O43</f>
        <v>1.5483870967741935</v>
      </c>
      <c r="O15" s="259">
        <f>모델비교!O51</f>
        <v>1.0514851485148513</v>
      </c>
      <c r="P15" s="258" t="s">
        <v>134</v>
      </c>
      <c r="Q15" s="1">
        <f>모델비교!P34</f>
        <v>900</v>
      </c>
      <c r="R15" s="1">
        <f>모델비교!P43</f>
        <v>700</v>
      </c>
      <c r="S15" s="1">
        <f>모델비교!P51</f>
        <v>600</v>
      </c>
      <c r="T15" s="1" t="s">
        <v>134</v>
      </c>
    </row>
  </sheetData>
  <mergeCells count="6">
    <mergeCell ref="C13:D13"/>
    <mergeCell ref="E13:H13"/>
    <mergeCell ref="I13:L13"/>
    <mergeCell ref="M13:P13"/>
    <mergeCell ref="Q13:T13"/>
    <mergeCell ref="C12:D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S17"/>
  <sheetViews>
    <sheetView workbookViewId="0">
      <selection activeCell="B4" sqref="B4:B5"/>
    </sheetView>
  </sheetViews>
  <sheetFormatPr defaultRowHeight="16.5" x14ac:dyDescent="0.3"/>
  <cols>
    <col min="11" max="11" width="9.25" bestFit="1" customWidth="1"/>
    <col min="12" max="12" width="8.875" bestFit="1" customWidth="1"/>
    <col min="14" max="15" width="6.25" bestFit="1" customWidth="1"/>
    <col min="17" max="17" width="9.75" customWidth="1"/>
  </cols>
  <sheetData>
    <row r="4" spans="2:19" x14ac:dyDescent="0.3">
      <c r="B4" s="220" t="s">
        <v>38</v>
      </c>
      <c r="C4" s="98"/>
      <c r="D4" s="98"/>
      <c r="E4" s="220" t="s">
        <v>40</v>
      </c>
      <c r="F4" s="220"/>
      <c r="G4" s="220" t="s">
        <v>42</v>
      </c>
      <c r="H4" s="220"/>
      <c r="I4" s="220"/>
      <c r="J4" s="220" t="s">
        <v>44</v>
      </c>
      <c r="K4" s="220"/>
      <c r="L4" s="220"/>
      <c r="M4" s="220" t="s">
        <v>45</v>
      </c>
      <c r="N4" s="220"/>
      <c r="O4" s="220"/>
      <c r="P4" s="220" t="s">
        <v>47</v>
      </c>
      <c r="Q4" s="220" t="s">
        <v>1</v>
      </c>
      <c r="R4" s="220"/>
      <c r="S4" s="98" t="s">
        <v>48</v>
      </c>
    </row>
    <row r="5" spans="2:19" x14ac:dyDescent="0.3">
      <c r="B5" s="220"/>
      <c r="C5" s="98" t="s">
        <v>0</v>
      </c>
      <c r="D5" s="98" t="s">
        <v>39</v>
      </c>
      <c r="E5" s="98" t="s">
        <v>0</v>
      </c>
      <c r="F5" s="98" t="s">
        <v>41</v>
      </c>
      <c r="G5" s="98" t="s">
        <v>33</v>
      </c>
      <c r="H5" s="98" t="s">
        <v>32</v>
      </c>
      <c r="I5" s="98" t="s">
        <v>43</v>
      </c>
      <c r="J5" s="98" t="s">
        <v>43</v>
      </c>
      <c r="K5" s="98" t="s">
        <v>33</v>
      </c>
      <c r="L5" s="98" t="s">
        <v>32</v>
      </c>
      <c r="M5" s="98" t="s">
        <v>46</v>
      </c>
      <c r="N5" s="98" t="s">
        <v>33</v>
      </c>
      <c r="O5" s="98" t="s">
        <v>32</v>
      </c>
      <c r="P5" s="220"/>
      <c r="Q5" s="98" t="s">
        <v>1</v>
      </c>
      <c r="R5" s="98" t="s">
        <v>41</v>
      </c>
      <c r="S5" s="98" t="s">
        <v>0</v>
      </c>
    </row>
    <row r="6" spans="2:19" x14ac:dyDescent="0.3"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19" x14ac:dyDescent="0.3">
      <c r="B7" s="139">
        <v>900</v>
      </c>
      <c r="C7" s="175">
        <v>9</v>
      </c>
      <c r="D7" s="139">
        <v>1</v>
      </c>
      <c r="E7" s="140">
        <f>D7/C7</f>
        <v>0.1111111111111111</v>
      </c>
      <c r="F7" s="140">
        <f>H7/I7</f>
        <v>0.1111111111111111</v>
      </c>
      <c r="G7" s="139">
        <f>I7-H7</f>
        <v>8</v>
      </c>
      <c r="H7" s="139">
        <f>D7</f>
        <v>1</v>
      </c>
      <c r="I7" s="139">
        <f>C7</f>
        <v>9</v>
      </c>
      <c r="J7" s="141">
        <f>I7/$I$16</f>
        <v>1.0893773603176141E-4</v>
      </c>
      <c r="K7" s="140">
        <f>G7/$G$16</f>
        <v>9.6886316018941274E-5</v>
      </c>
      <c r="L7" s="140">
        <f>H7/$H$16</f>
        <v>2.2222222222222223E-2</v>
      </c>
      <c r="M7" s="142">
        <f>L7-K7</f>
        <v>2.2125335906203282E-2</v>
      </c>
      <c r="N7" s="143">
        <f>K7/$K$16</f>
        <v>9.6886316018941274E-5</v>
      </c>
      <c r="O7" s="143">
        <f>L7/$L$16</f>
        <v>2.2222222222222223E-2</v>
      </c>
      <c r="P7" s="144">
        <f>(N7-N6)*O6+(O7-O6)*(N7-N6)/2</f>
        <v>1.0765146224326808E-6</v>
      </c>
      <c r="Q7" s="145">
        <f>E7/$E$17</f>
        <v>203.99012345679012</v>
      </c>
      <c r="R7" s="145">
        <f>F7/$F$16</f>
        <v>203.99012345679012</v>
      </c>
      <c r="S7" s="140">
        <f>C7/$C$17</f>
        <v>1.0893773603176141E-4</v>
      </c>
    </row>
    <row r="8" spans="2:19" x14ac:dyDescent="0.3">
      <c r="B8" s="146">
        <v>800</v>
      </c>
      <c r="C8" s="176">
        <v>51</v>
      </c>
      <c r="D8" s="146">
        <v>3</v>
      </c>
      <c r="E8" s="147">
        <f t="shared" ref="E8:E17" si="0">D8/C8</f>
        <v>5.8823529411764705E-2</v>
      </c>
      <c r="F8" s="147">
        <f t="shared" ref="F8:F16" si="1">H8/I8</f>
        <v>6.6666666666666666E-2</v>
      </c>
      <c r="G8" s="146">
        <f t="shared" ref="G8:G16" si="2">I8-H8</f>
        <v>56</v>
      </c>
      <c r="H8" s="146">
        <f>D8+H7</f>
        <v>4</v>
      </c>
      <c r="I8" s="146">
        <f>C8+I7</f>
        <v>60</v>
      </c>
      <c r="J8" s="148">
        <f t="shared" ref="J8:J16" si="3">I8/$I$16</f>
        <v>7.2625157354507604E-4</v>
      </c>
      <c r="K8" s="147">
        <f t="shared" ref="K8:K16" si="4">G8/$G$16</f>
        <v>6.7820421213258891E-4</v>
      </c>
      <c r="L8" s="147">
        <f t="shared" ref="L8:L16" si="5">H8/$H$16</f>
        <v>8.8888888888888892E-2</v>
      </c>
      <c r="M8" s="149">
        <f t="shared" ref="M8:M16" si="6">L8-K8</f>
        <v>8.8210684676756301E-2</v>
      </c>
      <c r="N8" s="150">
        <f t="shared" ref="N8:N16" si="7">K8/$K$16</f>
        <v>6.7820421213258891E-4</v>
      </c>
      <c r="O8" s="150">
        <f t="shared" ref="O8:O16" si="8">L8/$L$16</f>
        <v>8.8888888888888892E-2</v>
      </c>
      <c r="P8" s="151">
        <f t="shared" ref="P8:P16" si="9">(N8-N7)*O7+(O8-O7)*(N8-N7)/2</f>
        <v>3.2295438672980423E-5</v>
      </c>
      <c r="Q8" s="152">
        <f t="shared" ref="Q8:Q17" si="10">E8/$E$17</f>
        <v>107.99477124183007</v>
      </c>
      <c r="R8" s="152">
        <f t="shared" ref="R8:R17" si="11">F8/$F$16</f>
        <v>122.39407407407408</v>
      </c>
      <c r="S8" s="147">
        <f t="shared" ref="S8:S17" si="12">C8/$C$17</f>
        <v>6.1731383751331464E-4</v>
      </c>
    </row>
    <row r="9" spans="2:19" x14ac:dyDescent="0.3">
      <c r="B9" s="153">
        <v>700</v>
      </c>
      <c r="C9" s="177">
        <v>267</v>
      </c>
      <c r="D9" s="153">
        <v>4</v>
      </c>
      <c r="E9" s="154">
        <f t="shared" si="0"/>
        <v>1.4981273408239701E-2</v>
      </c>
      <c r="F9" s="154">
        <f t="shared" si="1"/>
        <v>2.4464831804281346E-2</v>
      </c>
      <c r="G9" s="153">
        <f t="shared" si="2"/>
        <v>319</v>
      </c>
      <c r="H9" s="153">
        <f t="shared" ref="H9:H16" si="13">D9+H8</f>
        <v>8</v>
      </c>
      <c r="I9" s="153">
        <f t="shared" ref="I9:I16" si="14">C9+I8</f>
        <v>327</v>
      </c>
      <c r="J9" s="155">
        <f t="shared" si="3"/>
        <v>3.9580710758206645E-3</v>
      </c>
      <c r="K9" s="154">
        <f t="shared" si="4"/>
        <v>3.8633418512552834E-3</v>
      </c>
      <c r="L9" s="154">
        <f t="shared" si="5"/>
        <v>0.17777777777777778</v>
      </c>
      <c r="M9" s="156">
        <f t="shared" si="6"/>
        <v>0.1739144359265225</v>
      </c>
      <c r="N9" s="157">
        <f t="shared" si="7"/>
        <v>3.8633418512552834E-3</v>
      </c>
      <c r="O9" s="157">
        <f t="shared" si="8"/>
        <v>0.17777777777777778</v>
      </c>
      <c r="P9" s="158">
        <f t="shared" si="9"/>
        <v>4.2468501854969266E-4</v>
      </c>
      <c r="Q9" s="159">
        <f t="shared" si="10"/>
        <v>27.504286308780692</v>
      </c>
      <c r="R9" s="159">
        <f t="shared" si="11"/>
        <v>44.915256540944618</v>
      </c>
      <c r="S9" s="154">
        <f t="shared" si="12"/>
        <v>3.2318195022755882E-3</v>
      </c>
    </row>
    <row r="10" spans="2:19" x14ac:dyDescent="0.3">
      <c r="B10" s="153">
        <v>600</v>
      </c>
      <c r="C10" s="177">
        <v>1835</v>
      </c>
      <c r="D10" s="153">
        <v>4</v>
      </c>
      <c r="E10" s="154">
        <f t="shared" si="0"/>
        <v>2.1798365122615805E-3</v>
      </c>
      <c r="F10" s="154">
        <f t="shared" si="1"/>
        <v>5.5504162812210914E-3</v>
      </c>
      <c r="G10" s="153">
        <f t="shared" si="2"/>
        <v>2150</v>
      </c>
      <c r="H10" s="153">
        <f t="shared" si="13"/>
        <v>12</v>
      </c>
      <c r="I10" s="153">
        <f t="shared" si="14"/>
        <v>2162</v>
      </c>
      <c r="J10" s="155">
        <f t="shared" si="3"/>
        <v>2.6169265033407572E-2</v>
      </c>
      <c r="K10" s="154">
        <f t="shared" si="4"/>
        <v>2.6038197430090469E-2</v>
      </c>
      <c r="L10" s="154">
        <f t="shared" si="5"/>
        <v>0.26666666666666666</v>
      </c>
      <c r="M10" s="156">
        <f t="shared" si="6"/>
        <v>0.24062846923657619</v>
      </c>
      <c r="N10" s="157">
        <f t="shared" si="7"/>
        <v>2.6038197430090469E-2</v>
      </c>
      <c r="O10" s="157">
        <f t="shared" si="8"/>
        <v>0.26666666666666666</v>
      </c>
      <c r="P10" s="158">
        <f t="shared" si="9"/>
        <v>4.9277456841855969E-3</v>
      </c>
      <c r="Q10" s="159">
        <f t="shared" si="10"/>
        <v>4.0019860732667274</v>
      </c>
      <c r="R10" s="159">
        <f t="shared" si="11"/>
        <v>10.190070921985816</v>
      </c>
      <c r="S10" s="154">
        <f t="shared" si="12"/>
        <v>2.221119395758691E-2</v>
      </c>
    </row>
    <row r="11" spans="2:19" x14ac:dyDescent="0.3">
      <c r="B11" s="153">
        <v>500</v>
      </c>
      <c r="C11" s="177">
        <v>11571</v>
      </c>
      <c r="D11" s="153">
        <v>11</v>
      </c>
      <c r="E11" s="154">
        <f t="shared" si="0"/>
        <v>9.5065249330222108E-4</v>
      </c>
      <c r="F11" s="154">
        <f t="shared" si="1"/>
        <v>1.6747979319886406E-3</v>
      </c>
      <c r="G11" s="153">
        <f t="shared" si="2"/>
        <v>13710</v>
      </c>
      <c r="H11" s="153">
        <f t="shared" si="13"/>
        <v>23</v>
      </c>
      <c r="I11" s="153">
        <f t="shared" si="14"/>
        <v>13733</v>
      </c>
      <c r="J11" s="155">
        <f t="shared" si="3"/>
        <v>0.16622688099157548</v>
      </c>
      <c r="K11" s="154">
        <f t="shared" si="4"/>
        <v>0.1660389240774606</v>
      </c>
      <c r="L11" s="154">
        <f t="shared" si="5"/>
        <v>0.51111111111111107</v>
      </c>
      <c r="M11" s="156">
        <f t="shared" si="6"/>
        <v>0.3450721870336505</v>
      </c>
      <c r="N11" s="157">
        <f t="shared" si="7"/>
        <v>0.1660389240774606</v>
      </c>
      <c r="O11" s="157">
        <f t="shared" si="8"/>
        <v>0.51111111111111107</v>
      </c>
      <c r="P11" s="158">
        <f t="shared" si="9"/>
        <v>5.4444727029532819E-2</v>
      </c>
      <c r="Q11" s="159">
        <f t="shared" si="10"/>
        <v>1.7453134752590289</v>
      </c>
      <c r="R11" s="159">
        <f t="shared" si="11"/>
        <v>3.0747801322038564</v>
      </c>
      <c r="S11" s="154">
        <f t="shared" si="12"/>
        <v>0.1400576159581679</v>
      </c>
    </row>
    <row r="12" spans="2:19" x14ac:dyDescent="0.3">
      <c r="B12" s="160">
        <v>400</v>
      </c>
      <c r="C12" s="28">
        <v>29206</v>
      </c>
      <c r="D12" s="160">
        <v>16</v>
      </c>
      <c r="E12" s="121">
        <f t="shared" si="0"/>
        <v>5.4783263712935703E-4</v>
      </c>
      <c r="F12" s="121">
        <f t="shared" si="1"/>
        <v>9.0826521344232513E-4</v>
      </c>
      <c r="G12" s="160">
        <f t="shared" si="2"/>
        <v>42900</v>
      </c>
      <c r="H12" s="160">
        <f t="shared" si="13"/>
        <v>39</v>
      </c>
      <c r="I12" s="160">
        <f t="shared" si="14"/>
        <v>42939</v>
      </c>
      <c r="J12" s="161">
        <f t="shared" si="3"/>
        <v>0.5197419386075337</v>
      </c>
      <c r="K12" s="121">
        <f t="shared" si="4"/>
        <v>0.51955286965157255</v>
      </c>
      <c r="L12" s="121">
        <f t="shared" si="5"/>
        <v>0.8666666666666667</v>
      </c>
      <c r="M12" s="162">
        <f t="shared" si="6"/>
        <v>0.34711379701509415</v>
      </c>
      <c r="N12" s="163">
        <f t="shared" si="7"/>
        <v>0.51955286965157255</v>
      </c>
      <c r="O12" s="163">
        <f t="shared" si="8"/>
        <v>0.8666666666666667</v>
      </c>
      <c r="P12" s="164">
        <f t="shared" si="9"/>
        <v>0.24353182917327715</v>
      </c>
      <c r="Q12" s="165">
        <f t="shared" si="10"/>
        <v>1.0057720255350882</v>
      </c>
      <c r="R12" s="165">
        <f t="shared" si="11"/>
        <v>1.6674941971944697</v>
      </c>
      <c r="S12" s="121">
        <f t="shared" si="12"/>
        <v>0.35351505761595819</v>
      </c>
    </row>
    <row r="13" spans="2:19" x14ac:dyDescent="0.3">
      <c r="B13" s="160">
        <v>300</v>
      </c>
      <c r="C13" s="28">
        <v>23777</v>
      </c>
      <c r="D13" s="160">
        <v>6</v>
      </c>
      <c r="E13" s="121">
        <f t="shared" si="0"/>
        <v>2.5234470286411239E-4</v>
      </c>
      <c r="F13" s="121">
        <f t="shared" si="1"/>
        <v>6.7450086935667603E-4</v>
      </c>
      <c r="G13" s="160">
        <f t="shared" si="2"/>
        <v>66671</v>
      </c>
      <c r="H13" s="160">
        <f t="shared" si="13"/>
        <v>45</v>
      </c>
      <c r="I13" s="160">
        <f t="shared" si="14"/>
        <v>66716</v>
      </c>
      <c r="J13" s="161">
        <f t="shared" si="3"/>
        <v>0.80754333301055481</v>
      </c>
      <c r="K13" s="121">
        <f t="shared" si="4"/>
        <v>0.80743844691235422</v>
      </c>
      <c r="L13" s="121">
        <f t="shared" si="5"/>
        <v>1</v>
      </c>
      <c r="M13" s="162">
        <f t="shared" si="6"/>
        <v>0.19256155308764578</v>
      </c>
      <c r="N13" s="163">
        <f t="shared" si="7"/>
        <v>0.80743844691235422</v>
      </c>
      <c r="O13" s="163">
        <f t="shared" si="8"/>
        <v>1</v>
      </c>
      <c r="P13" s="164">
        <f t="shared" si="9"/>
        <v>0.26869320544339625</v>
      </c>
      <c r="Q13" s="165">
        <f t="shared" si="10"/>
        <v>0.46328244381825578</v>
      </c>
      <c r="R13" s="165">
        <f t="shared" si="11"/>
        <v>1.2383236405060256</v>
      </c>
      <c r="S13" s="121">
        <f t="shared" si="12"/>
        <v>0.28780139440302122</v>
      </c>
    </row>
    <row r="14" spans="2:19" x14ac:dyDescent="0.3">
      <c r="B14" s="160">
        <v>200</v>
      </c>
      <c r="C14" s="28">
        <v>14270</v>
      </c>
      <c r="D14" s="160">
        <v>0</v>
      </c>
      <c r="E14" s="121">
        <f t="shared" si="0"/>
        <v>0</v>
      </c>
      <c r="F14" s="121">
        <f t="shared" si="1"/>
        <v>5.5565159410268436E-4</v>
      </c>
      <c r="G14" s="160">
        <f t="shared" si="2"/>
        <v>80941</v>
      </c>
      <c r="H14" s="160">
        <f t="shared" si="13"/>
        <v>45</v>
      </c>
      <c r="I14" s="160">
        <f t="shared" si="14"/>
        <v>80986</v>
      </c>
      <c r="J14" s="161">
        <f t="shared" si="3"/>
        <v>0.98027016558535873</v>
      </c>
      <c r="K14" s="121">
        <f t="shared" si="4"/>
        <v>0.98025941311114073</v>
      </c>
      <c r="L14" s="121">
        <f t="shared" si="5"/>
        <v>1</v>
      </c>
      <c r="M14" s="162">
        <f t="shared" si="6"/>
        <v>1.9740586888859268E-2</v>
      </c>
      <c r="N14" s="163">
        <f t="shared" si="7"/>
        <v>0.98025941311114073</v>
      </c>
      <c r="O14" s="163">
        <f t="shared" si="8"/>
        <v>1</v>
      </c>
      <c r="P14" s="164">
        <f t="shared" si="9"/>
        <v>0.17282096619878651</v>
      </c>
      <c r="Q14" s="165">
        <f t="shared" si="10"/>
        <v>0</v>
      </c>
      <c r="R14" s="165">
        <f t="shared" si="11"/>
        <v>1.0201269355197193</v>
      </c>
      <c r="S14" s="121">
        <f t="shared" si="12"/>
        <v>0.17272683257480392</v>
      </c>
    </row>
    <row r="15" spans="2:19" x14ac:dyDescent="0.3">
      <c r="B15" s="160">
        <v>100</v>
      </c>
      <c r="C15" s="28">
        <v>1510</v>
      </c>
      <c r="D15" s="160">
        <v>0</v>
      </c>
      <c r="E15" s="121">
        <f t="shared" si="0"/>
        <v>0</v>
      </c>
      <c r="F15" s="121">
        <f t="shared" si="1"/>
        <v>5.4548099301784329E-4</v>
      </c>
      <c r="G15" s="160">
        <f t="shared" si="2"/>
        <v>82451</v>
      </c>
      <c r="H15" s="160">
        <f t="shared" si="13"/>
        <v>45</v>
      </c>
      <c r="I15" s="160">
        <f t="shared" si="14"/>
        <v>82496</v>
      </c>
      <c r="J15" s="161">
        <f t="shared" si="3"/>
        <v>0.99854749685290989</v>
      </c>
      <c r="K15" s="121">
        <f t="shared" si="4"/>
        <v>0.99854670525971589</v>
      </c>
      <c r="L15" s="121">
        <f t="shared" si="5"/>
        <v>1</v>
      </c>
      <c r="M15" s="162">
        <f t="shared" si="6"/>
        <v>1.4532947402841057E-3</v>
      </c>
      <c r="N15" s="163">
        <f t="shared" si="7"/>
        <v>0.99854670525971589</v>
      </c>
      <c r="O15" s="163">
        <f t="shared" si="8"/>
        <v>1</v>
      </c>
      <c r="P15" s="164">
        <f t="shared" si="9"/>
        <v>1.8287292148575163E-2</v>
      </c>
      <c r="Q15" s="165">
        <f t="shared" si="10"/>
        <v>0</v>
      </c>
      <c r="R15" s="165">
        <f t="shared" si="11"/>
        <v>1.0014546159813811</v>
      </c>
      <c r="S15" s="121">
        <f t="shared" si="12"/>
        <v>1.8277331267551079E-2</v>
      </c>
    </row>
    <row r="16" spans="2:19" x14ac:dyDescent="0.3">
      <c r="B16" s="166">
        <v>0</v>
      </c>
      <c r="C16" s="30">
        <v>120</v>
      </c>
      <c r="D16" s="166">
        <v>0</v>
      </c>
      <c r="E16" s="122">
        <f t="shared" si="0"/>
        <v>0</v>
      </c>
      <c r="F16" s="122">
        <f t="shared" si="1"/>
        <v>5.4468868015880698E-4</v>
      </c>
      <c r="G16" s="166">
        <f t="shared" si="2"/>
        <v>82571</v>
      </c>
      <c r="H16" s="166">
        <f t="shared" si="13"/>
        <v>45</v>
      </c>
      <c r="I16" s="166">
        <f t="shared" si="14"/>
        <v>82616</v>
      </c>
      <c r="J16" s="167">
        <f t="shared" si="3"/>
        <v>1</v>
      </c>
      <c r="K16" s="122">
        <f t="shared" si="4"/>
        <v>1</v>
      </c>
      <c r="L16" s="122">
        <f t="shared" si="5"/>
        <v>1</v>
      </c>
      <c r="M16" s="168">
        <f t="shared" si="6"/>
        <v>0</v>
      </c>
      <c r="N16" s="169">
        <f t="shared" si="7"/>
        <v>1</v>
      </c>
      <c r="O16" s="169">
        <f t="shared" si="8"/>
        <v>1</v>
      </c>
      <c r="P16" s="170">
        <f t="shared" si="9"/>
        <v>1.4532947402841057E-3</v>
      </c>
      <c r="Q16" s="171">
        <f t="shared" si="10"/>
        <v>0</v>
      </c>
      <c r="R16" s="171">
        <f t="shared" si="11"/>
        <v>1</v>
      </c>
      <c r="S16" s="122">
        <f t="shared" si="12"/>
        <v>1.4525031470901521E-3</v>
      </c>
    </row>
    <row r="17" spans="2:19" x14ac:dyDescent="0.3">
      <c r="B17" s="103" t="s">
        <v>6</v>
      </c>
      <c r="C17" s="128">
        <f>SUM(C7:C16)</f>
        <v>82616</v>
      </c>
      <c r="D17" s="1">
        <f>SUM(D7:D16)</f>
        <v>45</v>
      </c>
      <c r="E17" s="134">
        <f t="shared" si="0"/>
        <v>5.4468868015880698E-4</v>
      </c>
      <c r="F17" s="1"/>
      <c r="G17" s="1"/>
      <c r="H17" s="1"/>
      <c r="I17" s="1"/>
      <c r="J17" s="1"/>
      <c r="K17" s="1"/>
      <c r="L17" s="1"/>
      <c r="M17" s="135">
        <f>MAX(M7:M16)</f>
        <v>0.34711379701509415</v>
      </c>
      <c r="N17" s="1"/>
      <c r="O17" s="1"/>
      <c r="P17" s="136">
        <f>SUM(P7:P16)</f>
        <v>0.76461711738988269</v>
      </c>
      <c r="Q17" s="137">
        <f t="shared" si="10"/>
        <v>1</v>
      </c>
      <c r="R17" s="137">
        <f t="shared" si="11"/>
        <v>0</v>
      </c>
      <c r="S17" s="138">
        <f t="shared" si="12"/>
        <v>1</v>
      </c>
    </row>
  </sheetData>
  <mergeCells count="7">
    <mergeCell ref="P4:P5"/>
    <mergeCell ref="Q4:R4"/>
    <mergeCell ref="B4:B5"/>
    <mergeCell ref="E4:F4"/>
    <mergeCell ref="G4:I4"/>
    <mergeCell ref="J4:L4"/>
    <mergeCell ref="M4:O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0" sqref="B10"/>
    </sheetView>
  </sheetViews>
  <sheetFormatPr defaultRowHeight="16.5" x14ac:dyDescent="0.3"/>
  <cols>
    <col min="2" max="2" width="9.5" style="104" customWidth="1"/>
    <col min="3" max="3" width="10.625" style="104" customWidth="1"/>
    <col min="4" max="8" width="9.5" style="104" customWidth="1"/>
    <col min="12" max="12" width="9.125" bestFit="1" customWidth="1"/>
    <col min="21" max="21" width="9.625" customWidth="1"/>
    <col min="22" max="22" width="10" customWidth="1"/>
    <col min="23" max="23" width="12.875" customWidth="1"/>
  </cols>
  <sheetData>
    <row r="2" spans="2:23" x14ac:dyDescent="0.3">
      <c r="B2" s="208" t="s">
        <v>15</v>
      </c>
      <c r="C2" s="208"/>
      <c r="D2" s="208" t="s">
        <v>16</v>
      </c>
      <c r="E2" s="208"/>
      <c r="F2" s="208" t="s">
        <v>17</v>
      </c>
      <c r="G2" s="208"/>
      <c r="H2" s="208"/>
      <c r="J2" t="s">
        <v>27</v>
      </c>
      <c r="K2" t="s">
        <v>12</v>
      </c>
      <c r="L2" t="s">
        <v>28</v>
      </c>
      <c r="M2" t="s">
        <v>29</v>
      </c>
      <c r="N2" t="s">
        <v>7</v>
      </c>
      <c r="P2" t="s">
        <v>31</v>
      </c>
      <c r="Q2" t="s">
        <v>16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</row>
    <row r="3" spans="2:23" x14ac:dyDescent="0.3">
      <c r="B3" s="103" t="s">
        <v>18</v>
      </c>
      <c r="C3" s="103" t="s">
        <v>19</v>
      </c>
      <c r="D3" s="103" t="s">
        <v>18</v>
      </c>
      <c r="E3" s="103" t="s">
        <v>19</v>
      </c>
      <c r="F3" s="103" t="s">
        <v>18</v>
      </c>
      <c r="G3" s="103" t="s">
        <v>19</v>
      </c>
      <c r="H3" s="103" t="s">
        <v>20</v>
      </c>
      <c r="J3">
        <v>1</v>
      </c>
      <c r="K3" s="132">
        <v>900</v>
      </c>
      <c r="L3" s="201">
        <v>20592</v>
      </c>
      <c r="M3" s="201">
        <v>2957</v>
      </c>
      <c r="N3" s="133">
        <f>M3/L3</f>
        <v>0.1435994560994561</v>
      </c>
      <c r="P3" s="109">
        <v>9.8905999999999994E-2</v>
      </c>
      <c r="Q3" s="110">
        <f>P3/(1-P3)</f>
        <v>0.10976213358428753</v>
      </c>
      <c r="R3" s="110">
        <f>P3</f>
        <v>9.8905999999999994E-2</v>
      </c>
      <c r="S3" s="110">
        <f>1-R3</f>
        <v>0.90109400000000006</v>
      </c>
      <c r="T3" s="107">
        <f>S3/R3</f>
        <v>9.1106100742118787</v>
      </c>
      <c r="U3" s="108">
        <f>Q3/Q4</f>
        <v>1.7826884454551526</v>
      </c>
      <c r="V3" s="108">
        <f>M3/(L3-M3)</f>
        <v>0.16767791324071449</v>
      </c>
      <c r="W3" s="108">
        <f>V3/V4</f>
        <v>2.095651232330896</v>
      </c>
    </row>
    <row r="4" spans="2:23" x14ac:dyDescent="0.3">
      <c r="B4" s="200">
        <v>2.9224926924760101E-4</v>
      </c>
      <c r="C4" s="200">
        <v>0.93163204283445999</v>
      </c>
      <c r="D4" s="103">
        <f>B4/(1-B4)</f>
        <v>2.9233470385117726E-4</v>
      </c>
      <c r="E4" s="103">
        <f>C4/(1-C4)</f>
        <v>13.626735117720282</v>
      </c>
      <c r="F4" s="103">
        <f>LN(D4)</f>
        <v>-8.1376111660687602</v>
      </c>
      <c r="G4" s="103">
        <f>LN(E4)</f>
        <v>2.6120336805307902</v>
      </c>
      <c r="H4" s="103">
        <f>G4-F4</f>
        <v>10.749644846599551</v>
      </c>
      <c r="J4">
        <v>2</v>
      </c>
      <c r="K4" s="132">
        <v>800</v>
      </c>
      <c r="L4" s="201">
        <v>154310</v>
      </c>
      <c r="M4" s="201">
        <v>11432</v>
      </c>
      <c r="N4" s="133">
        <f t="shared" ref="N4:N12" si="0">M4/L4</f>
        <v>7.4084634825999612E-2</v>
      </c>
      <c r="P4" s="110">
        <v>5.8000000000000003E-2</v>
      </c>
      <c r="Q4" s="110">
        <f t="shared" ref="Q4:Q12" si="1">P4/(1-P4)</f>
        <v>6.1571125265392788E-2</v>
      </c>
      <c r="R4" s="110">
        <f t="shared" ref="R4:R12" si="2">P4</f>
        <v>5.8000000000000003E-2</v>
      </c>
      <c r="S4" s="110">
        <f t="shared" ref="S4:S12" si="3">1-R4</f>
        <v>0.94199999999999995</v>
      </c>
      <c r="T4" s="107">
        <f t="shared" ref="T4:T12" si="4">S4/R4</f>
        <v>16.241379310344826</v>
      </c>
      <c r="U4" s="108">
        <f t="shared" ref="U4:U11" si="5">Q4/Q5</f>
        <v>1.8042205494434793</v>
      </c>
      <c r="V4" s="108">
        <f t="shared" ref="V4:V12" si="6">M4/(L4-M4)</f>
        <v>8.0012318201542573E-2</v>
      </c>
      <c r="W4" s="108" t="e">
        <f t="shared" ref="W4:W12" si="7">V4/V5</f>
        <v>#DIV/0!</v>
      </c>
    </row>
    <row r="5" spans="2:23" x14ac:dyDescent="0.3">
      <c r="J5">
        <v>3</v>
      </c>
      <c r="K5" s="132">
        <v>700</v>
      </c>
      <c r="L5" s="201"/>
      <c r="M5" s="201"/>
      <c r="N5" s="133" t="e">
        <f t="shared" si="0"/>
        <v>#DIV/0!</v>
      </c>
      <c r="P5" s="110">
        <v>3.3000000000000002E-2</v>
      </c>
      <c r="Q5" s="110">
        <f t="shared" si="1"/>
        <v>3.412616339193382E-2</v>
      </c>
      <c r="R5" s="110">
        <f t="shared" si="2"/>
        <v>3.3000000000000002E-2</v>
      </c>
      <c r="S5" s="110">
        <f t="shared" si="3"/>
        <v>0.96699999999999997</v>
      </c>
      <c r="T5" s="107">
        <f t="shared" si="4"/>
        <v>29.303030303030301</v>
      </c>
      <c r="U5" s="108">
        <f t="shared" si="5"/>
        <v>17.927012463941654</v>
      </c>
      <c r="V5" s="108" t="e">
        <f t="shared" si="6"/>
        <v>#DIV/0!</v>
      </c>
      <c r="W5" s="108" t="e">
        <f t="shared" si="7"/>
        <v>#DIV/0!</v>
      </c>
    </row>
    <row r="6" spans="2:23" x14ac:dyDescent="0.3">
      <c r="B6" s="103" t="s">
        <v>21</v>
      </c>
      <c r="C6" s="103" t="s">
        <v>22</v>
      </c>
      <c r="J6">
        <v>4</v>
      </c>
      <c r="K6" s="132">
        <v>600</v>
      </c>
      <c r="L6" s="201"/>
      <c r="M6" s="201"/>
      <c r="N6" s="133" t="e">
        <f t="shared" si="0"/>
        <v>#DIV/0!</v>
      </c>
      <c r="P6" s="110">
        <v>1.9E-3</v>
      </c>
      <c r="Q6" s="110">
        <f t="shared" si="1"/>
        <v>1.9036168720569081E-3</v>
      </c>
      <c r="R6" s="110">
        <f t="shared" si="2"/>
        <v>1.9E-3</v>
      </c>
      <c r="S6" s="110">
        <f t="shared" si="3"/>
        <v>0.99809999999999999</v>
      </c>
      <c r="T6" s="107">
        <f t="shared" si="4"/>
        <v>525.31578947368416</v>
      </c>
      <c r="U6" s="108">
        <f t="shared" si="5"/>
        <v>0.13406901684629369</v>
      </c>
      <c r="V6" s="108" t="e">
        <f t="shared" si="6"/>
        <v>#DIV/0!</v>
      </c>
      <c r="W6" s="108" t="e">
        <f t="shared" si="7"/>
        <v>#DIV/0!</v>
      </c>
    </row>
    <row r="7" spans="2:23" x14ac:dyDescent="0.3">
      <c r="B7" s="113">
        <v>500</v>
      </c>
      <c r="C7" s="113">
        <v>1000</v>
      </c>
      <c r="J7">
        <v>5</v>
      </c>
      <c r="K7" s="132">
        <v>500</v>
      </c>
      <c r="L7" s="201"/>
      <c r="M7" s="201"/>
      <c r="N7" s="133" t="e">
        <f t="shared" si="0"/>
        <v>#DIV/0!</v>
      </c>
      <c r="P7" s="110">
        <v>1.4E-2</v>
      </c>
      <c r="Q7" s="110">
        <f t="shared" si="1"/>
        <v>1.4198782961460446E-2</v>
      </c>
      <c r="R7" s="110">
        <f t="shared" si="2"/>
        <v>1.4E-2</v>
      </c>
      <c r="S7" s="110">
        <f t="shared" si="3"/>
        <v>0.98599999999999999</v>
      </c>
      <c r="T7" s="107">
        <f t="shared" si="4"/>
        <v>70.428571428571431</v>
      </c>
      <c r="U7" s="108">
        <f t="shared" si="5"/>
        <v>1.2765996680803984</v>
      </c>
      <c r="V7" s="108" t="e">
        <f t="shared" si="6"/>
        <v>#DIV/0!</v>
      </c>
      <c r="W7" s="108" t="e">
        <f t="shared" si="7"/>
        <v>#DIV/0!</v>
      </c>
    </row>
    <row r="8" spans="2:23" x14ac:dyDescent="0.3">
      <c r="J8">
        <v>6</v>
      </c>
      <c r="K8" s="132">
        <v>400</v>
      </c>
      <c r="L8" s="201"/>
      <c r="M8" s="201"/>
      <c r="N8" s="133" t="e">
        <f t="shared" si="0"/>
        <v>#DIV/0!</v>
      </c>
      <c r="P8" s="110">
        <v>1.0999999999999999E-2</v>
      </c>
      <c r="Q8" s="110">
        <f t="shared" si="1"/>
        <v>1.1122345803842264E-2</v>
      </c>
      <c r="R8" s="110">
        <f t="shared" si="2"/>
        <v>1.0999999999999999E-2</v>
      </c>
      <c r="S8" s="110">
        <f t="shared" si="3"/>
        <v>0.98899999999999999</v>
      </c>
      <c r="T8" s="107">
        <f t="shared" si="4"/>
        <v>89.909090909090907</v>
      </c>
      <c r="U8" s="108">
        <f t="shared" si="5"/>
        <v>1.2246938546230761</v>
      </c>
      <c r="V8" s="108" t="e">
        <f t="shared" si="6"/>
        <v>#DIV/0!</v>
      </c>
      <c r="W8" s="108" t="e">
        <f t="shared" si="7"/>
        <v>#DIV/0!</v>
      </c>
    </row>
    <row r="9" spans="2:23" x14ac:dyDescent="0.3">
      <c r="B9" s="103" t="s">
        <v>26</v>
      </c>
      <c r="J9">
        <v>7</v>
      </c>
      <c r="K9" s="132">
        <v>300</v>
      </c>
      <c r="L9" s="201"/>
      <c r="M9" s="201"/>
      <c r="N9" s="133" t="e">
        <f t="shared" si="0"/>
        <v>#DIV/0!</v>
      </c>
      <c r="P9" s="110">
        <v>8.9999999999999993E-3</v>
      </c>
      <c r="Q9" s="110">
        <f t="shared" si="1"/>
        <v>9.081735620585266E-3</v>
      </c>
      <c r="R9" s="110">
        <f t="shared" si="2"/>
        <v>8.9999999999999993E-3</v>
      </c>
      <c r="S9" s="110">
        <f t="shared" si="3"/>
        <v>0.99099999999999999</v>
      </c>
      <c r="T9" s="107">
        <f t="shared" si="4"/>
        <v>110.11111111111111</v>
      </c>
      <c r="U9" s="108">
        <f t="shared" si="5"/>
        <v>1.2883090673201669</v>
      </c>
      <c r="V9" s="108" t="e">
        <f t="shared" si="6"/>
        <v>#DIV/0!</v>
      </c>
      <c r="W9" s="108" t="e">
        <f t="shared" si="7"/>
        <v>#DIV/0!</v>
      </c>
    </row>
    <row r="10" spans="2:23" x14ac:dyDescent="0.3">
      <c r="B10" s="103">
        <f>LN(2)*C7/H4</f>
        <v>64.48093778458265</v>
      </c>
      <c r="J10">
        <v>8</v>
      </c>
      <c r="K10" s="132">
        <v>200</v>
      </c>
      <c r="L10" s="201"/>
      <c r="M10" s="201"/>
      <c r="N10" s="133" t="e">
        <f t="shared" si="0"/>
        <v>#DIV/0!</v>
      </c>
      <c r="P10" s="110">
        <v>7.0000000000000001E-3</v>
      </c>
      <c r="Q10" s="110">
        <f t="shared" si="1"/>
        <v>7.0493454179254783E-3</v>
      </c>
      <c r="R10" s="110">
        <f t="shared" si="2"/>
        <v>7.0000000000000001E-3</v>
      </c>
      <c r="S10" s="110">
        <f t="shared" si="3"/>
        <v>0.99299999999999999</v>
      </c>
      <c r="T10" s="107">
        <f t="shared" si="4"/>
        <v>141.85714285714286</v>
      </c>
      <c r="U10" s="108">
        <f t="shared" si="5"/>
        <v>1.7552870090634438</v>
      </c>
      <c r="V10" s="108" t="e">
        <f t="shared" si="6"/>
        <v>#DIV/0!</v>
      </c>
      <c r="W10" s="108" t="e">
        <f t="shared" si="7"/>
        <v>#DIV/0!</v>
      </c>
    </row>
    <row r="11" spans="2:23" x14ac:dyDescent="0.3">
      <c r="J11">
        <v>9</v>
      </c>
      <c r="K11" s="132">
        <v>100</v>
      </c>
      <c r="L11" s="201"/>
      <c r="M11" s="201"/>
      <c r="N11" s="133" t="e">
        <f t="shared" si="0"/>
        <v>#DIV/0!</v>
      </c>
      <c r="P11" s="110">
        <v>4.0000000000000001E-3</v>
      </c>
      <c r="Q11" s="110">
        <f t="shared" si="1"/>
        <v>4.0160642570281129E-3</v>
      </c>
      <c r="R11" s="110">
        <f t="shared" si="2"/>
        <v>4.0000000000000001E-3</v>
      </c>
      <c r="S11" s="110">
        <f t="shared" si="3"/>
        <v>0.996</v>
      </c>
      <c r="T11" s="107">
        <f t="shared" si="4"/>
        <v>249</v>
      </c>
      <c r="U11" s="108">
        <f t="shared" si="5"/>
        <v>1</v>
      </c>
      <c r="V11" s="108" t="e">
        <f t="shared" si="6"/>
        <v>#DIV/0!</v>
      </c>
      <c r="W11" s="108" t="e">
        <f t="shared" si="7"/>
        <v>#DIV/0!</v>
      </c>
    </row>
    <row r="12" spans="2:23" x14ac:dyDescent="0.3">
      <c r="B12" s="103" t="s">
        <v>23</v>
      </c>
      <c r="J12">
        <v>10</v>
      </c>
      <c r="K12" s="132">
        <v>1</v>
      </c>
      <c r="L12" s="201"/>
      <c r="M12" s="201"/>
      <c r="N12" s="133" t="e">
        <f t="shared" si="0"/>
        <v>#DIV/0!</v>
      </c>
      <c r="P12" s="110">
        <v>4.0000000000000001E-3</v>
      </c>
      <c r="Q12" s="110">
        <f t="shared" si="1"/>
        <v>4.0160642570281129E-3</v>
      </c>
      <c r="R12" s="110">
        <f t="shared" si="2"/>
        <v>4.0000000000000001E-3</v>
      </c>
      <c r="S12" s="110">
        <f t="shared" si="3"/>
        <v>0.996</v>
      </c>
      <c r="T12" s="107">
        <f t="shared" si="4"/>
        <v>249</v>
      </c>
      <c r="U12" s="108"/>
      <c r="V12" s="108" t="e">
        <f t="shared" si="6"/>
        <v>#DIV/0!</v>
      </c>
      <c r="W12" s="108" t="e">
        <f t="shared" si="7"/>
        <v>#DIV/0!</v>
      </c>
    </row>
    <row r="13" spans="2:23" x14ac:dyDescent="0.3">
      <c r="B13" s="103">
        <f>EXP(LN(2)/B10*(B7+F4*B10/LN(2)))</f>
        <v>6.3115509782439433E-2</v>
      </c>
      <c r="J13" s="221" t="s">
        <v>30</v>
      </c>
      <c r="K13" s="221"/>
      <c r="L13" s="106">
        <f>SUM(L3:L12)</f>
        <v>174902</v>
      </c>
      <c r="M13" s="106">
        <f>SUM(M3:M12)</f>
        <v>14389</v>
      </c>
      <c r="N13" s="112" t="e">
        <f>SUM(N3:N12)</f>
        <v>#DIV/0!</v>
      </c>
      <c r="T13" s="111"/>
    </row>
    <row r="15" spans="2:23" x14ac:dyDescent="0.3">
      <c r="B15" s="103" t="s">
        <v>24</v>
      </c>
    </row>
    <row r="16" spans="2:23" x14ac:dyDescent="0.3">
      <c r="B16" s="105">
        <f>B10/LN(2)</f>
        <v>93.026329173687174</v>
      </c>
    </row>
    <row r="18" spans="2:2" x14ac:dyDescent="0.3">
      <c r="B18" s="103" t="s">
        <v>25</v>
      </c>
    </row>
    <row r="19" spans="2:2" x14ac:dyDescent="0.3">
      <c r="B19" s="105">
        <f>B7-B10*LN(B13)/LN(2)</f>
        <v>757.01209502218478</v>
      </c>
    </row>
  </sheetData>
  <mergeCells count="4">
    <mergeCell ref="B2:C2"/>
    <mergeCell ref="D2:E2"/>
    <mergeCell ref="F2:H2"/>
    <mergeCell ref="J13:K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PSI계산</vt:lpstr>
      <vt:lpstr>AUC계산</vt:lpstr>
      <vt:lpstr>모델비교</vt:lpstr>
      <vt:lpstr>모델비교 테이블예시</vt:lpstr>
      <vt:lpstr>모델내검증</vt:lpstr>
      <vt:lpstr>스코어링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2025-01-04T03:42:37Z</dcterms:modified>
</cp:coreProperties>
</file>