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ixie-backplane\docs\"/>
    </mc:Choice>
  </mc:AlternateContent>
  <bookViews>
    <workbookView xWindow="0" yWindow="0" windowWidth="18165" windowHeight="8895" activeTab="4"/>
  </bookViews>
  <sheets>
    <sheet name="Power" sheetId="1" r:id="rId1"/>
    <sheet name="555 Timer" sheetId="3" r:id="rId2"/>
    <sheet name="PWM" sheetId="4" r:id="rId3"/>
    <sheet name="Pins" sheetId="2" r:id="rId4"/>
    <sheet name="Spac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5" l="1"/>
  <c r="Q16" i="5"/>
  <c r="Q13" i="5"/>
  <c r="Q3" i="5"/>
  <c r="J16" i="5"/>
  <c r="J12" i="5"/>
  <c r="J3" i="5"/>
  <c r="J13" i="5" s="1"/>
  <c r="E11" i="5"/>
  <c r="E12" i="5"/>
  <c r="E13" i="5"/>
  <c r="E14" i="5"/>
  <c r="E15" i="5"/>
  <c r="E10" i="5"/>
  <c r="F15" i="5"/>
  <c r="F14" i="5"/>
  <c r="F13" i="5"/>
  <c r="F12" i="5"/>
  <c r="F11" i="5"/>
  <c r="F10" i="5"/>
  <c r="C16" i="5"/>
  <c r="C13" i="5"/>
  <c r="C14" i="5" s="1"/>
  <c r="C15" i="5" s="1"/>
  <c r="C12" i="5"/>
  <c r="C11" i="5" s="1"/>
  <c r="C10" i="5" s="1"/>
  <c r="C4" i="5"/>
  <c r="C3" i="5"/>
  <c r="S13" i="5" l="1"/>
  <c r="Q14" i="5"/>
  <c r="T13" i="5"/>
  <c r="Q12" i="5"/>
  <c r="M12" i="5"/>
  <c r="L12" i="5"/>
  <c r="J11" i="5"/>
  <c r="J14" i="5"/>
  <c r="M13" i="5"/>
  <c r="L13" i="5"/>
  <c r="G4" i="5"/>
  <c r="B19" i="3"/>
  <c r="T12" i="5" l="1"/>
  <c r="S12" i="5"/>
  <c r="Q11" i="5"/>
  <c r="S14" i="5"/>
  <c r="Q15" i="5"/>
  <c r="T14" i="5"/>
  <c r="M14" i="5"/>
  <c r="L14" i="5"/>
  <c r="J15" i="5"/>
  <c r="M11" i="5"/>
  <c r="L11" i="5"/>
  <c r="J10" i="5"/>
  <c r="B36" i="1"/>
  <c r="B13" i="4"/>
  <c r="B15" i="4" s="1"/>
  <c r="B19" i="4"/>
  <c r="B11" i="4"/>
  <c r="T15" i="5" l="1"/>
  <c r="S15" i="5"/>
  <c r="T11" i="5"/>
  <c r="S11" i="5"/>
  <c r="Q10" i="5"/>
  <c r="M15" i="5"/>
  <c r="L15" i="5"/>
  <c r="M10" i="5"/>
  <c r="L10" i="5"/>
  <c r="N4" i="5"/>
  <c r="B14" i="4"/>
  <c r="B30" i="3"/>
  <c r="B28" i="3"/>
  <c r="B8" i="3"/>
  <c r="B20" i="3"/>
  <c r="B6" i="3"/>
  <c r="S10" i="5" l="1"/>
  <c r="T10" i="5"/>
  <c r="U4" i="5"/>
  <c r="B7" i="3"/>
  <c r="B9" i="3" s="1"/>
  <c r="B21" i="3"/>
  <c r="B23" i="3" s="1"/>
  <c r="C12" i="2"/>
  <c r="B12" i="2"/>
  <c r="B22" i="3" l="1"/>
  <c r="B3" i="2"/>
  <c r="B24" i="1" l="1"/>
  <c r="B28" i="1"/>
  <c r="B26" i="1"/>
  <c r="B18" i="1"/>
  <c r="B19" i="1" s="1"/>
  <c r="B14" i="1"/>
  <c r="B15" i="1" s="1"/>
  <c r="B2" i="1" l="1"/>
  <c r="B5" i="1"/>
  <c r="B6" i="1" l="1"/>
</calcChain>
</file>

<file path=xl/sharedStrings.xml><?xml version="1.0" encoding="utf-8"?>
<sst xmlns="http://schemas.openxmlformats.org/spreadsheetml/2006/main" count="213" uniqueCount="88">
  <si>
    <t>Vsupply</t>
  </si>
  <si>
    <t>V</t>
  </si>
  <si>
    <t>Rseries</t>
  </si>
  <si>
    <t>Ω</t>
  </si>
  <si>
    <t>Iseries</t>
  </si>
  <si>
    <t>mA</t>
  </si>
  <si>
    <t>Vres</t>
  </si>
  <si>
    <t>Vtube</t>
  </si>
  <si>
    <t>Ptube</t>
  </si>
  <si>
    <t>mW</t>
  </si>
  <si>
    <t>Vinput</t>
  </si>
  <si>
    <t>Itube</t>
  </si>
  <si>
    <t>Ptotal</t>
  </si>
  <si>
    <t>Target 4W output power.</t>
  </si>
  <si>
    <t>Efficiency</t>
  </si>
  <si>
    <t>Pin</t>
  </si>
  <si>
    <t>Iin</t>
  </si>
  <si>
    <t>Vout</t>
  </si>
  <si>
    <t>Vpri</t>
  </si>
  <si>
    <t>duty</t>
  </si>
  <si>
    <t>Turns,sec</t>
  </si>
  <si>
    <t>Turns,pri</t>
  </si>
  <si>
    <t>L, sec</t>
  </si>
  <si>
    <t>L,pri</t>
  </si>
  <si>
    <t>uH</t>
  </si>
  <si>
    <t>kHz</t>
  </si>
  <si>
    <t>f,typ</t>
  </si>
  <si>
    <t>GPIO</t>
  </si>
  <si>
    <t>Nixie Tubes</t>
  </si>
  <si>
    <t>ADC</t>
  </si>
  <si>
    <t>Buttons</t>
  </si>
  <si>
    <t>Brightness Setting</t>
  </si>
  <si>
    <t>HV PWM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</si>
  <si>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</si>
  <si>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</si>
  <si>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t>C</t>
  </si>
  <si>
    <r>
      <t>t</t>
    </r>
    <r>
      <rPr>
        <vertAlign val="subscript"/>
        <sz val="11"/>
        <color theme="1"/>
        <rFont val="Calibri"/>
        <family val="2"/>
        <scheme val="minor"/>
      </rPr>
      <t>H</t>
    </r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</si>
  <si>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</si>
  <si>
    <t>sec</t>
  </si>
  <si>
    <t>F</t>
  </si>
  <si>
    <t>freq</t>
  </si>
  <si>
    <t>Hz</t>
  </si>
  <si>
    <t>https://www.youtube.com/watch?v=i0SNb__dkYI&amp;t=280s</t>
  </si>
  <si>
    <t>R1</t>
  </si>
  <si>
    <t>C1</t>
  </si>
  <si>
    <t>R</t>
  </si>
  <si>
    <t>Rgnd</t>
  </si>
  <si>
    <t>coeff</t>
  </si>
  <si>
    <t>Vmin</t>
  </si>
  <si>
    <t>duty,min</t>
  </si>
  <si>
    <t>Rpot</t>
  </si>
  <si>
    <t>8.3.2 A-stable Operation</t>
  </si>
  <si>
    <t>w/ Potentiometer &amp; Diodes (maintain constant duty cycle)</t>
  </si>
  <si>
    <t>min duty cycle</t>
  </si>
  <si>
    <t>R,upper</t>
  </si>
  <si>
    <t>R,lower</t>
  </si>
  <si>
    <t>VBE</t>
  </si>
  <si>
    <t>Ic,gain</t>
  </si>
  <si>
    <t>Ic</t>
  </si>
  <si>
    <t>A/A</t>
  </si>
  <si>
    <t>Ib</t>
  </si>
  <si>
    <t>NPN Level Shifter</t>
  </si>
  <si>
    <t>PNP</t>
  </si>
  <si>
    <t>I,res</t>
  </si>
  <si>
    <t>P,upper</t>
  </si>
  <si>
    <t>P,lower</t>
  </si>
  <si>
    <t>W</t>
  </si>
  <si>
    <t>Fuse Sizing</t>
  </si>
  <si>
    <t>Power</t>
  </si>
  <si>
    <t>Voltage</t>
  </si>
  <si>
    <t>Current</t>
  </si>
  <si>
    <t>A</t>
  </si>
  <si>
    <t>D1</t>
  </si>
  <si>
    <t>D2</t>
  </si>
  <si>
    <t>D3</t>
  </si>
  <si>
    <t>D4</t>
  </si>
  <si>
    <t>D5</t>
  </si>
  <si>
    <t>D6</t>
  </si>
  <si>
    <t>Nixie OD</t>
  </si>
  <si>
    <t>in</t>
  </si>
  <si>
    <t>Spacing,pair</t>
  </si>
  <si>
    <t>Spacing,reg</t>
  </si>
  <si>
    <t>Box Width</t>
  </si>
  <si>
    <t>edge</t>
  </si>
  <si>
    <t>NORMAL</t>
  </si>
  <si>
    <t>TIGHT</t>
  </si>
  <si>
    <t>WIDE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</si>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</sst>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6" fillId="3" borderId="2" applyNumberFormat="0" applyAlignment="0" applyProtection="0"/>
  </cellStyleXfs>
  <cellXfs count="28">
    <xf numFmtId="0" fontId="0" fillId="0" borderId="0" xfId="0"/>
    <xf numFmtId="0" fontId="2" fillId="0" borderId="0" xfId="0" applyFont="1"/>
    <xf numFmtId="9" fontId="0" fillId="0" borderId="0" xfId="1" applyFon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2"/>
    <xf numFmtId="166" fontId="0" fillId="0" borderId="0" xfId="0" applyNumberFormat="1"/>
    <xf numFmtId="167" fontId="0" fillId="0" borderId="0" xfId="0" applyNumberFormat="1"/>
    <xf numFmtId="0" fontId="0" fillId="0" borderId="3" xfId="0" applyFont="1" applyBorder="1"/>
    <xf numFmtId="0" fontId="0" fillId="0" borderId="0" xfId="0" applyBorder="1"/>
    <xf numFmtId="0" fontId="2" fillId="0" borderId="4" xfId="0" applyFont="1" applyBorder="1"/>
    <xf numFmtId="0" fontId="5" fillId="2" borderId="1" xfId="3" applyBorder="1"/>
    <xf numFmtId="0" fontId="0" fillId="0" borderId="5" xfId="0" applyBorder="1"/>
    <xf numFmtId="0" fontId="2" fillId="4" borderId="6" xfId="0" applyFont="1" applyFill="1" applyBorder="1"/>
    <xf numFmtId="0" fontId="0" fillId="0" borderId="7" xfId="0" applyBorder="1"/>
    <xf numFmtId="0" fontId="6" fillId="3" borderId="2" xfId="4" applyBorder="1"/>
    <xf numFmtId="12" fontId="0" fillId="0" borderId="0" xfId="0" applyNumberFormat="1" applyBorder="1"/>
    <xf numFmtId="0" fontId="2" fillId="0" borderId="8" xfId="0" applyFont="1" applyBorder="1"/>
    <xf numFmtId="0" fontId="6" fillId="3" borderId="9" xfId="4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5" fillId="2" borderId="13" xfId="3" applyBorder="1"/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</cellXfs>
  <cellStyles count="5">
    <cellStyle name="Hyperlink" xfId="2" builtinId="8"/>
    <cellStyle name="Input" xfId="3" builtinId="20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8</xdr:row>
      <xdr:rowOff>28575</xdr:rowOff>
    </xdr:from>
    <xdr:to>
      <xdr:col>19</xdr:col>
      <xdr:colOff>86384</xdr:colOff>
      <xdr:row>24</xdr:row>
      <xdr:rowOff>67106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1552575"/>
          <a:ext cx="4725059" cy="3086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0</xdr:row>
      <xdr:rowOff>57150</xdr:rowOff>
    </xdr:from>
    <xdr:to>
      <xdr:col>21</xdr:col>
      <xdr:colOff>334304</xdr:colOff>
      <xdr:row>39</xdr:row>
      <xdr:rowOff>77272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57150"/>
          <a:ext cx="6658904" cy="7678222"/>
        </a:xfrm>
        <a:prstGeom prst="rect">
          <a:avLst/>
        </a:prstGeom>
      </xdr:spPr>
    </xdr:pic>
    <xdr:clientData/>
  </xdr:twoCellAnchor>
  <xdr:twoCellAnchor editAs="oneCell">
    <xdr:from>
      <xdr:col>7</xdr:col>
      <xdr:colOff>500964</xdr:colOff>
      <xdr:row>15</xdr:row>
      <xdr:rowOff>74302</xdr:rowOff>
    </xdr:from>
    <xdr:to>
      <xdr:col>22</xdr:col>
      <xdr:colOff>477791</xdr:colOff>
      <xdr:row>39</xdr:row>
      <xdr:rowOff>171450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1989" y="3084202"/>
          <a:ext cx="9120827" cy="474534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21</xdr:row>
      <xdr:rowOff>107598</xdr:rowOff>
    </xdr:from>
    <xdr:to>
      <xdr:col>18</xdr:col>
      <xdr:colOff>459380</xdr:colOff>
      <xdr:row>44</xdr:row>
      <xdr:rowOff>106236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4374798"/>
          <a:ext cx="6536330" cy="4380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25</xdr:row>
      <xdr:rowOff>47625</xdr:rowOff>
    </xdr:from>
    <xdr:to>
      <xdr:col>17</xdr:col>
      <xdr:colOff>438824</xdr:colOff>
      <xdr:row>46</xdr:row>
      <xdr:rowOff>143447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4810125"/>
          <a:ext cx="4829849" cy="4096322"/>
        </a:xfrm>
        <a:prstGeom prst="rect">
          <a:avLst/>
        </a:prstGeom>
      </xdr:spPr>
    </xdr:pic>
    <xdr:clientData/>
  </xdr:twoCellAnchor>
  <xdr:twoCellAnchor editAs="oneCell">
    <xdr:from>
      <xdr:col>7</xdr:col>
      <xdr:colOff>540890</xdr:colOff>
      <xdr:row>0</xdr:row>
      <xdr:rowOff>123825</xdr:rowOff>
    </xdr:from>
    <xdr:to>
      <xdr:col>15</xdr:col>
      <xdr:colOff>448802</xdr:colOff>
      <xdr:row>12</xdr:row>
      <xdr:rowOff>162473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8090" y="123825"/>
          <a:ext cx="4784712" cy="2324648"/>
        </a:xfrm>
        <a:prstGeom prst="rect">
          <a:avLst/>
        </a:prstGeom>
      </xdr:spPr>
    </xdr:pic>
    <xdr:clientData/>
  </xdr:twoCellAnchor>
  <xdr:twoCellAnchor editAs="oneCell">
    <xdr:from>
      <xdr:col>8</xdr:col>
      <xdr:colOff>120587</xdr:colOff>
      <xdr:row>14</xdr:row>
      <xdr:rowOff>114300</xdr:rowOff>
    </xdr:from>
    <xdr:to>
      <xdr:col>18</xdr:col>
      <xdr:colOff>286859</xdr:colOff>
      <xdr:row>22</xdr:row>
      <xdr:rowOff>114570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7387" y="2781300"/>
          <a:ext cx="6262272" cy="1524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i0SNb__dkYI&amp;t=280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1" sqref="C1"/>
    </sheetView>
  </sheetViews>
  <sheetFormatPr defaultRowHeight="15" x14ac:dyDescent="0.25"/>
  <cols>
    <col min="1" max="1" width="10.85546875" customWidth="1"/>
  </cols>
  <sheetData>
    <row r="1" spans="1:5" x14ac:dyDescent="0.25">
      <c r="A1" t="s">
        <v>0</v>
      </c>
      <c r="B1">
        <v>180</v>
      </c>
      <c r="C1" t="s">
        <v>1</v>
      </c>
    </row>
    <row r="2" spans="1:5" x14ac:dyDescent="0.25">
      <c r="A2" t="s">
        <v>7</v>
      </c>
      <c r="B2">
        <f>B1-B3</f>
        <v>138</v>
      </c>
      <c r="C2" t="s">
        <v>1</v>
      </c>
    </row>
    <row r="3" spans="1:5" x14ac:dyDescent="0.25">
      <c r="A3" t="s">
        <v>6</v>
      </c>
      <c r="B3">
        <v>42</v>
      </c>
      <c r="C3" t="s">
        <v>1</v>
      </c>
    </row>
    <row r="4" spans="1:5" x14ac:dyDescent="0.25">
      <c r="A4" t="s">
        <v>2</v>
      </c>
      <c r="B4">
        <v>22000</v>
      </c>
      <c r="C4" t="s">
        <v>3</v>
      </c>
    </row>
    <row r="5" spans="1:5" x14ac:dyDescent="0.25">
      <c r="A5" t="s">
        <v>4</v>
      </c>
      <c r="B5">
        <f>1000*B3/B4</f>
        <v>1.9090909090909092</v>
      </c>
      <c r="C5" t="s">
        <v>5</v>
      </c>
    </row>
    <row r="6" spans="1:5" x14ac:dyDescent="0.25">
      <c r="A6" t="s">
        <v>8</v>
      </c>
      <c r="B6">
        <f>B5*B2</f>
        <v>263.45454545454544</v>
      </c>
      <c r="C6" t="s">
        <v>9</v>
      </c>
    </row>
    <row r="11" spans="1:5" x14ac:dyDescent="0.25">
      <c r="A11" t="s">
        <v>10</v>
      </c>
      <c r="B11">
        <v>5</v>
      </c>
      <c r="C11" t="s">
        <v>1</v>
      </c>
    </row>
    <row r="12" spans="1:5" x14ac:dyDescent="0.25">
      <c r="A12" t="s">
        <v>17</v>
      </c>
      <c r="B12">
        <v>180</v>
      </c>
      <c r="C12" t="s">
        <v>1</v>
      </c>
    </row>
    <row r="13" spans="1:5" x14ac:dyDescent="0.25">
      <c r="A13" t="s">
        <v>11</v>
      </c>
      <c r="B13">
        <v>2</v>
      </c>
      <c r="C13" t="s">
        <v>5</v>
      </c>
    </row>
    <row r="14" spans="1:5" x14ac:dyDescent="0.25">
      <c r="A14" t="s">
        <v>8</v>
      </c>
      <c r="B14">
        <f>B12*B13</f>
        <v>360</v>
      </c>
      <c r="C14" t="s">
        <v>9</v>
      </c>
    </row>
    <row r="15" spans="1:5" x14ac:dyDescent="0.25">
      <c r="A15" t="s">
        <v>12</v>
      </c>
      <c r="B15">
        <f>B14*6</f>
        <v>2160</v>
      </c>
      <c r="C15" t="s">
        <v>9</v>
      </c>
      <c r="E15" s="1" t="s">
        <v>13</v>
      </c>
    </row>
    <row r="17" spans="1:3" x14ac:dyDescent="0.25">
      <c r="A17" t="s">
        <v>14</v>
      </c>
      <c r="B17" s="2">
        <v>0.5</v>
      </c>
    </row>
    <row r="18" spans="1:3" x14ac:dyDescent="0.25">
      <c r="A18" t="s">
        <v>15</v>
      </c>
      <c r="B18">
        <f>4000/B17</f>
        <v>8000</v>
      </c>
      <c r="C18" t="s">
        <v>9</v>
      </c>
    </row>
    <row r="19" spans="1:3" x14ac:dyDescent="0.25">
      <c r="A19" t="s">
        <v>16</v>
      </c>
      <c r="B19">
        <f>B18/B11</f>
        <v>1600</v>
      </c>
      <c r="C19" t="s">
        <v>5</v>
      </c>
    </row>
    <row r="21" spans="1:3" x14ac:dyDescent="0.25">
      <c r="A21" t="s">
        <v>21</v>
      </c>
      <c r="B21">
        <v>1</v>
      </c>
    </row>
    <row r="22" spans="1:3" x14ac:dyDescent="0.25">
      <c r="A22" t="s">
        <v>20</v>
      </c>
      <c r="B22">
        <v>12</v>
      </c>
    </row>
    <row r="23" spans="1:3" x14ac:dyDescent="0.25">
      <c r="A23" t="s">
        <v>23</v>
      </c>
      <c r="B23">
        <v>100</v>
      </c>
      <c r="C23" t="s">
        <v>24</v>
      </c>
    </row>
    <row r="24" spans="1:3" x14ac:dyDescent="0.25">
      <c r="A24" t="s">
        <v>22</v>
      </c>
      <c r="B24" s="3">
        <f>B23*(B21*B21/(B22*B22))</f>
        <v>0.69444444444444442</v>
      </c>
      <c r="C24" t="s">
        <v>24</v>
      </c>
    </row>
    <row r="26" spans="1:3" x14ac:dyDescent="0.25">
      <c r="A26" t="s">
        <v>18</v>
      </c>
      <c r="B26">
        <f>B11</f>
        <v>5</v>
      </c>
      <c r="C26" t="s">
        <v>1</v>
      </c>
    </row>
    <row r="27" spans="1:3" x14ac:dyDescent="0.25">
      <c r="A27" t="s">
        <v>19</v>
      </c>
      <c r="B27" s="2">
        <v>0.75</v>
      </c>
    </row>
    <row r="28" spans="1:3" x14ac:dyDescent="0.25">
      <c r="A28" t="s">
        <v>17</v>
      </c>
      <c r="B28">
        <f>B26*B22*B27/(1-B27)</f>
        <v>180</v>
      </c>
    </row>
    <row r="30" spans="1:3" x14ac:dyDescent="0.25">
      <c r="A30" t="s">
        <v>26</v>
      </c>
      <c r="B30">
        <v>100</v>
      </c>
      <c r="C30" t="s">
        <v>25</v>
      </c>
    </row>
    <row r="33" spans="1:3" x14ac:dyDescent="0.25">
      <c r="A33" t="s">
        <v>67</v>
      </c>
    </row>
    <row r="34" spans="1:3" x14ac:dyDescent="0.25">
      <c r="A34" t="s">
        <v>68</v>
      </c>
      <c r="B34">
        <v>4</v>
      </c>
      <c r="C34" t="s">
        <v>66</v>
      </c>
    </row>
    <row r="35" spans="1:3" x14ac:dyDescent="0.25">
      <c r="A35" t="s">
        <v>69</v>
      </c>
      <c r="B35">
        <v>5</v>
      </c>
      <c r="C35" t="s">
        <v>1</v>
      </c>
    </row>
    <row r="36" spans="1:3" x14ac:dyDescent="0.25">
      <c r="A36" t="s">
        <v>70</v>
      </c>
      <c r="B36">
        <f>B34/B35</f>
        <v>0.8</v>
      </c>
      <c r="C36" t="s">
        <v>71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0" workbookViewId="0">
      <selection activeCell="D22" sqref="D22"/>
    </sheetView>
  </sheetViews>
  <sheetFormatPr defaultRowHeight="15" x14ac:dyDescent="0.25"/>
  <cols>
    <col min="2" max="2" width="11" bestFit="1" customWidth="1"/>
  </cols>
  <sheetData>
    <row r="1" spans="1:3" x14ac:dyDescent="0.25">
      <c r="A1" s="7" t="s">
        <v>42</v>
      </c>
    </row>
    <row r="2" spans="1:3" x14ac:dyDescent="0.25">
      <c r="A2" s="1" t="s">
        <v>51</v>
      </c>
    </row>
    <row r="3" spans="1:3" x14ac:dyDescent="0.25">
      <c r="A3" t="s">
        <v>47</v>
      </c>
      <c r="B3">
        <v>0.92</v>
      </c>
    </row>
    <row r="4" spans="1:3" ht="18" x14ac:dyDescent="0.35">
      <c r="A4" t="s">
        <v>33</v>
      </c>
      <c r="B4">
        <v>1000</v>
      </c>
      <c r="C4" t="s">
        <v>3</v>
      </c>
    </row>
    <row r="5" spans="1:3" ht="18" x14ac:dyDescent="0.35">
      <c r="A5" t="s">
        <v>34</v>
      </c>
      <c r="B5">
        <v>50000</v>
      </c>
      <c r="C5" t="s">
        <v>3</v>
      </c>
    </row>
    <row r="6" spans="1:3" x14ac:dyDescent="0.25">
      <c r="A6" t="s">
        <v>35</v>
      </c>
      <c r="B6" s="4">
        <f>0.047*10^-6</f>
        <v>4.6999999999999997E-8</v>
      </c>
      <c r="C6" t="s">
        <v>39</v>
      </c>
    </row>
    <row r="7" spans="1:3" ht="18" x14ac:dyDescent="0.35">
      <c r="A7" t="s">
        <v>36</v>
      </c>
      <c r="B7" s="4">
        <f>B3*(B4+B5)*B$6</f>
        <v>2.2052399999999998E-3</v>
      </c>
      <c r="C7" t="s">
        <v>38</v>
      </c>
    </row>
    <row r="8" spans="1:3" ht="18" x14ac:dyDescent="0.35">
      <c r="A8" t="s">
        <v>37</v>
      </c>
      <c r="B8" s="6">
        <f>B3*B5*B6</f>
        <v>2.1619999999999999E-3</v>
      </c>
      <c r="C8" t="s">
        <v>38</v>
      </c>
    </row>
    <row r="9" spans="1:3" x14ac:dyDescent="0.25">
      <c r="A9" t="s">
        <v>40</v>
      </c>
      <c r="B9" s="3">
        <f>1/(B7+B8)</f>
        <v>228.97756935730578</v>
      </c>
      <c r="C9" t="s">
        <v>41</v>
      </c>
    </row>
    <row r="14" spans="1:3" x14ac:dyDescent="0.25">
      <c r="A14" s="1" t="s">
        <v>52</v>
      </c>
    </row>
    <row r="15" spans="1:3" x14ac:dyDescent="0.25">
      <c r="A15" t="s">
        <v>47</v>
      </c>
      <c r="B15">
        <v>0.92</v>
      </c>
    </row>
    <row r="16" spans="1:3" x14ac:dyDescent="0.25">
      <c r="A16" t="s">
        <v>43</v>
      </c>
      <c r="B16">
        <v>1000</v>
      </c>
      <c r="C16" t="s">
        <v>3</v>
      </c>
    </row>
    <row r="17" spans="1:3" x14ac:dyDescent="0.25">
      <c r="A17" t="s">
        <v>45</v>
      </c>
      <c r="B17">
        <v>1000000</v>
      </c>
      <c r="C17" t="s">
        <v>3</v>
      </c>
    </row>
    <row r="18" spans="1:3" x14ac:dyDescent="0.25">
      <c r="A18" t="s">
        <v>46</v>
      </c>
      <c r="B18">
        <v>500000</v>
      </c>
      <c r="C18" t="s">
        <v>3</v>
      </c>
    </row>
    <row r="19" spans="1:3" x14ac:dyDescent="0.25">
      <c r="A19" t="s">
        <v>44</v>
      </c>
      <c r="B19" s="4">
        <f>4.7*10^-9</f>
        <v>4.7000000000000007E-9</v>
      </c>
      <c r="C19" t="s">
        <v>39</v>
      </c>
    </row>
    <row r="20" spans="1:3" ht="18" x14ac:dyDescent="0.35">
      <c r="A20" t="s">
        <v>36</v>
      </c>
      <c r="B20" s="6">
        <f>B15*(B16+B17-B18)*B19</f>
        <v>2.1663240000000003E-3</v>
      </c>
      <c r="C20" t="s">
        <v>38</v>
      </c>
    </row>
    <row r="21" spans="1:3" ht="18" x14ac:dyDescent="0.35">
      <c r="A21" t="s">
        <v>37</v>
      </c>
      <c r="B21" s="6">
        <f>B15*B18*B19</f>
        <v>2.1620000000000003E-3</v>
      </c>
      <c r="C21" t="s">
        <v>38</v>
      </c>
    </row>
    <row r="22" spans="1:3" x14ac:dyDescent="0.25">
      <c r="A22" t="s">
        <v>40</v>
      </c>
      <c r="B22" s="3">
        <f>1/(B20+B21)</f>
        <v>231.03630874213664</v>
      </c>
      <c r="C22" t="s">
        <v>41</v>
      </c>
    </row>
    <row r="23" spans="1:3" x14ac:dyDescent="0.25">
      <c r="A23" t="s">
        <v>19</v>
      </c>
      <c r="B23" s="5">
        <f>B20/(B20+B21)</f>
        <v>0.50049950049950054</v>
      </c>
    </row>
    <row r="25" spans="1:3" x14ac:dyDescent="0.25">
      <c r="A25" s="1" t="s">
        <v>53</v>
      </c>
    </row>
    <row r="26" spans="1:3" x14ac:dyDescent="0.25">
      <c r="A26" t="s">
        <v>0</v>
      </c>
      <c r="B26">
        <v>200</v>
      </c>
      <c r="C26" t="s">
        <v>1</v>
      </c>
    </row>
    <row r="27" spans="1:3" x14ac:dyDescent="0.25">
      <c r="A27" t="s">
        <v>48</v>
      </c>
      <c r="B27">
        <v>120</v>
      </c>
      <c r="C27" t="s">
        <v>1</v>
      </c>
    </row>
    <row r="28" spans="1:3" x14ac:dyDescent="0.25">
      <c r="A28" t="s">
        <v>49</v>
      </c>
      <c r="B28">
        <f>B27/B26</f>
        <v>0.6</v>
      </c>
    </row>
    <row r="29" spans="1:3" x14ac:dyDescent="0.25">
      <c r="A29" t="s">
        <v>50</v>
      </c>
      <c r="B29">
        <v>1000000</v>
      </c>
      <c r="C29" t="s">
        <v>3</v>
      </c>
    </row>
    <row r="30" spans="1:3" x14ac:dyDescent="0.25">
      <c r="A30" t="s">
        <v>43</v>
      </c>
      <c r="B30">
        <f>B29*B28*2</f>
        <v>1200000</v>
      </c>
      <c r="C30" t="s">
        <v>3</v>
      </c>
    </row>
  </sheetData>
  <hyperlinks>
    <hyperlink ref="A1" r:id="rId1"/>
  </hyperlinks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G31" sqref="G31"/>
    </sheetView>
  </sheetViews>
  <sheetFormatPr defaultRowHeight="15" x14ac:dyDescent="0.25"/>
  <sheetData>
    <row r="2" spans="1:3" x14ac:dyDescent="0.25">
      <c r="A2" s="1" t="s">
        <v>61</v>
      </c>
    </row>
    <row r="7" spans="1:3" x14ac:dyDescent="0.25">
      <c r="A7" s="1" t="s">
        <v>62</v>
      </c>
    </row>
    <row r="8" spans="1:3" x14ac:dyDescent="0.25">
      <c r="A8" t="s">
        <v>0</v>
      </c>
      <c r="B8">
        <v>200</v>
      </c>
      <c r="C8" t="s">
        <v>1</v>
      </c>
    </row>
    <row r="9" spans="1:3" x14ac:dyDescent="0.25">
      <c r="A9" t="s">
        <v>54</v>
      </c>
      <c r="B9">
        <v>4700</v>
      </c>
      <c r="C9" t="s">
        <v>3</v>
      </c>
    </row>
    <row r="10" spans="1:3" x14ac:dyDescent="0.25">
      <c r="A10" t="s">
        <v>55</v>
      </c>
      <c r="B10">
        <v>440000</v>
      </c>
      <c r="C10" t="s">
        <v>3</v>
      </c>
    </row>
    <row r="11" spans="1:3" x14ac:dyDescent="0.25">
      <c r="A11" t="s">
        <v>56</v>
      </c>
      <c r="B11" s="9">
        <f>B8*(B10/(B10+B9))-B8</f>
        <v>-2.1137845738700207</v>
      </c>
      <c r="C11" t="s">
        <v>1</v>
      </c>
    </row>
    <row r="13" spans="1:3" x14ac:dyDescent="0.25">
      <c r="A13" t="s">
        <v>63</v>
      </c>
      <c r="B13" s="8">
        <f>B8/(B9+B10)*1000</f>
        <v>0.44974139869574997</v>
      </c>
      <c r="C13" t="s">
        <v>5</v>
      </c>
    </row>
    <row r="14" spans="1:3" x14ac:dyDescent="0.25">
      <c r="A14" t="s">
        <v>64</v>
      </c>
      <c r="B14">
        <f>(B13/1000)*(B13/1000)*B9</f>
        <v>9.5065643079380463E-4</v>
      </c>
      <c r="C14" t="s">
        <v>66</v>
      </c>
    </row>
    <row r="15" spans="1:3" x14ac:dyDescent="0.25">
      <c r="A15" t="s">
        <v>65</v>
      </c>
      <c r="B15">
        <f>(B13/1000)*(B13/1000)*B10</f>
        <v>8.8997623308356186E-2</v>
      </c>
      <c r="C15" t="s">
        <v>66</v>
      </c>
    </row>
    <row r="17" spans="1:3" x14ac:dyDescent="0.25">
      <c r="A17" t="s">
        <v>57</v>
      </c>
      <c r="B17">
        <v>100</v>
      </c>
      <c r="C17" t="s">
        <v>59</v>
      </c>
    </row>
    <row r="18" spans="1:3" x14ac:dyDescent="0.25">
      <c r="A18" t="s">
        <v>58</v>
      </c>
      <c r="B18">
        <v>5</v>
      </c>
      <c r="C18" t="s">
        <v>5</v>
      </c>
    </row>
    <row r="19" spans="1:3" x14ac:dyDescent="0.25">
      <c r="A19" t="s">
        <v>60</v>
      </c>
      <c r="B19">
        <f>B18/B17</f>
        <v>0.05</v>
      </c>
      <c r="C19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C14" sqref="C14"/>
    </sheetView>
  </sheetViews>
  <sheetFormatPr defaultRowHeight="15" x14ac:dyDescent="0.25"/>
  <cols>
    <col min="1" max="1" width="20.42578125" customWidth="1"/>
  </cols>
  <sheetData>
    <row r="2" spans="1:3" x14ac:dyDescent="0.25">
      <c r="B2" t="s">
        <v>27</v>
      </c>
      <c r="C2" t="s">
        <v>29</v>
      </c>
    </row>
    <row r="3" spans="1:3" x14ac:dyDescent="0.25">
      <c r="A3" t="s">
        <v>28</v>
      </c>
      <c r="B3">
        <f>6*4</f>
        <v>24</v>
      </c>
    </row>
    <row r="4" spans="1:3" x14ac:dyDescent="0.25">
      <c r="A4" t="s">
        <v>30</v>
      </c>
      <c r="B4">
        <v>3</v>
      </c>
    </row>
    <row r="5" spans="1:3" x14ac:dyDescent="0.25">
      <c r="A5" t="s">
        <v>31</v>
      </c>
      <c r="C5">
        <v>1</v>
      </c>
    </row>
    <row r="6" spans="1:3" x14ac:dyDescent="0.25">
      <c r="A6" t="s">
        <v>32</v>
      </c>
      <c r="B6">
        <v>1</v>
      </c>
    </row>
    <row r="12" spans="1:3" x14ac:dyDescent="0.25">
      <c r="B12">
        <f>SUM(B3:B11)</f>
        <v>28</v>
      </c>
      <c r="C12">
        <f>SUM(C3:C11)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"/>
  <sheetViews>
    <sheetView tabSelected="1" workbookViewId="0">
      <selection activeCell="P27" sqref="P27"/>
    </sheetView>
  </sheetViews>
  <sheetFormatPr defaultRowHeight="15" x14ac:dyDescent="0.25"/>
  <cols>
    <col min="2" max="2" width="12.42578125" customWidth="1"/>
    <col min="4" max="4" width="2.7109375" bestFit="1" customWidth="1"/>
    <col min="6" max="6" width="4.7109375" bestFit="1" customWidth="1"/>
    <col min="7" max="7" width="5.5703125" bestFit="1" customWidth="1"/>
    <col min="9" max="9" width="15" customWidth="1"/>
    <col min="13" max="13" width="4.7109375" bestFit="1" customWidth="1"/>
    <col min="14" max="14" width="5.5703125" bestFit="1" customWidth="1"/>
    <col min="16" max="16" width="14" customWidth="1"/>
    <col min="18" max="18" width="2.7109375" bestFit="1" customWidth="1"/>
    <col min="20" max="20" width="4.7109375" customWidth="1"/>
    <col min="21" max="21" width="5.5703125" bestFit="1" customWidth="1"/>
  </cols>
  <sheetData>
    <row r="1" spans="2:21" ht="15.75" thickBot="1" x14ac:dyDescent="0.3"/>
    <row r="2" spans="2:21" ht="15.75" thickBot="1" x14ac:dyDescent="0.3">
      <c r="B2" s="25" t="s">
        <v>84</v>
      </c>
      <c r="C2" s="26"/>
      <c r="D2" s="26"/>
      <c r="E2" s="26"/>
      <c r="F2" s="26"/>
      <c r="G2" s="27"/>
      <c r="I2" s="25" t="s">
        <v>86</v>
      </c>
      <c r="J2" s="26"/>
      <c r="K2" s="26"/>
      <c r="L2" s="26"/>
      <c r="M2" s="26"/>
      <c r="N2" s="27"/>
      <c r="P2" s="25" t="s">
        <v>85</v>
      </c>
      <c r="Q2" s="26"/>
      <c r="R2" s="26"/>
      <c r="S2" s="26"/>
      <c r="T2" s="26"/>
      <c r="U2" s="27"/>
    </row>
    <row r="3" spans="2:21" x14ac:dyDescent="0.25">
      <c r="B3" s="23" t="s">
        <v>78</v>
      </c>
      <c r="C3" s="24">
        <f>5/8</f>
        <v>0.625</v>
      </c>
      <c r="D3" s="24" t="s">
        <v>79</v>
      </c>
      <c r="E3" s="11"/>
      <c r="F3" s="11"/>
      <c r="G3" s="14"/>
      <c r="I3" s="23" t="s">
        <v>78</v>
      </c>
      <c r="J3" s="24">
        <f>5/8</f>
        <v>0.625</v>
      </c>
      <c r="K3" s="24" t="s">
        <v>79</v>
      </c>
      <c r="L3" s="11"/>
      <c r="M3" s="11"/>
      <c r="N3" s="14"/>
      <c r="P3" s="23" t="s">
        <v>78</v>
      </c>
      <c r="Q3" s="24">
        <f>5/8</f>
        <v>0.625</v>
      </c>
      <c r="R3" s="24" t="s">
        <v>79</v>
      </c>
      <c r="S3" s="11"/>
      <c r="T3" s="11"/>
      <c r="U3" s="14"/>
    </row>
    <row r="4" spans="2:21" x14ac:dyDescent="0.25">
      <c r="B4" s="12" t="s">
        <v>80</v>
      </c>
      <c r="C4" s="13">
        <f>0.25</f>
        <v>0.25</v>
      </c>
      <c r="D4" s="13" t="s">
        <v>79</v>
      </c>
      <c r="E4" s="11"/>
      <c r="F4" s="10" t="s">
        <v>87</v>
      </c>
      <c r="G4" s="15" t="b">
        <f>(C10-C9)=(C16-C15)</f>
        <v>1</v>
      </c>
      <c r="I4" s="12" t="s">
        <v>80</v>
      </c>
      <c r="J4" s="13">
        <v>0.5</v>
      </c>
      <c r="K4" s="13" t="s">
        <v>79</v>
      </c>
      <c r="L4" s="11"/>
      <c r="M4" s="10" t="s">
        <v>87</v>
      </c>
      <c r="N4" s="15" t="b">
        <f>(J10-J9)=(J16-J15)</f>
        <v>1</v>
      </c>
      <c r="P4" s="12" t="s">
        <v>80</v>
      </c>
      <c r="Q4" s="13">
        <f>1/8</f>
        <v>0.125</v>
      </c>
      <c r="R4" s="13" t="s">
        <v>79</v>
      </c>
      <c r="S4" s="11"/>
      <c r="T4" s="10" t="s">
        <v>87</v>
      </c>
      <c r="U4" s="15" t="b">
        <f>(Q10-Q9)=(Q16-Q15)</f>
        <v>1</v>
      </c>
    </row>
    <row r="5" spans="2:21" x14ac:dyDescent="0.25">
      <c r="B5" s="12" t="s">
        <v>81</v>
      </c>
      <c r="C5" s="13">
        <v>0.75</v>
      </c>
      <c r="D5" s="13" t="s">
        <v>79</v>
      </c>
      <c r="E5" s="11"/>
      <c r="F5" s="11"/>
      <c r="G5" s="14"/>
      <c r="I5" s="12" t="s">
        <v>81</v>
      </c>
      <c r="J5" s="13">
        <v>1</v>
      </c>
      <c r="K5" s="13" t="s">
        <v>79</v>
      </c>
      <c r="L5" s="11"/>
      <c r="M5" s="11"/>
      <c r="N5" s="14"/>
      <c r="P5" s="12" t="s">
        <v>81</v>
      </c>
      <c r="Q5" s="13">
        <v>0.5</v>
      </c>
      <c r="R5" s="13" t="s">
        <v>79</v>
      </c>
      <c r="S5" s="11"/>
      <c r="T5" s="11"/>
      <c r="U5" s="14"/>
    </row>
    <row r="6" spans="2:21" x14ac:dyDescent="0.25">
      <c r="B6" s="12" t="s">
        <v>82</v>
      </c>
      <c r="C6" s="13">
        <v>10</v>
      </c>
      <c r="D6" s="13" t="s">
        <v>79</v>
      </c>
      <c r="E6" s="11"/>
      <c r="F6" s="11"/>
      <c r="G6" s="14"/>
      <c r="I6" s="12" t="s">
        <v>82</v>
      </c>
      <c r="J6" s="13">
        <v>10</v>
      </c>
      <c r="K6" s="13" t="s">
        <v>79</v>
      </c>
      <c r="L6" s="11"/>
      <c r="M6" s="11"/>
      <c r="N6" s="14"/>
      <c r="P6" s="12" t="s">
        <v>82</v>
      </c>
      <c r="Q6" s="13">
        <v>10</v>
      </c>
      <c r="R6" s="13" t="s">
        <v>79</v>
      </c>
      <c r="S6" s="11"/>
      <c r="T6" s="11"/>
      <c r="U6" s="14"/>
    </row>
    <row r="7" spans="2:21" x14ac:dyDescent="0.25">
      <c r="B7" s="16"/>
      <c r="C7" s="11"/>
      <c r="D7" s="11"/>
      <c r="E7" s="11"/>
      <c r="F7" s="11"/>
      <c r="G7" s="14"/>
      <c r="I7" s="16"/>
      <c r="J7" s="11"/>
      <c r="K7" s="11"/>
      <c r="L7" s="11"/>
      <c r="M7" s="11"/>
      <c r="N7" s="14"/>
      <c r="P7" s="16"/>
      <c r="Q7" s="11"/>
      <c r="R7" s="11"/>
      <c r="S7" s="11"/>
      <c r="T7" s="11"/>
      <c r="U7" s="14"/>
    </row>
    <row r="8" spans="2:21" x14ac:dyDescent="0.25">
      <c r="B8" s="16"/>
      <c r="C8" s="11"/>
      <c r="D8" s="11"/>
      <c r="E8" s="11"/>
      <c r="F8" s="11"/>
      <c r="G8" s="14"/>
      <c r="I8" s="16"/>
      <c r="J8" s="11"/>
      <c r="K8" s="11"/>
      <c r="L8" s="11"/>
      <c r="M8" s="11"/>
      <c r="N8" s="14"/>
      <c r="P8" s="16"/>
      <c r="Q8" s="11"/>
      <c r="R8" s="11"/>
      <c r="S8" s="11"/>
      <c r="T8" s="11"/>
      <c r="U8" s="14"/>
    </row>
    <row r="9" spans="2:21" x14ac:dyDescent="0.25">
      <c r="B9" s="12" t="s">
        <v>83</v>
      </c>
      <c r="C9" s="17">
        <v>0</v>
      </c>
      <c r="D9" s="17" t="s">
        <v>79</v>
      </c>
      <c r="E9" s="11"/>
      <c r="F9" s="11"/>
      <c r="G9" s="14"/>
      <c r="I9" s="12" t="s">
        <v>83</v>
      </c>
      <c r="J9" s="17">
        <v>0</v>
      </c>
      <c r="K9" s="17" t="s">
        <v>79</v>
      </c>
      <c r="L9" s="11"/>
      <c r="M9" s="11"/>
      <c r="N9" s="14"/>
      <c r="P9" s="12" t="s">
        <v>83</v>
      </c>
      <c r="Q9" s="17">
        <v>0</v>
      </c>
      <c r="R9" s="17" t="s">
        <v>79</v>
      </c>
      <c r="S9" s="11"/>
      <c r="T9" s="11"/>
      <c r="U9" s="14"/>
    </row>
    <row r="10" spans="2:21" x14ac:dyDescent="0.25">
      <c r="B10" s="12" t="s">
        <v>72</v>
      </c>
      <c r="C10" s="17">
        <f>C11-C$3-C$4</f>
        <v>2.3125</v>
      </c>
      <c r="D10" s="17" t="s">
        <v>79</v>
      </c>
      <c r="E10" s="11">
        <f>INT(C10)</f>
        <v>2</v>
      </c>
      <c r="F10" s="18">
        <f>C10-INT(C10)</f>
        <v>0.3125</v>
      </c>
      <c r="G10" s="14" t="s">
        <v>79</v>
      </c>
      <c r="I10" s="12" t="s">
        <v>72</v>
      </c>
      <c r="J10" s="17">
        <f>J11-J$3-J$4</f>
        <v>1.6875</v>
      </c>
      <c r="K10" s="17" t="s">
        <v>79</v>
      </c>
      <c r="L10" s="11">
        <f>INT(J10)</f>
        <v>1</v>
      </c>
      <c r="M10" s="18">
        <f>J10-INT(J10)</f>
        <v>0.6875</v>
      </c>
      <c r="N10" s="14" t="s">
        <v>79</v>
      </c>
      <c r="P10" s="12" t="s">
        <v>72</v>
      </c>
      <c r="Q10" s="17">
        <f>Q11-Q$3-Q$4</f>
        <v>2.75</v>
      </c>
      <c r="R10" s="17" t="s">
        <v>79</v>
      </c>
      <c r="S10" s="11">
        <f>INT(Q10)</f>
        <v>2</v>
      </c>
      <c r="T10" s="18">
        <f>Q10-INT(Q10)</f>
        <v>0.75</v>
      </c>
      <c r="U10" s="14" t="s">
        <v>79</v>
      </c>
    </row>
    <row r="11" spans="2:21" x14ac:dyDescent="0.25">
      <c r="B11" s="12" t="s">
        <v>73</v>
      </c>
      <c r="C11" s="17">
        <f>C12-C$3-C$5</f>
        <v>3.1875</v>
      </c>
      <c r="D11" s="17" t="s">
        <v>79</v>
      </c>
      <c r="E11" s="11">
        <f t="shared" ref="E11:E15" si="0">INT(C11)</f>
        <v>3</v>
      </c>
      <c r="F11" s="18">
        <f>C11-INT(C11)</f>
        <v>0.1875</v>
      </c>
      <c r="G11" s="14" t="s">
        <v>79</v>
      </c>
      <c r="I11" s="12" t="s">
        <v>73</v>
      </c>
      <c r="J11" s="17">
        <f>J12-J$3-J$5</f>
        <v>2.8125</v>
      </c>
      <c r="K11" s="17" t="s">
        <v>79</v>
      </c>
      <c r="L11" s="11">
        <f t="shared" ref="L11:L15" si="1">INT(J11)</f>
        <v>2</v>
      </c>
      <c r="M11" s="18">
        <f>J11-INT(J11)</f>
        <v>0.8125</v>
      </c>
      <c r="N11" s="14" t="s">
        <v>79</v>
      </c>
      <c r="P11" s="12" t="s">
        <v>73</v>
      </c>
      <c r="Q11" s="17">
        <f>Q12-Q$3-Q$5</f>
        <v>3.5</v>
      </c>
      <c r="R11" s="17" t="s">
        <v>79</v>
      </c>
      <c r="S11" s="11">
        <f t="shared" ref="S11:S15" si="2">INT(Q11)</f>
        <v>3</v>
      </c>
      <c r="T11" s="18">
        <f>Q11-INT(Q11)</f>
        <v>0.5</v>
      </c>
      <c r="U11" s="14" t="s">
        <v>79</v>
      </c>
    </row>
    <row r="12" spans="2:21" x14ac:dyDescent="0.25">
      <c r="B12" s="12" t="s">
        <v>74</v>
      </c>
      <c r="C12" s="17">
        <f>(C$6/2)-(C$4/2)-(C$3/2)</f>
        <v>4.5625</v>
      </c>
      <c r="D12" s="17" t="s">
        <v>79</v>
      </c>
      <c r="E12" s="11">
        <f t="shared" si="0"/>
        <v>4</v>
      </c>
      <c r="F12" s="18">
        <f>C12-INT(C12)</f>
        <v>0.5625</v>
      </c>
      <c r="G12" s="14" t="s">
        <v>79</v>
      </c>
      <c r="I12" s="12" t="s">
        <v>74</v>
      </c>
      <c r="J12" s="17">
        <f>(J$6/2)-(J$4/2)-(J$3/2)</f>
        <v>4.4375</v>
      </c>
      <c r="K12" s="17" t="s">
        <v>79</v>
      </c>
      <c r="L12" s="11">
        <f t="shared" si="1"/>
        <v>4</v>
      </c>
      <c r="M12" s="18">
        <f>J12-INT(J12)</f>
        <v>0.4375</v>
      </c>
      <c r="N12" s="14" t="s">
        <v>79</v>
      </c>
      <c r="P12" s="12" t="s">
        <v>74</v>
      </c>
      <c r="Q12" s="17">
        <f>(Q$6/2)-(Q$4/2)-(Q$3/2)</f>
        <v>4.625</v>
      </c>
      <c r="R12" s="17" t="s">
        <v>79</v>
      </c>
      <c r="S12" s="11">
        <f t="shared" si="2"/>
        <v>4</v>
      </c>
      <c r="T12" s="18">
        <f>Q12-INT(Q12)</f>
        <v>0.625</v>
      </c>
      <c r="U12" s="14" t="s">
        <v>79</v>
      </c>
    </row>
    <row r="13" spans="2:21" x14ac:dyDescent="0.25">
      <c r="B13" s="12" t="s">
        <v>75</v>
      </c>
      <c r="C13" s="17">
        <f>(C$6/2)+(C$4/2)+(C$3/2)</f>
        <v>5.4375</v>
      </c>
      <c r="D13" s="17" t="s">
        <v>79</v>
      </c>
      <c r="E13" s="11">
        <f t="shared" si="0"/>
        <v>5</v>
      </c>
      <c r="F13" s="18">
        <f>C13-INT(C13)</f>
        <v>0.4375</v>
      </c>
      <c r="G13" s="14" t="s">
        <v>79</v>
      </c>
      <c r="I13" s="12" t="s">
        <v>75</v>
      </c>
      <c r="J13" s="17">
        <f>(J$6/2)+(J$4/2)+(J$3/2)</f>
        <v>5.5625</v>
      </c>
      <c r="K13" s="17" t="s">
        <v>79</v>
      </c>
      <c r="L13" s="11">
        <f t="shared" si="1"/>
        <v>5</v>
      </c>
      <c r="M13" s="18">
        <f>J13-INT(J13)</f>
        <v>0.5625</v>
      </c>
      <c r="N13" s="14" t="s">
        <v>79</v>
      </c>
      <c r="P13" s="12" t="s">
        <v>75</v>
      </c>
      <c r="Q13" s="17">
        <f>(Q$6/2)+(Q$4/2)+(Q$3/2)</f>
        <v>5.375</v>
      </c>
      <c r="R13" s="17" t="s">
        <v>79</v>
      </c>
      <c r="S13" s="11">
        <f t="shared" si="2"/>
        <v>5</v>
      </c>
      <c r="T13" s="18">
        <f>Q13-INT(Q13)</f>
        <v>0.375</v>
      </c>
      <c r="U13" s="14" t="s">
        <v>79</v>
      </c>
    </row>
    <row r="14" spans="2:21" x14ac:dyDescent="0.25">
      <c r="B14" s="12" t="s">
        <v>76</v>
      </c>
      <c r="C14" s="17">
        <f>C13+C$3+C$5</f>
        <v>6.8125</v>
      </c>
      <c r="D14" s="17" t="s">
        <v>79</v>
      </c>
      <c r="E14" s="11">
        <f t="shared" si="0"/>
        <v>6</v>
      </c>
      <c r="F14" s="18">
        <f>C14-INT(C14)</f>
        <v>0.8125</v>
      </c>
      <c r="G14" s="14" t="s">
        <v>79</v>
      </c>
      <c r="I14" s="12" t="s">
        <v>76</v>
      </c>
      <c r="J14" s="17">
        <f>J13+J$3+J$5</f>
        <v>7.1875</v>
      </c>
      <c r="K14" s="17" t="s">
        <v>79</v>
      </c>
      <c r="L14" s="11">
        <f t="shared" si="1"/>
        <v>7</v>
      </c>
      <c r="M14" s="18">
        <f>J14-INT(J14)</f>
        <v>0.1875</v>
      </c>
      <c r="N14" s="14" t="s">
        <v>79</v>
      </c>
      <c r="P14" s="12" t="s">
        <v>76</v>
      </c>
      <c r="Q14" s="17">
        <f>Q13+Q$3+Q$5</f>
        <v>6.5</v>
      </c>
      <c r="R14" s="17" t="s">
        <v>79</v>
      </c>
      <c r="S14" s="11">
        <f t="shared" si="2"/>
        <v>6</v>
      </c>
      <c r="T14" s="18">
        <f>Q14-INT(Q14)</f>
        <v>0.5</v>
      </c>
      <c r="U14" s="14" t="s">
        <v>79</v>
      </c>
    </row>
    <row r="15" spans="2:21" x14ac:dyDescent="0.25">
      <c r="B15" s="12" t="s">
        <v>77</v>
      </c>
      <c r="C15" s="17">
        <f>C14+C$3+C$4</f>
        <v>7.6875</v>
      </c>
      <c r="D15" s="17" t="s">
        <v>79</v>
      </c>
      <c r="E15" s="11">
        <f t="shared" si="0"/>
        <v>7</v>
      </c>
      <c r="F15" s="18">
        <f>C15-INT(C15)</f>
        <v>0.6875</v>
      </c>
      <c r="G15" s="14" t="s">
        <v>79</v>
      </c>
      <c r="I15" s="12" t="s">
        <v>77</v>
      </c>
      <c r="J15" s="17">
        <f>J14+J$3+J$4</f>
        <v>8.3125</v>
      </c>
      <c r="K15" s="17" t="s">
        <v>79</v>
      </c>
      <c r="L15" s="11">
        <f t="shared" si="1"/>
        <v>8</v>
      </c>
      <c r="M15" s="18">
        <f>J15-INT(J15)</f>
        <v>0.3125</v>
      </c>
      <c r="N15" s="14" t="s">
        <v>79</v>
      </c>
      <c r="P15" s="12" t="s">
        <v>77</v>
      </c>
      <c r="Q15" s="17">
        <f>Q14+Q$3+Q$4</f>
        <v>7.25</v>
      </c>
      <c r="R15" s="17" t="s">
        <v>79</v>
      </c>
      <c r="S15" s="11">
        <f t="shared" si="2"/>
        <v>7</v>
      </c>
      <c r="T15" s="18">
        <f>Q15-INT(Q15)</f>
        <v>0.25</v>
      </c>
      <c r="U15" s="14" t="s">
        <v>79</v>
      </c>
    </row>
    <row r="16" spans="2:21" ht="15.75" thickBot="1" x14ac:dyDescent="0.3">
      <c r="B16" s="19" t="s">
        <v>83</v>
      </c>
      <c r="C16" s="20">
        <f>C$6</f>
        <v>10</v>
      </c>
      <c r="D16" s="20" t="s">
        <v>79</v>
      </c>
      <c r="E16" s="21"/>
      <c r="F16" s="21"/>
      <c r="G16" s="22"/>
      <c r="I16" s="19" t="s">
        <v>83</v>
      </c>
      <c r="J16" s="20">
        <f>J$6</f>
        <v>10</v>
      </c>
      <c r="K16" s="20" t="s">
        <v>79</v>
      </c>
      <c r="L16" s="21"/>
      <c r="M16" s="21"/>
      <c r="N16" s="22"/>
      <c r="P16" s="19" t="s">
        <v>83</v>
      </c>
      <c r="Q16" s="20">
        <f>Q$6</f>
        <v>10</v>
      </c>
      <c r="R16" s="20" t="s">
        <v>79</v>
      </c>
      <c r="S16" s="21"/>
      <c r="T16" s="21"/>
      <c r="U16" s="22"/>
    </row>
  </sheetData>
  <mergeCells count="3">
    <mergeCell ref="B2:G2"/>
    <mergeCell ref="I2:N2"/>
    <mergeCell ref="P2:U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</vt:lpstr>
      <vt:lpstr>555 Timer</vt:lpstr>
      <vt:lpstr>PWM</vt:lpstr>
      <vt:lpstr>Pins</vt:lpstr>
      <vt:lpstr>Spacing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Reeves</dc:creator>
  <cp:lastModifiedBy>Evan Reeves</cp:lastModifiedBy>
  <dcterms:created xsi:type="dcterms:W3CDTF">2019-05-12T02:20:53Z</dcterms:created>
  <dcterms:modified xsi:type="dcterms:W3CDTF">2019-07-29T03:02:30Z</dcterms:modified>
</cp:coreProperties>
</file>