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Nimarinebudget_tables\"/>
    </mc:Choice>
  </mc:AlternateContent>
  <xr:revisionPtr revIDLastSave="0" documentId="13_ncr:1_{B860624B-FA34-4CA0-881F-2596269CE16F}" xr6:coauthVersionLast="46" xr6:coauthVersionMax="46" xr10:uidLastSave="{00000000-0000-0000-0000-000000000000}"/>
  <bookViews>
    <workbookView xWindow="1050" yWindow="5835" windowWidth="12735" windowHeight="10140" firstSheet="1" activeTab="3" xr2:uid="{00000000-000D-0000-FFFF-FFFF00000000}"/>
  </bookViews>
  <sheets>
    <sheet name="All" sheetId="1" r:id="rId1"/>
    <sheet name="Gall" sheetId="3" r:id="rId2"/>
    <sheet name="Ciscato" sheetId="2" r:id="rId3"/>
    <sheet name="Little 2020" sheetId="4" r:id="rId4"/>
    <sheet name="Gueguen 20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E7" i="4"/>
  <c r="I19" i="5"/>
  <c r="I11" i="5"/>
  <c r="H18" i="5"/>
  <c r="H16" i="5"/>
  <c r="H17" i="5"/>
  <c r="H1048576" i="5"/>
  <c r="H15" i="5"/>
  <c r="H14" i="5"/>
  <c r="G19" i="5"/>
  <c r="H10" i="5"/>
  <c r="H9" i="5"/>
  <c r="H8" i="5"/>
  <c r="H7" i="5"/>
  <c r="G11" i="5"/>
  <c r="D13" i="4"/>
  <c r="D12" i="4"/>
  <c r="D11" i="4"/>
  <c r="D10" i="4"/>
  <c r="C14" i="4"/>
  <c r="D6" i="4"/>
  <c r="D5" i="4"/>
  <c r="D4" i="4"/>
  <c r="C7" i="4"/>
  <c r="G35" i="1"/>
  <c r="E35" i="1"/>
  <c r="C35" i="1"/>
  <c r="C34" i="1"/>
  <c r="C30" i="1"/>
  <c r="G30" i="1"/>
  <c r="E29" i="1"/>
  <c r="E30" i="1"/>
  <c r="G33" i="1"/>
  <c r="E32" i="1"/>
  <c r="E33" i="1"/>
  <c r="E31" i="1"/>
  <c r="G31" i="1"/>
  <c r="G32" i="1"/>
  <c r="G27" i="1"/>
  <c r="E27" i="1"/>
  <c r="C27" i="1"/>
  <c r="C26" i="1"/>
  <c r="C25" i="1"/>
  <c r="C24" i="1"/>
  <c r="C23" i="1"/>
  <c r="G22" i="1"/>
  <c r="C22" i="1"/>
  <c r="G21" i="1"/>
  <c r="E21" i="1"/>
  <c r="C21" i="1"/>
  <c r="G20" i="1"/>
  <c r="E20" i="1"/>
  <c r="C20" i="1"/>
  <c r="C16" i="1"/>
  <c r="C15" i="1"/>
  <c r="C11" i="1"/>
  <c r="C10" i="1"/>
  <c r="C9" i="1"/>
  <c r="C8" i="1"/>
  <c r="C7" i="1"/>
  <c r="C6" i="1"/>
  <c r="C5" i="1"/>
  <c r="G16" i="1"/>
  <c r="G14" i="1"/>
  <c r="G13" i="1"/>
  <c r="G12" i="1"/>
  <c r="G11" i="1"/>
  <c r="G15" i="1" s="1"/>
  <c r="G10" i="1"/>
  <c r="G6" i="1"/>
  <c r="G5" i="1"/>
  <c r="G7" i="1" s="1"/>
  <c r="L14" i="1"/>
  <c r="L13" i="1"/>
  <c r="L12" i="1"/>
  <c r="L11" i="1"/>
  <c r="L7" i="1"/>
  <c r="L6" i="1"/>
  <c r="L5" i="1"/>
  <c r="C12" i="4"/>
  <c r="C13" i="4"/>
  <c r="C10" i="4"/>
  <c r="C11" i="4"/>
  <c r="C6" i="4"/>
  <c r="C5" i="4"/>
  <c r="C4" i="4"/>
  <c r="C15" i="2"/>
  <c r="C14" i="2"/>
  <c r="C6" i="2"/>
  <c r="C13" i="2"/>
  <c r="C12" i="2"/>
  <c r="C11" i="2"/>
  <c r="C10" i="2"/>
  <c r="C9" i="2"/>
  <c r="C5" i="2"/>
  <c r="C4" i="2"/>
  <c r="D17" i="3"/>
  <c r="D16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<sst xmlns="http://schemas.openxmlformats.org/spreadsheetml/2006/main" count="124" uniqueCount="59">
  <si>
    <t>Inputs</t>
  </si>
  <si>
    <t>River water</t>
  </si>
  <si>
    <t>Ground water</t>
  </si>
  <si>
    <t>Mineral dust</t>
  </si>
  <si>
    <t>Volcanic Emissions</t>
  </si>
  <si>
    <t>hydrothermal fluids</t>
  </si>
  <si>
    <t>cosmic dust</t>
  </si>
  <si>
    <t>benthic flux</t>
  </si>
  <si>
    <t>Outputs</t>
  </si>
  <si>
    <t>Pelagic sediments</t>
  </si>
  <si>
    <t>ferromanganese crusts</t>
  </si>
  <si>
    <t>Ni flux mol/yr)</t>
  </si>
  <si>
    <t>Rivers</t>
  </si>
  <si>
    <t>Dust</t>
  </si>
  <si>
    <t>isotopic comp</t>
  </si>
  <si>
    <t>Ni flux(mol/yr)</t>
  </si>
  <si>
    <t>outputs</t>
  </si>
  <si>
    <t>Fe-Mn crust</t>
  </si>
  <si>
    <t>Euxinic sediments</t>
  </si>
  <si>
    <t>OMZ sediments</t>
  </si>
  <si>
    <t>Carbonates</t>
  </si>
  <si>
    <t>total</t>
  </si>
  <si>
    <t>inputs</t>
  </si>
  <si>
    <t>Ni flux (mol/yr)</t>
  </si>
  <si>
    <t>Benthic</t>
  </si>
  <si>
    <t>pelagic clays</t>
  </si>
  <si>
    <t>organic-rich</t>
  </si>
  <si>
    <t>carbonates</t>
  </si>
  <si>
    <t>euxinic</t>
  </si>
  <si>
    <t>Little et al 2020</t>
  </si>
  <si>
    <t>Ciscato 2018</t>
  </si>
  <si>
    <t>Gall et al 2013</t>
  </si>
  <si>
    <t>Gall et al., 2013</t>
  </si>
  <si>
    <t>Paper</t>
  </si>
  <si>
    <t>Ni flux (Ni mol/year)</t>
  </si>
  <si>
    <t>Ciscato et al., 2018</t>
  </si>
  <si>
    <t xml:space="preserve">Benthic </t>
  </si>
  <si>
    <t>-</t>
  </si>
  <si>
    <t>Volcanic emissions</t>
  </si>
  <si>
    <t>Groundwater</t>
  </si>
  <si>
    <t>TOTAL</t>
  </si>
  <si>
    <t>Fe-Mn sediments</t>
  </si>
  <si>
    <t xml:space="preserve"> </t>
  </si>
  <si>
    <t>Organic-rich sediments (or OMZ?)</t>
  </si>
  <si>
    <t>&lt;&lt; pelagic clays</t>
  </si>
  <si>
    <t>% of total</t>
  </si>
  <si>
    <t>Sources</t>
  </si>
  <si>
    <t>Hydrotermal Vents</t>
  </si>
  <si>
    <t>Atmospheric Dust</t>
  </si>
  <si>
    <t>Diagenetic/Benthic flux</t>
  </si>
  <si>
    <t>Sinks</t>
  </si>
  <si>
    <t>Authigenic oxic sediments</t>
  </si>
  <si>
    <t>Fe-Mn deposits</t>
  </si>
  <si>
    <t xml:space="preserve">Organic-rich sediments - anoxic </t>
  </si>
  <si>
    <t>Carbonate Sediments</t>
  </si>
  <si>
    <t>10^8 mol/year</t>
  </si>
  <si>
    <t>dNi</t>
  </si>
  <si>
    <t>determined from mass balance calculations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</si>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</sst>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5"/>
  <sheetViews>
    <sheetView topLeftCell="A15" workbookViewId="0">
      <selection activeCell="E39" sqref="E39"/>
    </sheetView>
  </sheetViews>
  <sheetFormatPr defaultRowHeight="15" x14ac:dyDescent="0.25"/>
  <cols>
    <col min="2" max="2" width="21.5703125" bestFit="1" customWidth="1"/>
    <col min="3" max="3" width="11" bestFit="1" customWidth="1"/>
    <col min="5" max="5" width="11" bestFit="1" customWidth="1"/>
  </cols>
  <sheetData>
    <row r="3" spans="2:13" x14ac:dyDescent="0.25">
      <c r="C3" t="s">
        <v>31</v>
      </c>
      <c r="F3" t="s">
        <v>30</v>
      </c>
      <c r="K3" t="s">
        <v>29</v>
      </c>
    </row>
    <row r="4" spans="2:13" x14ac:dyDescent="0.25">
      <c r="B4" t="s">
        <v>0</v>
      </c>
      <c r="C4" t="s">
        <v>11</v>
      </c>
      <c r="F4" t="s">
        <v>0</v>
      </c>
      <c r="G4" t="s">
        <v>15</v>
      </c>
      <c r="H4" t="s">
        <v>14</v>
      </c>
      <c r="K4" t="s">
        <v>22</v>
      </c>
      <c r="L4" t="s">
        <v>23</v>
      </c>
      <c r="M4" t="s">
        <v>14</v>
      </c>
    </row>
    <row r="5" spans="2:13" x14ac:dyDescent="0.25">
      <c r="B5" t="s">
        <v>1</v>
      </c>
      <c r="C5">
        <f>AVERAGE(4.9,5.2)*10^8</f>
        <v>505000000.00000006</v>
      </c>
      <c r="F5" t="s">
        <v>12</v>
      </c>
      <c r="G5">
        <f>3.6*10^8</f>
        <v>360000000</v>
      </c>
      <c r="H5">
        <v>0.8</v>
      </c>
      <c r="K5" t="s">
        <v>12</v>
      </c>
      <c r="L5">
        <f>3.6*10^8</f>
        <v>360000000</v>
      </c>
      <c r="M5">
        <v>0.8</v>
      </c>
    </row>
    <row r="6" spans="2:13" x14ac:dyDescent="0.25">
      <c r="B6" t="s">
        <v>2</v>
      </c>
      <c r="C6">
        <f>1.2*10^8</f>
        <v>120000000</v>
      </c>
      <c r="F6" t="s">
        <v>13</v>
      </c>
      <c r="G6">
        <f>7.6*10^6</f>
        <v>7600000</v>
      </c>
      <c r="H6">
        <v>0.14000000000000001</v>
      </c>
      <c r="K6" t="s">
        <v>13</v>
      </c>
      <c r="L6">
        <f>0.076*10^8</f>
        <v>7600000</v>
      </c>
      <c r="M6">
        <v>0.14000000000000001</v>
      </c>
    </row>
    <row r="7" spans="2:13" x14ac:dyDescent="0.25">
      <c r="B7" t="s">
        <v>3</v>
      </c>
      <c r="C7">
        <f>AVERAGE(0.2,4.6)*10^8</f>
        <v>240000000</v>
      </c>
      <c r="F7" t="s">
        <v>21</v>
      </c>
      <c r="G7">
        <f>SUM(G5:G6)</f>
        <v>367600000</v>
      </c>
      <c r="K7" t="s">
        <v>24</v>
      </c>
      <c r="L7">
        <f>1.44*10^8</f>
        <v>144000000</v>
      </c>
      <c r="M7">
        <v>3.03</v>
      </c>
    </row>
    <row r="8" spans="2:13" x14ac:dyDescent="0.25">
      <c r="B8" t="s">
        <v>4</v>
      </c>
      <c r="C8">
        <f>AVERAGE(0.9,1.9)*10^8</f>
        <v>140000000</v>
      </c>
    </row>
    <row r="9" spans="2:13" x14ac:dyDescent="0.25">
      <c r="B9" t="s">
        <v>5</v>
      </c>
      <c r="C9">
        <f>AVERAGE(0.3,3.3)*10^8</f>
        <v>179999999.99999997</v>
      </c>
      <c r="F9" t="s">
        <v>16</v>
      </c>
    </row>
    <row r="10" spans="2:13" x14ac:dyDescent="0.25">
      <c r="B10" t="s">
        <v>6</v>
      </c>
      <c r="C10">
        <f>1.2*10^7</f>
        <v>12000000</v>
      </c>
      <c r="F10" t="s">
        <v>17</v>
      </c>
      <c r="G10">
        <f>1.5*10^9</f>
        <v>1500000000</v>
      </c>
      <c r="H10">
        <v>1.6</v>
      </c>
      <c r="K10" t="s">
        <v>16</v>
      </c>
    </row>
    <row r="11" spans="2:13" x14ac:dyDescent="0.25">
      <c r="B11" t="s">
        <v>7</v>
      </c>
      <c r="C11">
        <f>3.4*10^6</f>
        <v>3400000</v>
      </c>
      <c r="G11">
        <f>5.1*10^8</f>
        <v>509999999.99999994</v>
      </c>
      <c r="K11" t="s">
        <v>25</v>
      </c>
      <c r="L11">
        <f>3.08*10^8</f>
        <v>308000000</v>
      </c>
      <c r="M11">
        <v>1.62</v>
      </c>
    </row>
    <row r="12" spans="2:13" x14ac:dyDescent="0.25">
      <c r="F12" t="s">
        <v>18</v>
      </c>
      <c r="G12">
        <f>1.5*10^7</f>
        <v>15000000</v>
      </c>
      <c r="H12">
        <v>0.45</v>
      </c>
      <c r="K12" t="s">
        <v>26</v>
      </c>
      <c r="L12">
        <f>1.74*10^8</f>
        <v>174000000</v>
      </c>
      <c r="M12">
        <v>1.1200000000000001</v>
      </c>
    </row>
    <row r="13" spans="2:13" x14ac:dyDescent="0.25">
      <c r="F13" t="s">
        <v>19</v>
      </c>
      <c r="G13">
        <f>1.6*10^8</f>
        <v>160000000</v>
      </c>
      <c r="H13">
        <v>1.22</v>
      </c>
      <c r="K13" t="s">
        <v>27</v>
      </c>
      <c r="L13">
        <f>0.14*10^8</f>
        <v>14000000.000000002</v>
      </c>
      <c r="M13">
        <v>1.29</v>
      </c>
    </row>
    <row r="14" spans="2:13" x14ac:dyDescent="0.25">
      <c r="B14" t="s">
        <v>8</v>
      </c>
      <c r="F14" t="s">
        <v>20</v>
      </c>
      <c r="G14">
        <f>1.4*10^7</f>
        <v>14000000</v>
      </c>
      <c r="H14">
        <v>1.29</v>
      </c>
      <c r="K14" t="s">
        <v>28</v>
      </c>
      <c r="L14">
        <f>0.15*10^8</f>
        <v>15000000</v>
      </c>
      <c r="M14">
        <v>0.45</v>
      </c>
    </row>
    <row r="15" spans="2:13" x14ac:dyDescent="0.25">
      <c r="B15" t="s">
        <v>9</v>
      </c>
      <c r="C15">
        <f>2.6*10^9</f>
        <v>2600000000</v>
      </c>
      <c r="G15">
        <f>SUM(G11:G14)</f>
        <v>699000000</v>
      </c>
    </row>
    <row r="16" spans="2:13" x14ac:dyDescent="0.25">
      <c r="B16" t="s">
        <v>10</v>
      </c>
      <c r="C16">
        <f>5.1*10^8</f>
        <v>509999999.99999994</v>
      </c>
      <c r="G16">
        <f>SUM(G10,G12:G14)</f>
        <v>1689000000</v>
      </c>
    </row>
    <row r="18" spans="2:8" x14ac:dyDescent="0.25">
      <c r="B18" t="s">
        <v>33</v>
      </c>
      <c r="C18" t="s">
        <v>32</v>
      </c>
      <c r="E18" t="s">
        <v>35</v>
      </c>
      <c r="G18" t="s">
        <v>29</v>
      </c>
    </row>
    <row r="19" spans="2:8" x14ac:dyDescent="0.25">
      <c r="B19" t="s">
        <v>0</v>
      </c>
      <c r="C19" t="s">
        <v>34</v>
      </c>
      <c r="E19" t="s">
        <v>34</v>
      </c>
      <c r="F19" t="s">
        <v>14</v>
      </c>
      <c r="G19" t="s">
        <v>34</v>
      </c>
      <c r="H19" t="s">
        <v>14</v>
      </c>
    </row>
    <row r="20" spans="2:8" x14ac:dyDescent="0.25">
      <c r="B20" t="s">
        <v>1</v>
      </c>
      <c r="C20" s="1">
        <f>AVERAGE(4.9,5.2)*10^8</f>
        <v>505000000.00000006</v>
      </c>
      <c r="D20" s="1"/>
      <c r="E20" s="1">
        <f>3.6*10^8</f>
        <v>360000000</v>
      </c>
      <c r="F20" s="1"/>
      <c r="G20" s="1">
        <f>3.6*10^8</f>
        <v>360000000</v>
      </c>
    </row>
    <row r="21" spans="2:8" x14ac:dyDescent="0.25">
      <c r="B21" t="s">
        <v>13</v>
      </c>
      <c r="C21" s="1">
        <f>AVERAGE(0.2,4.6)*10^8</f>
        <v>240000000</v>
      </c>
      <c r="D21" s="1"/>
      <c r="E21" s="1">
        <f>7.6*10^6</f>
        <v>7600000</v>
      </c>
      <c r="F21" s="1"/>
      <c r="G21" s="1">
        <f>0.076*10^8</f>
        <v>7600000</v>
      </c>
    </row>
    <row r="22" spans="2:8" x14ac:dyDescent="0.25">
      <c r="B22" t="s">
        <v>36</v>
      </c>
      <c r="C22" s="1">
        <f>3.4*10^6</f>
        <v>3400000</v>
      </c>
      <c r="D22" s="1"/>
      <c r="E22" s="1" t="s">
        <v>37</v>
      </c>
      <c r="F22" s="1"/>
      <c r="G22" s="1">
        <f>1.44*10^8</f>
        <v>144000000</v>
      </c>
    </row>
    <row r="23" spans="2:8" x14ac:dyDescent="0.25">
      <c r="B23" t="s">
        <v>5</v>
      </c>
      <c r="C23" s="1">
        <f>AVERAGE(0.3,3.3)*10^8</f>
        <v>179999999.99999997</v>
      </c>
      <c r="D23" s="1"/>
      <c r="E23" s="1" t="s">
        <v>37</v>
      </c>
      <c r="F23" s="1"/>
      <c r="G23" s="1" t="s">
        <v>37</v>
      </c>
    </row>
    <row r="24" spans="2:8" x14ac:dyDescent="0.25">
      <c r="B24" t="s">
        <v>38</v>
      </c>
      <c r="C24" s="1">
        <f>AVERAGE(0.9,1.9)*10^8</f>
        <v>140000000</v>
      </c>
      <c r="D24" s="1"/>
      <c r="E24" s="1" t="s">
        <v>37</v>
      </c>
      <c r="F24" s="1"/>
      <c r="G24" s="1" t="s">
        <v>37</v>
      </c>
    </row>
    <row r="25" spans="2:8" x14ac:dyDescent="0.25">
      <c r="B25" t="s">
        <v>39</v>
      </c>
      <c r="C25" s="1">
        <f>1.2*10^8</f>
        <v>120000000</v>
      </c>
      <c r="D25" s="1"/>
      <c r="E25" s="1" t="s">
        <v>37</v>
      </c>
      <c r="F25" s="1"/>
      <c r="G25" s="1" t="s">
        <v>37</v>
      </c>
    </row>
    <row r="26" spans="2:8" x14ac:dyDescent="0.25">
      <c r="B26" t="s">
        <v>6</v>
      </c>
      <c r="C26" s="1">
        <f>1.2*10^7</f>
        <v>12000000</v>
      </c>
      <c r="D26" s="1"/>
      <c r="E26" s="1" t="s">
        <v>37</v>
      </c>
      <c r="F26" s="1"/>
      <c r="G26" s="1" t="s">
        <v>37</v>
      </c>
    </row>
    <row r="27" spans="2:8" x14ac:dyDescent="0.25">
      <c r="B27" t="s">
        <v>40</v>
      </c>
      <c r="C27" s="1">
        <f>SUM(C20:C26)</f>
        <v>1200400000</v>
      </c>
      <c r="D27" s="1"/>
      <c r="E27" s="1">
        <f>SUM(E20:E26)</f>
        <v>367600000</v>
      </c>
      <c r="F27" s="1"/>
      <c r="G27" s="1">
        <f>SUM(G20:G26)</f>
        <v>511600000</v>
      </c>
    </row>
    <row r="29" spans="2:8" x14ac:dyDescent="0.25">
      <c r="B29" t="s">
        <v>8</v>
      </c>
      <c r="E29">
        <f>G10</f>
        <v>1500000000</v>
      </c>
    </row>
    <row r="30" spans="2:8" x14ac:dyDescent="0.25">
      <c r="B30" t="s">
        <v>41</v>
      </c>
      <c r="C30">
        <f>5.1*10^8</f>
        <v>509999999.99999994</v>
      </c>
      <c r="E30">
        <f>5.1*10^8</f>
        <v>509999999.99999994</v>
      </c>
      <c r="G30">
        <f>3.08*10^8</f>
        <v>308000000</v>
      </c>
      <c r="H30" t="s">
        <v>44</v>
      </c>
    </row>
    <row r="31" spans="2:8" x14ac:dyDescent="0.25">
      <c r="B31" t="s">
        <v>43</v>
      </c>
      <c r="E31">
        <f>1.6*10^8</f>
        <v>160000000</v>
      </c>
      <c r="G31">
        <f>1.74*10^8</f>
        <v>174000000</v>
      </c>
    </row>
    <row r="32" spans="2:8" x14ac:dyDescent="0.25">
      <c r="B32" t="s">
        <v>18</v>
      </c>
      <c r="C32" t="s">
        <v>42</v>
      </c>
      <c r="E32">
        <f>1.5*10^7</f>
        <v>15000000</v>
      </c>
      <c r="G32">
        <f>0.15*10^8</f>
        <v>15000000</v>
      </c>
    </row>
    <row r="33" spans="2:7" x14ac:dyDescent="0.25">
      <c r="B33" t="s">
        <v>20</v>
      </c>
      <c r="E33">
        <f>1.4*10^7</f>
        <v>14000000</v>
      </c>
      <c r="G33">
        <f>0.14*10^8</f>
        <v>14000000.000000002</v>
      </c>
    </row>
    <row r="34" spans="2:7" x14ac:dyDescent="0.25">
      <c r="B34" t="s">
        <v>9</v>
      </c>
      <c r="C34">
        <f>2.6*10^9</f>
        <v>2600000000</v>
      </c>
    </row>
    <row r="35" spans="2:7" x14ac:dyDescent="0.25">
      <c r="B35" t="s">
        <v>40</v>
      </c>
      <c r="C35" s="1">
        <f>SUM(C30:C34)</f>
        <v>3110000000</v>
      </c>
      <c r="D35" s="1"/>
      <c r="E35" s="1">
        <f>SUM(E30:E34)</f>
        <v>699000000</v>
      </c>
      <c r="F35" s="1"/>
      <c r="G35" s="1">
        <f>SUM(G30:G34)</f>
        <v>511000000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40E-0950-44AA-9E3E-A95B32FE31BC}">
  <dimension ref="C5:D17"/>
  <sheetViews>
    <sheetView workbookViewId="0">
      <selection activeCell="C5" sqref="C5:D17"/>
    </sheetView>
  </sheetViews>
  <sheetFormatPr defaultRowHeight="15" x14ac:dyDescent="0.25"/>
  <cols>
    <col min="4" max="4" width="11" bestFit="1" customWidth="1"/>
  </cols>
  <sheetData>
    <row r="5" spans="3:4" x14ac:dyDescent="0.25">
      <c r="C5" t="s">
        <v>0</v>
      </c>
      <c r="D5" t="s">
        <v>11</v>
      </c>
    </row>
    <row r="6" spans="3:4" x14ac:dyDescent="0.25">
      <c r="C6" t="s">
        <v>1</v>
      </c>
      <c r="D6">
        <f>AVERAGE(4.9,5.2)*10^8</f>
        <v>505000000.00000006</v>
      </c>
    </row>
    <row r="7" spans="3:4" x14ac:dyDescent="0.25">
      <c r="C7" t="s">
        <v>2</v>
      </c>
      <c r="D7">
        <f>1.2*10^8</f>
        <v>120000000</v>
      </c>
    </row>
    <row r="8" spans="3:4" x14ac:dyDescent="0.25">
      <c r="C8" t="s">
        <v>3</v>
      </c>
      <c r="D8">
        <f>AVERAGE(0.2,4.6)*10^8</f>
        <v>240000000</v>
      </c>
    </row>
    <row r="9" spans="3:4" x14ac:dyDescent="0.25">
      <c r="C9" t="s">
        <v>4</v>
      </c>
      <c r="D9">
        <f>AVERAGE(0.9,1.9)*10^8</f>
        <v>140000000</v>
      </c>
    </row>
    <row r="10" spans="3:4" x14ac:dyDescent="0.25">
      <c r="C10" t="s">
        <v>5</v>
      </c>
      <c r="D10">
        <f>AVERAGE(0.3,3.3)*10^8</f>
        <v>179999999.99999997</v>
      </c>
    </row>
    <row r="11" spans="3:4" x14ac:dyDescent="0.25">
      <c r="C11" t="s">
        <v>6</v>
      </c>
      <c r="D11">
        <f>1.2*10^7</f>
        <v>12000000</v>
      </c>
    </row>
    <row r="12" spans="3:4" x14ac:dyDescent="0.25">
      <c r="C12" t="s">
        <v>7</v>
      </c>
      <c r="D12">
        <f>3.4*10^6</f>
        <v>3400000</v>
      </c>
    </row>
    <row r="15" spans="3:4" x14ac:dyDescent="0.25">
      <c r="C15" t="s">
        <v>8</v>
      </c>
    </row>
    <row r="16" spans="3:4" x14ac:dyDescent="0.25">
      <c r="C16" t="s">
        <v>9</v>
      </c>
      <c r="D16">
        <f>2.6*10^9</f>
        <v>2600000000</v>
      </c>
    </row>
    <row r="17" spans="3:4" x14ac:dyDescent="0.25">
      <c r="C17" t="s">
        <v>10</v>
      </c>
      <c r="D17">
        <f>5.1*10^8</f>
        <v>509999999.99999994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A6FC-C5E0-423B-AB24-FB65E376F607}">
  <dimension ref="B3:D15"/>
  <sheetViews>
    <sheetView zoomScale="44" zoomScaleNormal="44" workbookViewId="0">
      <selection activeCell="AE75" sqref="AE75"/>
    </sheetView>
  </sheetViews>
  <sheetFormatPr defaultRowHeight="15" x14ac:dyDescent="0.25"/>
  <cols>
    <col min="3" max="3" width="11" bestFit="1" customWidth="1"/>
  </cols>
  <sheetData>
    <row r="3" spans="2:4" x14ac:dyDescent="0.25">
      <c r="B3" t="s">
        <v>0</v>
      </c>
      <c r="C3" t="s">
        <v>15</v>
      </c>
      <c r="D3" t="s">
        <v>14</v>
      </c>
    </row>
    <row r="4" spans="2:4" x14ac:dyDescent="0.25">
      <c r="B4" t="s">
        <v>12</v>
      </c>
      <c r="C4">
        <f>3.6*10^8</f>
        <v>360000000</v>
      </c>
      <c r="D4">
        <v>0.8</v>
      </c>
    </row>
    <row r="5" spans="2:4" x14ac:dyDescent="0.25">
      <c r="B5" t="s">
        <v>13</v>
      </c>
      <c r="C5">
        <f>7.6*10^6</f>
        <v>7600000</v>
      </c>
      <c r="D5">
        <v>0.14000000000000001</v>
      </c>
    </row>
    <row r="6" spans="2:4" x14ac:dyDescent="0.25">
      <c r="B6" t="s">
        <v>21</v>
      </c>
      <c r="C6">
        <f>SUM(C4:C5)</f>
        <v>367600000</v>
      </c>
    </row>
    <row r="8" spans="2:4" x14ac:dyDescent="0.25">
      <c r="B8" t="s">
        <v>16</v>
      </c>
    </row>
    <row r="9" spans="2:4" x14ac:dyDescent="0.25">
      <c r="B9" t="s">
        <v>17</v>
      </c>
      <c r="C9">
        <f>1.5*10^9</f>
        <v>1500000000</v>
      </c>
      <c r="D9">
        <v>1.6</v>
      </c>
    </row>
    <row r="10" spans="2:4" x14ac:dyDescent="0.25">
      <c r="C10">
        <f>5.1*10^8</f>
        <v>509999999.99999994</v>
      </c>
    </row>
    <row r="11" spans="2:4" x14ac:dyDescent="0.25">
      <c r="B11" t="s">
        <v>18</v>
      </c>
      <c r="C11">
        <f>1.5*10^7</f>
        <v>15000000</v>
      </c>
      <c r="D11">
        <v>0.45</v>
      </c>
    </row>
    <row r="12" spans="2:4" x14ac:dyDescent="0.25">
      <c r="B12" t="s">
        <v>19</v>
      </c>
      <c r="C12">
        <f>1.6*10^8</f>
        <v>160000000</v>
      </c>
      <c r="D12">
        <v>1.22</v>
      </c>
    </row>
    <row r="13" spans="2:4" x14ac:dyDescent="0.25">
      <c r="B13" t="s">
        <v>20</v>
      </c>
      <c r="C13">
        <f>1.4*10^7</f>
        <v>14000000</v>
      </c>
      <c r="D13">
        <v>1.29</v>
      </c>
    </row>
    <row r="14" spans="2:4" x14ac:dyDescent="0.25">
      <c r="C14">
        <f>SUM(C10:C13)</f>
        <v>699000000</v>
      </c>
    </row>
    <row r="15" spans="2:4" x14ac:dyDescent="0.25">
      <c r="C15">
        <f>SUM(C9,C11:C13)</f>
        <v>1689000000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DD4E-BF5C-4BF7-BB92-82DB84821155}">
  <dimension ref="B3:E14"/>
  <sheetViews>
    <sheetView tabSelected="1" workbookViewId="0">
      <selection activeCell="G10" sqref="G10"/>
    </sheetView>
  </sheetViews>
  <sheetFormatPr defaultRowHeight="15" x14ac:dyDescent="0.25"/>
  <cols>
    <col min="3" max="3" width="10" bestFit="1" customWidth="1"/>
    <col min="5" max="5" width="10" bestFit="1" customWidth="1"/>
  </cols>
  <sheetData>
    <row r="3" spans="2:5" x14ac:dyDescent="0.25">
      <c r="B3" t="s">
        <v>22</v>
      </c>
      <c r="C3" t="s">
        <v>23</v>
      </c>
      <c r="D3" t="s">
        <v>45</v>
      </c>
      <c r="E3" t="s">
        <v>14</v>
      </c>
    </row>
    <row r="4" spans="2:5" x14ac:dyDescent="0.25">
      <c r="B4" t="s">
        <v>12</v>
      </c>
      <c r="C4">
        <f>3.6*10^8</f>
        <v>360000000</v>
      </c>
      <c r="D4">
        <f>C4*100/$C$7</f>
        <v>70.36747458952307</v>
      </c>
      <c r="E4">
        <v>0.8</v>
      </c>
    </row>
    <row r="5" spans="2:5" x14ac:dyDescent="0.25">
      <c r="B5" t="s">
        <v>13</v>
      </c>
      <c r="C5">
        <f>0.076*10^8</f>
        <v>7600000</v>
      </c>
      <c r="D5">
        <f>C5*100/$C$7</f>
        <v>1.4855355746677092</v>
      </c>
      <c r="E5">
        <v>0.14000000000000001</v>
      </c>
    </row>
    <row r="6" spans="2:5" x14ac:dyDescent="0.25">
      <c r="B6" t="s">
        <v>24</v>
      </c>
      <c r="C6">
        <f>1.44*10^8</f>
        <v>144000000</v>
      </c>
      <c r="D6">
        <f>C6*100/$C$7</f>
        <v>28.146989835809226</v>
      </c>
      <c r="E6">
        <v>3.03</v>
      </c>
    </row>
    <row r="7" spans="2:5" x14ac:dyDescent="0.25">
      <c r="C7">
        <f>SUM(C4:C6)</f>
        <v>511600000</v>
      </c>
      <c r="E7">
        <f>(E4*C4+E5*C5+E6*C6)/C7</f>
        <v>1.4178733385457389</v>
      </c>
    </row>
    <row r="9" spans="2:5" x14ac:dyDescent="0.25">
      <c r="B9" t="s">
        <v>16</v>
      </c>
    </row>
    <row r="10" spans="2:5" x14ac:dyDescent="0.25">
      <c r="B10" t="s">
        <v>25</v>
      </c>
      <c r="C10">
        <f>3.08*10^8</f>
        <v>308000000</v>
      </c>
      <c r="D10">
        <f>C10*100/$C$14</f>
        <v>60.273972602739725</v>
      </c>
      <c r="E10">
        <v>1.62</v>
      </c>
    </row>
    <row r="11" spans="2:5" x14ac:dyDescent="0.25">
      <c r="B11" t="s">
        <v>26</v>
      </c>
      <c r="C11">
        <f>1.74*10^8</f>
        <v>174000000</v>
      </c>
      <c r="D11">
        <f>C11*100/$C$14</f>
        <v>34.050880626223091</v>
      </c>
      <c r="E11">
        <v>1.1200000000000001</v>
      </c>
    </row>
    <row r="12" spans="2:5" x14ac:dyDescent="0.25">
      <c r="B12" t="s">
        <v>27</v>
      </c>
      <c r="C12">
        <f>0.14*10^8</f>
        <v>14000000.000000002</v>
      </c>
      <c r="D12">
        <f>C12*100/$C$14</f>
        <v>2.7397260273972606</v>
      </c>
      <c r="E12">
        <v>1.29</v>
      </c>
    </row>
    <row r="13" spans="2:5" x14ac:dyDescent="0.25">
      <c r="B13" t="s">
        <v>28</v>
      </c>
      <c r="C13">
        <f>0.15*10^8</f>
        <v>15000000</v>
      </c>
      <c r="D13">
        <f>C13*100/$C$14</f>
        <v>2.9354207436399218</v>
      </c>
      <c r="E13">
        <v>0.45</v>
      </c>
    </row>
    <row r="14" spans="2:5" x14ac:dyDescent="0.25">
      <c r="C14">
        <f>SUM(C10:C13)</f>
        <v>511000000</v>
      </c>
      <c r="E14">
        <f>(C10*E10+E11*C11+E12*C12+E13*C13)/C14</f>
        <v>1.4063600782778867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AA57-917F-47BC-96EA-200F3F6D77F1}">
  <dimension ref="D6:J1048576"/>
  <sheetViews>
    <sheetView topLeftCell="A5" workbookViewId="0">
      <selection activeCell="G23" sqref="G23"/>
    </sheetView>
  </sheetViews>
  <sheetFormatPr defaultRowHeight="15" x14ac:dyDescent="0.25"/>
  <sheetData>
    <row r="6" spans="4:10" x14ac:dyDescent="0.25">
      <c r="D6" t="s">
        <v>46</v>
      </c>
      <c r="G6" t="s">
        <v>55</v>
      </c>
      <c r="H6" t="s">
        <v>58</v>
      </c>
      <c r="I6" t="s">
        <v>56</v>
      </c>
    </row>
    <row r="7" spans="4:10" x14ac:dyDescent="0.25">
      <c r="D7" t="s">
        <v>12</v>
      </c>
      <c r="G7">
        <v>5.1100000000000003</v>
      </c>
      <c r="H7">
        <f>G7*100/$G$11</f>
        <v>56.6518847006652</v>
      </c>
      <c r="I7">
        <v>0.8</v>
      </c>
    </row>
    <row r="8" spans="4:10" x14ac:dyDescent="0.25">
      <c r="D8" t="s">
        <v>47</v>
      </c>
      <c r="G8">
        <v>0.14000000000000001</v>
      </c>
      <c r="H8">
        <f>G8*100/$G$11</f>
        <v>1.552106430155211</v>
      </c>
      <c r="I8">
        <v>0.1</v>
      </c>
    </row>
    <row r="9" spans="4:10" x14ac:dyDescent="0.25">
      <c r="D9" t="s">
        <v>48</v>
      </c>
      <c r="G9">
        <v>7.0000000000000007E-2</v>
      </c>
      <c r="H9">
        <f>G9*100/$G$11</f>
        <v>0.7760532150776055</v>
      </c>
      <c r="I9">
        <v>0.1</v>
      </c>
    </row>
    <row r="10" spans="4:10" x14ac:dyDescent="0.25">
      <c r="D10" t="s">
        <v>49</v>
      </c>
      <c r="G10">
        <v>3.7</v>
      </c>
      <c r="H10">
        <f>G10*100/$G$11</f>
        <v>41.019955654101999</v>
      </c>
      <c r="I10">
        <v>2.85</v>
      </c>
      <c r="J10" t="s">
        <v>57</v>
      </c>
    </row>
    <row r="11" spans="4:10" x14ac:dyDescent="0.25">
      <c r="G11">
        <f>SUM(G7:G10)</f>
        <v>9.02</v>
      </c>
      <c r="I11">
        <f>(I10*G10+I9*G9+I8*G8+I7*G7)/G11</f>
        <v>1.6246119733924613</v>
      </c>
    </row>
    <row r="13" spans="4:10" x14ac:dyDescent="0.25">
      <c r="D13" t="s">
        <v>50</v>
      </c>
      <c r="H13" t="s">
        <v>58</v>
      </c>
    </row>
    <row r="14" spans="4:10" x14ac:dyDescent="0.25">
      <c r="D14" t="s">
        <v>52</v>
      </c>
      <c r="G14">
        <v>5.1100000000000003</v>
      </c>
      <c r="H14">
        <f>G14*100/$G$19</f>
        <v>48.298676748582224</v>
      </c>
      <c r="I14">
        <v>1.5</v>
      </c>
    </row>
    <row r="15" spans="4:10" x14ac:dyDescent="0.25">
      <c r="D15" t="s">
        <v>51</v>
      </c>
      <c r="G15">
        <v>3.58</v>
      </c>
      <c r="H15">
        <f>G15*100/$G$19</f>
        <v>33.837429111531186</v>
      </c>
      <c r="I15">
        <v>1.2</v>
      </c>
    </row>
    <row r="16" spans="4:10" x14ac:dyDescent="0.25">
      <c r="D16" t="s">
        <v>53</v>
      </c>
      <c r="G16">
        <v>1.6</v>
      </c>
      <c r="H16">
        <f>G16*100/$G$19</f>
        <v>15.122873345935725</v>
      </c>
      <c r="I16">
        <v>1.19</v>
      </c>
    </row>
    <row r="17" spans="4:9" x14ac:dyDescent="0.25">
      <c r="D17" t="s">
        <v>54</v>
      </c>
      <c r="G17">
        <v>0.14000000000000001</v>
      </c>
      <c r="H17">
        <f>G17*100/$G$19</f>
        <v>1.3232514177693762</v>
      </c>
      <c r="I17">
        <v>1.29</v>
      </c>
    </row>
    <row r="18" spans="4:9" x14ac:dyDescent="0.25">
      <c r="D18" t="s">
        <v>18</v>
      </c>
      <c r="G18">
        <v>0.15</v>
      </c>
      <c r="H18">
        <f>G18*100/$G$19</f>
        <v>1.4177693761814743</v>
      </c>
      <c r="I18">
        <v>0.45</v>
      </c>
    </row>
    <row r="19" spans="4:9" x14ac:dyDescent="0.25">
      <c r="G19">
        <f>SUM(G14:G18)</f>
        <v>10.580000000000002</v>
      </c>
      <c r="I19">
        <f>(I14*G14+I15*G15+I16*G16+I17*G17+I18*G18)/G19</f>
        <v>1.3339413988657844</v>
      </c>
    </row>
    <row r="1048576" spans="8:8" x14ac:dyDescent="0.25">
      <c r="H1048576">
        <f>G1048576*100/$G$19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Gall</vt:lpstr>
      <vt:lpstr>Ciscato</vt:lpstr>
      <vt:lpstr>Little 2020</vt:lpstr>
      <vt:lpstr>Gueguen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2021-03-15T20:38:38Z</dcterms:modified>
</cp:coreProperties>
</file>