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TEC\2025 I\Proyecto\Edificios\"/>
    </mc:Choice>
  </mc:AlternateContent>
  <xr:revisionPtr revIDLastSave="0" documentId="8_{68603937-F66C-4F3D-BADD-93584379AE94}" xr6:coauthVersionLast="47" xr6:coauthVersionMax="47" xr10:uidLastSave="{00000000-0000-0000-0000-000000000000}"/>
  <bookViews>
    <workbookView xWindow="-120" yWindow="-120" windowWidth="29040" windowHeight="15720" xr2:uid="{DFEF0526-0486-4C30-921B-A1FACB517C05}"/>
  </bookViews>
  <sheets>
    <sheet name="EDIFICIOS SEDE CENTRAL modif." sheetId="1" r:id="rId1"/>
  </sheets>
  <definedNames>
    <definedName name="_xlnm._FilterDatabase" localSheetId="0" hidden="1">'EDIFICIOS SEDE CENTRAL modif.'!$C$6:$AD$701</definedName>
    <definedName name="Meses_depreciados">'EDIFICIOS SEDE CENTRAL modif.'!$E$1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9" i="1" l="1"/>
  <c r="J696" i="1"/>
  <c r="I696" i="1" s="1"/>
  <c r="Q696" i="1" s="1"/>
  <c r="C696" i="1"/>
  <c r="N695" i="1"/>
  <c r="O695" i="1" s="1"/>
  <c r="K695" i="1"/>
  <c r="J695" i="1"/>
  <c r="C695" i="1"/>
  <c r="P694" i="1"/>
  <c r="O694" i="1"/>
  <c r="N694" i="1"/>
  <c r="K694" i="1"/>
  <c r="J694" i="1"/>
  <c r="C694" i="1"/>
  <c r="O693" i="1"/>
  <c r="N693" i="1"/>
  <c r="P693" i="1" s="1"/>
  <c r="K693" i="1"/>
  <c r="J693" i="1"/>
  <c r="G693" i="1"/>
  <c r="Q692" i="1"/>
  <c r="J692" i="1"/>
  <c r="I692" i="1"/>
  <c r="C692" i="1"/>
  <c r="P691" i="1"/>
  <c r="O691" i="1"/>
  <c r="N691" i="1"/>
  <c r="K691" i="1"/>
  <c r="J691" i="1"/>
  <c r="C691" i="1"/>
  <c r="O690" i="1"/>
  <c r="N690" i="1"/>
  <c r="P690" i="1" s="1"/>
  <c r="K690" i="1"/>
  <c r="J690" i="1"/>
  <c r="C690" i="1"/>
  <c r="K689" i="1"/>
  <c r="J689" i="1"/>
  <c r="G689" i="1"/>
  <c r="N689" i="1" s="1"/>
  <c r="J688" i="1"/>
  <c r="I688" i="1" s="1"/>
  <c r="Q688" i="1" s="1"/>
  <c r="C688" i="1"/>
  <c r="O687" i="1"/>
  <c r="N687" i="1"/>
  <c r="P687" i="1" s="1"/>
  <c r="K687" i="1"/>
  <c r="J687" i="1"/>
  <c r="C687" i="1"/>
  <c r="P686" i="1"/>
  <c r="N686" i="1"/>
  <c r="O686" i="1" s="1"/>
  <c r="K686" i="1"/>
  <c r="J686" i="1"/>
  <c r="C686" i="1"/>
  <c r="K685" i="1"/>
  <c r="J685" i="1"/>
  <c r="G685" i="1"/>
  <c r="N685" i="1" s="1"/>
  <c r="J684" i="1"/>
  <c r="I684" i="1"/>
  <c r="Q684" i="1" s="1"/>
  <c r="C684" i="1"/>
  <c r="P683" i="1"/>
  <c r="N683" i="1"/>
  <c r="O683" i="1" s="1"/>
  <c r="K683" i="1"/>
  <c r="J683" i="1"/>
  <c r="C683" i="1"/>
  <c r="P682" i="1"/>
  <c r="O682" i="1"/>
  <c r="N682" i="1"/>
  <c r="K682" i="1"/>
  <c r="J682" i="1"/>
  <c r="C682" i="1"/>
  <c r="N681" i="1"/>
  <c r="P681" i="1" s="1"/>
  <c r="K681" i="1"/>
  <c r="J681" i="1"/>
  <c r="G681" i="1"/>
  <c r="J680" i="1"/>
  <c r="I680" i="1"/>
  <c r="Q680" i="1" s="1"/>
  <c r="C680" i="1"/>
  <c r="P679" i="1"/>
  <c r="O679" i="1"/>
  <c r="N679" i="1"/>
  <c r="K679" i="1"/>
  <c r="J679" i="1"/>
  <c r="C679" i="1"/>
  <c r="N678" i="1"/>
  <c r="P678" i="1" s="1"/>
  <c r="K678" i="1"/>
  <c r="J678" i="1"/>
  <c r="C678" i="1"/>
  <c r="N677" i="1"/>
  <c r="K677" i="1"/>
  <c r="J677" i="1"/>
  <c r="G677" i="1"/>
  <c r="J676" i="1"/>
  <c r="I676" i="1" s="1"/>
  <c r="Q676" i="1" s="1"/>
  <c r="C676" i="1"/>
  <c r="N675" i="1"/>
  <c r="P675" i="1" s="1"/>
  <c r="K675" i="1"/>
  <c r="J675" i="1"/>
  <c r="C675" i="1"/>
  <c r="N674" i="1"/>
  <c r="K674" i="1"/>
  <c r="J674" i="1"/>
  <c r="C674" i="1"/>
  <c r="K673" i="1"/>
  <c r="J673" i="1"/>
  <c r="G673" i="1"/>
  <c r="N673" i="1" s="1"/>
  <c r="P673" i="1" s="1"/>
  <c r="J672" i="1"/>
  <c r="I672" i="1"/>
  <c r="Q672" i="1" s="1"/>
  <c r="P671" i="1"/>
  <c r="O671" i="1"/>
  <c r="N671" i="1"/>
  <c r="K671" i="1"/>
  <c r="J671" i="1"/>
  <c r="P670" i="1"/>
  <c r="O670" i="1"/>
  <c r="N670" i="1"/>
  <c r="K670" i="1"/>
  <c r="J670" i="1"/>
  <c r="K669" i="1"/>
  <c r="J669" i="1"/>
  <c r="G669" i="1"/>
  <c r="N669" i="1" s="1"/>
  <c r="J668" i="1"/>
  <c r="I668" i="1" s="1"/>
  <c r="Q668" i="1" s="1"/>
  <c r="P667" i="1"/>
  <c r="O667" i="1"/>
  <c r="N667" i="1"/>
  <c r="K667" i="1"/>
  <c r="J667" i="1"/>
  <c r="P666" i="1"/>
  <c r="N666" i="1"/>
  <c r="O666" i="1" s="1"/>
  <c r="K666" i="1"/>
  <c r="J666" i="1"/>
  <c r="N665" i="1"/>
  <c r="O665" i="1" s="1"/>
  <c r="K665" i="1"/>
  <c r="J665" i="1"/>
  <c r="G665" i="1"/>
  <c r="J664" i="1"/>
  <c r="I664" i="1" s="1"/>
  <c r="Q664" i="1" s="1"/>
  <c r="N663" i="1"/>
  <c r="K663" i="1"/>
  <c r="J663" i="1"/>
  <c r="N662" i="1"/>
  <c r="P662" i="1" s="1"/>
  <c r="K662" i="1"/>
  <c r="J662" i="1"/>
  <c r="K661" i="1"/>
  <c r="J661" i="1"/>
  <c r="G661" i="1"/>
  <c r="N661" i="1" s="1"/>
  <c r="J660" i="1"/>
  <c r="I660" i="1"/>
  <c r="Q660" i="1" s="1"/>
  <c r="O659" i="1"/>
  <c r="N659" i="1"/>
  <c r="P659" i="1" s="1"/>
  <c r="K659" i="1"/>
  <c r="J659" i="1"/>
  <c r="O658" i="1"/>
  <c r="N658" i="1"/>
  <c r="P658" i="1" s="1"/>
  <c r="K658" i="1"/>
  <c r="J658" i="1"/>
  <c r="O657" i="1"/>
  <c r="K657" i="1"/>
  <c r="J657" i="1"/>
  <c r="G657" i="1"/>
  <c r="N657" i="1" s="1"/>
  <c r="P657" i="1" s="1"/>
  <c r="J656" i="1"/>
  <c r="I656" i="1" s="1"/>
  <c r="Q656" i="1" s="1"/>
  <c r="P655" i="1"/>
  <c r="O655" i="1"/>
  <c r="N655" i="1"/>
  <c r="K655" i="1"/>
  <c r="J655" i="1"/>
  <c r="N654" i="1"/>
  <c r="K654" i="1"/>
  <c r="J654" i="1"/>
  <c r="N653" i="1"/>
  <c r="K653" i="1"/>
  <c r="J653" i="1"/>
  <c r="G653" i="1"/>
  <c r="J652" i="1"/>
  <c r="I652" i="1" s="1"/>
  <c r="Q652" i="1" s="1"/>
  <c r="P651" i="1"/>
  <c r="N651" i="1"/>
  <c r="O651" i="1" s="1"/>
  <c r="K651" i="1"/>
  <c r="J651" i="1"/>
  <c r="P650" i="1"/>
  <c r="N650" i="1"/>
  <c r="O650" i="1" s="1"/>
  <c r="K650" i="1"/>
  <c r="J650" i="1"/>
  <c r="O649" i="1"/>
  <c r="N649" i="1"/>
  <c r="P649" i="1" s="1"/>
  <c r="K649" i="1"/>
  <c r="J649" i="1"/>
  <c r="G649" i="1"/>
  <c r="Q648" i="1"/>
  <c r="J648" i="1"/>
  <c r="I648" i="1"/>
  <c r="C648" i="1"/>
  <c r="P647" i="1"/>
  <c r="O647" i="1"/>
  <c r="N647" i="1"/>
  <c r="K647" i="1"/>
  <c r="J647" i="1"/>
  <c r="C647" i="1"/>
  <c r="O646" i="1"/>
  <c r="N646" i="1"/>
  <c r="P646" i="1" s="1"/>
  <c r="K646" i="1"/>
  <c r="J646" i="1"/>
  <c r="C646" i="1"/>
  <c r="K645" i="1"/>
  <c r="J645" i="1"/>
  <c r="G645" i="1"/>
  <c r="N645" i="1" s="1"/>
  <c r="J644" i="1"/>
  <c r="I644" i="1" s="1"/>
  <c r="Q644" i="1" s="1"/>
  <c r="C644" i="1"/>
  <c r="O643" i="1"/>
  <c r="N643" i="1"/>
  <c r="P643" i="1" s="1"/>
  <c r="K643" i="1"/>
  <c r="J643" i="1"/>
  <c r="C643" i="1"/>
  <c r="P642" i="1"/>
  <c r="N642" i="1"/>
  <c r="O642" i="1" s="1"/>
  <c r="K642" i="1"/>
  <c r="J642" i="1"/>
  <c r="C642" i="1"/>
  <c r="K641" i="1"/>
  <c r="J641" i="1"/>
  <c r="G641" i="1"/>
  <c r="N641" i="1" s="1"/>
  <c r="J639" i="1"/>
  <c r="I639" i="1"/>
  <c r="Q639" i="1" s="1"/>
  <c r="C639" i="1"/>
  <c r="P638" i="1"/>
  <c r="N638" i="1"/>
  <c r="O638" i="1" s="1"/>
  <c r="K638" i="1"/>
  <c r="J638" i="1"/>
  <c r="C638" i="1"/>
  <c r="C637" i="1"/>
  <c r="N636" i="1"/>
  <c r="K636" i="1"/>
  <c r="J636" i="1"/>
  <c r="G636" i="1"/>
  <c r="J635" i="1"/>
  <c r="I635" i="1" s="1"/>
  <c r="Q635" i="1" s="1"/>
  <c r="C635" i="1"/>
  <c r="P634" i="1"/>
  <c r="O634" i="1"/>
  <c r="N634" i="1"/>
  <c r="K634" i="1"/>
  <c r="J634" i="1"/>
  <c r="C634" i="1"/>
  <c r="C633" i="1"/>
  <c r="O632" i="1"/>
  <c r="K632" i="1"/>
  <c r="J632" i="1"/>
  <c r="G632" i="1"/>
  <c r="N632" i="1" s="1"/>
  <c r="P632" i="1" s="1"/>
  <c r="J631" i="1"/>
  <c r="I631" i="1"/>
  <c r="Q631" i="1" s="1"/>
  <c r="C631" i="1"/>
  <c r="N630" i="1"/>
  <c r="K630" i="1"/>
  <c r="J630" i="1"/>
  <c r="C630" i="1"/>
  <c r="O629" i="1"/>
  <c r="N629" i="1"/>
  <c r="P629" i="1" s="1"/>
  <c r="K629" i="1"/>
  <c r="J629" i="1"/>
  <c r="C629" i="1"/>
  <c r="N628" i="1"/>
  <c r="O628" i="1" s="1"/>
  <c r="K628" i="1"/>
  <c r="J628" i="1"/>
  <c r="G628" i="1"/>
  <c r="J627" i="1"/>
  <c r="I627" i="1" s="1"/>
  <c r="Q627" i="1" s="1"/>
  <c r="C627" i="1"/>
  <c r="O626" i="1"/>
  <c r="N626" i="1"/>
  <c r="P626" i="1" s="1"/>
  <c r="K626" i="1"/>
  <c r="J626" i="1"/>
  <c r="C626" i="1"/>
  <c r="N625" i="1"/>
  <c r="O625" i="1" s="1"/>
  <c r="K625" i="1"/>
  <c r="J625" i="1"/>
  <c r="C625" i="1"/>
  <c r="O624" i="1"/>
  <c r="K624" i="1"/>
  <c r="J624" i="1"/>
  <c r="G624" i="1"/>
  <c r="N624" i="1" s="1"/>
  <c r="P624" i="1" s="1"/>
  <c r="J623" i="1"/>
  <c r="I623" i="1" s="1"/>
  <c r="Q623" i="1" s="1"/>
  <c r="C623" i="1"/>
  <c r="N622" i="1"/>
  <c r="O622" i="1" s="1"/>
  <c r="K622" i="1"/>
  <c r="J622" i="1"/>
  <c r="C622" i="1"/>
  <c r="P621" i="1"/>
  <c r="O621" i="1"/>
  <c r="N621" i="1"/>
  <c r="K621" i="1"/>
  <c r="J621" i="1"/>
  <c r="C621" i="1"/>
  <c r="O620" i="1"/>
  <c r="N620" i="1"/>
  <c r="P620" i="1" s="1"/>
  <c r="K620" i="1"/>
  <c r="J620" i="1"/>
  <c r="G620" i="1"/>
  <c r="Q619" i="1"/>
  <c r="J619" i="1"/>
  <c r="I619" i="1"/>
  <c r="C619" i="1"/>
  <c r="P618" i="1"/>
  <c r="O618" i="1"/>
  <c r="N618" i="1"/>
  <c r="K618" i="1"/>
  <c r="J618" i="1"/>
  <c r="C618" i="1"/>
  <c r="O617" i="1"/>
  <c r="N617" i="1"/>
  <c r="P617" i="1" s="1"/>
  <c r="K617" i="1"/>
  <c r="J617" i="1"/>
  <c r="C617" i="1"/>
  <c r="K616" i="1"/>
  <c r="J616" i="1"/>
  <c r="G616" i="1"/>
  <c r="N616" i="1" s="1"/>
  <c r="J615" i="1"/>
  <c r="I615" i="1" s="1"/>
  <c r="Q615" i="1" s="1"/>
  <c r="C615" i="1"/>
  <c r="O614" i="1"/>
  <c r="N614" i="1"/>
  <c r="P614" i="1" s="1"/>
  <c r="K614" i="1"/>
  <c r="J614" i="1"/>
  <c r="C614" i="1"/>
  <c r="P613" i="1"/>
  <c r="N613" i="1"/>
  <c r="O613" i="1" s="1"/>
  <c r="K613" i="1"/>
  <c r="J613" i="1"/>
  <c r="C613" i="1"/>
  <c r="K612" i="1"/>
  <c r="J612" i="1"/>
  <c r="G612" i="1"/>
  <c r="N612" i="1" s="1"/>
  <c r="J611" i="1"/>
  <c r="I611" i="1"/>
  <c r="Q611" i="1" s="1"/>
  <c r="C611" i="1"/>
  <c r="P610" i="1"/>
  <c r="N610" i="1"/>
  <c r="O610" i="1" s="1"/>
  <c r="K610" i="1"/>
  <c r="J610" i="1"/>
  <c r="C610" i="1"/>
  <c r="P609" i="1"/>
  <c r="O609" i="1"/>
  <c r="N609" i="1"/>
  <c r="K609" i="1"/>
  <c r="J609" i="1"/>
  <c r="C609" i="1"/>
  <c r="N608" i="1"/>
  <c r="P608" i="1" s="1"/>
  <c r="K608" i="1"/>
  <c r="J608" i="1"/>
  <c r="G608" i="1"/>
  <c r="J606" i="1"/>
  <c r="I606" i="1"/>
  <c r="Q606" i="1" s="1"/>
  <c r="C606" i="1"/>
  <c r="P605" i="1"/>
  <c r="O605" i="1"/>
  <c r="N605" i="1"/>
  <c r="K605" i="1"/>
  <c r="J605" i="1"/>
  <c r="C605" i="1"/>
  <c r="N604" i="1"/>
  <c r="P604" i="1" s="1"/>
  <c r="K604" i="1"/>
  <c r="J604" i="1"/>
  <c r="C604" i="1"/>
  <c r="N603" i="1"/>
  <c r="K603" i="1"/>
  <c r="J603" i="1"/>
  <c r="G603" i="1"/>
  <c r="J602" i="1"/>
  <c r="I602" i="1" s="1"/>
  <c r="Q602" i="1" s="1"/>
  <c r="C602" i="1"/>
  <c r="C601" i="1"/>
  <c r="C600" i="1"/>
  <c r="N599" i="1"/>
  <c r="O599" i="1" s="1"/>
  <c r="K599" i="1"/>
  <c r="J599" i="1"/>
  <c r="G599" i="1"/>
  <c r="Q598" i="1"/>
  <c r="J598" i="1"/>
  <c r="I598" i="1" s="1"/>
  <c r="C598" i="1"/>
  <c r="O597" i="1"/>
  <c r="N597" i="1"/>
  <c r="P597" i="1" s="1"/>
  <c r="K597" i="1"/>
  <c r="J597" i="1"/>
  <c r="C597" i="1"/>
  <c r="N596" i="1"/>
  <c r="O596" i="1" s="1"/>
  <c r="K596" i="1"/>
  <c r="J596" i="1"/>
  <c r="C596" i="1"/>
  <c r="P595" i="1"/>
  <c r="O595" i="1"/>
  <c r="N595" i="1"/>
  <c r="K595" i="1"/>
  <c r="J595" i="1"/>
  <c r="Q594" i="1"/>
  <c r="J594" i="1"/>
  <c r="I594" i="1"/>
  <c r="C594" i="1"/>
  <c r="P593" i="1"/>
  <c r="O593" i="1"/>
  <c r="N593" i="1"/>
  <c r="K593" i="1"/>
  <c r="J593" i="1"/>
  <c r="C593" i="1"/>
  <c r="N592" i="1"/>
  <c r="P592" i="1" s="1"/>
  <c r="K592" i="1"/>
  <c r="J592" i="1"/>
  <c r="C592" i="1"/>
  <c r="P591" i="1"/>
  <c r="N591" i="1"/>
  <c r="O591" i="1" s="1"/>
  <c r="K591" i="1"/>
  <c r="J591" i="1"/>
  <c r="J590" i="1"/>
  <c r="I590" i="1"/>
  <c r="Q590" i="1" s="1"/>
  <c r="C590" i="1"/>
  <c r="N589" i="1"/>
  <c r="K589" i="1"/>
  <c r="J589" i="1"/>
  <c r="C589" i="1"/>
  <c r="O588" i="1"/>
  <c r="N588" i="1"/>
  <c r="P588" i="1" s="1"/>
  <c r="K588" i="1"/>
  <c r="J588" i="1"/>
  <c r="C588" i="1"/>
  <c r="N587" i="1"/>
  <c r="O587" i="1" s="1"/>
  <c r="K587" i="1"/>
  <c r="J587" i="1"/>
  <c r="J586" i="1"/>
  <c r="I586" i="1" s="1"/>
  <c r="Q586" i="1" s="1"/>
  <c r="C586" i="1"/>
  <c r="N585" i="1"/>
  <c r="K585" i="1"/>
  <c r="J585" i="1"/>
  <c r="C585" i="1"/>
  <c r="C584" i="1"/>
  <c r="N583" i="1"/>
  <c r="O583" i="1" s="1"/>
  <c r="K583" i="1"/>
  <c r="J583" i="1"/>
  <c r="J582" i="1"/>
  <c r="I582" i="1"/>
  <c r="Q582" i="1" s="1"/>
  <c r="C582" i="1"/>
  <c r="C581" i="1"/>
  <c r="C580" i="1"/>
  <c r="P579" i="1"/>
  <c r="N579" i="1"/>
  <c r="O579" i="1" s="1"/>
  <c r="K579" i="1"/>
  <c r="J579" i="1"/>
  <c r="G579" i="1"/>
  <c r="J578" i="1"/>
  <c r="I578" i="1" s="1"/>
  <c r="Q578" i="1" s="1"/>
  <c r="C578" i="1"/>
  <c r="N577" i="1"/>
  <c r="P577" i="1" s="1"/>
  <c r="K577" i="1"/>
  <c r="J577" i="1"/>
  <c r="C577" i="1"/>
  <c r="P576" i="1"/>
  <c r="N576" i="1"/>
  <c r="O576" i="1" s="1"/>
  <c r="K576" i="1"/>
  <c r="J576" i="1"/>
  <c r="C576" i="1"/>
  <c r="O575" i="1"/>
  <c r="N575" i="1"/>
  <c r="P575" i="1" s="1"/>
  <c r="K575" i="1"/>
  <c r="J575" i="1"/>
  <c r="Q574" i="1"/>
  <c r="J574" i="1"/>
  <c r="I574" i="1" s="1"/>
  <c r="C574" i="1"/>
  <c r="O573" i="1"/>
  <c r="N573" i="1"/>
  <c r="P573" i="1" s="1"/>
  <c r="K573" i="1"/>
  <c r="J573" i="1"/>
  <c r="C573" i="1"/>
  <c r="N572" i="1"/>
  <c r="O572" i="1" s="1"/>
  <c r="K572" i="1"/>
  <c r="J572" i="1"/>
  <c r="C572" i="1"/>
  <c r="P571" i="1"/>
  <c r="O571" i="1"/>
  <c r="N571" i="1"/>
  <c r="K571" i="1"/>
  <c r="J571" i="1"/>
  <c r="Q570" i="1"/>
  <c r="J570" i="1"/>
  <c r="I570" i="1"/>
  <c r="C570" i="1"/>
  <c r="P569" i="1"/>
  <c r="O569" i="1"/>
  <c r="N569" i="1"/>
  <c r="K569" i="1"/>
  <c r="J569" i="1"/>
  <c r="C569" i="1"/>
  <c r="O568" i="1"/>
  <c r="N568" i="1"/>
  <c r="P568" i="1" s="1"/>
  <c r="K568" i="1"/>
  <c r="J568" i="1"/>
  <c r="C568" i="1"/>
  <c r="P567" i="1"/>
  <c r="N567" i="1"/>
  <c r="O567" i="1" s="1"/>
  <c r="K567" i="1"/>
  <c r="J567" i="1"/>
  <c r="G567" i="1"/>
  <c r="J565" i="1"/>
  <c r="I565" i="1" s="1"/>
  <c r="Q565" i="1" s="1"/>
  <c r="C565" i="1"/>
  <c r="N564" i="1"/>
  <c r="P564" i="1" s="1"/>
  <c r="K564" i="1"/>
  <c r="J564" i="1"/>
  <c r="C564" i="1"/>
  <c r="P563" i="1"/>
  <c r="N563" i="1"/>
  <c r="O563" i="1" s="1"/>
  <c r="K563" i="1"/>
  <c r="J563" i="1"/>
  <c r="C563" i="1"/>
  <c r="K562" i="1"/>
  <c r="J562" i="1"/>
  <c r="G562" i="1"/>
  <c r="N562" i="1" s="1"/>
  <c r="J561" i="1"/>
  <c r="I561" i="1" s="1"/>
  <c r="Q561" i="1" s="1"/>
  <c r="C561" i="1"/>
  <c r="P560" i="1"/>
  <c r="N560" i="1"/>
  <c r="O560" i="1" s="1"/>
  <c r="K560" i="1"/>
  <c r="J560" i="1"/>
  <c r="C560" i="1"/>
  <c r="O559" i="1"/>
  <c r="N559" i="1"/>
  <c r="P559" i="1" s="1"/>
  <c r="K559" i="1"/>
  <c r="J559" i="1"/>
  <c r="C559" i="1"/>
  <c r="K558" i="1"/>
  <c r="J558" i="1"/>
  <c r="G558" i="1"/>
  <c r="N558" i="1" s="1"/>
  <c r="O558" i="1" s="1"/>
  <c r="Q557" i="1"/>
  <c r="J557" i="1"/>
  <c r="I557" i="1"/>
  <c r="C557" i="1"/>
  <c r="O556" i="1"/>
  <c r="N556" i="1"/>
  <c r="P556" i="1" s="1"/>
  <c r="K556" i="1"/>
  <c r="J556" i="1"/>
  <c r="C556" i="1"/>
  <c r="P555" i="1"/>
  <c r="O555" i="1"/>
  <c r="N555" i="1"/>
  <c r="K555" i="1"/>
  <c r="J555" i="1"/>
  <c r="C555" i="1"/>
  <c r="K554" i="1"/>
  <c r="J554" i="1"/>
  <c r="G554" i="1"/>
  <c r="N554" i="1" s="1"/>
  <c r="J553" i="1"/>
  <c r="I553" i="1" s="1"/>
  <c r="Q553" i="1" s="1"/>
  <c r="C553" i="1"/>
  <c r="P552" i="1"/>
  <c r="N552" i="1"/>
  <c r="O552" i="1" s="1"/>
  <c r="K552" i="1"/>
  <c r="J552" i="1"/>
  <c r="C552" i="1"/>
  <c r="P551" i="1"/>
  <c r="N551" i="1"/>
  <c r="O551" i="1" s="1"/>
  <c r="K551" i="1"/>
  <c r="J551" i="1"/>
  <c r="C551" i="1"/>
  <c r="K550" i="1"/>
  <c r="J550" i="1"/>
  <c r="G550" i="1"/>
  <c r="N550" i="1" s="1"/>
  <c r="J549" i="1"/>
  <c r="I549" i="1"/>
  <c r="Q549" i="1" s="1"/>
  <c r="C549" i="1"/>
  <c r="P548" i="1"/>
  <c r="N548" i="1"/>
  <c r="O548" i="1" s="1"/>
  <c r="K548" i="1"/>
  <c r="J548" i="1"/>
  <c r="C548" i="1"/>
  <c r="P547" i="1"/>
  <c r="O547" i="1"/>
  <c r="N547" i="1"/>
  <c r="K547" i="1"/>
  <c r="J547" i="1"/>
  <c r="C547" i="1"/>
  <c r="N546" i="1"/>
  <c r="K546" i="1"/>
  <c r="J546" i="1"/>
  <c r="J545" i="1"/>
  <c r="I545" i="1"/>
  <c r="Q545" i="1" s="1"/>
  <c r="C545" i="1"/>
  <c r="P544" i="1"/>
  <c r="N544" i="1"/>
  <c r="O544" i="1" s="1"/>
  <c r="K544" i="1"/>
  <c r="J544" i="1"/>
  <c r="C544" i="1"/>
  <c r="P543" i="1"/>
  <c r="O543" i="1"/>
  <c r="N543" i="1"/>
  <c r="K543" i="1"/>
  <c r="J543" i="1"/>
  <c r="C543" i="1"/>
  <c r="N542" i="1"/>
  <c r="P542" i="1" s="1"/>
  <c r="K542" i="1"/>
  <c r="J542" i="1"/>
  <c r="G542" i="1"/>
  <c r="J541" i="1"/>
  <c r="I541" i="1"/>
  <c r="Q541" i="1" s="1"/>
  <c r="C541" i="1"/>
  <c r="P540" i="1"/>
  <c r="O540" i="1"/>
  <c r="N540" i="1"/>
  <c r="K540" i="1"/>
  <c r="J540" i="1"/>
  <c r="C540" i="1"/>
  <c r="N539" i="1"/>
  <c r="P539" i="1" s="1"/>
  <c r="K539" i="1"/>
  <c r="J539" i="1"/>
  <c r="C539" i="1"/>
  <c r="N538" i="1"/>
  <c r="K538" i="1"/>
  <c r="J538" i="1"/>
  <c r="G538" i="1"/>
  <c r="J537" i="1"/>
  <c r="I537" i="1" s="1"/>
  <c r="Q537" i="1" s="1"/>
  <c r="C537" i="1"/>
  <c r="N536" i="1"/>
  <c r="P536" i="1" s="1"/>
  <c r="K536" i="1"/>
  <c r="J536" i="1"/>
  <c r="C536" i="1"/>
  <c r="N535" i="1"/>
  <c r="K535" i="1"/>
  <c r="J535" i="1"/>
  <c r="C535" i="1"/>
  <c r="K534" i="1"/>
  <c r="J534" i="1"/>
  <c r="G534" i="1"/>
  <c r="N534" i="1" s="1"/>
  <c r="P534" i="1" s="1"/>
  <c r="J533" i="1"/>
  <c r="I533" i="1"/>
  <c r="Q533" i="1" s="1"/>
  <c r="C533" i="1"/>
  <c r="N532" i="1"/>
  <c r="K532" i="1"/>
  <c r="J532" i="1"/>
  <c r="C532" i="1"/>
  <c r="O531" i="1"/>
  <c r="N531" i="1"/>
  <c r="P531" i="1" s="1"/>
  <c r="K531" i="1"/>
  <c r="J531" i="1"/>
  <c r="C531" i="1"/>
  <c r="N530" i="1"/>
  <c r="O530" i="1" s="1"/>
  <c r="K530" i="1"/>
  <c r="J530" i="1"/>
  <c r="G530" i="1"/>
  <c r="Q528" i="1"/>
  <c r="J528" i="1"/>
  <c r="I528" i="1" s="1"/>
  <c r="C528" i="1"/>
  <c r="O527" i="1"/>
  <c r="N527" i="1"/>
  <c r="P527" i="1" s="1"/>
  <c r="K527" i="1"/>
  <c r="J527" i="1"/>
  <c r="C527" i="1"/>
  <c r="N526" i="1"/>
  <c r="O526" i="1" s="1"/>
  <c r="K526" i="1"/>
  <c r="J526" i="1"/>
  <c r="C526" i="1"/>
  <c r="K525" i="1"/>
  <c r="J525" i="1"/>
  <c r="G525" i="1"/>
  <c r="N525" i="1" s="1"/>
  <c r="P525" i="1" s="1"/>
  <c r="J524" i="1"/>
  <c r="I524" i="1" s="1"/>
  <c r="Q524" i="1" s="1"/>
  <c r="C524" i="1"/>
  <c r="N523" i="1"/>
  <c r="O523" i="1" s="1"/>
  <c r="K523" i="1"/>
  <c r="J523" i="1"/>
  <c r="C523" i="1"/>
  <c r="P522" i="1"/>
  <c r="O522" i="1"/>
  <c r="N522" i="1"/>
  <c r="K522" i="1"/>
  <c r="J522" i="1"/>
  <c r="C522" i="1"/>
  <c r="O521" i="1"/>
  <c r="N521" i="1"/>
  <c r="P521" i="1" s="1"/>
  <c r="K521" i="1"/>
  <c r="J521" i="1"/>
  <c r="G521" i="1"/>
  <c r="Q520" i="1"/>
  <c r="J520" i="1"/>
  <c r="I520" i="1"/>
  <c r="C520" i="1"/>
  <c r="P519" i="1"/>
  <c r="O519" i="1"/>
  <c r="N519" i="1"/>
  <c r="K519" i="1"/>
  <c r="J519" i="1"/>
  <c r="C519" i="1"/>
  <c r="C518" i="1"/>
  <c r="K517" i="1"/>
  <c r="J517" i="1"/>
  <c r="G517" i="1"/>
  <c r="N517" i="1" s="1"/>
  <c r="J516" i="1"/>
  <c r="I516" i="1" s="1"/>
  <c r="Q516" i="1" s="1"/>
  <c r="C516" i="1"/>
  <c r="P515" i="1"/>
  <c r="O515" i="1"/>
  <c r="N515" i="1"/>
  <c r="K515" i="1"/>
  <c r="J515" i="1"/>
  <c r="C515" i="1"/>
  <c r="P514" i="1"/>
  <c r="N514" i="1"/>
  <c r="O514" i="1" s="1"/>
  <c r="K514" i="1"/>
  <c r="J514" i="1"/>
  <c r="C514" i="1"/>
  <c r="P513" i="1"/>
  <c r="O513" i="1"/>
  <c r="N513" i="1"/>
  <c r="K513" i="1"/>
  <c r="J513" i="1"/>
  <c r="G513" i="1"/>
  <c r="J512" i="1"/>
  <c r="I512" i="1"/>
  <c r="Q512" i="1" s="1"/>
  <c r="C512" i="1"/>
  <c r="P511" i="1"/>
  <c r="N511" i="1"/>
  <c r="O511" i="1" s="1"/>
  <c r="K511" i="1"/>
  <c r="J511" i="1"/>
  <c r="C511" i="1"/>
  <c r="P510" i="1"/>
  <c r="O510" i="1"/>
  <c r="N510" i="1"/>
  <c r="K510" i="1"/>
  <c r="J510" i="1"/>
  <c r="C510" i="1"/>
  <c r="N509" i="1"/>
  <c r="K509" i="1"/>
  <c r="J509" i="1"/>
  <c r="G509" i="1"/>
  <c r="J508" i="1"/>
  <c r="I508" i="1" s="1"/>
  <c r="Q508" i="1" s="1"/>
  <c r="C508" i="1"/>
  <c r="P507" i="1"/>
  <c r="O507" i="1"/>
  <c r="N507" i="1"/>
  <c r="K507" i="1"/>
  <c r="J507" i="1"/>
  <c r="C507" i="1"/>
  <c r="N506" i="1"/>
  <c r="K506" i="1"/>
  <c r="J506" i="1"/>
  <c r="C506" i="1"/>
  <c r="K505" i="1"/>
  <c r="J505" i="1"/>
  <c r="G505" i="1"/>
  <c r="N505" i="1" s="1"/>
  <c r="J504" i="1"/>
  <c r="I504" i="1"/>
  <c r="Q504" i="1" s="1"/>
  <c r="C504" i="1"/>
  <c r="N503" i="1"/>
  <c r="K503" i="1"/>
  <c r="J503" i="1"/>
  <c r="C503" i="1"/>
  <c r="P502" i="1"/>
  <c r="O502" i="1"/>
  <c r="N502" i="1"/>
  <c r="K502" i="1"/>
  <c r="J502" i="1"/>
  <c r="C502" i="1"/>
  <c r="N501" i="1"/>
  <c r="P501" i="1" s="1"/>
  <c r="K501" i="1"/>
  <c r="J501" i="1"/>
  <c r="G501" i="1"/>
  <c r="Q500" i="1"/>
  <c r="J500" i="1"/>
  <c r="I500" i="1"/>
  <c r="C500" i="1"/>
  <c r="P499" i="1"/>
  <c r="O499" i="1"/>
  <c r="N499" i="1"/>
  <c r="K499" i="1"/>
  <c r="J499" i="1"/>
  <c r="C499" i="1"/>
  <c r="O498" i="1"/>
  <c r="N498" i="1"/>
  <c r="P498" i="1" s="1"/>
  <c r="K498" i="1"/>
  <c r="J498" i="1"/>
  <c r="C498" i="1"/>
  <c r="P497" i="1"/>
  <c r="N497" i="1"/>
  <c r="O497" i="1" s="1"/>
  <c r="K497" i="1"/>
  <c r="J497" i="1"/>
  <c r="G497" i="1"/>
  <c r="J496" i="1"/>
  <c r="I496" i="1" s="1"/>
  <c r="Q496" i="1" s="1"/>
  <c r="C496" i="1"/>
  <c r="N495" i="1"/>
  <c r="P495" i="1" s="1"/>
  <c r="K495" i="1"/>
  <c r="J495" i="1"/>
  <c r="C495" i="1"/>
  <c r="P494" i="1"/>
  <c r="N494" i="1"/>
  <c r="O494" i="1" s="1"/>
  <c r="K494" i="1"/>
  <c r="J494" i="1"/>
  <c r="C494" i="1"/>
  <c r="K493" i="1"/>
  <c r="J493" i="1"/>
  <c r="G493" i="1"/>
  <c r="N493" i="1" s="1"/>
  <c r="Q492" i="1"/>
  <c r="J492" i="1"/>
  <c r="I492" i="1" s="1"/>
  <c r="C492" i="1"/>
  <c r="P491" i="1"/>
  <c r="N491" i="1"/>
  <c r="O491" i="1" s="1"/>
  <c r="K491" i="1"/>
  <c r="J491" i="1"/>
  <c r="C491" i="1"/>
  <c r="O490" i="1"/>
  <c r="N490" i="1"/>
  <c r="P490" i="1" s="1"/>
  <c r="K490" i="1"/>
  <c r="J490" i="1"/>
  <c r="C490" i="1"/>
  <c r="K489" i="1"/>
  <c r="J489" i="1"/>
  <c r="G489" i="1"/>
  <c r="N489" i="1" s="1"/>
  <c r="O489" i="1" s="1"/>
  <c r="Q487" i="1"/>
  <c r="J487" i="1"/>
  <c r="I487" i="1"/>
  <c r="C487" i="1"/>
  <c r="O486" i="1"/>
  <c r="N486" i="1"/>
  <c r="P486" i="1" s="1"/>
  <c r="K486" i="1"/>
  <c r="J486" i="1"/>
  <c r="C486" i="1"/>
  <c r="C485" i="1"/>
  <c r="K484" i="1"/>
  <c r="J484" i="1"/>
  <c r="G484" i="1"/>
  <c r="N484" i="1" s="1"/>
  <c r="J483" i="1"/>
  <c r="I483" i="1"/>
  <c r="Q483" i="1" s="1"/>
  <c r="C483" i="1"/>
  <c r="P482" i="1"/>
  <c r="N482" i="1"/>
  <c r="O482" i="1" s="1"/>
  <c r="K482" i="1"/>
  <c r="J482" i="1"/>
  <c r="C482" i="1"/>
  <c r="C481" i="1"/>
  <c r="N480" i="1"/>
  <c r="K480" i="1"/>
  <c r="J480" i="1"/>
  <c r="G480" i="1"/>
  <c r="J479" i="1"/>
  <c r="I479" i="1" s="1"/>
  <c r="Q479" i="1" s="1"/>
  <c r="C479" i="1"/>
  <c r="P478" i="1"/>
  <c r="O478" i="1"/>
  <c r="N478" i="1"/>
  <c r="K478" i="1"/>
  <c r="J478" i="1"/>
  <c r="C478" i="1"/>
  <c r="C477" i="1"/>
  <c r="K476" i="1"/>
  <c r="J476" i="1"/>
  <c r="G476" i="1"/>
  <c r="N476" i="1" s="1"/>
  <c r="P476" i="1" s="1"/>
  <c r="J475" i="1"/>
  <c r="I475" i="1"/>
  <c r="Q475" i="1" s="1"/>
  <c r="C475" i="1"/>
  <c r="N474" i="1"/>
  <c r="K474" i="1"/>
  <c r="J474" i="1"/>
  <c r="C474" i="1"/>
  <c r="C473" i="1"/>
  <c r="P472" i="1"/>
  <c r="N472" i="1"/>
  <c r="O472" i="1" s="1"/>
  <c r="K472" i="1"/>
  <c r="J472" i="1"/>
  <c r="G472" i="1"/>
  <c r="J471" i="1"/>
  <c r="I471" i="1" s="1"/>
  <c r="Q471" i="1" s="1"/>
  <c r="C471" i="1"/>
  <c r="O470" i="1"/>
  <c r="N470" i="1"/>
  <c r="P470" i="1" s="1"/>
  <c r="K470" i="1"/>
  <c r="J470" i="1"/>
  <c r="C470" i="1"/>
  <c r="C469" i="1"/>
  <c r="O468" i="1"/>
  <c r="N468" i="1"/>
  <c r="P468" i="1" s="1"/>
  <c r="K468" i="1"/>
  <c r="J468" i="1"/>
  <c r="G468" i="1"/>
  <c r="J467" i="1"/>
  <c r="I467" i="1"/>
  <c r="Q467" i="1" s="1"/>
  <c r="C467" i="1"/>
  <c r="P466" i="1"/>
  <c r="O466" i="1"/>
  <c r="N466" i="1"/>
  <c r="K466" i="1"/>
  <c r="J466" i="1"/>
  <c r="C466" i="1"/>
  <c r="C465" i="1"/>
  <c r="K464" i="1"/>
  <c r="J464" i="1"/>
  <c r="G464" i="1"/>
  <c r="N464" i="1" s="1"/>
  <c r="J463" i="1"/>
  <c r="I463" i="1" s="1"/>
  <c r="Q463" i="1" s="1"/>
  <c r="C463" i="1"/>
  <c r="P462" i="1"/>
  <c r="O462" i="1"/>
  <c r="N462" i="1"/>
  <c r="K462" i="1"/>
  <c r="J462" i="1"/>
  <c r="C462" i="1"/>
  <c r="C461" i="1"/>
  <c r="N460" i="1"/>
  <c r="P460" i="1" s="1"/>
  <c r="K460" i="1"/>
  <c r="J460" i="1"/>
  <c r="G460" i="1"/>
  <c r="J459" i="1"/>
  <c r="I459" i="1"/>
  <c r="Q459" i="1" s="1"/>
  <c r="C459" i="1"/>
  <c r="N458" i="1"/>
  <c r="P458" i="1" s="1"/>
  <c r="K458" i="1"/>
  <c r="J458" i="1"/>
  <c r="C458" i="1"/>
  <c r="C457" i="1"/>
  <c r="K456" i="1"/>
  <c r="J456" i="1"/>
  <c r="G456" i="1"/>
  <c r="N456" i="1" s="1"/>
  <c r="J455" i="1"/>
  <c r="I455" i="1" s="1"/>
  <c r="Q455" i="1" s="1"/>
  <c r="C455" i="1"/>
  <c r="C454" i="1"/>
  <c r="P453" i="1"/>
  <c r="O453" i="1"/>
  <c r="N453" i="1"/>
  <c r="K453" i="1"/>
  <c r="J453" i="1"/>
  <c r="C453" i="1"/>
  <c r="N452" i="1"/>
  <c r="O452" i="1" s="1"/>
  <c r="K452" i="1"/>
  <c r="J452" i="1"/>
  <c r="G452" i="1"/>
  <c r="J451" i="1"/>
  <c r="I451" i="1" s="1"/>
  <c r="Q451" i="1" s="1"/>
  <c r="C451" i="1"/>
  <c r="P450" i="1"/>
  <c r="O450" i="1"/>
  <c r="N450" i="1"/>
  <c r="K450" i="1"/>
  <c r="J450" i="1"/>
  <c r="C450" i="1"/>
  <c r="N449" i="1"/>
  <c r="O449" i="1" s="1"/>
  <c r="K449" i="1"/>
  <c r="J449" i="1"/>
  <c r="C449" i="1"/>
  <c r="K448" i="1"/>
  <c r="J448" i="1"/>
  <c r="G448" i="1"/>
  <c r="N448" i="1" s="1"/>
  <c r="P448" i="1" s="1"/>
  <c r="J447" i="1"/>
  <c r="I447" i="1" s="1"/>
  <c r="Q447" i="1" s="1"/>
  <c r="C447" i="1"/>
  <c r="N446" i="1"/>
  <c r="O446" i="1" s="1"/>
  <c r="K446" i="1"/>
  <c r="J446" i="1"/>
  <c r="C446" i="1"/>
  <c r="P445" i="1"/>
  <c r="O445" i="1"/>
  <c r="N445" i="1"/>
  <c r="K445" i="1"/>
  <c r="J445" i="1"/>
  <c r="C445" i="1"/>
  <c r="O444" i="1"/>
  <c r="N444" i="1"/>
  <c r="P444" i="1" s="1"/>
  <c r="K444" i="1"/>
  <c r="J444" i="1"/>
  <c r="G444" i="1"/>
  <c r="J443" i="1"/>
  <c r="I443" i="1"/>
  <c r="Q443" i="1" s="1"/>
  <c r="C443" i="1"/>
  <c r="P442" i="1"/>
  <c r="O442" i="1"/>
  <c r="N442" i="1"/>
  <c r="K442" i="1"/>
  <c r="J442" i="1"/>
  <c r="C442" i="1"/>
  <c r="C441" i="1"/>
  <c r="K440" i="1"/>
  <c r="J440" i="1"/>
  <c r="G440" i="1"/>
  <c r="N440" i="1" s="1"/>
  <c r="J439" i="1"/>
  <c r="I439" i="1" s="1"/>
  <c r="Q439" i="1" s="1"/>
  <c r="C439" i="1"/>
  <c r="P438" i="1"/>
  <c r="N438" i="1"/>
  <c r="O438" i="1" s="1"/>
  <c r="K438" i="1"/>
  <c r="J438" i="1"/>
  <c r="C438" i="1"/>
  <c r="P437" i="1"/>
  <c r="N437" i="1"/>
  <c r="O437" i="1" s="1"/>
  <c r="K437" i="1"/>
  <c r="J437" i="1"/>
  <c r="C437" i="1"/>
  <c r="O436" i="1"/>
  <c r="N436" i="1"/>
  <c r="P436" i="1" s="1"/>
  <c r="K436" i="1"/>
  <c r="J436" i="1"/>
  <c r="G436" i="1"/>
  <c r="J435" i="1"/>
  <c r="I435" i="1"/>
  <c r="Q435" i="1" s="1"/>
  <c r="C435" i="1"/>
  <c r="P434" i="1"/>
  <c r="N434" i="1"/>
  <c r="O434" i="1" s="1"/>
  <c r="K434" i="1"/>
  <c r="J434" i="1"/>
  <c r="C434" i="1"/>
  <c r="P433" i="1"/>
  <c r="O433" i="1"/>
  <c r="N433" i="1"/>
  <c r="K433" i="1"/>
  <c r="J433" i="1"/>
  <c r="C433" i="1"/>
  <c r="N432" i="1"/>
  <c r="K432" i="1"/>
  <c r="J432" i="1"/>
  <c r="G432" i="1"/>
  <c r="J431" i="1"/>
  <c r="I431" i="1" s="1"/>
  <c r="Q431" i="1" s="1"/>
  <c r="C431" i="1"/>
  <c r="P430" i="1"/>
  <c r="O430" i="1"/>
  <c r="N430" i="1"/>
  <c r="K430" i="1"/>
  <c r="J430" i="1"/>
  <c r="C430" i="1"/>
  <c r="N429" i="1"/>
  <c r="K429" i="1"/>
  <c r="J429" i="1"/>
  <c r="C429" i="1"/>
  <c r="K428" i="1"/>
  <c r="J428" i="1"/>
  <c r="G428" i="1"/>
  <c r="N428" i="1" s="1"/>
  <c r="J427" i="1"/>
  <c r="I427" i="1" s="1"/>
  <c r="Q427" i="1" s="1"/>
  <c r="C427" i="1"/>
  <c r="N426" i="1"/>
  <c r="K426" i="1"/>
  <c r="J426" i="1"/>
  <c r="C426" i="1"/>
  <c r="C425" i="1"/>
  <c r="N424" i="1"/>
  <c r="O424" i="1" s="1"/>
  <c r="K424" i="1"/>
  <c r="J424" i="1"/>
  <c r="G424" i="1"/>
  <c r="J422" i="1"/>
  <c r="I422" i="1" s="1"/>
  <c r="Q422" i="1" s="1"/>
  <c r="C422" i="1"/>
  <c r="O421" i="1"/>
  <c r="N421" i="1"/>
  <c r="P421" i="1" s="1"/>
  <c r="K421" i="1"/>
  <c r="J421" i="1"/>
  <c r="C421" i="1"/>
  <c r="N420" i="1"/>
  <c r="O420" i="1" s="1"/>
  <c r="K420" i="1"/>
  <c r="J420" i="1"/>
  <c r="C420" i="1"/>
  <c r="K419" i="1"/>
  <c r="J419" i="1"/>
  <c r="G419" i="1"/>
  <c r="N419" i="1" s="1"/>
  <c r="P419" i="1" s="1"/>
  <c r="J418" i="1"/>
  <c r="I418" i="1" s="1"/>
  <c r="Q418" i="1" s="1"/>
  <c r="C418" i="1"/>
  <c r="N417" i="1"/>
  <c r="O417" i="1" s="1"/>
  <c r="K417" i="1"/>
  <c r="J417" i="1"/>
  <c r="C417" i="1"/>
  <c r="P416" i="1"/>
  <c r="O416" i="1"/>
  <c r="N416" i="1"/>
  <c r="K416" i="1"/>
  <c r="J416" i="1"/>
  <c r="C416" i="1"/>
  <c r="O415" i="1"/>
  <c r="N415" i="1"/>
  <c r="P415" i="1" s="1"/>
  <c r="K415" i="1"/>
  <c r="J415" i="1"/>
  <c r="G415" i="1"/>
  <c r="J414" i="1"/>
  <c r="I414" i="1"/>
  <c r="Q414" i="1" s="1"/>
  <c r="C414" i="1"/>
  <c r="P413" i="1"/>
  <c r="O413" i="1"/>
  <c r="N413" i="1"/>
  <c r="K413" i="1"/>
  <c r="J413" i="1"/>
  <c r="C413" i="1"/>
  <c r="O412" i="1"/>
  <c r="N412" i="1"/>
  <c r="P412" i="1" s="1"/>
  <c r="K412" i="1"/>
  <c r="J412" i="1"/>
  <c r="C412" i="1"/>
  <c r="K411" i="1"/>
  <c r="J411" i="1"/>
  <c r="G411" i="1"/>
  <c r="N411" i="1" s="1"/>
  <c r="J410" i="1"/>
  <c r="I410" i="1" s="1"/>
  <c r="Q410" i="1" s="1"/>
  <c r="C410" i="1"/>
  <c r="O409" i="1"/>
  <c r="N409" i="1"/>
  <c r="P409" i="1" s="1"/>
  <c r="K409" i="1"/>
  <c r="J409" i="1"/>
  <c r="C409" i="1"/>
  <c r="N408" i="1"/>
  <c r="P408" i="1" s="1"/>
  <c r="K408" i="1"/>
  <c r="J408" i="1"/>
  <c r="C408" i="1"/>
  <c r="K407" i="1"/>
  <c r="J407" i="1"/>
  <c r="G407" i="1"/>
  <c r="N407" i="1" s="1"/>
  <c r="J406" i="1"/>
  <c r="I406" i="1"/>
  <c r="Q406" i="1" s="1"/>
  <c r="C406" i="1"/>
  <c r="N405" i="1"/>
  <c r="P405" i="1" s="1"/>
  <c r="K405" i="1"/>
  <c r="J405" i="1"/>
  <c r="C405" i="1"/>
  <c r="P404" i="1"/>
  <c r="N404" i="1"/>
  <c r="O404" i="1" s="1"/>
  <c r="K404" i="1"/>
  <c r="J404" i="1"/>
  <c r="C404" i="1"/>
  <c r="N403" i="1"/>
  <c r="P403" i="1" s="1"/>
  <c r="K403" i="1"/>
  <c r="J403" i="1"/>
  <c r="G403" i="1"/>
  <c r="J402" i="1"/>
  <c r="I402" i="1"/>
  <c r="Q402" i="1" s="1"/>
  <c r="C402" i="1"/>
  <c r="N401" i="1"/>
  <c r="P401" i="1" s="1"/>
  <c r="K401" i="1"/>
  <c r="J401" i="1"/>
  <c r="C401" i="1"/>
  <c r="C400" i="1"/>
  <c r="K399" i="1"/>
  <c r="J399" i="1"/>
  <c r="G399" i="1"/>
  <c r="N399" i="1" s="1"/>
  <c r="J398" i="1"/>
  <c r="I398" i="1" s="1"/>
  <c r="Q398" i="1" s="1"/>
  <c r="C398" i="1"/>
  <c r="N397" i="1"/>
  <c r="K397" i="1"/>
  <c r="J397" i="1"/>
  <c r="C397" i="1"/>
  <c r="P396" i="1"/>
  <c r="O396" i="1"/>
  <c r="N396" i="1"/>
  <c r="K396" i="1"/>
  <c r="J396" i="1"/>
  <c r="C396" i="1"/>
  <c r="O395" i="1"/>
  <c r="N395" i="1"/>
  <c r="P395" i="1" s="1"/>
  <c r="K395" i="1"/>
  <c r="J395" i="1"/>
  <c r="G395" i="1"/>
  <c r="Q394" i="1"/>
  <c r="J394" i="1"/>
  <c r="I394" i="1"/>
  <c r="C394" i="1"/>
  <c r="P393" i="1"/>
  <c r="O393" i="1"/>
  <c r="N393" i="1"/>
  <c r="K393" i="1"/>
  <c r="J393" i="1"/>
  <c r="C393" i="1"/>
  <c r="N392" i="1"/>
  <c r="P392" i="1" s="1"/>
  <c r="K392" i="1"/>
  <c r="J392" i="1"/>
  <c r="C392" i="1"/>
  <c r="P391" i="1"/>
  <c r="N391" i="1"/>
  <c r="O391" i="1" s="1"/>
  <c r="K391" i="1"/>
  <c r="J391" i="1"/>
  <c r="G391" i="1"/>
  <c r="J390" i="1"/>
  <c r="I390" i="1" s="1"/>
  <c r="Q390" i="1" s="1"/>
  <c r="C390" i="1"/>
  <c r="O389" i="1"/>
  <c r="N389" i="1"/>
  <c r="P389" i="1" s="1"/>
  <c r="K389" i="1"/>
  <c r="J389" i="1"/>
  <c r="C389" i="1"/>
  <c r="P388" i="1"/>
  <c r="N388" i="1"/>
  <c r="O388" i="1" s="1"/>
  <c r="K388" i="1"/>
  <c r="J388" i="1"/>
  <c r="C388" i="1"/>
  <c r="K387" i="1"/>
  <c r="J387" i="1"/>
  <c r="G387" i="1"/>
  <c r="N387" i="1" s="1"/>
  <c r="Q386" i="1"/>
  <c r="J386" i="1"/>
  <c r="I386" i="1" s="1"/>
  <c r="C386" i="1"/>
  <c r="P385" i="1"/>
  <c r="N385" i="1"/>
  <c r="O385" i="1" s="1"/>
  <c r="K385" i="1"/>
  <c r="J385" i="1"/>
  <c r="C385" i="1"/>
  <c r="O384" i="1"/>
  <c r="N384" i="1"/>
  <c r="P384" i="1" s="1"/>
  <c r="K384" i="1"/>
  <c r="J384" i="1"/>
  <c r="C384" i="1"/>
  <c r="P383" i="1"/>
  <c r="O383" i="1"/>
  <c r="N383" i="1"/>
  <c r="K383" i="1"/>
  <c r="J383" i="1"/>
  <c r="G383" i="1"/>
  <c r="J382" i="1"/>
  <c r="I382" i="1" s="1"/>
  <c r="Q382" i="1" s="1"/>
  <c r="C382" i="1"/>
  <c r="O381" i="1"/>
  <c r="N381" i="1"/>
  <c r="P381" i="1" s="1"/>
  <c r="K381" i="1"/>
  <c r="J381" i="1"/>
  <c r="C381" i="1"/>
  <c r="P380" i="1"/>
  <c r="O380" i="1"/>
  <c r="N380" i="1"/>
  <c r="K380" i="1"/>
  <c r="J380" i="1"/>
  <c r="C380" i="1"/>
  <c r="K379" i="1"/>
  <c r="J379" i="1"/>
  <c r="G379" i="1"/>
  <c r="N379" i="1" s="1"/>
  <c r="J378" i="1"/>
  <c r="I378" i="1" s="1"/>
  <c r="Q378" i="1" s="1"/>
  <c r="C378" i="1"/>
  <c r="P377" i="1"/>
  <c r="N377" i="1"/>
  <c r="O377" i="1" s="1"/>
  <c r="K377" i="1"/>
  <c r="J377" i="1"/>
  <c r="C377" i="1"/>
  <c r="P376" i="1"/>
  <c r="O376" i="1"/>
  <c r="N376" i="1"/>
  <c r="K376" i="1"/>
  <c r="J376" i="1"/>
  <c r="C376" i="1"/>
  <c r="K375" i="1"/>
  <c r="J375" i="1"/>
  <c r="G375" i="1"/>
  <c r="N375" i="1" s="1"/>
  <c r="J374" i="1"/>
  <c r="I374" i="1"/>
  <c r="Q374" i="1" s="1"/>
  <c r="C374" i="1"/>
  <c r="P373" i="1"/>
  <c r="O373" i="1"/>
  <c r="N373" i="1"/>
  <c r="K373" i="1"/>
  <c r="J373" i="1"/>
  <c r="C373" i="1"/>
  <c r="P372" i="1"/>
  <c r="O372" i="1"/>
  <c r="N372" i="1"/>
  <c r="K372" i="1"/>
  <c r="J372" i="1"/>
  <c r="C372" i="1"/>
  <c r="N371" i="1"/>
  <c r="K371" i="1"/>
  <c r="J371" i="1"/>
  <c r="G371" i="1"/>
  <c r="J370" i="1"/>
  <c r="I370" i="1" s="1"/>
  <c r="Q370" i="1" s="1"/>
  <c r="C370" i="1"/>
  <c r="P369" i="1"/>
  <c r="O369" i="1"/>
  <c r="N369" i="1"/>
  <c r="K369" i="1"/>
  <c r="J369" i="1"/>
  <c r="C369" i="1"/>
  <c r="N368" i="1"/>
  <c r="K368" i="1"/>
  <c r="J368" i="1"/>
  <c r="C368" i="1"/>
  <c r="K367" i="1"/>
  <c r="J367" i="1"/>
  <c r="G367" i="1"/>
  <c r="N367" i="1" s="1"/>
  <c r="J366" i="1"/>
  <c r="I366" i="1"/>
  <c r="Q366" i="1" s="1"/>
  <c r="C366" i="1"/>
  <c r="N365" i="1"/>
  <c r="K365" i="1"/>
  <c r="J365" i="1"/>
  <c r="C365" i="1"/>
  <c r="O364" i="1"/>
  <c r="N364" i="1"/>
  <c r="P364" i="1" s="1"/>
  <c r="K364" i="1"/>
  <c r="J364" i="1"/>
  <c r="C364" i="1"/>
  <c r="N363" i="1"/>
  <c r="P363" i="1" s="1"/>
  <c r="K363" i="1"/>
  <c r="J363" i="1"/>
  <c r="G363" i="1"/>
  <c r="Q362" i="1"/>
  <c r="J362" i="1"/>
  <c r="I362" i="1"/>
  <c r="C362" i="1"/>
  <c r="O361" i="1"/>
  <c r="N361" i="1"/>
  <c r="P361" i="1" s="1"/>
  <c r="K361" i="1"/>
  <c r="J361" i="1"/>
  <c r="C361" i="1"/>
  <c r="N360" i="1"/>
  <c r="P360" i="1" s="1"/>
  <c r="K360" i="1"/>
  <c r="J360" i="1"/>
  <c r="C360" i="1"/>
  <c r="P359" i="1"/>
  <c r="N359" i="1"/>
  <c r="O359" i="1" s="1"/>
  <c r="K359" i="1"/>
  <c r="J359" i="1"/>
  <c r="G359" i="1"/>
  <c r="J358" i="1"/>
  <c r="I358" i="1" s="1"/>
  <c r="Q358" i="1" s="1"/>
  <c r="C358" i="1"/>
  <c r="O357" i="1"/>
  <c r="N357" i="1"/>
  <c r="P357" i="1" s="1"/>
  <c r="K357" i="1"/>
  <c r="J357" i="1"/>
  <c r="C357" i="1"/>
  <c r="P356" i="1"/>
  <c r="N356" i="1"/>
  <c r="O356" i="1" s="1"/>
  <c r="K356" i="1"/>
  <c r="J356" i="1"/>
  <c r="C356" i="1"/>
  <c r="K355" i="1"/>
  <c r="J355" i="1"/>
  <c r="G355" i="1"/>
  <c r="N355" i="1" s="1"/>
  <c r="Q353" i="1"/>
  <c r="J353" i="1"/>
  <c r="I353" i="1" s="1"/>
  <c r="G353" i="1"/>
  <c r="C353" i="1"/>
  <c r="P352" i="1"/>
  <c r="O352" i="1"/>
  <c r="N352" i="1"/>
  <c r="K352" i="1"/>
  <c r="J352" i="1"/>
  <c r="C352" i="1"/>
  <c r="N351" i="1"/>
  <c r="P351" i="1" s="1"/>
  <c r="K351" i="1"/>
  <c r="J351" i="1"/>
  <c r="C351" i="1"/>
  <c r="P350" i="1"/>
  <c r="O350" i="1"/>
  <c r="N350" i="1"/>
  <c r="K350" i="1"/>
  <c r="J350" i="1"/>
  <c r="G349" i="1"/>
  <c r="J349" i="1" s="1"/>
  <c r="I349" i="1" s="1"/>
  <c r="Q349" i="1" s="1"/>
  <c r="C349" i="1"/>
  <c r="K348" i="1"/>
  <c r="J348" i="1"/>
  <c r="G348" i="1"/>
  <c r="C348" i="1"/>
  <c r="N347" i="1"/>
  <c r="K347" i="1"/>
  <c r="J347" i="1"/>
  <c r="G347" i="1"/>
  <c r="C347" i="1"/>
  <c r="N346" i="1"/>
  <c r="O346" i="1" s="1"/>
  <c r="K346" i="1"/>
  <c r="J346" i="1"/>
  <c r="J345" i="1"/>
  <c r="I345" i="1"/>
  <c r="Q345" i="1" s="1"/>
  <c r="G345" i="1"/>
  <c r="C345" i="1"/>
  <c r="O344" i="1"/>
  <c r="N344" i="1"/>
  <c r="P344" i="1" s="1"/>
  <c r="K344" i="1"/>
  <c r="J344" i="1"/>
  <c r="G344" i="1"/>
  <c r="C344" i="1"/>
  <c r="C343" i="1"/>
  <c r="N342" i="1"/>
  <c r="P342" i="1" s="1"/>
  <c r="K342" i="1"/>
  <c r="J342" i="1"/>
  <c r="J341" i="1"/>
  <c r="I341" i="1" s="1"/>
  <c r="Q341" i="1" s="1"/>
  <c r="C341" i="1"/>
  <c r="P340" i="1"/>
  <c r="N340" i="1"/>
  <c r="O340" i="1" s="1"/>
  <c r="K340" i="1"/>
  <c r="J340" i="1"/>
  <c r="G340" i="1"/>
  <c r="C340" i="1"/>
  <c r="K339" i="1"/>
  <c r="J339" i="1"/>
  <c r="G339" i="1"/>
  <c r="C339" i="1"/>
  <c r="N338" i="1"/>
  <c r="K338" i="1"/>
  <c r="J338" i="1"/>
  <c r="G338" i="1"/>
  <c r="J337" i="1"/>
  <c r="I337" i="1" s="1"/>
  <c r="Q337" i="1" s="1"/>
  <c r="C337" i="1"/>
  <c r="O336" i="1"/>
  <c r="N336" i="1"/>
  <c r="P336" i="1" s="1"/>
  <c r="K336" i="1"/>
  <c r="J336" i="1"/>
  <c r="C336" i="1"/>
  <c r="N335" i="1"/>
  <c r="K335" i="1"/>
  <c r="J335" i="1"/>
  <c r="C335" i="1"/>
  <c r="K334" i="1"/>
  <c r="J334" i="1"/>
  <c r="G334" i="1"/>
  <c r="N334" i="1" s="1"/>
  <c r="J333" i="1"/>
  <c r="I333" i="1" s="1"/>
  <c r="Q333" i="1" s="1"/>
  <c r="C333" i="1"/>
  <c r="N332" i="1"/>
  <c r="K332" i="1"/>
  <c r="J332" i="1"/>
  <c r="C332" i="1"/>
  <c r="P331" i="1"/>
  <c r="O331" i="1"/>
  <c r="N331" i="1"/>
  <c r="K331" i="1"/>
  <c r="J331" i="1"/>
  <c r="C331" i="1"/>
  <c r="O330" i="1"/>
  <c r="N330" i="1"/>
  <c r="P330" i="1" s="1"/>
  <c r="K330" i="1"/>
  <c r="J330" i="1"/>
  <c r="G330" i="1"/>
  <c r="Q329" i="1"/>
  <c r="J329" i="1"/>
  <c r="I329" i="1"/>
  <c r="C329" i="1"/>
  <c r="P328" i="1"/>
  <c r="O328" i="1"/>
  <c r="N328" i="1"/>
  <c r="K328" i="1"/>
  <c r="J328" i="1"/>
  <c r="C328" i="1"/>
  <c r="N327" i="1"/>
  <c r="P327" i="1" s="1"/>
  <c r="K327" i="1"/>
  <c r="J327" i="1"/>
  <c r="C327" i="1"/>
  <c r="P326" i="1"/>
  <c r="N326" i="1"/>
  <c r="O326" i="1" s="1"/>
  <c r="K326" i="1"/>
  <c r="J326" i="1"/>
  <c r="G326" i="1"/>
  <c r="J325" i="1"/>
  <c r="I325" i="1" s="1"/>
  <c r="Q325" i="1" s="1"/>
  <c r="C325" i="1"/>
  <c r="N324" i="1"/>
  <c r="P324" i="1" s="1"/>
  <c r="K324" i="1"/>
  <c r="J324" i="1"/>
  <c r="C324" i="1"/>
  <c r="P323" i="1"/>
  <c r="N323" i="1"/>
  <c r="O323" i="1" s="1"/>
  <c r="K323" i="1"/>
  <c r="J323" i="1"/>
  <c r="C323" i="1"/>
  <c r="K322" i="1"/>
  <c r="J322" i="1"/>
  <c r="G322" i="1"/>
  <c r="N322" i="1" s="1"/>
  <c r="Q321" i="1"/>
  <c r="J321" i="1"/>
  <c r="I321" i="1" s="1"/>
  <c r="C321" i="1"/>
  <c r="P320" i="1"/>
  <c r="N320" i="1"/>
  <c r="O320" i="1" s="1"/>
  <c r="K320" i="1"/>
  <c r="J320" i="1"/>
  <c r="C320" i="1"/>
  <c r="O319" i="1"/>
  <c r="N319" i="1"/>
  <c r="P319" i="1" s="1"/>
  <c r="K319" i="1"/>
  <c r="J319" i="1"/>
  <c r="C319" i="1"/>
  <c r="K318" i="1"/>
  <c r="J318" i="1"/>
  <c r="G318" i="1"/>
  <c r="N318" i="1" s="1"/>
  <c r="O318" i="1" s="1"/>
  <c r="J317" i="1"/>
  <c r="I317" i="1" s="1"/>
  <c r="Q317" i="1" s="1"/>
  <c r="C317" i="1"/>
  <c r="O316" i="1"/>
  <c r="N316" i="1"/>
  <c r="P316" i="1" s="1"/>
  <c r="K316" i="1"/>
  <c r="J316" i="1"/>
  <c r="C316" i="1"/>
  <c r="P315" i="1"/>
  <c r="O315" i="1"/>
  <c r="N315" i="1"/>
  <c r="K315" i="1"/>
  <c r="J315" i="1"/>
  <c r="C315" i="1"/>
  <c r="K314" i="1"/>
  <c r="J314" i="1"/>
  <c r="G314" i="1"/>
  <c r="N314" i="1" s="1"/>
  <c r="G312" i="1"/>
  <c r="J312" i="1" s="1"/>
  <c r="I312" i="1" s="1"/>
  <c r="Q312" i="1" s="1"/>
  <c r="P311" i="1"/>
  <c r="N311" i="1"/>
  <c r="O311" i="1" s="1"/>
  <c r="K311" i="1"/>
  <c r="J311" i="1"/>
  <c r="P310" i="1"/>
  <c r="O310" i="1"/>
  <c r="N310" i="1"/>
  <c r="K310" i="1"/>
  <c r="J310" i="1"/>
  <c r="O309" i="1"/>
  <c r="N309" i="1"/>
  <c r="P309" i="1" s="1"/>
  <c r="K309" i="1"/>
  <c r="J309" i="1"/>
  <c r="Q308" i="1"/>
  <c r="J308" i="1"/>
  <c r="I308" i="1" s="1"/>
  <c r="G308" i="1"/>
  <c r="S307" i="1"/>
  <c r="S308" i="1" s="1"/>
  <c r="P307" i="1"/>
  <c r="O307" i="1"/>
  <c r="N307" i="1"/>
  <c r="K307" i="1"/>
  <c r="J307" i="1"/>
  <c r="S306" i="1"/>
  <c r="N306" i="1"/>
  <c r="P306" i="1" s="1"/>
  <c r="K306" i="1"/>
  <c r="J306" i="1"/>
  <c r="P305" i="1"/>
  <c r="O305" i="1"/>
  <c r="N305" i="1"/>
  <c r="K305" i="1"/>
  <c r="J305" i="1"/>
  <c r="G304" i="1"/>
  <c r="J304" i="1" s="1"/>
  <c r="I304" i="1" s="1"/>
  <c r="Q304" i="1" s="1"/>
  <c r="N303" i="1"/>
  <c r="P303" i="1" s="1"/>
  <c r="K303" i="1"/>
  <c r="J303" i="1"/>
  <c r="S302" i="1"/>
  <c r="S303" i="1" s="1"/>
  <c r="S304" i="1" s="1"/>
  <c r="P302" i="1"/>
  <c r="O302" i="1"/>
  <c r="N302" i="1"/>
  <c r="K302" i="1"/>
  <c r="J302" i="1"/>
  <c r="P301" i="1"/>
  <c r="O301" i="1"/>
  <c r="N301" i="1"/>
  <c r="K301" i="1"/>
  <c r="J301" i="1"/>
  <c r="G300" i="1"/>
  <c r="J300" i="1" s="1"/>
  <c r="I300" i="1" s="1"/>
  <c r="Q300" i="1" s="1"/>
  <c r="S299" i="1"/>
  <c r="S300" i="1" s="1"/>
  <c r="P299" i="1"/>
  <c r="N299" i="1"/>
  <c r="O299" i="1" s="1"/>
  <c r="K299" i="1"/>
  <c r="J299" i="1"/>
  <c r="S298" i="1"/>
  <c r="N298" i="1"/>
  <c r="P298" i="1" s="1"/>
  <c r="K298" i="1"/>
  <c r="J298" i="1"/>
  <c r="O297" i="1"/>
  <c r="N297" i="1"/>
  <c r="P297" i="1" s="1"/>
  <c r="K297" i="1"/>
  <c r="J297" i="1"/>
  <c r="G296" i="1"/>
  <c r="J296" i="1" s="1"/>
  <c r="I296" i="1" s="1"/>
  <c r="Q296" i="1" s="1"/>
  <c r="S295" i="1"/>
  <c r="S296" i="1" s="1"/>
  <c r="N295" i="1"/>
  <c r="P295" i="1" s="1"/>
  <c r="K295" i="1"/>
  <c r="J295" i="1"/>
  <c r="S293" i="1"/>
  <c r="N293" i="1"/>
  <c r="K293" i="1"/>
  <c r="J293" i="1"/>
  <c r="G292" i="1"/>
  <c r="J292" i="1" s="1"/>
  <c r="I292" i="1" s="1"/>
  <c r="Q292" i="1" s="1"/>
  <c r="P291" i="1"/>
  <c r="N291" i="1"/>
  <c r="O291" i="1" s="1"/>
  <c r="K291" i="1"/>
  <c r="J291" i="1"/>
  <c r="N290" i="1"/>
  <c r="P290" i="1" s="1"/>
  <c r="K290" i="1"/>
  <c r="J290" i="1"/>
  <c r="P289" i="1"/>
  <c r="O289" i="1"/>
  <c r="N289" i="1"/>
  <c r="K289" i="1"/>
  <c r="J289" i="1"/>
  <c r="J288" i="1"/>
  <c r="I288" i="1" s="1"/>
  <c r="Q288" i="1" s="1"/>
  <c r="G288" i="1"/>
  <c r="N287" i="1"/>
  <c r="O287" i="1" s="1"/>
  <c r="K287" i="1"/>
  <c r="J287" i="1"/>
  <c r="N286" i="1"/>
  <c r="P286" i="1" s="1"/>
  <c r="K286" i="1"/>
  <c r="J286" i="1"/>
  <c r="O285" i="1"/>
  <c r="N285" i="1"/>
  <c r="P285" i="1" s="1"/>
  <c r="K285" i="1"/>
  <c r="J285" i="1"/>
  <c r="G284" i="1"/>
  <c r="J284" i="1" s="1"/>
  <c r="I284" i="1" s="1"/>
  <c r="Q284" i="1" s="1"/>
  <c r="P283" i="1"/>
  <c r="O283" i="1"/>
  <c r="N283" i="1"/>
  <c r="K283" i="1"/>
  <c r="J283" i="1"/>
  <c r="P281" i="1"/>
  <c r="N281" i="1"/>
  <c r="O281" i="1" s="1"/>
  <c r="K281" i="1"/>
  <c r="J281" i="1"/>
  <c r="J280" i="1"/>
  <c r="I280" i="1" s="1"/>
  <c r="Q280" i="1" s="1"/>
  <c r="G280" i="1"/>
  <c r="O279" i="1"/>
  <c r="N279" i="1"/>
  <c r="P279" i="1" s="1"/>
  <c r="K279" i="1"/>
  <c r="J279" i="1"/>
  <c r="P277" i="1"/>
  <c r="O277" i="1"/>
  <c r="N277" i="1"/>
  <c r="K277" i="1"/>
  <c r="J277" i="1"/>
  <c r="I276" i="1"/>
  <c r="Q276" i="1" s="1"/>
  <c r="G276" i="1"/>
  <c r="J276" i="1" s="1"/>
  <c r="N275" i="1"/>
  <c r="P275" i="1" s="1"/>
  <c r="K275" i="1"/>
  <c r="J275" i="1"/>
  <c r="N272" i="1"/>
  <c r="K272" i="1"/>
  <c r="I272" i="1"/>
  <c r="J272" i="1" s="1"/>
  <c r="G271" i="1"/>
  <c r="J271" i="1" s="1"/>
  <c r="I271" i="1" s="1"/>
  <c r="Q271" i="1" s="1"/>
  <c r="N270" i="1"/>
  <c r="P270" i="1" s="1"/>
  <c r="K270" i="1"/>
  <c r="J270" i="1"/>
  <c r="K268" i="1"/>
  <c r="J268" i="1"/>
  <c r="I268" i="1"/>
  <c r="N268" i="1" s="1"/>
  <c r="J267" i="1"/>
  <c r="I267" i="1"/>
  <c r="Q267" i="1" s="1"/>
  <c r="G267" i="1"/>
  <c r="P266" i="1"/>
  <c r="N266" i="1"/>
  <c r="O266" i="1" s="1"/>
  <c r="K266" i="1"/>
  <c r="J266" i="1"/>
  <c r="N265" i="1"/>
  <c r="P265" i="1" s="1"/>
  <c r="K265" i="1"/>
  <c r="J265" i="1"/>
  <c r="P264" i="1"/>
  <c r="N264" i="1"/>
  <c r="O264" i="1" s="1"/>
  <c r="K264" i="1"/>
  <c r="J264" i="1"/>
  <c r="I264" i="1"/>
  <c r="J263" i="1"/>
  <c r="I263" i="1" s="1"/>
  <c r="Q263" i="1" s="1"/>
  <c r="N262" i="1"/>
  <c r="O262" i="1" s="1"/>
  <c r="K262" i="1"/>
  <c r="J262" i="1"/>
  <c r="N261" i="1"/>
  <c r="P261" i="1" s="1"/>
  <c r="K261" i="1"/>
  <c r="J261" i="1"/>
  <c r="K260" i="1"/>
  <c r="J260" i="1"/>
  <c r="G260" i="1"/>
  <c r="N260" i="1" s="1"/>
  <c r="P260" i="1" s="1"/>
  <c r="G259" i="1"/>
  <c r="J259" i="1" s="1"/>
  <c r="I259" i="1" s="1"/>
  <c r="Q259" i="1" s="1"/>
  <c r="P258" i="1"/>
  <c r="O258" i="1"/>
  <c r="N258" i="1"/>
  <c r="K258" i="1"/>
  <c r="J258" i="1"/>
  <c r="S257" i="1"/>
  <c r="S258" i="1" s="1"/>
  <c r="S259" i="1" s="1"/>
  <c r="O257" i="1"/>
  <c r="N257" i="1"/>
  <c r="P257" i="1" s="1"/>
  <c r="K257" i="1"/>
  <c r="J257" i="1"/>
  <c r="O256" i="1"/>
  <c r="N256" i="1"/>
  <c r="P256" i="1" s="1"/>
  <c r="K256" i="1"/>
  <c r="J256" i="1"/>
  <c r="J255" i="1"/>
  <c r="I255" i="1" s="1"/>
  <c r="Q255" i="1" s="1"/>
  <c r="G255" i="1"/>
  <c r="O254" i="1"/>
  <c r="N254" i="1"/>
  <c r="P254" i="1" s="1"/>
  <c r="K254" i="1"/>
  <c r="J254" i="1"/>
  <c r="P253" i="1"/>
  <c r="N253" i="1"/>
  <c r="O253" i="1" s="1"/>
  <c r="K253" i="1"/>
  <c r="J253" i="1"/>
  <c r="N252" i="1"/>
  <c r="K252" i="1"/>
  <c r="J252" i="1"/>
  <c r="J251" i="1"/>
  <c r="I251" i="1"/>
  <c r="Q251" i="1" s="1"/>
  <c r="G251" i="1"/>
  <c r="P250" i="1"/>
  <c r="N250" i="1"/>
  <c r="O250" i="1" s="1"/>
  <c r="K250" i="1"/>
  <c r="J250" i="1"/>
  <c r="N248" i="1"/>
  <c r="P248" i="1" s="1"/>
  <c r="K248" i="1"/>
  <c r="J248" i="1"/>
  <c r="K247" i="1"/>
  <c r="I247" i="1"/>
  <c r="N247" i="1" s="1"/>
  <c r="O247" i="1" s="1"/>
  <c r="J246" i="1"/>
  <c r="I246" i="1" s="1"/>
  <c r="Q246" i="1" s="1"/>
  <c r="G246" i="1"/>
  <c r="N244" i="1"/>
  <c r="O244" i="1" s="1"/>
  <c r="K244" i="1"/>
  <c r="J244" i="1"/>
  <c r="N243" i="1"/>
  <c r="P243" i="1" s="1"/>
  <c r="K243" i="1"/>
  <c r="J243" i="1"/>
  <c r="G242" i="1"/>
  <c r="J242" i="1" s="1"/>
  <c r="I242" i="1" s="1"/>
  <c r="Q242" i="1" s="1"/>
  <c r="N241" i="1"/>
  <c r="P241" i="1" s="1"/>
  <c r="K241" i="1"/>
  <c r="J241" i="1"/>
  <c r="O240" i="1"/>
  <c r="N240" i="1"/>
  <c r="P240" i="1" s="1"/>
  <c r="K240" i="1"/>
  <c r="J240" i="1"/>
  <c r="P239" i="1"/>
  <c r="N239" i="1"/>
  <c r="O239" i="1" s="1"/>
  <c r="K239" i="1"/>
  <c r="J239" i="1"/>
  <c r="G238" i="1"/>
  <c r="J238" i="1" s="1"/>
  <c r="I238" i="1" s="1"/>
  <c r="Q238" i="1" s="1"/>
  <c r="O237" i="1"/>
  <c r="N237" i="1"/>
  <c r="P237" i="1" s="1"/>
  <c r="K237" i="1"/>
  <c r="J237" i="1"/>
  <c r="P236" i="1"/>
  <c r="O236" i="1"/>
  <c r="N236" i="1"/>
  <c r="K236" i="1"/>
  <c r="J236" i="1"/>
  <c r="P235" i="1"/>
  <c r="N235" i="1"/>
  <c r="O235" i="1" s="1"/>
  <c r="K235" i="1"/>
  <c r="I235" i="1"/>
  <c r="J235" i="1" s="1"/>
  <c r="G233" i="1"/>
  <c r="J233" i="1" s="1"/>
  <c r="I233" i="1" s="1"/>
  <c r="Q233" i="1" s="1"/>
  <c r="N232" i="1"/>
  <c r="P232" i="1" s="1"/>
  <c r="K232" i="1"/>
  <c r="J232" i="1"/>
  <c r="O231" i="1"/>
  <c r="N231" i="1"/>
  <c r="P231" i="1" s="1"/>
  <c r="K231" i="1"/>
  <c r="J231" i="1"/>
  <c r="P230" i="1"/>
  <c r="O230" i="1"/>
  <c r="N230" i="1"/>
  <c r="K230" i="1"/>
  <c r="J230" i="1"/>
  <c r="G229" i="1"/>
  <c r="J229" i="1" s="1"/>
  <c r="I229" i="1" s="1"/>
  <c r="Q229" i="1" s="1"/>
  <c r="P227" i="1"/>
  <c r="N227" i="1"/>
  <c r="O227" i="1" s="1"/>
  <c r="K227" i="1"/>
  <c r="J227" i="1"/>
  <c r="P226" i="1"/>
  <c r="N226" i="1"/>
  <c r="O226" i="1" s="1"/>
  <c r="K226" i="1"/>
  <c r="J226" i="1"/>
  <c r="J225" i="1"/>
  <c r="I225" i="1"/>
  <c r="Q225" i="1" s="1"/>
  <c r="G225" i="1"/>
  <c r="P224" i="1"/>
  <c r="O224" i="1"/>
  <c r="N224" i="1"/>
  <c r="K224" i="1"/>
  <c r="J224" i="1"/>
  <c r="N223" i="1"/>
  <c r="O223" i="1" s="1"/>
  <c r="K223" i="1"/>
  <c r="J223" i="1"/>
  <c r="N222" i="1"/>
  <c r="O222" i="1" s="1"/>
  <c r="K222" i="1"/>
  <c r="J222" i="1"/>
  <c r="O218" i="1"/>
  <c r="N218" i="1"/>
  <c r="P218" i="1" s="1"/>
  <c r="K218" i="1"/>
  <c r="J218" i="1"/>
  <c r="J217" i="1"/>
  <c r="I217" i="1" s="1"/>
  <c r="Q217" i="1" s="1"/>
  <c r="G217" i="1"/>
  <c r="N216" i="1"/>
  <c r="P216" i="1" s="1"/>
  <c r="K216" i="1"/>
  <c r="J216" i="1"/>
  <c r="P215" i="1"/>
  <c r="O215" i="1"/>
  <c r="N215" i="1"/>
  <c r="K215" i="1"/>
  <c r="J215" i="1"/>
  <c r="N214" i="1"/>
  <c r="P214" i="1" s="1"/>
  <c r="K214" i="1"/>
  <c r="J214" i="1"/>
  <c r="G213" i="1"/>
  <c r="J213" i="1" s="1"/>
  <c r="I213" i="1" s="1"/>
  <c r="Q213" i="1" s="1"/>
  <c r="O211" i="1"/>
  <c r="N211" i="1"/>
  <c r="P211" i="1" s="1"/>
  <c r="K211" i="1"/>
  <c r="J211" i="1"/>
  <c r="P210" i="1"/>
  <c r="O210" i="1"/>
  <c r="N210" i="1"/>
  <c r="K210" i="1"/>
  <c r="J210" i="1"/>
  <c r="G209" i="1"/>
  <c r="J209" i="1" s="1"/>
  <c r="I209" i="1" s="1"/>
  <c r="Q209" i="1" s="1"/>
  <c r="P208" i="1"/>
  <c r="O208" i="1"/>
  <c r="N208" i="1"/>
  <c r="K208" i="1"/>
  <c r="J208" i="1"/>
  <c r="N207" i="1"/>
  <c r="K207" i="1"/>
  <c r="J207" i="1"/>
  <c r="N206" i="1"/>
  <c r="K206" i="1"/>
  <c r="J206" i="1"/>
  <c r="J205" i="1"/>
  <c r="I205" i="1"/>
  <c r="Q205" i="1" s="1"/>
  <c r="G205" i="1"/>
  <c r="N204" i="1"/>
  <c r="P204" i="1" s="1"/>
  <c r="K204" i="1"/>
  <c r="J204" i="1"/>
  <c r="P203" i="1"/>
  <c r="O203" i="1"/>
  <c r="N203" i="1"/>
  <c r="K203" i="1"/>
  <c r="J203" i="1"/>
  <c r="O202" i="1"/>
  <c r="N202" i="1"/>
  <c r="P202" i="1" s="1"/>
  <c r="K202" i="1"/>
  <c r="J202" i="1"/>
  <c r="G201" i="1"/>
  <c r="J201" i="1" s="1"/>
  <c r="I201" i="1" s="1"/>
  <c r="Q201" i="1" s="1"/>
  <c r="N199" i="1"/>
  <c r="P199" i="1" s="1"/>
  <c r="K199" i="1"/>
  <c r="J199" i="1"/>
  <c r="O198" i="1"/>
  <c r="N198" i="1"/>
  <c r="P198" i="1" s="1"/>
  <c r="K198" i="1"/>
  <c r="J198" i="1"/>
  <c r="J197" i="1"/>
  <c r="I197" i="1" s="1"/>
  <c r="Q197" i="1" s="1"/>
  <c r="N195" i="1"/>
  <c r="P195" i="1" s="1"/>
  <c r="K195" i="1"/>
  <c r="J195" i="1"/>
  <c r="K194" i="1"/>
  <c r="J194" i="1"/>
  <c r="G194" i="1"/>
  <c r="N194" i="1" s="1"/>
  <c r="O194" i="1" s="1"/>
  <c r="J193" i="1"/>
  <c r="I193" i="1" s="1"/>
  <c r="Q193" i="1" s="1"/>
  <c r="N192" i="1"/>
  <c r="O192" i="1" s="1"/>
  <c r="K192" i="1"/>
  <c r="J192" i="1"/>
  <c r="N191" i="1"/>
  <c r="P191" i="1" s="1"/>
  <c r="K191" i="1"/>
  <c r="J191" i="1"/>
  <c r="O190" i="1"/>
  <c r="K190" i="1"/>
  <c r="J190" i="1"/>
  <c r="G190" i="1"/>
  <c r="N190" i="1" s="1"/>
  <c r="P190" i="1" s="1"/>
  <c r="J189" i="1"/>
  <c r="I189" i="1"/>
  <c r="Q189" i="1" s="1"/>
  <c r="O188" i="1"/>
  <c r="N188" i="1"/>
  <c r="P188" i="1" s="1"/>
  <c r="K188" i="1"/>
  <c r="J188" i="1"/>
  <c r="N187" i="1"/>
  <c r="P187" i="1" s="1"/>
  <c r="K187" i="1"/>
  <c r="J187" i="1"/>
  <c r="K186" i="1"/>
  <c r="J186" i="1"/>
  <c r="G186" i="1"/>
  <c r="N186" i="1" s="1"/>
  <c r="O186" i="1" s="1"/>
  <c r="G185" i="1"/>
  <c r="J185" i="1" s="1"/>
  <c r="I185" i="1" s="1"/>
  <c r="Q185" i="1" s="1"/>
  <c r="P184" i="1"/>
  <c r="O184" i="1"/>
  <c r="N184" i="1"/>
  <c r="K184" i="1"/>
  <c r="J184" i="1"/>
  <c r="O183" i="1"/>
  <c r="N183" i="1"/>
  <c r="P183" i="1" s="1"/>
  <c r="K183" i="1"/>
  <c r="J183" i="1"/>
  <c r="O182" i="1"/>
  <c r="N182" i="1"/>
  <c r="P182" i="1" s="1"/>
  <c r="K182" i="1"/>
  <c r="J182" i="1"/>
  <c r="J181" i="1"/>
  <c r="I181" i="1" s="1"/>
  <c r="Q181" i="1" s="1"/>
  <c r="N180" i="1"/>
  <c r="K180" i="1"/>
  <c r="J180" i="1"/>
  <c r="N179" i="1"/>
  <c r="P179" i="1" s="1"/>
  <c r="K179" i="1"/>
  <c r="J179" i="1"/>
  <c r="K178" i="1"/>
  <c r="J178" i="1"/>
  <c r="G178" i="1"/>
  <c r="N178" i="1" s="1"/>
  <c r="J177" i="1"/>
  <c r="I177" i="1"/>
  <c r="Q177" i="1" s="1"/>
  <c r="G177" i="1"/>
  <c r="P175" i="1"/>
  <c r="N175" i="1"/>
  <c r="O175" i="1" s="1"/>
  <c r="K175" i="1"/>
  <c r="J175" i="1"/>
  <c r="N174" i="1"/>
  <c r="P174" i="1" s="1"/>
  <c r="K174" i="1"/>
  <c r="J174" i="1"/>
  <c r="J173" i="1"/>
  <c r="I173" i="1" s="1"/>
  <c r="Q173" i="1" s="1"/>
  <c r="P172" i="1"/>
  <c r="O172" i="1"/>
  <c r="N172" i="1"/>
  <c r="K172" i="1"/>
  <c r="J172" i="1"/>
  <c r="N171" i="1"/>
  <c r="P171" i="1" s="1"/>
  <c r="K171" i="1"/>
  <c r="J171" i="1"/>
  <c r="N170" i="1"/>
  <c r="K170" i="1"/>
  <c r="J170" i="1"/>
  <c r="G170" i="1"/>
  <c r="J168" i="1"/>
  <c r="I168" i="1" s="1"/>
  <c r="Q168" i="1" s="1"/>
  <c r="C168" i="1"/>
  <c r="N167" i="1"/>
  <c r="P167" i="1" s="1"/>
  <c r="K167" i="1"/>
  <c r="J167" i="1"/>
  <c r="C167" i="1"/>
  <c r="N166" i="1"/>
  <c r="K166" i="1"/>
  <c r="J166" i="1"/>
  <c r="C166" i="1"/>
  <c r="O165" i="1"/>
  <c r="K165" i="1"/>
  <c r="I165" i="1"/>
  <c r="N165" i="1" s="1"/>
  <c r="P165" i="1" s="1"/>
  <c r="G164" i="1"/>
  <c r="J164" i="1" s="1"/>
  <c r="I164" i="1" s="1"/>
  <c r="Q164" i="1" s="1"/>
  <c r="P163" i="1"/>
  <c r="O163" i="1"/>
  <c r="N163" i="1"/>
  <c r="K163" i="1"/>
  <c r="J163" i="1"/>
  <c r="P162" i="1"/>
  <c r="N162" i="1"/>
  <c r="O162" i="1" s="1"/>
  <c r="K162" i="1"/>
  <c r="J162" i="1"/>
  <c r="P161" i="1"/>
  <c r="O161" i="1"/>
  <c r="N161" i="1"/>
  <c r="K161" i="1"/>
  <c r="J161" i="1"/>
  <c r="J160" i="1"/>
  <c r="I160" i="1"/>
  <c r="Q160" i="1" s="1"/>
  <c r="G160" i="1"/>
  <c r="P159" i="1"/>
  <c r="O159" i="1"/>
  <c r="N159" i="1"/>
  <c r="K159" i="1"/>
  <c r="J159" i="1"/>
  <c r="N158" i="1"/>
  <c r="O158" i="1" s="1"/>
  <c r="K158" i="1"/>
  <c r="J158" i="1"/>
  <c r="N157" i="1"/>
  <c r="O157" i="1" s="1"/>
  <c r="K157" i="1"/>
  <c r="J157" i="1"/>
  <c r="J156" i="1"/>
  <c r="I156" i="1" s="1"/>
  <c r="Q156" i="1" s="1"/>
  <c r="G156" i="1"/>
  <c r="N155" i="1"/>
  <c r="K155" i="1"/>
  <c r="J155" i="1"/>
  <c r="N154" i="1"/>
  <c r="P154" i="1" s="1"/>
  <c r="K154" i="1"/>
  <c r="J154" i="1"/>
  <c r="P153" i="1"/>
  <c r="O153" i="1"/>
  <c r="N153" i="1"/>
  <c r="K153" i="1"/>
  <c r="J153" i="1"/>
  <c r="G152" i="1"/>
  <c r="J152" i="1" s="1"/>
  <c r="I152" i="1" s="1"/>
  <c r="Q152" i="1" s="1"/>
  <c r="N151" i="1"/>
  <c r="N150" i="1"/>
  <c r="J148" i="1"/>
  <c r="I148" i="1" s="1"/>
  <c r="Q148" i="1" s="1"/>
  <c r="G148" i="1"/>
  <c r="N147" i="1"/>
  <c r="P147" i="1" s="1"/>
  <c r="K147" i="1"/>
  <c r="J147" i="1"/>
  <c r="P146" i="1"/>
  <c r="N146" i="1"/>
  <c r="O146" i="1" s="1"/>
  <c r="K146" i="1"/>
  <c r="J146" i="1"/>
  <c r="P145" i="1"/>
  <c r="O145" i="1"/>
  <c r="N145" i="1"/>
  <c r="K145" i="1"/>
  <c r="J145" i="1"/>
  <c r="G144" i="1"/>
  <c r="J144" i="1" s="1"/>
  <c r="I144" i="1" s="1"/>
  <c r="Q144" i="1" s="1"/>
  <c r="O143" i="1"/>
  <c r="N143" i="1"/>
  <c r="P143" i="1" s="1"/>
  <c r="K143" i="1"/>
  <c r="J143" i="1"/>
  <c r="O142" i="1"/>
  <c r="N142" i="1"/>
  <c r="P142" i="1" s="1"/>
  <c r="K142" i="1"/>
  <c r="J142" i="1"/>
  <c r="P141" i="1"/>
  <c r="N141" i="1"/>
  <c r="O141" i="1" s="1"/>
  <c r="K141" i="1"/>
  <c r="J141" i="1"/>
  <c r="G140" i="1"/>
  <c r="J140" i="1" s="1"/>
  <c r="I140" i="1" s="1"/>
  <c r="Q140" i="1" s="1"/>
  <c r="P139" i="1"/>
  <c r="O139" i="1"/>
  <c r="N139" i="1"/>
  <c r="K139" i="1"/>
  <c r="J139" i="1"/>
  <c r="P138" i="1"/>
  <c r="N138" i="1"/>
  <c r="O138" i="1" s="1"/>
  <c r="K138" i="1"/>
  <c r="J138" i="1"/>
  <c r="N137" i="1"/>
  <c r="P137" i="1" s="1"/>
  <c r="K137" i="1"/>
  <c r="J137" i="1"/>
  <c r="J136" i="1"/>
  <c r="I136" i="1" s="1"/>
  <c r="Q136" i="1" s="1"/>
  <c r="G136" i="1"/>
  <c r="N135" i="1"/>
  <c r="O135" i="1" s="1"/>
  <c r="K135" i="1"/>
  <c r="J135" i="1"/>
  <c r="N134" i="1"/>
  <c r="O134" i="1" s="1"/>
  <c r="K134" i="1"/>
  <c r="J134" i="1"/>
  <c r="O133" i="1"/>
  <c r="N133" i="1"/>
  <c r="P133" i="1" s="1"/>
  <c r="K133" i="1"/>
  <c r="J133" i="1"/>
  <c r="J132" i="1"/>
  <c r="I132" i="1" s="1"/>
  <c r="Q132" i="1" s="1"/>
  <c r="G132" i="1"/>
  <c r="O131" i="1"/>
  <c r="N131" i="1"/>
  <c r="P131" i="1" s="1"/>
  <c r="K131" i="1"/>
  <c r="J131" i="1"/>
  <c r="O130" i="1"/>
  <c r="N130" i="1"/>
  <c r="P130" i="1" s="1"/>
  <c r="K130" i="1"/>
  <c r="J130" i="1"/>
  <c r="P129" i="1"/>
  <c r="O129" i="1"/>
  <c r="N129" i="1"/>
  <c r="K129" i="1"/>
  <c r="J129" i="1"/>
  <c r="J128" i="1"/>
  <c r="I128" i="1" s="1"/>
  <c r="Q128" i="1" s="1"/>
  <c r="G128" i="1"/>
  <c r="O127" i="1"/>
  <c r="N127" i="1"/>
  <c r="P127" i="1" s="1"/>
  <c r="K127" i="1"/>
  <c r="J127" i="1"/>
  <c r="P126" i="1"/>
  <c r="O126" i="1"/>
  <c r="N126" i="1"/>
  <c r="K126" i="1"/>
  <c r="J126" i="1"/>
  <c r="N125" i="1"/>
  <c r="O125" i="1" s="1"/>
  <c r="K125" i="1"/>
  <c r="J125" i="1"/>
  <c r="J123" i="1"/>
  <c r="I123" i="1" s="1"/>
  <c r="Q123" i="1" s="1"/>
  <c r="N122" i="1"/>
  <c r="K122" i="1"/>
  <c r="J122" i="1"/>
  <c r="P121" i="1"/>
  <c r="O121" i="1"/>
  <c r="N121" i="1"/>
  <c r="K121" i="1"/>
  <c r="J121" i="1"/>
  <c r="K120" i="1"/>
  <c r="G120" i="1"/>
  <c r="J119" i="1"/>
  <c r="J118" i="1"/>
  <c r="I118" i="1"/>
  <c r="Q118" i="1" s="1"/>
  <c r="O117" i="1"/>
  <c r="N117" i="1"/>
  <c r="P117" i="1" s="1"/>
  <c r="K117" i="1"/>
  <c r="J117" i="1"/>
  <c r="O116" i="1"/>
  <c r="N116" i="1"/>
  <c r="P116" i="1" s="1"/>
  <c r="K116" i="1"/>
  <c r="J116" i="1"/>
  <c r="P115" i="1"/>
  <c r="K115" i="1"/>
  <c r="J115" i="1"/>
  <c r="G115" i="1"/>
  <c r="N115" i="1" s="1"/>
  <c r="O115" i="1" s="1"/>
  <c r="J114" i="1"/>
  <c r="I114" i="1" s="1"/>
  <c r="Q114" i="1" s="1"/>
  <c r="P113" i="1"/>
  <c r="O113" i="1"/>
  <c r="N113" i="1"/>
  <c r="K113" i="1"/>
  <c r="J113" i="1"/>
  <c r="J112" i="1"/>
  <c r="N111" i="1"/>
  <c r="P111" i="1" s="1"/>
  <c r="K111" i="1"/>
  <c r="J111" i="1"/>
  <c r="J110" i="1"/>
  <c r="I110" i="1" s="1"/>
  <c r="Q110" i="1" s="1"/>
  <c r="G110" i="1"/>
  <c r="P109" i="1"/>
  <c r="O109" i="1"/>
  <c r="N109" i="1"/>
  <c r="K109" i="1"/>
  <c r="J109" i="1"/>
  <c r="O108" i="1"/>
  <c r="N108" i="1"/>
  <c r="P108" i="1" s="1"/>
  <c r="K108" i="1"/>
  <c r="J108" i="1"/>
  <c r="K107" i="1"/>
  <c r="J107" i="1"/>
  <c r="G107" i="1"/>
  <c r="N107" i="1" s="1"/>
  <c r="J105" i="1"/>
  <c r="I105" i="1" s="1"/>
  <c r="Q105" i="1" s="1"/>
  <c r="G105" i="1"/>
  <c r="N104" i="1"/>
  <c r="P104" i="1" s="1"/>
  <c r="K104" i="1"/>
  <c r="J104" i="1"/>
  <c r="P103" i="1"/>
  <c r="O103" i="1"/>
  <c r="N103" i="1"/>
  <c r="K103" i="1"/>
  <c r="J103" i="1"/>
  <c r="O102" i="1"/>
  <c r="N102" i="1"/>
  <c r="P102" i="1" s="1"/>
  <c r="K102" i="1"/>
  <c r="J102" i="1"/>
  <c r="G101" i="1"/>
  <c r="J101" i="1" s="1"/>
  <c r="I101" i="1" s="1"/>
  <c r="Q101" i="1" s="1"/>
  <c r="O100" i="1"/>
  <c r="N100" i="1"/>
  <c r="P100" i="1" s="1"/>
  <c r="K100" i="1"/>
  <c r="J100" i="1"/>
  <c r="P99" i="1"/>
  <c r="O99" i="1"/>
  <c r="N99" i="1"/>
  <c r="K99" i="1"/>
  <c r="J99" i="1"/>
  <c r="K98" i="1"/>
  <c r="J98" i="1"/>
  <c r="G98" i="1"/>
  <c r="N98" i="1" s="1"/>
  <c r="J97" i="1"/>
  <c r="I97" i="1"/>
  <c r="Q97" i="1" s="1"/>
  <c r="G97" i="1"/>
  <c r="N96" i="1"/>
  <c r="K96" i="1"/>
  <c r="J96" i="1"/>
  <c r="O95" i="1"/>
  <c r="N95" i="1"/>
  <c r="P95" i="1" s="1"/>
  <c r="K95" i="1"/>
  <c r="J95" i="1"/>
  <c r="O94" i="1"/>
  <c r="N94" i="1"/>
  <c r="P94" i="1" s="1"/>
  <c r="K94" i="1"/>
  <c r="J94" i="1"/>
  <c r="G92" i="1"/>
  <c r="J92" i="1" s="1"/>
  <c r="I92" i="1" s="1"/>
  <c r="Q92" i="1" s="1"/>
  <c r="O91" i="1"/>
  <c r="N91" i="1"/>
  <c r="P91" i="1" s="1"/>
  <c r="K91" i="1"/>
  <c r="J91" i="1"/>
  <c r="N90" i="1"/>
  <c r="P90" i="1" s="1"/>
  <c r="K90" i="1"/>
  <c r="J90" i="1"/>
  <c r="P89" i="1"/>
  <c r="O89" i="1"/>
  <c r="N89" i="1"/>
  <c r="K89" i="1"/>
  <c r="J89" i="1"/>
  <c r="G88" i="1"/>
  <c r="J88" i="1" s="1"/>
  <c r="I88" i="1" s="1"/>
  <c r="Q88" i="1" s="1"/>
  <c r="P87" i="1"/>
  <c r="O87" i="1"/>
  <c r="N87" i="1"/>
  <c r="K87" i="1"/>
  <c r="J87" i="1"/>
  <c r="N86" i="1"/>
  <c r="K86" i="1"/>
  <c r="J86" i="1"/>
  <c r="N85" i="1"/>
  <c r="K85" i="1"/>
  <c r="J85" i="1"/>
  <c r="J84" i="1"/>
  <c r="I84" i="1" s="1"/>
  <c r="Q84" i="1" s="1"/>
  <c r="G84" i="1"/>
  <c r="N83" i="1"/>
  <c r="P83" i="1" s="1"/>
  <c r="K83" i="1"/>
  <c r="J83" i="1"/>
  <c r="P82" i="1"/>
  <c r="O82" i="1"/>
  <c r="N82" i="1"/>
  <c r="K82" i="1"/>
  <c r="J82" i="1"/>
  <c r="O81" i="1"/>
  <c r="N81" i="1"/>
  <c r="P81" i="1" s="1"/>
  <c r="K81" i="1"/>
  <c r="J81" i="1"/>
  <c r="G80" i="1"/>
  <c r="J80" i="1" s="1"/>
  <c r="I80" i="1" s="1"/>
  <c r="Q80" i="1" s="1"/>
  <c r="N79" i="1"/>
  <c r="P79" i="1" s="1"/>
  <c r="K79" i="1"/>
  <c r="J79" i="1"/>
  <c r="O78" i="1"/>
  <c r="N78" i="1"/>
  <c r="P78" i="1" s="1"/>
  <c r="K78" i="1"/>
  <c r="J78" i="1"/>
  <c r="P77" i="1"/>
  <c r="O77" i="1"/>
  <c r="N77" i="1"/>
  <c r="K77" i="1"/>
  <c r="J77" i="1"/>
  <c r="G76" i="1"/>
  <c r="J76" i="1" s="1"/>
  <c r="I76" i="1" s="1"/>
  <c r="Q76" i="1" s="1"/>
  <c r="C76" i="1"/>
  <c r="N75" i="1"/>
  <c r="K75" i="1"/>
  <c r="J75" i="1"/>
  <c r="C75" i="1"/>
  <c r="P74" i="1"/>
  <c r="O74" i="1"/>
  <c r="N74" i="1"/>
  <c r="K74" i="1"/>
  <c r="J74" i="1"/>
  <c r="C74" i="1"/>
  <c r="N73" i="1"/>
  <c r="P73" i="1" s="1"/>
  <c r="K73" i="1"/>
  <c r="J73" i="1"/>
  <c r="J72" i="1"/>
  <c r="I72" i="1" s="1"/>
  <c r="Q72" i="1" s="1"/>
  <c r="C72" i="1"/>
  <c r="P71" i="1"/>
  <c r="O71" i="1"/>
  <c r="N71" i="1"/>
  <c r="K71" i="1"/>
  <c r="J71" i="1"/>
  <c r="C71" i="1"/>
  <c r="N70" i="1"/>
  <c r="K70" i="1"/>
  <c r="J70" i="1"/>
  <c r="C70" i="1"/>
  <c r="N69" i="1"/>
  <c r="P69" i="1" s="1"/>
  <c r="J69" i="1"/>
  <c r="G69" i="1"/>
  <c r="J68" i="1"/>
  <c r="I68" i="1" s="1"/>
  <c r="Q68" i="1" s="1"/>
  <c r="C68" i="1"/>
  <c r="P67" i="1"/>
  <c r="O67" i="1"/>
  <c r="N67" i="1"/>
  <c r="K67" i="1"/>
  <c r="J67" i="1"/>
  <c r="C67" i="1"/>
  <c r="N66" i="1"/>
  <c r="O66" i="1" s="1"/>
  <c r="K66" i="1"/>
  <c r="J66" i="1"/>
  <c r="C66" i="1"/>
  <c r="K65" i="1"/>
  <c r="J65" i="1"/>
  <c r="G65" i="1"/>
  <c r="N65" i="1" s="1"/>
  <c r="J64" i="1"/>
  <c r="I64" i="1"/>
  <c r="Q64" i="1" s="1"/>
  <c r="C64" i="1"/>
  <c r="P63" i="1"/>
  <c r="N63" i="1"/>
  <c r="O63" i="1" s="1"/>
  <c r="K63" i="1"/>
  <c r="J63" i="1"/>
  <c r="C63" i="1"/>
  <c r="N62" i="1"/>
  <c r="O62" i="1" s="1"/>
  <c r="K62" i="1"/>
  <c r="J62" i="1"/>
  <c r="C62" i="1"/>
  <c r="N61" i="1"/>
  <c r="P61" i="1" s="1"/>
  <c r="K61" i="1"/>
  <c r="J61" i="1"/>
  <c r="G61" i="1"/>
  <c r="G59" i="1"/>
  <c r="J59" i="1" s="1"/>
  <c r="I59" i="1" s="1"/>
  <c r="Q59" i="1" s="1"/>
  <c r="C59" i="1"/>
  <c r="N58" i="1"/>
  <c r="O58" i="1" s="1"/>
  <c r="K58" i="1"/>
  <c r="J58" i="1"/>
  <c r="C58" i="1"/>
  <c r="P57" i="1"/>
  <c r="O57" i="1"/>
  <c r="N57" i="1"/>
  <c r="K57" i="1"/>
  <c r="J57" i="1"/>
  <c r="C57" i="1"/>
  <c r="N56" i="1"/>
  <c r="P56" i="1" s="1"/>
  <c r="K56" i="1"/>
  <c r="J56" i="1"/>
  <c r="J55" i="1"/>
  <c r="I55" i="1" s="1"/>
  <c r="Q55" i="1" s="1"/>
  <c r="G55" i="1"/>
  <c r="C55" i="1"/>
  <c r="P54" i="1"/>
  <c r="O54" i="1"/>
  <c r="N54" i="1"/>
  <c r="K54" i="1"/>
  <c r="J54" i="1"/>
  <c r="C54" i="1"/>
  <c r="N53" i="1"/>
  <c r="P53" i="1" s="1"/>
  <c r="K53" i="1"/>
  <c r="J53" i="1"/>
  <c r="C53" i="1"/>
  <c r="P52" i="1"/>
  <c r="N52" i="1"/>
  <c r="O52" i="1" s="1"/>
  <c r="K52" i="1"/>
  <c r="J52" i="1"/>
  <c r="G51" i="1"/>
  <c r="J51" i="1" s="1"/>
  <c r="I51" i="1" s="1"/>
  <c r="Q51" i="1" s="1"/>
  <c r="C51" i="1"/>
  <c r="N50" i="1"/>
  <c r="P50" i="1" s="1"/>
  <c r="K50" i="1"/>
  <c r="J50" i="1"/>
  <c r="C50" i="1"/>
  <c r="P49" i="1"/>
  <c r="N49" i="1"/>
  <c r="O49" i="1" s="1"/>
  <c r="K49" i="1"/>
  <c r="J49" i="1"/>
  <c r="C49" i="1"/>
  <c r="N48" i="1"/>
  <c r="P48" i="1" s="1"/>
  <c r="K48" i="1"/>
  <c r="J48" i="1"/>
  <c r="J47" i="1"/>
  <c r="I47" i="1"/>
  <c r="Q47" i="1" s="1"/>
  <c r="G47" i="1"/>
  <c r="C47" i="1"/>
  <c r="P46" i="1"/>
  <c r="N46" i="1"/>
  <c r="O46" i="1" s="1"/>
  <c r="K46" i="1"/>
  <c r="J46" i="1"/>
  <c r="C46" i="1"/>
  <c r="N45" i="1"/>
  <c r="P45" i="1" s="1"/>
  <c r="K45" i="1"/>
  <c r="J45" i="1"/>
  <c r="C45" i="1"/>
  <c r="P44" i="1"/>
  <c r="O44" i="1"/>
  <c r="N44" i="1"/>
  <c r="K44" i="1"/>
  <c r="J44" i="1"/>
  <c r="J43" i="1"/>
  <c r="I43" i="1"/>
  <c r="Q43" i="1" s="1"/>
  <c r="G43" i="1"/>
  <c r="C43" i="1"/>
  <c r="N42" i="1"/>
  <c r="P42" i="1" s="1"/>
  <c r="K42" i="1"/>
  <c r="J42" i="1"/>
  <c r="C42" i="1"/>
  <c r="P41" i="1"/>
  <c r="O41" i="1"/>
  <c r="N41" i="1"/>
  <c r="K41" i="1"/>
  <c r="J41" i="1"/>
  <c r="C41" i="1"/>
  <c r="P40" i="1"/>
  <c r="O40" i="1"/>
  <c r="N40" i="1"/>
  <c r="K40" i="1"/>
  <c r="J40" i="1"/>
  <c r="J39" i="1"/>
  <c r="I39" i="1" s="1"/>
  <c r="Q39" i="1" s="1"/>
  <c r="G39" i="1"/>
  <c r="C39" i="1"/>
  <c r="C38" i="1"/>
  <c r="N37" i="1"/>
  <c r="P37" i="1" s="1"/>
  <c r="K37" i="1"/>
  <c r="J37" i="1"/>
  <c r="C37" i="1"/>
  <c r="P36" i="1"/>
  <c r="N36" i="1"/>
  <c r="O36" i="1" s="1"/>
  <c r="K36" i="1"/>
  <c r="J36" i="1"/>
  <c r="J35" i="1"/>
  <c r="I35" i="1" s="1"/>
  <c r="Q35" i="1" s="1"/>
  <c r="G35" i="1"/>
  <c r="C35" i="1"/>
  <c r="N34" i="1"/>
  <c r="P34" i="1" s="1"/>
  <c r="K34" i="1"/>
  <c r="J34" i="1"/>
  <c r="C34" i="1"/>
  <c r="P33" i="1"/>
  <c r="N33" i="1"/>
  <c r="O33" i="1" s="1"/>
  <c r="K33" i="1"/>
  <c r="J33" i="1"/>
  <c r="C33" i="1"/>
  <c r="P32" i="1"/>
  <c r="O32" i="1"/>
  <c r="N32" i="1"/>
  <c r="K32" i="1"/>
  <c r="J32" i="1"/>
  <c r="J31" i="1"/>
  <c r="I31" i="1"/>
  <c r="Q31" i="1" s="1"/>
  <c r="C31" i="1"/>
  <c r="P30" i="1"/>
  <c r="O30" i="1"/>
  <c r="N30" i="1"/>
  <c r="K30" i="1"/>
  <c r="J30" i="1"/>
  <c r="C30" i="1"/>
  <c r="P29" i="1"/>
  <c r="O29" i="1"/>
  <c r="N29" i="1"/>
  <c r="K29" i="1"/>
  <c r="J29" i="1"/>
  <c r="C29" i="1"/>
  <c r="N28" i="1"/>
  <c r="O28" i="1" s="1"/>
  <c r="K28" i="1"/>
  <c r="J28" i="1"/>
  <c r="G28" i="1"/>
  <c r="J27" i="1"/>
  <c r="I27" i="1" s="1"/>
  <c r="Q27" i="1" s="1"/>
  <c r="C27" i="1"/>
  <c r="P26" i="1"/>
  <c r="O26" i="1"/>
  <c r="N26" i="1"/>
  <c r="K26" i="1"/>
  <c r="J26" i="1"/>
  <c r="C26" i="1"/>
  <c r="N25" i="1"/>
  <c r="O25" i="1" s="1"/>
  <c r="K25" i="1"/>
  <c r="J25" i="1"/>
  <c r="C25" i="1"/>
  <c r="K24" i="1"/>
  <c r="J24" i="1"/>
  <c r="G24" i="1"/>
  <c r="G714" i="1" s="1"/>
  <c r="J23" i="1"/>
  <c r="I23" i="1"/>
  <c r="Q23" i="1" s="1"/>
  <c r="C23" i="1"/>
  <c r="N22" i="1"/>
  <c r="O22" i="1" s="1"/>
  <c r="K22" i="1"/>
  <c r="J22" i="1"/>
  <c r="C22" i="1"/>
  <c r="P21" i="1"/>
  <c r="O21" i="1"/>
  <c r="N21" i="1"/>
  <c r="K21" i="1"/>
  <c r="J21" i="1"/>
  <c r="C21" i="1"/>
  <c r="K20" i="1"/>
  <c r="J20" i="1"/>
  <c r="G20" i="1"/>
  <c r="N20" i="1" s="1"/>
  <c r="Q19" i="1"/>
  <c r="J19" i="1"/>
  <c r="I19" i="1"/>
  <c r="C19" i="1"/>
  <c r="P18" i="1"/>
  <c r="O18" i="1"/>
  <c r="N18" i="1"/>
  <c r="K18" i="1"/>
  <c r="J18" i="1"/>
  <c r="C18" i="1"/>
  <c r="N17" i="1"/>
  <c r="P17" i="1" s="1"/>
  <c r="K17" i="1"/>
  <c r="J17" i="1"/>
  <c r="C17" i="1"/>
  <c r="K16" i="1"/>
  <c r="J16" i="1"/>
  <c r="G16" i="1"/>
  <c r="N16" i="1" s="1"/>
  <c r="J15" i="1"/>
  <c r="I15" i="1"/>
  <c r="Q15" i="1" s="1"/>
  <c r="C15" i="1"/>
  <c r="N14" i="1"/>
  <c r="P14" i="1" s="1"/>
  <c r="K14" i="1"/>
  <c r="J14" i="1"/>
  <c r="C14" i="1"/>
  <c r="P13" i="1"/>
  <c r="N13" i="1"/>
  <c r="O13" i="1" s="1"/>
  <c r="K13" i="1"/>
  <c r="J13" i="1"/>
  <c r="C13" i="1"/>
  <c r="N12" i="1"/>
  <c r="P12" i="1" s="1"/>
  <c r="K12" i="1"/>
  <c r="J12" i="1"/>
  <c r="G12" i="1"/>
  <c r="J11" i="1"/>
  <c r="I11" i="1" s="1"/>
  <c r="Q11" i="1" s="1"/>
  <c r="C11" i="1"/>
  <c r="P10" i="1"/>
  <c r="N10" i="1"/>
  <c r="O10" i="1" s="1"/>
  <c r="K10" i="1"/>
  <c r="J10" i="1"/>
  <c r="C10" i="1"/>
  <c r="N9" i="1"/>
  <c r="P9" i="1" s="1"/>
  <c r="K9" i="1"/>
  <c r="J9" i="1"/>
  <c r="C9" i="1"/>
  <c r="AI8" i="1"/>
  <c r="N8" i="1"/>
  <c r="O8" i="1" s="1"/>
  <c r="K8" i="1"/>
  <c r="J8" i="1"/>
  <c r="G8" i="1"/>
  <c r="Q698" i="1" l="1"/>
  <c r="O16" i="1"/>
  <c r="P16" i="1"/>
  <c r="P20" i="1"/>
  <c r="O20" i="1"/>
  <c r="O65" i="1"/>
  <c r="P65" i="1"/>
  <c r="P22" i="1"/>
  <c r="P25" i="1"/>
  <c r="P28" i="1"/>
  <c r="O34" i="1"/>
  <c r="O37" i="1"/>
  <c r="P58" i="1"/>
  <c r="P62" i="1"/>
  <c r="O69" i="1"/>
  <c r="O73" i="1"/>
  <c r="P122" i="1"/>
  <c r="O122" i="1"/>
  <c r="P158" i="1"/>
  <c r="P223" i="1"/>
  <c r="O243" i="1"/>
  <c r="P293" i="1"/>
  <c r="O293" i="1"/>
  <c r="P347" i="1"/>
  <c r="O347" i="1"/>
  <c r="O363" i="1"/>
  <c r="P411" i="1"/>
  <c r="O411" i="1"/>
  <c r="P538" i="1"/>
  <c r="O538" i="1"/>
  <c r="P554" i="1"/>
  <c r="O554" i="1"/>
  <c r="O111" i="1"/>
  <c r="P371" i="1"/>
  <c r="O371" i="1"/>
  <c r="O476" i="1"/>
  <c r="O525" i="1"/>
  <c r="P550" i="1"/>
  <c r="O550" i="1"/>
  <c r="P206" i="1"/>
  <c r="O206" i="1"/>
  <c r="O360" i="1"/>
  <c r="P387" i="1"/>
  <c r="O387" i="1"/>
  <c r="P407" i="1"/>
  <c r="O407" i="1"/>
  <c r="O495" i="1"/>
  <c r="O327" i="1"/>
  <c r="P375" i="1"/>
  <c r="O375" i="1"/>
  <c r="O564" i="1"/>
  <c r="P432" i="1"/>
  <c r="O432" i="1"/>
  <c r="P440" i="1"/>
  <c r="O440" i="1"/>
  <c r="P506" i="1"/>
  <c r="O506" i="1"/>
  <c r="P335" i="1"/>
  <c r="O335" i="1"/>
  <c r="N348" i="1"/>
  <c r="G700" i="1"/>
  <c r="O448" i="1"/>
  <c r="P661" i="1"/>
  <c r="O661" i="1"/>
  <c r="O14" i="1"/>
  <c r="O17" i="1"/>
  <c r="G713" i="1"/>
  <c r="G698" i="1"/>
  <c r="O50" i="1"/>
  <c r="O53" i="1"/>
  <c r="O56" i="1"/>
  <c r="P66" i="1"/>
  <c r="P98" i="1"/>
  <c r="O98" i="1"/>
  <c r="P194" i="1"/>
  <c r="O260" i="1"/>
  <c r="O324" i="1"/>
  <c r="P368" i="1"/>
  <c r="O368" i="1"/>
  <c r="P397" i="1"/>
  <c r="O397" i="1"/>
  <c r="P562" i="1"/>
  <c r="O562" i="1"/>
  <c r="O592" i="1"/>
  <c r="O534" i="1"/>
  <c r="P546" i="1"/>
  <c r="O546" i="1"/>
  <c r="P70" i="1"/>
  <c r="O70" i="1"/>
  <c r="O577" i="1"/>
  <c r="P180" i="1"/>
  <c r="O180" i="1"/>
  <c r="P207" i="1"/>
  <c r="O207" i="1"/>
  <c r="P252" i="1"/>
  <c r="O252" i="1"/>
  <c r="O419" i="1"/>
  <c r="P429" i="1"/>
  <c r="O429" i="1"/>
  <c r="P558" i="1"/>
  <c r="G715" i="1"/>
  <c r="P125" i="1"/>
  <c r="P155" i="1"/>
  <c r="O155" i="1"/>
  <c r="P272" i="1"/>
  <c r="O272" i="1"/>
  <c r="P314" i="1"/>
  <c r="O314" i="1"/>
  <c r="P493" i="1"/>
  <c r="O493" i="1"/>
  <c r="P535" i="1"/>
  <c r="O535" i="1"/>
  <c r="P645" i="1"/>
  <c r="O645" i="1"/>
  <c r="O9" i="1"/>
  <c r="O12" i="1"/>
  <c r="O42" i="1"/>
  <c r="O45" i="1"/>
  <c r="O48" i="1"/>
  <c r="G124" i="1"/>
  <c r="J124" i="1" s="1"/>
  <c r="I124" i="1" s="1"/>
  <c r="N124" i="1" s="1"/>
  <c r="N120" i="1"/>
  <c r="O261" i="1"/>
  <c r="P322" i="1"/>
  <c r="O322" i="1"/>
  <c r="P399" i="1"/>
  <c r="O399" i="1"/>
  <c r="P464" i="1"/>
  <c r="O464" i="1"/>
  <c r="P503" i="1"/>
  <c r="O503" i="1"/>
  <c r="P589" i="1"/>
  <c r="O589" i="1"/>
  <c r="P641" i="1"/>
  <c r="O641" i="1"/>
  <c r="P107" i="1"/>
  <c r="O107" i="1"/>
  <c r="P96" i="1"/>
  <c r="O96" i="1"/>
  <c r="O232" i="1"/>
  <c r="P674" i="1"/>
  <c r="O674" i="1"/>
  <c r="N24" i="1"/>
  <c r="P170" i="1"/>
  <c r="O170" i="1"/>
  <c r="P247" i="1"/>
  <c r="P332" i="1"/>
  <c r="O332" i="1"/>
  <c r="P484" i="1"/>
  <c r="O484" i="1"/>
  <c r="P489" i="1"/>
  <c r="P585" i="1"/>
  <c r="O585" i="1"/>
  <c r="P86" i="1"/>
  <c r="O86" i="1"/>
  <c r="O199" i="1"/>
  <c r="P186" i="1"/>
  <c r="P318" i="1"/>
  <c r="P365" i="1"/>
  <c r="O365" i="1"/>
  <c r="P616" i="1"/>
  <c r="O616" i="1"/>
  <c r="P630" i="1"/>
  <c r="O630" i="1"/>
  <c r="P653" i="1"/>
  <c r="O653" i="1"/>
  <c r="P480" i="1"/>
  <c r="O480" i="1"/>
  <c r="P379" i="1"/>
  <c r="O379" i="1"/>
  <c r="P428" i="1"/>
  <c r="O428" i="1"/>
  <c r="P456" i="1"/>
  <c r="O456" i="1"/>
  <c r="O61" i="1"/>
  <c r="P75" i="1"/>
  <c r="O75" i="1"/>
  <c r="O79" i="1"/>
  <c r="O191" i="1"/>
  <c r="O286" i="1"/>
  <c r="P355" i="1"/>
  <c r="O355" i="1"/>
  <c r="O392" i="1"/>
  <c r="P474" i="1"/>
  <c r="O474" i="1"/>
  <c r="P603" i="1"/>
  <c r="O603" i="1"/>
  <c r="P612" i="1"/>
  <c r="O612" i="1"/>
  <c r="P663" i="1"/>
  <c r="O663" i="1"/>
  <c r="P689" i="1"/>
  <c r="O689" i="1"/>
  <c r="P8" i="1"/>
  <c r="P426" i="1"/>
  <c r="O426" i="1"/>
  <c r="P505" i="1"/>
  <c r="O505" i="1"/>
  <c r="P532" i="1"/>
  <c r="O532" i="1"/>
  <c r="P669" i="1"/>
  <c r="O669" i="1"/>
  <c r="P677" i="1"/>
  <c r="O677" i="1"/>
  <c r="P685" i="1"/>
  <c r="O685" i="1"/>
  <c r="N339" i="1"/>
  <c r="G699" i="1"/>
  <c r="P85" i="1"/>
  <c r="O85" i="1"/>
  <c r="P135" i="1"/>
  <c r="P268" i="1"/>
  <c r="O268" i="1"/>
  <c r="P334" i="1"/>
  <c r="O334" i="1"/>
  <c r="P654" i="1"/>
  <c r="O654" i="1"/>
  <c r="P166" i="1"/>
  <c r="O166" i="1"/>
  <c r="P517" i="1"/>
  <c r="O517" i="1"/>
  <c r="P178" i="1"/>
  <c r="O178" i="1"/>
  <c r="P338" i="1"/>
  <c r="O338" i="1"/>
  <c r="P367" i="1"/>
  <c r="O367" i="1"/>
  <c r="O501" i="1"/>
  <c r="P509" i="1"/>
  <c r="O509" i="1"/>
  <c r="P636" i="1"/>
  <c r="O636" i="1"/>
  <c r="O673" i="1"/>
  <c r="P134" i="1"/>
  <c r="P157" i="1"/>
  <c r="O171" i="1"/>
  <c r="P192" i="1"/>
  <c r="P222" i="1"/>
  <c r="P244" i="1"/>
  <c r="P262" i="1"/>
  <c r="O275" i="1"/>
  <c r="P287" i="1"/>
  <c r="P346" i="1"/>
  <c r="P417" i="1"/>
  <c r="P420" i="1"/>
  <c r="P424" i="1"/>
  <c r="P446" i="1"/>
  <c r="P449" i="1"/>
  <c r="P452" i="1"/>
  <c r="P523" i="1"/>
  <c r="P526" i="1"/>
  <c r="P530" i="1"/>
  <c r="P572" i="1"/>
  <c r="P583" i="1"/>
  <c r="P587" i="1"/>
  <c r="P596" i="1"/>
  <c r="P599" i="1"/>
  <c r="P622" i="1"/>
  <c r="P625" i="1"/>
  <c r="P628" i="1"/>
  <c r="P665" i="1"/>
  <c r="P695" i="1"/>
  <c r="O154" i="1"/>
  <c r="O167" i="1"/>
  <c r="O179" i="1"/>
  <c r="O216" i="1"/>
  <c r="O241" i="1"/>
  <c r="O270" i="1"/>
  <c r="O295" i="1"/>
  <c r="O298" i="1"/>
  <c r="O403" i="1"/>
  <c r="O460" i="1"/>
  <c r="O536" i="1"/>
  <c r="O539" i="1"/>
  <c r="O542" i="1"/>
  <c r="O604" i="1"/>
  <c r="O608" i="1"/>
  <c r="O662" i="1"/>
  <c r="O675" i="1"/>
  <c r="O678" i="1"/>
  <c r="O681" i="1"/>
  <c r="O187" i="1"/>
  <c r="O214" i="1"/>
  <c r="O401" i="1"/>
  <c r="O458" i="1"/>
  <c r="O83" i="1"/>
  <c r="O104" i="1"/>
  <c r="O137" i="1"/>
  <c r="O147" i="1"/>
  <c r="O174" i="1"/>
  <c r="O195" i="1"/>
  <c r="O204" i="1"/>
  <c r="O248" i="1"/>
  <c r="O265" i="1"/>
  <c r="O290" i="1"/>
  <c r="O303" i="1"/>
  <c r="O306" i="1"/>
  <c r="O342" i="1"/>
  <c r="O351" i="1"/>
  <c r="O405" i="1"/>
  <c r="O408" i="1"/>
  <c r="O90" i="1"/>
  <c r="P339" i="1" l="1"/>
  <c r="O339" i="1"/>
  <c r="P348" i="1"/>
  <c r="O348" i="1"/>
  <c r="P120" i="1"/>
  <c r="O120" i="1"/>
  <c r="O124" i="1"/>
  <c r="P124" i="1"/>
  <c r="P24" i="1"/>
  <c r="O24" i="1"/>
  <c r="N698" i="1"/>
  <c r="G701" i="1"/>
  <c r="G716" i="1"/>
</calcChain>
</file>

<file path=xl/sharedStrings.xml><?xml version="1.0" encoding="utf-8"?>
<sst xmlns="http://schemas.openxmlformats.org/spreadsheetml/2006/main" count="5343" uniqueCount="669">
  <si>
    <t>Meses depreciados</t>
  </si>
  <si>
    <t>Meses: Abril 21</t>
  </si>
  <si>
    <t>INSTITUTO TECNOLÓGICO DE COSTA RICA</t>
  </si>
  <si>
    <t>VALOR $ A LA FECHA</t>
  </si>
  <si>
    <t>OFICINA DE INGENIERÍA</t>
  </si>
  <si>
    <r>
      <t xml:space="preserve">DATOS DE EDIFICIOS E INFRAESTRUCTURA: </t>
    </r>
    <r>
      <rPr>
        <b/>
        <sz val="14"/>
        <color theme="1"/>
        <rFont val="Aptos Narrow"/>
        <family val="2"/>
        <scheme val="minor"/>
      </rPr>
      <t>CAMPUS TECNOLÓGICO CENTRAL CARTAGO</t>
    </r>
  </si>
  <si>
    <t xml:space="preserve"> </t>
  </si>
  <si>
    <t>FECHA: 30/04/2021</t>
  </si>
  <si>
    <t>Método de Depreciación (Costo de reposición depreciado)</t>
  </si>
  <si>
    <t>Código  Edificio</t>
  </si>
  <si>
    <t>Nombre del Edificio e Infraestructura</t>
  </si>
  <si>
    <t>Fecha de Construcción</t>
  </si>
  <si>
    <t>No./Finca</t>
  </si>
  <si>
    <t>m2 Construcción</t>
  </si>
  <si>
    <t>Un</t>
  </si>
  <si>
    <t>Valor $ por m2 Nuevo</t>
  </si>
  <si>
    <t>Valor ¢ por m2 Nuevo</t>
  </si>
  <si>
    <t>Edad al 2021</t>
  </si>
  <si>
    <t>Vida Útil Hacienda</t>
  </si>
  <si>
    <t>Vida util Experto esperada</t>
  </si>
  <si>
    <t>Valor de edificio e Infraestructura reposición</t>
  </si>
  <si>
    <t>Depreciación lineal anual restante</t>
  </si>
  <si>
    <t>Valor de edificio ó Infraestructuraactual revaluado</t>
  </si>
  <si>
    <t>Valor de la porción del Terreno que cubre la huella del Edificio</t>
  </si>
  <si>
    <t>Año de revaluación</t>
  </si>
  <si>
    <t>Uso Actual</t>
  </si>
  <si>
    <t>CODIGO EDIFICIO</t>
  </si>
  <si>
    <t>FECHA ADQUISICION</t>
  </si>
  <si>
    <t>ADQUISICION</t>
  </si>
  <si>
    <t>REVALUACIONES</t>
  </si>
  <si>
    <t>MEJORAS</t>
  </si>
  <si>
    <t>DEPRECIACION ACUMULADA ADQUISICIÓN</t>
  </si>
  <si>
    <t>DEPRECIACION ACUMULADA MEJORA</t>
  </si>
  <si>
    <t>VALOR LIBROS</t>
  </si>
  <si>
    <t>DESCRIPCION</t>
  </si>
  <si>
    <t>IDENTIFICACIÓN AUXILIAR</t>
  </si>
  <si>
    <t>BLOQUE A</t>
  </si>
  <si>
    <t>A-1</t>
  </si>
  <si>
    <t>Administración (2 niveles)</t>
  </si>
  <si>
    <t>3-255499-000/C-1895719-2016</t>
  </si>
  <si>
    <t>m2</t>
  </si>
  <si>
    <t>N.A.</t>
  </si>
  <si>
    <t>ADMINISTRATIVO</t>
  </si>
  <si>
    <t>ESTACIONAMIENTO EDIFICIO ADMINISTR</t>
  </si>
  <si>
    <t>Aceras Perimetrales ó de Acceso</t>
  </si>
  <si>
    <t>VICERRECTORÍA DE INVESTIGACIÓN Y EXTENSIÓN A-1</t>
  </si>
  <si>
    <t>Porción de Zonas verdes</t>
  </si>
  <si>
    <t>EDIFICIO ADMINISTRATIVO A-1</t>
  </si>
  <si>
    <t>Terreno  (Huella)</t>
  </si>
  <si>
    <t>ILUMINACIÓN EDIFICOS ADMINISTRATIVOS</t>
  </si>
  <si>
    <t>A-2</t>
  </si>
  <si>
    <t>Centro de Cómputo (2,50 niveles)</t>
  </si>
  <si>
    <t>ADM. Y APOYO A LA ACÁDÉMICA</t>
  </si>
  <si>
    <t>CTRO CÓMPUTO (SALA DE CAPACITACIÓN) A-2</t>
  </si>
  <si>
    <t>CENTRO DE CÓMPUTO A-2</t>
  </si>
  <si>
    <t>REMODELACIÓN EDIF MAESTRÍA COMPUT</t>
  </si>
  <si>
    <t>A-3</t>
  </si>
  <si>
    <t>Servicios Estudiantiles - VIESA (2 niveles)</t>
  </si>
  <si>
    <t>30/08/1981</t>
  </si>
  <si>
    <t>SERV ESTUD Y ACADÉMICOS A-3</t>
  </si>
  <si>
    <t>ADMISIÓN Y REGISTRO A-3</t>
  </si>
  <si>
    <t>A-3´</t>
  </si>
  <si>
    <t>Ampliación VIESA (2 niveles)</t>
  </si>
  <si>
    <t>AMPLIACIÓN PARQUEO VIESA</t>
  </si>
  <si>
    <t>A-4</t>
  </si>
  <si>
    <t>Aulas y Cubículos Oeste (2 niveles)</t>
  </si>
  <si>
    <t>DOCENCIA</t>
  </si>
  <si>
    <t>ESCUELA DE MATEMÁTICA A-4</t>
  </si>
  <si>
    <t>ESCUELA DE FÍSICA A-4</t>
  </si>
  <si>
    <t>30/09/1981</t>
  </si>
  <si>
    <t>AULAS Y CUBICULOS SECTOR OESTE A-4</t>
  </si>
  <si>
    <t>30/08/1984</t>
  </si>
  <si>
    <t>AULAS Y CUB SECTOR OESTE A-4</t>
  </si>
  <si>
    <t>A-5</t>
  </si>
  <si>
    <t>Centro de Investigación en Computación (2 niveles)</t>
  </si>
  <si>
    <t>01/12/1995</t>
  </si>
  <si>
    <t>CENTRO DE INV. EN COMPUTACIÓN</t>
  </si>
  <si>
    <t>A-6</t>
  </si>
  <si>
    <t>Caseta de guarda principal (1 nivel)</t>
  </si>
  <si>
    <t>SERVICIOS GENERALES</t>
  </si>
  <si>
    <t>01/12/1994</t>
  </si>
  <si>
    <t>CASETILLA DE VIGILANCIA A-6</t>
  </si>
  <si>
    <t>A-7</t>
  </si>
  <si>
    <t>Terminal de buses principal</t>
  </si>
  <si>
    <t>30/01/1988</t>
  </si>
  <si>
    <t>PARADA DE BUSES</t>
  </si>
  <si>
    <t>Porción de Zonas verdes (No Aplica)</t>
  </si>
  <si>
    <t>-</t>
  </si>
  <si>
    <t>NO CUENTA CON ZONAS VERDES EN EL PERÍMETRO INMEDIATO</t>
  </si>
  <si>
    <t>A-8</t>
  </si>
  <si>
    <t>Caseta de vigilancia (1 nivel)</t>
  </si>
  <si>
    <t>CASETAS PARA VIGILANCIA</t>
  </si>
  <si>
    <t>A-9</t>
  </si>
  <si>
    <t>Caseta Banco Nacional 1 nivel)</t>
  </si>
  <si>
    <t>01/12/2001</t>
  </si>
  <si>
    <t>CAJERO AUTOMÁTICO</t>
  </si>
  <si>
    <t>A-11</t>
  </si>
  <si>
    <t xml:space="preserve"> Casa Trópica (1 nivel)</t>
  </si>
  <si>
    <t xml:space="preserve">Según convenio con FONAFIFO la casa tropika se va a ubicar en las instalaciones del TEC Sede Central, dado que ellos no cuentan con espacio fisico donde instalarla. El coordinador de contabilidad que se encontraba en ese momento decidio que no se podia estimar el costo final de la Casa Tropika por lo tanto no se registró en el auxiliar de P,P Y E. Las restauraciones posteriores efectuadas se ha tomado como parte del gasto. </t>
  </si>
  <si>
    <t>3-255499-000/C-1895719-2017</t>
  </si>
  <si>
    <t>3-255499-000/C-1895719-2018</t>
  </si>
  <si>
    <t>3-255499-000/C-1895719-2019</t>
  </si>
  <si>
    <t>A-12</t>
  </si>
  <si>
    <t>Placita CIC</t>
  </si>
  <si>
    <t>ACTIVIDADES ACADEMIA</t>
  </si>
  <si>
    <t>PLACITA SECTOR OESTE</t>
  </si>
  <si>
    <t>A-13</t>
  </si>
  <si>
    <t>Centro de Fotocopiado</t>
  </si>
  <si>
    <t>10/08/2009</t>
  </si>
  <si>
    <t>CENTRO DE FOTOCOPIADO ( FRENTE A ADM)</t>
  </si>
  <si>
    <t>BLOQUE B</t>
  </si>
  <si>
    <t>B-1</t>
  </si>
  <si>
    <t xml:space="preserve">Aulas Oeste </t>
  </si>
  <si>
    <t>30/01/1975</t>
  </si>
  <si>
    <t>EDIFICIO AULAS B-1 (M)</t>
  </si>
  <si>
    <t>B-2</t>
  </si>
  <si>
    <t>EDIFICIO AULAS B-2 (L)</t>
  </si>
  <si>
    <t>B-3</t>
  </si>
  <si>
    <t>30/07/1978</t>
  </si>
  <si>
    <t>EDIFICIO AULAS B-3 (H)</t>
  </si>
  <si>
    <t>B-4</t>
  </si>
  <si>
    <t>CE FEITEC - Oficinas Administrativas (Incluye Remodelación)</t>
  </si>
  <si>
    <t>EDIFICIO ESC. QUIMICA B-4 (N)</t>
  </si>
  <si>
    <t>B-5</t>
  </si>
  <si>
    <t>Cultura y Deporte,CEDA,Equidad, Educación Técnica</t>
  </si>
  <si>
    <t>EDIFICIO AUDITORIOS B-5 (O)</t>
  </si>
  <si>
    <t>EDIFICIO PROM CULTURA Y DEPORTE</t>
  </si>
  <si>
    <t>REMODELACIÓN AUDIVISUALES</t>
  </si>
  <si>
    <t>B-6</t>
  </si>
  <si>
    <t xml:space="preserve">Cubículos Diseño Industrial y EditorialTecnólogica, </t>
  </si>
  <si>
    <t>OBRAS EXT EDIT TECNOLÓGICA</t>
  </si>
  <si>
    <t>EDITORIAL TECNOLÓGICA</t>
  </si>
  <si>
    <t>REMOD ANEXO EDITORIAL TECNOLÓGICA</t>
  </si>
  <si>
    <t>EDIF DISEÑO INDUSTRIAL (EDIF Y)</t>
  </si>
  <si>
    <t>B-7</t>
  </si>
  <si>
    <t>Auditoría</t>
  </si>
  <si>
    <t>30/01/1976</t>
  </si>
  <si>
    <t>EDIFICIO OFIC EJECUTIVA B-7 (Q)</t>
  </si>
  <si>
    <t>B-8</t>
  </si>
  <si>
    <t>Adulto Mayor</t>
  </si>
  <si>
    <t>No existe este activo en el registro auxiliar</t>
  </si>
  <si>
    <t>B-9</t>
  </si>
  <si>
    <t>Caseta de guarda (Fue demolida)</t>
  </si>
  <si>
    <t>CASETA DEL MOLINO</t>
  </si>
  <si>
    <t>B-10</t>
  </si>
  <si>
    <t>Bloque de servicios Sanitarios</t>
  </si>
  <si>
    <t>B-11</t>
  </si>
  <si>
    <t>Laboratorio de Diseño Industrial (Contenedores) (No inlcuye ampliación 2018 realizada por el DAM)</t>
  </si>
  <si>
    <t>Docencia</t>
  </si>
  <si>
    <t>LABORATORIO CONTENEDORES ESC. DISEÑO IND</t>
  </si>
  <si>
    <t>B-12</t>
  </si>
  <si>
    <t>Placita Azul Central</t>
  </si>
  <si>
    <t>Actividades academicas</t>
  </si>
  <si>
    <t>PLACITA SECTOR ESTE</t>
  </si>
  <si>
    <t>BLOQUE C</t>
  </si>
  <si>
    <t>C-1</t>
  </si>
  <si>
    <t>Aulas CEDA, FEITEC</t>
  </si>
  <si>
    <t>FEDERACIONES Y APOYO A LA ACADEMIA</t>
  </si>
  <si>
    <t>30/04/1977</t>
  </si>
  <si>
    <t>EDIFICIO AULAS C-1 (F)</t>
  </si>
  <si>
    <t>C-2</t>
  </si>
  <si>
    <t>Tanque Elevado</t>
  </si>
  <si>
    <t>DAM</t>
  </si>
  <si>
    <t>30/07/1975</t>
  </si>
  <si>
    <t>TANQUE DE METAL ELEVADO</t>
  </si>
  <si>
    <t>Aceras Perimetrales ó de Acceso (No Aplica)</t>
  </si>
  <si>
    <t>NO CUENTA CON ACERAS</t>
  </si>
  <si>
    <t>C-3</t>
  </si>
  <si>
    <t>Biblioteca</t>
  </si>
  <si>
    <t>SERVICIOS ESTUDIANTILES</t>
  </si>
  <si>
    <t>30/01/1979</t>
  </si>
  <si>
    <t>EDIFICIO BIBLIOTECA C-3</t>
  </si>
  <si>
    <t>30/07/1989</t>
  </si>
  <si>
    <t>REMODELACIÓN SALA BIBLIOTECA</t>
  </si>
  <si>
    <t>PARQUE SUR DE LA BIBLIOTECA</t>
  </si>
  <si>
    <t>C-4</t>
  </si>
  <si>
    <t xml:space="preserve">Laboratorio de Física y Química </t>
  </si>
  <si>
    <t>LAB FISICA-QUÍMICA C-4</t>
  </si>
  <si>
    <t>NUC RAM FISICA QUÍMICA</t>
  </si>
  <si>
    <t>OBRAS EXTERNAS EDIF FISICA Y QUÍMICA</t>
  </si>
  <si>
    <t>C-4´</t>
  </si>
  <si>
    <t>Remodelación niveles 1, 2 y 3</t>
  </si>
  <si>
    <t>C-5</t>
  </si>
  <si>
    <t>Bodega de Reactivos 1 (Asoc de estudiantes, laboratorios y baños Escuela de física)</t>
  </si>
  <si>
    <t>26/12/2008</t>
  </si>
  <si>
    <t>CASETA PARA REACTIVOS SEDE CENTRAL</t>
  </si>
  <si>
    <t>C-6</t>
  </si>
  <si>
    <t>Caseta Sistema Hidroneomático</t>
  </si>
  <si>
    <t>C-7</t>
  </si>
  <si>
    <t>Cajero Bancrédito ATH</t>
  </si>
  <si>
    <t>Aceras Perimetrales ó de Acceso (N.A.)</t>
  </si>
  <si>
    <t>Porción de Zonas verdes (N.A.)</t>
  </si>
  <si>
    <t>C-8</t>
  </si>
  <si>
    <t>Caseta para Basura y Desechos</t>
  </si>
  <si>
    <t>C-9</t>
  </si>
  <si>
    <t>LAIMI I</t>
  </si>
  <si>
    <t>CENTRO MICROCOMPUTADORAS</t>
  </si>
  <si>
    <t>C-10</t>
  </si>
  <si>
    <t>Soda Comedor Central</t>
  </si>
  <si>
    <t>30/10/1978</t>
  </si>
  <si>
    <t>EDIFICIO SODA COMEDOR C-10</t>
  </si>
  <si>
    <t>C-11</t>
  </si>
  <si>
    <t>Caseta de guarda Bloque C -Sur (Fue demolida)</t>
  </si>
  <si>
    <t>FUÉ DEMOLIDA</t>
  </si>
  <si>
    <t>C-12</t>
  </si>
  <si>
    <t>Bodega de Reactivos 2</t>
  </si>
  <si>
    <t>BODEGA DE REACTIVOS</t>
  </si>
  <si>
    <t>C-13</t>
  </si>
  <si>
    <t>Caseta BCR</t>
  </si>
  <si>
    <t>C-14</t>
  </si>
  <si>
    <t>Caseta Banco Popular</t>
  </si>
  <si>
    <t>C-15</t>
  </si>
  <si>
    <t>Tanque de agua potable</t>
  </si>
  <si>
    <t>BLOQUE D</t>
  </si>
  <si>
    <t>D-1</t>
  </si>
  <si>
    <t>Aulas y Cubículos - Edif. Adm. Empresas (Incluye Ampliación 3er nivel y Remodelación 1er y 2do nivel)(2012)</t>
  </si>
  <si>
    <t>EDIFICIO AUDITORIOS</t>
  </si>
  <si>
    <t>D-1´</t>
  </si>
  <si>
    <t>Ducto de Ascensor Edificio D-1</t>
  </si>
  <si>
    <t>D-2</t>
  </si>
  <si>
    <t>DATIC, Auditorio de Recursos Humanos, TEC Digital, APROTEC (Incluye Remodelación)</t>
  </si>
  <si>
    <t>EDIFICIO TEC-DIGITAL D-2</t>
  </si>
  <si>
    <t>D-2´</t>
  </si>
  <si>
    <t>Ampliación D-2</t>
  </si>
  <si>
    <t>D-3</t>
  </si>
  <si>
    <t>Edificio de Aulas Central y Obras Adicionales</t>
  </si>
  <si>
    <t>22/07/2017</t>
  </si>
  <si>
    <t>EDIFICIO DE AULAS D-3</t>
  </si>
  <si>
    <t>D-4</t>
  </si>
  <si>
    <t>Departamento de Aprovisionamiento</t>
  </si>
  <si>
    <t>Adjunto a la administración</t>
  </si>
  <si>
    <t>30/01/1977</t>
  </si>
  <si>
    <t>EDIFICIO BODEGA GENERAL D-4</t>
  </si>
  <si>
    <t>EDIFICIO DE APROVISIONAMIENTO D-4</t>
  </si>
  <si>
    <t>D-5</t>
  </si>
  <si>
    <t>Librería ASETEC</t>
  </si>
  <si>
    <t>ASETEC</t>
  </si>
  <si>
    <t>30/10/1981</t>
  </si>
  <si>
    <t>EDIFICIO LIBRERIA D-5</t>
  </si>
  <si>
    <t>D-6</t>
  </si>
  <si>
    <t>Caseta de Transformadores y Central Telefónica (Incluye Conversión de Voltaje)</t>
  </si>
  <si>
    <t>01/12/1990</t>
  </si>
  <si>
    <t>CENTRAL TELEFÓNICA</t>
  </si>
  <si>
    <t>CASETAS PARA TRANSFORMADORES</t>
  </si>
  <si>
    <t>D-7</t>
  </si>
  <si>
    <t>ATI y Centro de Monitoreo (Incluye remodelación y Laboratorio de Higiene Analítica en el 2012)</t>
  </si>
  <si>
    <t>Servicios Generales</t>
  </si>
  <si>
    <t>Esc. Administracion Tecnologías de Información D-7</t>
  </si>
  <si>
    <t>D-8</t>
  </si>
  <si>
    <t>Servicios Generales, Archivo Institucional</t>
  </si>
  <si>
    <t>ADJUNTO A LA ADMINISTRACIÓN</t>
  </si>
  <si>
    <t>30/01/1978</t>
  </si>
  <si>
    <t>EDIFICIO SERVICIOS GENERALES</t>
  </si>
  <si>
    <t>D-9</t>
  </si>
  <si>
    <t>Taller de Publicaciones y AIR</t>
  </si>
  <si>
    <t>TALLER DE PUBLICACIONES D-9</t>
  </si>
  <si>
    <t>30/07/2012</t>
  </si>
  <si>
    <t>OFICINAS ASAMBLEA INST. REPRESENTATIVA</t>
  </si>
  <si>
    <t>D-10</t>
  </si>
  <si>
    <t>Escuela de Ingeniería Electrómecanica</t>
  </si>
  <si>
    <t>EDIFICIO ING. ELECTROMECANICA (TALLER BÁSICO D-10)</t>
  </si>
  <si>
    <t>D-10´</t>
  </si>
  <si>
    <t>Ampliación D-10 2do nivel y Obras adicionales</t>
  </si>
  <si>
    <t>Terreno  (Huella) (No Aplica)</t>
  </si>
  <si>
    <t>D-11</t>
  </si>
  <si>
    <t>Taller Básico escuela de Electromecánica</t>
  </si>
  <si>
    <t>EDIFICIO TALLER MULTIPLE (T)</t>
  </si>
  <si>
    <t>D-12</t>
  </si>
  <si>
    <t>Placita Librería</t>
  </si>
  <si>
    <t>Espacio para estudiantes</t>
  </si>
  <si>
    <t>PLACITA SECTOR CENTRAL</t>
  </si>
  <si>
    <t>D-13</t>
  </si>
  <si>
    <t>Tanque de Agua sistema de Incendio-Edificio de Aulas</t>
  </si>
  <si>
    <t>Porción de Zonas verdes (Jardinería)</t>
  </si>
  <si>
    <t>BLOQUE E</t>
  </si>
  <si>
    <t>E-1</t>
  </si>
  <si>
    <t>Gimnasio Institucional A.V.</t>
  </si>
  <si>
    <t>CULTURA Y DEPORTE</t>
  </si>
  <si>
    <t>GIMNASIO PREFABRICADO</t>
  </si>
  <si>
    <t>KIOSKO GIMNASIO</t>
  </si>
  <si>
    <t>E-2</t>
  </si>
  <si>
    <t>Piscina (Incluye Cubierta)</t>
  </si>
  <si>
    <t>30/11/1985</t>
  </si>
  <si>
    <t>PISCINA SEMIOLIMPICA E-2</t>
  </si>
  <si>
    <t>BAÑOS VESTIDORES PISCINA</t>
  </si>
  <si>
    <t>E-3</t>
  </si>
  <si>
    <t>Unidad Deportiva</t>
  </si>
  <si>
    <t>E-4</t>
  </si>
  <si>
    <t>Cancha de Futbol, pista atletica y Obras para Eventos Deportivos</t>
  </si>
  <si>
    <t>30/01/1983</t>
  </si>
  <si>
    <t>ZONAS DEPORTIVAS</t>
  </si>
  <si>
    <t>CANCHA DE FÚTBOL-PISTA ATLETICA</t>
  </si>
  <si>
    <t>PISTA ATLÉTICA Y CANCHA FÚTBOL</t>
  </si>
  <si>
    <t>PAVIMENTACIÓN PISTA ATLÉTICA</t>
  </si>
  <si>
    <t>E-5</t>
  </si>
  <si>
    <t>Cancha de Baseball y Softboll</t>
  </si>
  <si>
    <t>CANCHA DE BASE-BALL</t>
  </si>
  <si>
    <t>01/12/1991</t>
  </si>
  <si>
    <t>CANCHA BEISBOL</t>
  </si>
  <si>
    <t>E-6</t>
  </si>
  <si>
    <t>Soda Área Deportiva</t>
  </si>
  <si>
    <t>CAFETERÍA ÁREA CULTURAL Y DEPORTIVA, SEDE CENTRAL</t>
  </si>
  <si>
    <t>E-8</t>
  </si>
  <si>
    <t>Edificio Centro de las Artes y Obras adicionales</t>
  </si>
  <si>
    <t>09/12/2013</t>
  </si>
  <si>
    <t>CENTRO DE LAS ARTES SEDE CENTRAL</t>
  </si>
  <si>
    <t>E-9</t>
  </si>
  <si>
    <t>Cancha Multiuso (Polideportivo)</t>
  </si>
  <si>
    <t>POLIDEPORTIVO</t>
  </si>
  <si>
    <t>E-10</t>
  </si>
  <si>
    <t>Canchas sintéticas de Futbol</t>
  </si>
  <si>
    <t>E-11</t>
  </si>
  <si>
    <t>voleibol de Playa 1 y 2</t>
  </si>
  <si>
    <t>E11</t>
  </si>
  <si>
    <t>CANCHA DE VOLEYBALL</t>
  </si>
  <si>
    <t>E-11  E-12</t>
  </si>
  <si>
    <t>CANCHA DE TENIS Y VOLEIBOL</t>
  </si>
  <si>
    <t>E-12</t>
  </si>
  <si>
    <t>Cancha de Tenis</t>
  </si>
  <si>
    <t>E-13</t>
  </si>
  <si>
    <t>Caseta Bodega y Bomba de riego</t>
  </si>
  <si>
    <t>E-14</t>
  </si>
  <si>
    <t>Caseta de Jueces</t>
  </si>
  <si>
    <t>E-15</t>
  </si>
  <si>
    <t>Batería de baños</t>
  </si>
  <si>
    <t>E-16</t>
  </si>
  <si>
    <t>Paso Cubierto a Zona Deportiva</t>
  </si>
  <si>
    <t>E-17</t>
  </si>
  <si>
    <t>Puente Entrada Norte</t>
  </si>
  <si>
    <t>PUENTE ACCESO NORTE E-17</t>
  </si>
  <si>
    <t xml:space="preserve">Aceras Perimetrales ó de Acceso </t>
  </si>
  <si>
    <t>E-18</t>
  </si>
  <si>
    <t>Parqueo Centro de las Artes</t>
  </si>
  <si>
    <t xml:space="preserve"> No existe este activo en el registro auxiliar</t>
  </si>
  <si>
    <t>E-19</t>
  </si>
  <si>
    <t xml:space="preserve">Parqueo Area Central (Incluye Parqueo oeste OI, Parqueo norte Escuela de Producción, Parqueo norte Escuela de Materiales) </t>
  </si>
  <si>
    <t>E-21</t>
  </si>
  <si>
    <t>Baños Zona deportiva</t>
  </si>
  <si>
    <t>BLOQUE F</t>
  </si>
  <si>
    <t>F-1</t>
  </si>
  <si>
    <t>Aulas y Cubículos Este - CO - PosGrados (2 niveles)</t>
  </si>
  <si>
    <t>AULA Y CUB SECTOR ESTE (A)</t>
  </si>
  <si>
    <t>EDIFICIO AULAS (A)</t>
  </si>
  <si>
    <t>EDIFICIO AULAS (A1)</t>
  </si>
  <si>
    <t>F-2</t>
  </si>
  <si>
    <t>Aulas Este (2 niveles)</t>
  </si>
  <si>
    <t>CULTURA Y DEPORTE (EDIF I ELECTRONICA)</t>
  </si>
  <si>
    <t>F-3</t>
  </si>
  <si>
    <t>EDIFICIO OFICINA EJECUTORA F-2 (Q)</t>
  </si>
  <si>
    <t>F-4</t>
  </si>
  <si>
    <t>EDIFICIO AULAS (B)</t>
  </si>
  <si>
    <t>F-5</t>
  </si>
  <si>
    <t>EDIFICIO AULAS (B1)</t>
  </si>
  <si>
    <t>F-6</t>
  </si>
  <si>
    <t>Laboratorios (Antigua soda Periférica)(Incluye ampliación)</t>
  </si>
  <si>
    <t>SODA SECTOR ESTE (PERIFÉRICA)</t>
  </si>
  <si>
    <t>F-7</t>
  </si>
  <si>
    <t>Clínica de Salud</t>
  </si>
  <si>
    <t>SERVICIOS DE SALUD</t>
  </si>
  <si>
    <t>CLINICA DE SALUD SEDE CENTRAL</t>
  </si>
  <si>
    <t>F-8</t>
  </si>
  <si>
    <t>Fotocopiadora</t>
  </si>
  <si>
    <t>F-9</t>
  </si>
  <si>
    <t>LAIMI II</t>
  </si>
  <si>
    <t>LABORAT.MICROCOMPUTADORAS LAIMI II</t>
  </si>
  <si>
    <t>F-10</t>
  </si>
  <si>
    <t>Ciencias del Lenguaje (3 niveles)</t>
  </si>
  <si>
    <t>EDIFICIO CIENCIAS DEL LENGUAJE</t>
  </si>
  <si>
    <t>BLOQUE G</t>
  </si>
  <si>
    <t>G-1</t>
  </si>
  <si>
    <t>Cubículos Administración Agropecuaria</t>
  </si>
  <si>
    <t>EDIFICIO DICA</t>
  </si>
  <si>
    <t>31/10/2011</t>
  </si>
  <si>
    <t>EDIFICIO ESC. ING. AGROPECUARIA</t>
  </si>
  <si>
    <t>31/12/2011</t>
  </si>
  <si>
    <t>BODEGA EN CAMPO AGRICULA</t>
  </si>
  <si>
    <t>G-2</t>
  </si>
  <si>
    <t>Editorial Tecnológica</t>
  </si>
  <si>
    <t>CENTRO DE INFORMACIÓN GEOGRÁFICA</t>
  </si>
  <si>
    <t>G-3</t>
  </si>
  <si>
    <t>Laboratorio Agroindustria (No incluye remodelación ni Ampliación 2018-2019)</t>
  </si>
  <si>
    <t>LAB. SERVICIO AGROINDUSTRIAL</t>
  </si>
  <si>
    <t>30/11/1984</t>
  </si>
  <si>
    <t>PLANTA PILOTO RESIDUOS FIBROSOS</t>
  </si>
  <si>
    <t>G-4</t>
  </si>
  <si>
    <t>Aula de Escuela de Ingeniería en Construcción</t>
  </si>
  <si>
    <t>G-5</t>
  </si>
  <si>
    <t>CECO - Laboratorio de Construcción</t>
  </si>
  <si>
    <t>G-6</t>
  </si>
  <si>
    <t>CIVCO - Centro de Investigación en Vivienda y Construcción</t>
  </si>
  <si>
    <t>TALLER DE CONSTRUCCIÓN</t>
  </si>
  <si>
    <t>LABORATORIO DE CONSTRUCCIÓN</t>
  </si>
  <si>
    <t>OBRAS EXTERNAS TALLER CONTRUCCIÓN</t>
  </si>
  <si>
    <t>G-7</t>
  </si>
  <si>
    <t xml:space="preserve">Centro de Investigación en Biotecnología 1-Escuela de Biología </t>
  </si>
  <si>
    <t>REMODELACIÓN BIOTECNOLOGÍA</t>
  </si>
  <si>
    <t>PARQUEO DE BIOTECNOLOGÍA</t>
  </si>
  <si>
    <t>G-8</t>
  </si>
  <si>
    <t>Edificio de Laboratorios para Esc. de Electrónica</t>
  </si>
  <si>
    <t>LABORATORIO INSTITUCIONAL DE MICROSCOPÍA (LIM)</t>
  </si>
  <si>
    <t>AULA LABORATORIO ESC. INGENIERIA ELECT.</t>
  </si>
  <si>
    <t>G-10</t>
  </si>
  <si>
    <t>Centro de Investigación - CIPA (Diseño Industrial)</t>
  </si>
  <si>
    <t>Investigación</t>
  </si>
  <si>
    <t>EDIFICIO LABORATORIO QUIMICA B-4 (N)</t>
  </si>
  <si>
    <t>G-11</t>
  </si>
  <si>
    <t xml:space="preserve">Vivero de Biología </t>
  </si>
  <si>
    <t>CONSTRUCCIÓN DEL VIVERO BIOTECNOLOGÍA</t>
  </si>
  <si>
    <t>INVERNADERO DE BIOLOGIA</t>
  </si>
  <si>
    <t>INVERNADERO TIPO TUNEL 1 (VIVERO)</t>
  </si>
  <si>
    <t>INVERNADERO TIPO TUNEL 2 (VIVERO)</t>
  </si>
  <si>
    <t>G-12</t>
  </si>
  <si>
    <t xml:space="preserve">Plataforma de Pruebas Ingeniería en Construcción </t>
  </si>
  <si>
    <t>G-13</t>
  </si>
  <si>
    <t>Estación Metereológica</t>
  </si>
  <si>
    <t>G-14</t>
  </si>
  <si>
    <t>Laboratorio GAMACEL</t>
  </si>
  <si>
    <t>3-246004-00/C-1689628-2013</t>
  </si>
  <si>
    <t>CUBICULO IRRADIAROR AUTO BLINDADO GAMMACELL</t>
  </si>
  <si>
    <t>G-17</t>
  </si>
  <si>
    <t>Escuela de Ingeniería Ambiental (Etapa I y Etapa II)</t>
  </si>
  <si>
    <t>EDIFICIO INGENIERIA AMBIENTAL</t>
  </si>
  <si>
    <t>PARQUEO INGENIERIA AMBIENTAL</t>
  </si>
  <si>
    <t>G-18</t>
  </si>
  <si>
    <t xml:space="preserve">Aulas Este Docencia </t>
  </si>
  <si>
    <t>EDIFICIO AULAS SECTOR ESTE (FRENTE A AGRONEGOCIOS)</t>
  </si>
  <si>
    <t>G-19</t>
  </si>
  <si>
    <t>Centro de Investigación en Biotecnología (CIB) 2 - Escuela de Biología</t>
  </si>
  <si>
    <t>22/12/2015</t>
  </si>
  <si>
    <t>CENTRO DE INVESTIGACIÓN EN BIOTECNOLOGÍA</t>
  </si>
  <si>
    <t>G-20</t>
  </si>
  <si>
    <t>Caseta de reactivos</t>
  </si>
  <si>
    <t>BLOQUE H</t>
  </si>
  <si>
    <t>H-1</t>
  </si>
  <si>
    <t>Vivero Forestal Escuela de Ingeniería Forestal</t>
  </si>
  <si>
    <t>VIVERO FORESTAL</t>
  </si>
  <si>
    <t>H-2</t>
  </si>
  <si>
    <t>Aulas y Laboratorio de Riego Ingeniería Agrícola</t>
  </si>
  <si>
    <t>H-3</t>
  </si>
  <si>
    <t>Taller y Bodega Ingeniería Agrícola</t>
  </si>
  <si>
    <t>EDIFICIO DICA H-3</t>
  </si>
  <si>
    <t>H-4</t>
  </si>
  <si>
    <t>Aula Escuela Ingeniería Agrícola</t>
  </si>
  <si>
    <t>PLANTA FÍSICA INGENIERÍA AGRÍCOLA</t>
  </si>
  <si>
    <t>H-5</t>
  </si>
  <si>
    <t>Bodega de Escuela de Ingeniería Agropecuaria (Antiguo)</t>
  </si>
  <si>
    <t>H-6</t>
  </si>
  <si>
    <t>Taller y Laboratorios Escuela de Ingeniería Agropecuaria</t>
  </si>
  <si>
    <t>EDIFICIO CUBÍCULOS INGENIERÍA AGRICOLA</t>
  </si>
  <si>
    <t>H7</t>
  </si>
  <si>
    <t>Aulas y Cubículos Escuela de Ingeniería Agrícola</t>
  </si>
  <si>
    <t>H-7</t>
  </si>
  <si>
    <t>EDIFICIO ESC. INGENERIA AGRICULA</t>
  </si>
  <si>
    <t>CONEXIÓN AGUAS NEGRAS GL</t>
  </si>
  <si>
    <t>H8</t>
  </si>
  <si>
    <t>Garage Maquinaria Agrícola y Baños</t>
  </si>
  <si>
    <t>H-8</t>
  </si>
  <si>
    <t>GALERÓN PARA MAQUINA AGRÍCOLA H-4</t>
  </si>
  <si>
    <t>H9</t>
  </si>
  <si>
    <t>Almácigos Escuela de Ingeniería Forestal</t>
  </si>
  <si>
    <t>H-9</t>
  </si>
  <si>
    <t>H10</t>
  </si>
  <si>
    <t>Viveros e Invernaderos Escuela de Ingeniería Agrícola</t>
  </si>
  <si>
    <t>H-10</t>
  </si>
  <si>
    <t>H11</t>
  </si>
  <si>
    <t>H12</t>
  </si>
  <si>
    <t>H13</t>
  </si>
  <si>
    <t>H14</t>
  </si>
  <si>
    <t>H15</t>
  </si>
  <si>
    <t>Invernaderos Escuela de Ingeniería Agronegocios</t>
  </si>
  <si>
    <t>H16</t>
  </si>
  <si>
    <t>Compostaje Agronegocios</t>
  </si>
  <si>
    <t>BLOQUE I</t>
  </si>
  <si>
    <t>I -1</t>
  </si>
  <si>
    <t>Taller Metalurgia Escuela de Ingeniería de los Materiales</t>
  </si>
  <si>
    <t>C1521502-2011</t>
  </si>
  <si>
    <t>I-1</t>
  </si>
  <si>
    <t>TALLER DE METALURGIA</t>
  </si>
  <si>
    <t>OBRAS EXT TALLER METALURGÍA</t>
  </si>
  <si>
    <t>REMODELACIÓN LAB METALURGÍA</t>
  </si>
  <si>
    <t>I -2</t>
  </si>
  <si>
    <t xml:space="preserve">Laboratorios de la Escuela de Ingeniería de los Materiales </t>
  </si>
  <si>
    <t>I-2</t>
  </si>
  <si>
    <t>EDIFICIO PARA ING. DE LOS MATERIALES</t>
  </si>
  <si>
    <t>I -3</t>
  </si>
  <si>
    <t>Escuela de Ingeniería en Producción</t>
  </si>
  <si>
    <t>I-3</t>
  </si>
  <si>
    <t>04/09/2009</t>
  </si>
  <si>
    <t>EDIFICIO PRODUCCIÓN INDUSTRIAL</t>
  </si>
  <si>
    <t>CONSTRUCCIÓN OBRAS EXT. PROD IND</t>
  </si>
  <si>
    <t>I -4</t>
  </si>
  <si>
    <t>Cubículos y Laboratorios Escuela de Ingeniería de los Materiales (Incluye Ampliación Edificio)</t>
  </si>
  <si>
    <t>I-4</t>
  </si>
  <si>
    <t>LOS LABORATORIOS SE INCORPORARON COMO MEJORA AL I-2</t>
  </si>
  <si>
    <t>I-6</t>
  </si>
  <si>
    <t>Aulas Sector Oeste (Producción - Materiales)</t>
  </si>
  <si>
    <t>16/08/2016</t>
  </si>
  <si>
    <t>EDIFICIO AULAS PRODUCCIÓN-MATERIALES EPCIM</t>
  </si>
  <si>
    <t>I-7</t>
  </si>
  <si>
    <t>FUNDATEC ( 1 Nivel)</t>
  </si>
  <si>
    <t>FUNDACIÓN TECNOLÓGICA</t>
  </si>
  <si>
    <t>04/04/2018</t>
  </si>
  <si>
    <t>EDIFICIO FUNDATEC</t>
  </si>
  <si>
    <t>I-8</t>
  </si>
  <si>
    <t>Monitoreo y Producción Energía Solar(No incluye la II Etapa) (Incluye Reajustes al junio 2018)</t>
  </si>
  <si>
    <t>Oficina de monitoreo y produccion energia solar I-8</t>
  </si>
  <si>
    <t>I-9</t>
  </si>
  <si>
    <t>Área de Paneles Solares</t>
  </si>
  <si>
    <t>Área de paneles solares I-9</t>
  </si>
  <si>
    <t>I-10</t>
  </si>
  <si>
    <t>Plasma Escuela de Física</t>
  </si>
  <si>
    <t>LABORATORIO DE PLASMA I-10</t>
  </si>
  <si>
    <t>I-11</t>
  </si>
  <si>
    <t>Monitoreo y Producción Energía Solar Cuarto eléctrico, baños, bodega y otros</t>
  </si>
  <si>
    <t>BLOQUE J</t>
  </si>
  <si>
    <t>J-1</t>
  </si>
  <si>
    <t>Residencias Estudiantiles Hombres</t>
  </si>
  <si>
    <t>Servicios estudiantil</t>
  </si>
  <si>
    <t>EDIF J-1 RESIDENCIAS ESTUD HOMBRES</t>
  </si>
  <si>
    <t>J-2</t>
  </si>
  <si>
    <t>Sala de Estudio Residencias</t>
  </si>
  <si>
    <t>01/11/2006</t>
  </si>
  <si>
    <t>EDIF J-2 LAVANDERÍA RESIDENCIAS ESTUD</t>
  </si>
  <si>
    <t>J-3</t>
  </si>
  <si>
    <t>EDIF J-3 RESIDENCIAS ESTUD HOMBRES</t>
  </si>
  <si>
    <t>J-4</t>
  </si>
  <si>
    <t>Residencias de Huéspedes (Casa un nivel)</t>
  </si>
  <si>
    <t>01/12/1998</t>
  </si>
  <si>
    <t>DON. 02-98 CASA HUESPEDES RESIDENCIAS</t>
  </si>
  <si>
    <t>J-5</t>
  </si>
  <si>
    <t>Residencias Estudiantiles Mujeres</t>
  </si>
  <si>
    <t>EDIF J-5 RESIDENCIAS ESTUD MUJERES</t>
  </si>
  <si>
    <t>J-6</t>
  </si>
  <si>
    <t>EDIF J-6 RESIDENCIAS ESTUD MUJERES</t>
  </si>
  <si>
    <t>J-7</t>
  </si>
  <si>
    <t>Residencias Estudiantiles Mixtas (4 niveles)</t>
  </si>
  <si>
    <t>19/01/2017</t>
  </si>
  <si>
    <t>EDIFICIO RESIDENCIAS ESTUDIANTILES J-7 BM</t>
  </si>
  <si>
    <t>J-8</t>
  </si>
  <si>
    <t>Caseta de bombas y tanques de agua</t>
  </si>
  <si>
    <t>J-9</t>
  </si>
  <si>
    <t>Residencias de Huéspedes (Casa dos niveles)</t>
  </si>
  <si>
    <t>BLOQUE K</t>
  </si>
  <si>
    <t>K-1</t>
  </si>
  <si>
    <t>Escuela de Ingeniería Electrónica (TICS) (5 niveles)</t>
  </si>
  <si>
    <t>02/06/2017</t>
  </si>
  <si>
    <t>EDIFICIO NÚCLEO DE TECNOLOGÍAS DE INFORMACIÓN Y COMUNICACIÓN BM</t>
  </si>
  <si>
    <t>K-2</t>
  </si>
  <si>
    <t>Escuela de Seguridad Laboral (2 niveles)</t>
  </si>
  <si>
    <t>NÚCLEO INTEGRADO DE SEGURIDAD LABORAL BM</t>
  </si>
  <si>
    <t>K-3</t>
  </si>
  <si>
    <t>Biblioteca Digital (2 niveles)</t>
  </si>
  <si>
    <t>16/06/2017</t>
  </si>
  <si>
    <t>EDIFICIO BIBLIOTECA BM</t>
  </si>
  <si>
    <t>K´-3</t>
  </si>
  <si>
    <t>Obras exteriores y calle de acceso</t>
  </si>
  <si>
    <t xml:space="preserve">Aceras Perimetrales ó de Acceso (No Aplica) </t>
  </si>
  <si>
    <t>K-4</t>
  </si>
  <si>
    <t>Comedor Institucional Este (3 niveles)</t>
  </si>
  <si>
    <t>16/03/2018</t>
  </si>
  <si>
    <t>EDIFICIO COMEDOR ESTUDIANTIL BM</t>
  </si>
  <si>
    <t>K-5</t>
  </si>
  <si>
    <t>Núcleo Integrado de Química Ambiental (4 niveles)</t>
  </si>
  <si>
    <t>20/02/2018</t>
  </si>
  <si>
    <t>EDIFICIO NUCLEO QUIMICA BM</t>
  </si>
  <si>
    <t>K-6</t>
  </si>
  <si>
    <t>Escuela de Diseño Industrial (2 niveles)</t>
  </si>
  <si>
    <t>06/02/2017</t>
  </si>
  <si>
    <t>NUCLEO INTEGRADO DISEÑO INDUSTRIAL BM</t>
  </si>
  <si>
    <t>K-7</t>
  </si>
  <si>
    <t>Taller Especializado de Escuela de Diseño Industrial</t>
  </si>
  <si>
    <t>APOYO A LA ACÁDÉMICA</t>
  </si>
  <si>
    <t>AULA TALLER MULTIUSO DISEÑO INDUSTRIAL K-7</t>
  </si>
  <si>
    <t>K-8</t>
  </si>
  <si>
    <t>Lagunas de Occidación ITCR (Incluyen Casetas)</t>
  </si>
  <si>
    <t>30/09/1980</t>
  </si>
  <si>
    <t>SISTEMA DE AGUAS NEGRAS</t>
  </si>
  <si>
    <t>K-9</t>
  </si>
  <si>
    <t>Centro de Acopio ITCR</t>
  </si>
  <si>
    <t>10/10/2017</t>
  </si>
  <si>
    <t>CENTRO DE ACOPIO (MADI)</t>
  </si>
  <si>
    <t>BLOQUE L</t>
  </si>
  <si>
    <t>L-1</t>
  </si>
  <si>
    <t>Aulas, Oficinas y Laboratorios Escuela de Ingeniería Forestal (Incluye Remodelación 2012)</t>
  </si>
  <si>
    <t>C-1515819-2011</t>
  </si>
  <si>
    <t>CENTRO IND. MADERA L-1</t>
  </si>
  <si>
    <t>PARQUEOS FORESTAL</t>
  </si>
  <si>
    <t>L-2</t>
  </si>
  <si>
    <t>Oficinas y Laboratorios Escuela de Ingeniería Forestal (Inluye Remodelación 2015)</t>
  </si>
  <si>
    <t>EDIFICIO TALLER IND DE MADERA</t>
  </si>
  <si>
    <t>L-3</t>
  </si>
  <si>
    <t>Aulas y Cubículos Escuela de Ingeniería Forestal (Incluye Reestructuración y  Remodelación, Obras exteriores 2015</t>
  </si>
  <si>
    <t>ESCUELA INGENIERÍA FORESTAL</t>
  </si>
  <si>
    <t>L-4</t>
  </si>
  <si>
    <t>Laboratorios Maderas Escuela de Ingeniería Forestal (Incluye remodelación 2017)</t>
  </si>
  <si>
    <t>LABORATORIO ING EN MADERAS</t>
  </si>
  <si>
    <t>PLANTA IMPREGNACIÓN MADERA</t>
  </si>
  <si>
    <t>CENTRO PROCESAMIENTO MADERA</t>
  </si>
  <si>
    <t>CENTRO INVESTIGACIÓN MADERA</t>
  </si>
  <si>
    <t>L-5</t>
  </si>
  <si>
    <t>Secadora de madera Escuela de Ingeniería Forestal</t>
  </si>
  <si>
    <t>30/10/1979</t>
  </si>
  <si>
    <t>SECADOR DE MADERA SOLAR</t>
  </si>
  <si>
    <t>PLANTA DE PERSERVACIÓN</t>
  </si>
  <si>
    <t>L-6</t>
  </si>
  <si>
    <t>Caseta de Guardas Sur - Bloque L</t>
  </si>
  <si>
    <t>L-7</t>
  </si>
  <si>
    <t>Casita Soda Escuela Forestal</t>
  </si>
  <si>
    <t>L-8</t>
  </si>
  <si>
    <t>Secadora de madera solar Escuela de Ingeniería Forestal</t>
  </si>
  <si>
    <t>BLOQUE M</t>
  </si>
  <si>
    <t>M1</t>
  </si>
  <si>
    <t>Aulas - Taller infantil Psicopedagógico del TEC (TIPTEC)</t>
  </si>
  <si>
    <t>SERVICIOS SOCIALES</t>
  </si>
  <si>
    <t>TIPTEC</t>
  </si>
  <si>
    <t>M-1</t>
  </si>
  <si>
    <t>GUARDERÍA INFANTIL</t>
  </si>
  <si>
    <t>M2</t>
  </si>
  <si>
    <t>Oficinas del Departamento de Administración de Mantenimiento (Incluye Ampliación de 48 m2 el 2015)</t>
  </si>
  <si>
    <t>AREA DE MANTENIMIENTO INSTITUCIONAL</t>
  </si>
  <si>
    <t>M-2</t>
  </si>
  <si>
    <t>EDIFICIO ADMINISTRACIÓN DE MANTENIMIENTO G-8</t>
  </si>
  <si>
    <t>M4</t>
  </si>
  <si>
    <t>Oficinas y Aulas Taller Infantil (TIPTEC)</t>
  </si>
  <si>
    <t>M-4</t>
  </si>
  <si>
    <t>Taller infantil</t>
  </si>
  <si>
    <t>M6</t>
  </si>
  <si>
    <t>Talleres del Departamento de Administración y Mantenimiento</t>
  </si>
  <si>
    <t>M-6</t>
  </si>
  <si>
    <t>SE HA INCORPORADO COMO MEJORA AL M-2</t>
  </si>
  <si>
    <t>M7</t>
  </si>
  <si>
    <t xml:space="preserve">Plataforma de Parqueos de Unidad de Transportes  ITCR </t>
  </si>
  <si>
    <t>M-7</t>
  </si>
  <si>
    <t>PLANTEL UNIDAD DE TRANSPORTE</t>
  </si>
  <si>
    <t>M8</t>
  </si>
  <si>
    <t>Oficina de Ingeniería</t>
  </si>
  <si>
    <t>ASESORÍA A LA RECTORÍA</t>
  </si>
  <si>
    <t>M-8</t>
  </si>
  <si>
    <t>06/12/2017</t>
  </si>
  <si>
    <t>EDIFICIO OFICINA INGENIERIA</t>
  </si>
  <si>
    <t>M9</t>
  </si>
  <si>
    <t>Unidad de Conserjería</t>
  </si>
  <si>
    <t>M-9</t>
  </si>
  <si>
    <t>CASETA DE CONSERJERÍA (A LA PAR ASETEC)</t>
  </si>
  <si>
    <t>M10</t>
  </si>
  <si>
    <t>Bodega del Departamento de Administración y Mantenimiento</t>
  </si>
  <si>
    <t>M-10</t>
  </si>
  <si>
    <t>M11</t>
  </si>
  <si>
    <t>M12</t>
  </si>
  <si>
    <t>Oficinas de la Unidad de Transportes ITCR (Inlcuye  Remodelación y ampliación 2017)</t>
  </si>
  <si>
    <t>Servicios generales</t>
  </si>
  <si>
    <t>M-11</t>
  </si>
  <si>
    <t>SE HA INCORPORADO COMO MEJORA AL M-7</t>
  </si>
  <si>
    <t>M13</t>
  </si>
  <si>
    <t>Bodega 2 del Departamento de Administración y Mantenimiento</t>
  </si>
  <si>
    <t>M14</t>
  </si>
  <si>
    <t>Bodega 3 del Departamento de Administración y Mantenimiento</t>
  </si>
  <si>
    <t>M15</t>
  </si>
  <si>
    <t>Caseta de combustibles del Departamento de Administración y Mantenimiento</t>
  </si>
  <si>
    <t>M16</t>
  </si>
  <si>
    <t>Unidad de Vigilancia</t>
  </si>
  <si>
    <t>TOTALES HUELLA</t>
  </si>
  <si>
    <t>AREA HUELLA</t>
  </si>
  <si>
    <t>EDIF+ACERA+Z.VERDE</t>
  </si>
  <si>
    <t>COSTO TERRENO HUELLA</t>
  </si>
  <si>
    <t>TOTALES Aceras</t>
  </si>
  <si>
    <t>TOTALES Zonas Verdes</t>
  </si>
  <si>
    <t>TOTALES Edificaciones</t>
  </si>
  <si>
    <t>NOTA: Tipo de cambio del dólar de venta para operaciones del sector publico no bancario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</si>
</sst>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409]#,##0.00"/>
    <numFmt numFmtId="166" formatCode="&quot;₡&quot;#,##0.00"/>
    <numFmt numFmtId="167" formatCode="[$$-240A]\ #,##0.00"/>
    <numFmt numFmtId="168" formatCode="[$$-240A]\ #,##0"/>
  </numFmts>
  <fonts count="15" x14ac:knownFonts="1">
    <font>
      <sz val="11"/>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
      <b/>
      <sz val="12"/>
      <color theme="1"/>
      <name val="Aptos Narrow"/>
      <family val="2"/>
      <scheme val="minor"/>
    </font>
    <font>
      <b/>
      <i/>
      <sz val="11"/>
      <color theme="1"/>
      <name val="Aptos Narrow"/>
      <family val="2"/>
      <scheme val="minor"/>
    </font>
    <font>
      <b/>
      <sz val="11"/>
      <color theme="1"/>
      <name val="Arial"/>
      <family val="2"/>
    </font>
    <font>
      <sz val="10"/>
      <name val="Arial"/>
      <family val="2"/>
    </font>
    <font>
      <sz val="11"/>
      <name val="Aptos Narrow"/>
      <family val="2"/>
      <scheme val="minor"/>
    </font>
    <font>
      <sz val="10"/>
      <color theme="1"/>
      <name val="Arial"/>
      <family val="2"/>
    </font>
    <font>
      <b/>
      <sz val="12"/>
      <color theme="1"/>
      <name val="Arial"/>
      <family val="2"/>
    </font>
    <font>
      <b/>
      <sz val="10"/>
      <name val="Arial"/>
      <family val="2"/>
    </font>
    <font>
      <b/>
      <sz val="12"/>
      <name val="Arial"/>
      <family val="2"/>
    </font>
    <font>
      <sz val="12"/>
      <color theme="1"/>
      <name val="Aptos Narrow"/>
      <family val="2"/>
      <scheme val="minor"/>
    </font>
    <font>
      <b/>
      <i/>
      <sz val="12"/>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513">
    <xf numFmtId="0" fontId="0" fillId="0" borderId="0" xfId="0"/>
    <xf numFmtId="0" fontId="0" fillId="0" borderId="0" xfId="0" applyAlignment="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2" fillId="0" borderId="0" xfId="0" applyFont="1" applyAlignment="1">
      <alignment vertical="center"/>
    </xf>
    <xf numFmtId="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3" borderId="2" xfId="0" applyFill="1" applyBorder="1" applyAlignment="1">
      <alignment horizontal="center" vertical="center"/>
    </xf>
    <xf numFmtId="0" fontId="3" fillId="3" borderId="0" xfId="0" applyFont="1" applyFill="1" applyAlignment="1">
      <alignment horizontal="left" vertical="center"/>
    </xf>
    <xf numFmtId="0" fontId="3" fillId="3" borderId="0" xfId="0" applyFont="1" applyFill="1" applyAlignment="1">
      <alignment vertical="center"/>
    </xf>
    <xf numFmtId="0" fontId="0" fillId="3" borderId="3" xfId="0" applyFill="1" applyBorder="1" applyAlignment="1">
      <alignment vertical="center"/>
    </xf>
    <xf numFmtId="4" fontId="0" fillId="3" borderId="3" xfId="0" applyNumberForma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2" fillId="4" borderId="3" xfId="0" applyFont="1" applyFill="1" applyBorder="1" applyAlignment="1">
      <alignment vertical="center" wrapText="1"/>
    </xf>
    <xf numFmtId="0" fontId="2" fillId="4" borderId="4" xfId="0" applyFont="1" applyFill="1" applyBorder="1" applyAlignment="1">
      <alignment horizontal="center" vertical="center" wrapText="1"/>
    </xf>
    <xf numFmtId="0" fontId="0" fillId="3" borderId="5" xfId="0" applyFill="1" applyBorder="1" applyAlignment="1">
      <alignment horizontal="center" vertical="center"/>
    </xf>
    <xf numFmtId="0" fontId="2" fillId="3" borderId="0" xfId="0" applyFont="1" applyFill="1" applyAlignment="1">
      <alignment horizontal="left" vertical="center"/>
    </xf>
    <xf numFmtId="0" fontId="0" fillId="3" borderId="0" xfId="0" applyFill="1" applyAlignment="1">
      <alignment vertical="center"/>
    </xf>
    <xf numFmtId="4" fontId="0" fillId="3" borderId="0" xfId="0" applyNumberFormat="1" applyFill="1" applyAlignment="1">
      <alignment horizontal="center" vertical="center"/>
    </xf>
    <xf numFmtId="0" fontId="0" fillId="3" borderId="0" xfId="0" applyFill="1" applyAlignment="1">
      <alignment horizontal="center" vertical="center"/>
    </xf>
    <xf numFmtId="0" fontId="0" fillId="3" borderId="6"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vertical="center" wrapText="1"/>
    </xf>
    <xf numFmtId="0" fontId="0" fillId="3" borderId="7" xfId="0" applyFill="1" applyBorder="1" applyAlignment="1">
      <alignment horizontal="center" vertical="center"/>
    </xf>
    <xf numFmtId="0" fontId="4" fillId="3" borderId="8" xfId="0" applyFont="1" applyFill="1" applyBorder="1" applyAlignment="1">
      <alignment horizontal="left" vertical="center"/>
    </xf>
    <xf numFmtId="0" fontId="2" fillId="3" borderId="8" xfId="0" applyFont="1" applyFill="1" applyBorder="1" applyAlignment="1">
      <alignment vertical="center"/>
    </xf>
    <xf numFmtId="0" fontId="0" fillId="3" borderId="8" xfId="0" applyFill="1" applyBorder="1" applyAlignment="1">
      <alignment vertical="center"/>
    </xf>
    <xf numFmtId="4" fontId="0" fillId="3" borderId="8" xfId="0" applyNumberFormat="1" applyFill="1" applyBorder="1" applyAlignment="1">
      <alignment horizontal="center" vertical="center"/>
    </xf>
    <xf numFmtId="0" fontId="0" fillId="3" borderId="8" xfId="0" applyFill="1" applyBorder="1" applyAlignment="1">
      <alignment horizontal="center" vertical="center"/>
    </xf>
    <xf numFmtId="0" fontId="2" fillId="3" borderId="9" xfId="0" applyFont="1" applyFill="1" applyBorder="1" applyAlignment="1">
      <alignment vertical="center"/>
    </xf>
    <xf numFmtId="0" fontId="2" fillId="4" borderId="2" xfId="0" applyFont="1" applyFill="1" applyBorder="1" applyAlignment="1">
      <alignment horizontal="left" vertical="center" wrapText="1"/>
    </xf>
    <xf numFmtId="0" fontId="2" fillId="4" borderId="4" xfId="0" applyFont="1" applyFill="1" applyBorder="1" applyAlignment="1">
      <alignment horizontal="left"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4" fontId="5" fillId="5" borderId="8" xfId="0" applyNumberFormat="1" applyFont="1" applyFill="1" applyBorder="1" applyAlignment="1">
      <alignment horizontal="center" vertical="center"/>
    </xf>
    <xf numFmtId="0" fontId="5" fillId="5" borderId="9"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8" xfId="0" applyFont="1" applyFill="1" applyBorder="1" applyAlignment="1">
      <alignment horizontal="center" vertical="center"/>
    </xf>
    <xf numFmtId="0" fontId="2" fillId="4" borderId="7"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xf>
    <xf numFmtId="4" fontId="2" fillId="5" borderId="12" xfId="0" applyNumberFormat="1"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8" borderId="14" xfId="0" applyFont="1" applyFill="1" applyBorder="1" applyAlignment="1">
      <alignment horizontal="left" vertical="center" wrapText="1"/>
    </xf>
    <xf numFmtId="0" fontId="2" fillId="8" borderId="4" xfId="0" applyFont="1" applyFill="1" applyBorder="1" applyAlignment="1">
      <alignment horizontal="left" vertical="center" wrapText="1"/>
    </xf>
    <xf numFmtId="164" fontId="2" fillId="8" borderId="4" xfId="1" applyFont="1" applyFill="1" applyBorder="1" applyAlignment="1">
      <alignment horizontal="left" vertical="center" wrapText="1"/>
    </xf>
    <xf numFmtId="0" fontId="2" fillId="4" borderId="15" xfId="0" applyFont="1" applyFill="1" applyBorder="1" applyAlignment="1">
      <alignment horizontal="center" vertical="center" wrapText="1"/>
    </xf>
    <xf numFmtId="0" fontId="6" fillId="4" borderId="16" xfId="0" applyFont="1" applyFill="1" applyBorder="1" applyAlignment="1">
      <alignment horizontal="left" vertical="center" wrapText="1"/>
    </xf>
    <xf numFmtId="0" fontId="2" fillId="4" borderId="16"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wrapText="1"/>
    </xf>
    <xf numFmtId="0" fontId="2" fillId="0" borderId="18" xfId="0" applyFont="1" applyBorder="1" applyAlignment="1">
      <alignment horizontal="left" vertical="center" wrapText="1"/>
    </xf>
    <xf numFmtId="0" fontId="7" fillId="0" borderId="15" xfId="0" applyFont="1" applyBorder="1" applyAlignment="1">
      <alignment horizontal="center" vertical="center"/>
    </xf>
    <xf numFmtId="0" fontId="7" fillId="0" borderId="16" xfId="0" applyFont="1" applyBorder="1" applyAlignment="1">
      <alignment vertical="center" wrapText="1"/>
    </xf>
    <xf numFmtId="0" fontId="0" fillId="0" borderId="16" xfId="0" applyBorder="1" applyAlignment="1">
      <alignment horizontal="center" vertical="center"/>
    </xf>
    <xf numFmtId="4" fontId="0" fillId="0" borderId="16" xfId="0" applyNumberFormat="1" applyBorder="1" applyAlignment="1">
      <alignment horizontal="center" vertical="center"/>
    </xf>
    <xf numFmtId="165" fontId="0" fillId="0" borderId="16" xfId="0" applyNumberFormat="1" applyBorder="1" applyAlignment="1">
      <alignment horizontal="center" vertical="center"/>
    </xf>
    <xf numFmtId="166" fontId="0" fillId="0" borderId="16" xfId="0" applyNumberFormat="1" applyBorder="1" applyAlignment="1">
      <alignment horizontal="center" vertical="center"/>
    </xf>
    <xf numFmtId="3" fontId="8" fillId="0" borderId="16" xfId="0" applyNumberFormat="1" applyFont="1" applyBorder="1" applyAlignment="1">
      <alignment horizontal="center" vertical="center"/>
    </xf>
    <xf numFmtId="0" fontId="8" fillId="0" borderId="16" xfId="0" applyFont="1" applyBorder="1" applyAlignment="1">
      <alignment horizontal="center" vertical="center"/>
    </xf>
    <xf numFmtId="167" fontId="8" fillId="0" borderId="16" xfId="1" applyNumberFormat="1" applyFont="1" applyFill="1" applyBorder="1" applyAlignment="1">
      <alignment horizontal="center" vertical="center"/>
    </xf>
    <xf numFmtId="168" fontId="8" fillId="0" borderId="16" xfId="1" applyNumberFormat="1" applyFont="1" applyFill="1" applyBorder="1" applyAlignment="1">
      <alignment horizontal="center" vertical="center"/>
    </xf>
    <xf numFmtId="0" fontId="0" fillId="0" borderId="17" xfId="0" applyBorder="1" applyAlignment="1">
      <alignment horizontal="center" vertical="center" wrapText="1"/>
    </xf>
    <xf numFmtId="4" fontId="0" fillId="0" borderId="19" xfId="0" applyNumberFormat="1" applyBorder="1" applyAlignment="1">
      <alignment horizontal="left" vertical="center" wrapText="1"/>
    </xf>
    <xf numFmtId="14" fontId="0" fillId="0" borderId="20" xfId="0" applyNumberFormat="1" applyBorder="1" applyAlignment="1">
      <alignment horizontal="left" vertical="center" wrapText="1"/>
    </xf>
    <xf numFmtId="164" fontId="0" fillId="0" borderId="20" xfId="1" applyFont="1" applyFill="1" applyBorder="1" applyAlignment="1">
      <alignment horizontal="left" vertical="center" wrapText="1"/>
    </xf>
    <xf numFmtId="0" fontId="0" fillId="0" borderId="20" xfId="0" applyBorder="1" applyAlignment="1">
      <alignment horizontal="left" vertical="center" wrapText="1"/>
    </xf>
    <xf numFmtId="0" fontId="0" fillId="0" borderId="21" xfId="1" applyNumberFormat="1" applyFont="1" applyFill="1" applyBorder="1" applyAlignment="1">
      <alignment horizontal="left" vertical="center" wrapText="1"/>
    </xf>
    <xf numFmtId="0" fontId="7" fillId="9" borderId="22" xfId="0" applyFont="1" applyFill="1" applyBorder="1" applyAlignment="1">
      <alignment horizontal="center" vertical="center"/>
    </xf>
    <xf numFmtId="0" fontId="7" fillId="9" borderId="18" xfId="0" applyFont="1" applyFill="1" applyBorder="1" applyAlignment="1">
      <alignment vertical="center" wrapText="1"/>
    </xf>
    <xf numFmtId="0" fontId="0" fillId="9" borderId="18" xfId="0" applyFill="1" applyBorder="1" applyAlignment="1">
      <alignment horizontal="center" vertical="center"/>
    </xf>
    <xf numFmtId="4" fontId="0" fillId="9" borderId="18" xfId="0" applyNumberFormat="1" applyFill="1" applyBorder="1" applyAlignment="1">
      <alignment horizontal="center" vertical="center"/>
    </xf>
    <xf numFmtId="165" fontId="0" fillId="9" borderId="18" xfId="0" applyNumberFormat="1" applyFill="1" applyBorder="1" applyAlignment="1">
      <alignment horizontal="center" vertical="center"/>
    </xf>
    <xf numFmtId="166" fontId="0" fillId="9" borderId="18" xfId="0" applyNumberFormat="1" applyFill="1" applyBorder="1" applyAlignment="1">
      <alignment horizontal="center" vertical="center"/>
    </xf>
    <xf numFmtId="3" fontId="8" fillId="9" borderId="18" xfId="0" applyNumberFormat="1" applyFont="1" applyFill="1" applyBorder="1" applyAlignment="1">
      <alignment horizontal="center" vertical="center"/>
    </xf>
    <xf numFmtId="0" fontId="8" fillId="9" borderId="18" xfId="0" applyFont="1" applyFill="1" applyBorder="1" applyAlignment="1">
      <alignment horizontal="center" vertical="center"/>
    </xf>
    <xf numFmtId="167" fontId="8" fillId="9" borderId="18" xfId="1" applyNumberFormat="1" applyFont="1" applyFill="1" applyBorder="1" applyAlignment="1">
      <alignment horizontal="center" vertical="center"/>
    </xf>
    <xf numFmtId="168" fontId="8" fillId="9" borderId="18" xfId="1" applyNumberFormat="1" applyFont="1" applyFill="1" applyBorder="1" applyAlignment="1">
      <alignment horizontal="center" vertical="center"/>
    </xf>
    <xf numFmtId="0" fontId="0" fillId="9" borderId="23" xfId="0" applyFill="1" applyBorder="1" applyAlignment="1">
      <alignment horizontal="center" vertical="center" wrapText="1"/>
    </xf>
    <xf numFmtId="0" fontId="0" fillId="0" borderId="24" xfId="0" applyBorder="1" applyAlignment="1">
      <alignment horizontal="left" vertical="center" wrapText="1"/>
    </xf>
    <xf numFmtId="14" fontId="0" fillId="0" borderId="1" xfId="0" applyNumberFormat="1" applyBorder="1" applyAlignment="1">
      <alignment horizontal="left" vertical="center" wrapText="1"/>
    </xf>
    <xf numFmtId="164" fontId="0" fillId="0" borderId="1" xfId="1" applyFont="1" applyFill="1" applyBorder="1" applyAlignment="1">
      <alignment horizontal="left" vertical="center" wrapText="1"/>
    </xf>
    <xf numFmtId="0" fontId="0" fillId="0" borderId="1" xfId="0" applyBorder="1" applyAlignment="1">
      <alignment horizontal="left" vertical="center" wrapText="1"/>
    </xf>
    <xf numFmtId="0" fontId="0" fillId="0" borderId="25" xfId="1" applyNumberFormat="1" applyFont="1" applyFill="1" applyBorder="1" applyAlignment="1">
      <alignment horizontal="left" vertical="center" wrapText="1"/>
    </xf>
    <xf numFmtId="0" fontId="7" fillId="4" borderId="22" xfId="0" applyFont="1" applyFill="1" applyBorder="1" applyAlignment="1">
      <alignment horizontal="center" vertical="center"/>
    </xf>
    <xf numFmtId="0" fontId="7" fillId="4" borderId="18" xfId="0" applyFont="1" applyFill="1" applyBorder="1" applyAlignment="1">
      <alignment vertical="center" wrapText="1"/>
    </xf>
    <xf numFmtId="0" fontId="0" fillId="4" borderId="18" xfId="0" applyFill="1" applyBorder="1" applyAlignment="1">
      <alignment horizontal="center" vertical="center"/>
    </xf>
    <xf numFmtId="4" fontId="0" fillId="4" borderId="18" xfId="0" applyNumberFormat="1" applyFill="1" applyBorder="1" applyAlignment="1">
      <alignment horizontal="center" vertical="center"/>
    </xf>
    <xf numFmtId="165" fontId="0" fillId="4" borderId="18" xfId="0" applyNumberFormat="1" applyFill="1" applyBorder="1" applyAlignment="1">
      <alignment horizontal="center" vertical="center"/>
    </xf>
    <xf numFmtId="166" fontId="0" fillId="4" borderId="18" xfId="0" applyNumberFormat="1" applyFill="1" applyBorder="1" applyAlignment="1">
      <alignment horizontal="center" vertical="center"/>
    </xf>
    <xf numFmtId="3" fontId="8" fillId="4" borderId="18" xfId="0" applyNumberFormat="1" applyFont="1" applyFill="1" applyBorder="1" applyAlignment="1">
      <alignment horizontal="center" vertical="center"/>
    </xf>
    <xf numFmtId="0" fontId="8" fillId="4" borderId="18" xfId="0" applyFont="1" applyFill="1" applyBorder="1" applyAlignment="1">
      <alignment horizontal="center" vertical="center"/>
    </xf>
    <xf numFmtId="168" fontId="8" fillId="4" borderId="18" xfId="0" applyNumberFormat="1" applyFont="1" applyFill="1" applyBorder="1" applyAlignment="1">
      <alignment horizontal="center" vertical="center"/>
    </xf>
    <xf numFmtId="167" fontId="8" fillId="4" borderId="18" xfId="0" applyNumberFormat="1" applyFont="1" applyFill="1" applyBorder="1" applyAlignment="1">
      <alignment horizontal="center" vertical="center"/>
    </xf>
    <xf numFmtId="0" fontId="0" fillId="4" borderId="23" xfId="0" applyFill="1" applyBorder="1" applyAlignment="1">
      <alignment horizontal="center" vertical="center" wrapText="1"/>
    </xf>
    <xf numFmtId="0" fontId="7" fillId="0" borderId="19" xfId="0" applyFont="1" applyBorder="1" applyAlignment="1">
      <alignment horizontal="center" vertical="center"/>
    </xf>
    <xf numFmtId="0" fontId="7" fillId="0" borderId="20" xfId="0" applyFont="1" applyBorder="1" applyAlignment="1">
      <alignment horizontal="left" vertical="center" wrapText="1"/>
    </xf>
    <xf numFmtId="0" fontId="0" fillId="0" borderId="20" xfId="0" applyBorder="1" applyAlignment="1">
      <alignment horizontal="center" vertical="center"/>
    </xf>
    <xf numFmtId="4" fontId="0" fillId="0" borderId="20" xfId="0" applyNumberFormat="1" applyBorder="1" applyAlignment="1">
      <alignment horizontal="center" vertical="center"/>
    </xf>
    <xf numFmtId="165" fontId="0" fillId="0" borderId="20" xfId="0" applyNumberFormat="1" applyBorder="1" applyAlignment="1">
      <alignment horizontal="center" vertical="center"/>
    </xf>
    <xf numFmtId="166" fontId="0" fillId="0" borderId="20" xfId="0" applyNumberFormat="1" applyBorder="1" applyAlignment="1">
      <alignment horizontal="center" vertical="center"/>
    </xf>
    <xf numFmtId="3" fontId="8" fillId="0" borderId="20" xfId="0" applyNumberFormat="1" applyFont="1" applyBorder="1" applyAlignment="1">
      <alignment horizontal="center" vertical="center"/>
    </xf>
    <xf numFmtId="0" fontId="8" fillId="0" borderId="20" xfId="0" applyFont="1" applyBorder="1" applyAlignment="1">
      <alignment horizontal="center" vertical="center"/>
    </xf>
    <xf numFmtId="167" fontId="8" fillId="0" borderId="20" xfId="1" applyNumberFormat="1" applyFont="1" applyFill="1" applyBorder="1" applyAlignment="1">
      <alignment horizontal="center" vertical="center"/>
    </xf>
    <xf numFmtId="168" fontId="8" fillId="0" borderId="20" xfId="1" applyNumberFormat="1" applyFont="1" applyFill="1" applyBorder="1" applyAlignment="1">
      <alignment horizontal="center" vertical="center"/>
    </xf>
    <xf numFmtId="0" fontId="0" fillId="0" borderId="21" xfId="0" applyBorder="1" applyAlignment="1">
      <alignment horizontal="center" vertical="center" wrapText="1"/>
    </xf>
    <xf numFmtId="0" fontId="7" fillId="9" borderId="24" xfId="0" applyFont="1" applyFill="1" applyBorder="1" applyAlignment="1">
      <alignment horizontal="center" vertical="center"/>
    </xf>
    <xf numFmtId="0" fontId="7" fillId="9" borderId="1" xfId="0" applyFont="1" applyFill="1" applyBorder="1" applyAlignment="1">
      <alignment horizontal="left" vertical="center" wrapText="1"/>
    </xf>
    <xf numFmtId="0" fontId="0" fillId="9" borderId="1" xfId="0" applyFill="1" applyBorder="1" applyAlignment="1">
      <alignment horizontal="center" vertical="center"/>
    </xf>
    <xf numFmtId="4" fontId="0" fillId="9" borderId="1" xfId="0" applyNumberFormat="1" applyFill="1" applyBorder="1" applyAlignment="1">
      <alignment horizontal="center" vertical="center"/>
    </xf>
    <xf numFmtId="165" fontId="0" fillId="9" borderId="1" xfId="0" applyNumberFormat="1" applyFill="1" applyBorder="1" applyAlignment="1">
      <alignment horizontal="center" vertical="center"/>
    </xf>
    <xf numFmtId="166" fontId="0" fillId="9" borderId="1" xfId="0" applyNumberFormat="1" applyFill="1" applyBorder="1" applyAlignment="1">
      <alignment horizontal="center" vertical="center"/>
    </xf>
    <xf numFmtId="3" fontId="8" fillId="9" borderId="1" xfId="0" applyNumberFormat="1" applyFont="1" applyFill="1" applyBorder="1" applyAlignment="1">
      <alignment horizontal="center" vertical="center"/>
    </xf>
    <xf numFmtId="0" fontId="8" fillId="9" borderId="1" xfId="0" applyFont="1" applyFill="1" applyBorder="1" applyAlignment="1">
      <alignment horizontal="center" vertical="center"/>
    </xf>
    <xf numFmtId="167" fontId="8" fillId="9" borderId="1" xfId="1" applyNumberFormat="1" applyFont="1" applyFill="1" applyBorder="1" applyAlignment="1">
      <alignment horizontal="center" vertical="center"/>
    </xf>
    <xf numFmtId="168" fontId="8" fillId="9" borderId="1" xfId="1" applyNumberFormat="1" applyFont="1" applyFill="1" applyBorder="1" applyAlignment="1">
      <alignment horizontal="center" vertical="center"/>
    </xf>
    <xf numFmtId="0" fontId="0" fillId="9" borderId="25" xfId="0" applyFill="1" applyBorder="1" applyAlignment="1">
      <alignment horizontal="center" vertical="center" wrapText="1"/>
    </xf>
    <xf numFmtId="4" fontId="0" fillId="0" borderId="24" xfId="0" applyNumberFormat="1" applyBorder="1" applyAlignment="1">
      <alignment horizontal="left" vertical="center" wrapText="1"/>
    </xf>
    <xf numFmtId="3" fontId="8" fillId="4" borderId="18" xfId="0" applyNumberFormat="1" applyFont="1" applyFill="1" applyBorder="1" applyAlignment="1">
      <alignment vertical="center"/>
    </xf>
    <xf numFmtId="0" fontId="8" fillId="4" borderId="18" xfId="0" applyFont="1" applyFill="1" applyBorder="1" applyAlignment="1">
      <alignment vertical="center"/>
    </xf>
    <xf numFmtId="167" fontId="8" fillId="4" borderId="18" xfId="0" applyNumberFormat="1" applyFont="1" applyFill="1" applyBorder="1" applyAlignment="1">
      <alignment vertical="center"/>
    </xf>
    <xf numFmtId="0" fontId="0" fillId="4" borderId="18" xfId="0" applyFill="1" applyBorder="1" applyAlignment="1">
      <alignment vertical="center"/>
    </xf>
    <xf numFmtId="0" fontId="0" fillId="4" borderId="23" xfId="0" applyFill="1" applyBorder="1" applyAlignment="1">
      <alignment vertical="center" wrapText="1"/>
    </xf>
    <xf numFmtId="0" fontId="7" fillId="4" borderId="24" xfId="0" applyFont="1" applyFill="1" applyBorder="1" applyAlignment="1">
      <alignment horizontal="center" vertical="center"/>
    </xf>
    <xf numFmtId="0" fontId="7" fillId="4" borderId="1" xfId="0" applyFont="1" applyFill="1" applyBorder="1" applyAlignment="1">
      <alignment horizontal="left" vertical="center" wrapText="1"/>
    </xf>
    <xf numFmtId="0" fontId="0" fillId="4" borderId="1" xfId="0" applyFill="1" applyBorder="1" applyAlignment="1">
      <alignment horizontal="center" vertical="center"/>
    </xf>
    <xf numFmtId="4" fontId="0" fillId="4" borderId="1" xfId="0" applyNumberFormat="1" applyFill="1" applyBorder="1" applyAlignment="1">
      <alignment horizontal="center" vertical="center"/>
    </xf>
    <xf numFmtId="3" fontId="8" fillId="4" borderId="1" xfId="0" applyNumberFormat="1" applyFont="1" applyFill="1" applyBorder="1" applyAlignment="1">
      <alignment horizontal="center" vertical="center"/>
    </xf>
    <xf numFmtId="4" fontId="8" fillId="4" borderId="1" xfId="0" applyNumberFormat="1" applyFont="1" applyFill="1" applyBorder="1" applyAlignment="1">
      <alignment horizontal="center" vertical="center"/>
    </xf>
    <xf numFmtId="0" fontId="0" fillId="4" borderId="25" xfId="0" applyFill="1" applyBorder="1" applyAlignment="1">
      <alignment horizontal="center" vertical="center" wrapText="1"/>
    </xf>
    <xf numFmtId="0" fontId="7" fillId="0" borderId="24" xfId="0" applyFont="1" applyBorder="1" applyAlignment="1">
      <alignment horizontal="center" vertical="center"/>
    </xf>
    <xf numFmtId="0" fontId="7" fillId="0" borderId="1" xfId="0" applyFont="1" applyBorder="1" applyAlignment="1">
      <alignment horizontal="left" vertical="center" wrapText="1"/>
    </xf>
    <xf numFmtId="0" fontId="0" fillId="0" borderId="1" xfId="0" applyBorder="1" applyAlignment="1">
      <alignment horizontal="center" vertical="center"/>
    </xf>
    <xf numFmtId="4" fontId="0" fillId="0" borderId="1" xfId="0" applyNumberFormat="1" applyBorder="1" applyAlignment="1">
      <alignment horizontal="center"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3" fontId="8" fillId="0" borderId="1" xfId="0" applyNumberFormat="1" applyFont="1" applyBorder="1" applyAlignment="1">
      <alignment horizontal="center" vertical="center"/>
    </xf>
    <xf numFmtId="0" fontId="8" fillId="0" borderId="1" xfId="0" applyFont="1" applyBorder="1" applyAlignment="1">
      <alignment horizontal="center" vertical="center"/>
    </xf>
    <xf numFmtId="167" fontId="8" fillId="0" borderId="1" xfId="1" applyNumberFormat="1" applyFont="1" applyFill="1" applyBorder="1" applyAlignment="1">
      <alignment horizontal="center" vertical="center"/>
    </xf>
    <xf numFmtId="168" fontId="8" fillId="0" borderId="1" xfId="1" applyNumberFormat="1" applyFont="1" applyFill="1" applyBorder="1" applyAlignment="1">
      <alignment horizontal="center" vertical="center"/>
    </xf>
    <xf numFmtId="0" fontId="0" fillId="0" borderId="25" xfId="0" applyBorder="1" applyAlignment="1">
      <alignment horizontal="center" vertical="center" wrapText="1"/>
    </xf>
    <xf numFmtId="4" fontId="0" fillId="0" borderId="22" xfId="0" applyNumberFormat="1" applyBorder="1" applyAlignment="1">
      <alignment horizontal="left" vertical="center" wrapText="1"/>
    </xf>
    <xf numFmtId="14" fontId="0" fillId="0" borderId="18" xfId="0" applyNumberFormat="1" applyBorder="1" applyAlignment="1">
      <alignment horizontal="left" vertical="center" wrapText="1"/>
    </xf>
    <xf numFmtId="164" fontId="0" fillId="0" borderId="18" xfId="1" applyFont="1" applyFill="1" applyBorder="1" applyAlignment="1">
      <alignment horizontal="left" vertical="center" wrapText="1"/>
    </xf>
    <xf numFmtId="0" fontId="0" fillId="0" borderId="18" xfId="0" applyBorder="1" applyAlignment="1">
      <alignment horizontal="left" vertical="center" wrapText="1"/>
    </xf>
    <xf numFmtId="0" fontId="0" fillId="0" borderId="23" xfId="1" applyNumberFormat="1" applyFont="1" applyFill="1" applyBorder="1" applyAlignment="1">
      <alignment horizontal="left" vertical="center" wrapText="1"/>
    </xf>
    <xf numFmtId="4" fontId="0" fillId="0" borderId="26" xfId="0" applyNumberFormat="1" applyBorder="1" applyAlignment="1">
      <alignment horizontal="left" vertical="center" wrapText="1"/>
    </xf>
    <xf numFmtId="14" fontId="0" fillId="0" borderId="27" xfId="0" applyNumberFormat="1" applyBorder="1" applyAlignment="1">
      <alignment horizontal="left" vertical="center" wrapText="1"/>
    </xf>
    <xf numFmtId="164" fontId="0" fillId="0" borderId="27" xfId="1" applyFont="1" applyFill="1" applyBorder="1" applyAlignment="1">
      <alignment horizontal="left" vertical="center" wrapText="1"/>
    </xf>
    <xf numFmtId="0" fontId="0" fillId="0" borderId="27" xfId="0" applyBorder="1" applyAlignment="1">
      <alignment horizontal="left" vertical="center" wrapText="1"/>
    </xf>
    <xf numFmtId="0" fontId="0" fillId="0" borderId="28" xfId="1" applyNumberFormat="1" applyFont="1" applyFill="1" applyBorder="1" applyAlignment="1">
      <alignment horizontal="left" vertical="center" wrapText="1"/>
    </xf>
    <xf numFmtId="0" fontId="7" fillId="4" borderId="29" xfId="0" applyFont="1" applyFill="1" applyBorder="1" applyAlignment="1">
      <alignment horizontal="center" vertical="center"/>
    </xf>
    <xf numFmtId="0" fontId="7" fillId="4" borderId="30" xfId="0" applyFont="1" applyFill="1" applyBorder="1" applyAlignment="1">
      <alignment horizontal="left" vertical="center" wrapText="1"/>
    </xf>
    <xf numFmtId="0" fontId="0" fillId="4" borderId="30" xfId="0" applyFill="1" applyBorder="1" applyAlignment="1">
      <alignment horizontal="center" vertical="center"/>
    </xf>
    <xf numFmtId="4" fontId="0" fillId="4" borderId="30" xfId="0" applyNumberFormat="1" applyFill="1" applyBorder="1" applyAlignment="1">
      <alignment horizontal="center" vertical="center"/>
    </xf>
    <xf numFmtId="3" fontId="8" fillId="4" borderId="30" xfId="0" applyNumberFormat="1" applyFont="1" applyFill="1" applyBorder="1" applyAlignment="1">
      <alignment horizontal="center" vertical="center"/>
    </xf>
    <xf numFmtId="4" fontId="8" fillId="4" borderId="30" xfId="0" applyNumberFormat="1" applyFont="1" applyFill="1" applyBorder="1" applyAlignment="1">
      <alignment horizontal="center" vertical="center"/>
    </xf>
    <xf numFmtId="0" fontId="0" fillId="4" borderId="31" xfId="0" applyFill="1" applyBorder="1" applyAlignment="1">
      <alignment horizontal="center" vertical="center" wrapText="1"/>
    </xf>
    <xf numFmtId="4" fontId="0" fillId="0" borderId="32" xfId="0" applyNumberFormat="1" applyBorder="1" applyAlignment="1">
      <alignment horizontal="left" vertical="center" wrapText="1"/>
    </xf>
    <xf numFmtId="14" fontId="0" fillId="0" borderId="33" xfId="0" applyNumberFormat="1" applyBorder="1" applyAlignment="1">
      <alignment horizontal="left" vertical="center" wrapText="1"/>
    </xf>
    <xf numFmtId="164" fontId="0" fillId="0" borderId="33" xfId="1" applyFont="1" applyFill="1" applyBorder="1" applyAlignment="1">
      <alignment horizontal="left" vertical="center" wrapText="1"/>
    </xf>
    <xf numFmtId="0" fontId="0" fillId="0" borderId="33" xfId="0" applyBorder="1" applyAlignment="1">
      <alignment horizontal="left" vertical="center" wrapText="1"/>
    </xf>
    <xf numFmtId="0" fontId="0" fillId="0" borderId="34" xfId="1" applyNumberFormat="1" applyFont="1" applyFill="1" applyBorder="1" applyAlignment="1">
      <alignment horizontal="left" vertical="center" wrapText="1"/>
    </xf>
    <xf numFmtId="167" fontId="8" fillId="4" borderId="30" xfId="0" applyNumberFormat="1" applyFont="1" applyFill="1" applyBorder="1" applyAlignment="1">
      <alignment horizontal="center" vertical="center"/>
    </xf>
    <xf numFmtId="4" fontId="0" fillId="0" borderId="29" xfId="0" applyNumberFormat="1" applyBorder="1" applyAlignment="1">
      <alignment horizontal="left" vertical="center" wrapText="1"/>
    </xf>
    <xf numFmtId="0" fontId="0" fillId="0" borderId="30" xfId="0" applyBorder="1" applyAlignment="1">
      <alignment horizontal="left" vertical="center" wrapText="1"/>
    </xf>
    <xf numFmtId="164" fontId="0" fillId="0" borderId="30" xfId="1" applyFont="1" applyFill="1" applyBorder="1" applyAlignment="1">
      <alignment horizontal="left" vertical="center" wrapText="1"/>
    </xf>
    <xf numFmtId="0" fontId="0" fillId="0" borderId="31" xfId="1" applyNumberFormat="1" applyFont="1" applyFill="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164" fontId="0" fillId="0" borderId="16" xfId="1" applyFont="1" applyFill="1" applyBorder="1" applyAlignment="1">
      <alignment horizontal="left" vertical="center" wrapText="1"/>
    </xf>
    <xf numFmtId="0" fontId="0" fillId="0" borderId="17" xfId="1" applyNumberFormat="1" applyFont="1" applyFill="1" applyBorder="1" applyAlignment="1">
      <alignment horizontal="left" vertical="center" wrapText="1"/>
    </xf>
    <xf numFmtId="0" fontId="0" fillId="0" borderId="26" xfId="0" applyBorder="1" applyAlignment="1">
      <alignment horizontal="left" vertical="center" wrapText="1"/>
    </xf>
    <xf numFmtId="0" fontId="0" fillId="0" borderId="32" xfId="0" applyBorder="1" applyAlignment="1">
      <alignment horizontal="left" vertical="center" wrapText="1"/>
    </xf>
    <xf numFmtId="3" fontId="0" fillId="9" borderId="1" xfId="0" applyNumberFormat="1" applyFill="1" applyBorder="1" applyAlignment="1">
      <alignment horizontal="center" vertical="center"/>
    </xf>
    <xf numFmtId="3" fontId="0" fillId="9" borderId="1" xfId="0" applyNumberFormat="1" applyFill="1" applyBorder="1" applyAlignment="1">
      <alignment horizontal="left" vertical="center"/>
    </xf>
    <xf numFmtId="0" fontId="0" fillId="0" borderId="28" xfId="0" applyBorder="1" applyAlignment="1">
      <alignment horizontal="left" vertical="center" wrapText="1"/>
    </xf>
    <xf numFmtId="0" fontId="7" fillId="9" borderId="35" xfId="0" applyFont="1" applyFill="1" applyBorder="1" applyAlignment="1">
      <alignment vertical="center" wrapText="1"/>
    </xf>
    <xf numFmtId="0" fontId="0" fillId="9" borderId="24" xfId="0" applyFill="1" applyBorder="1" applyAlignment="1">
      <alignment horizontal="center" vertical="center"/>
    </xf>
    <xf numFmtId="0" fontId="0" fillId="9" borderId="1" xfId="0" applyFill="1" applyBorder="1" applyAlignment="1">
      <alignment horizontal="center" vertical="center" wrapText="1"/>
    </xf>
    <xf numFmtId="0" fontId="0" fillId="0" borderId="34" xfId="0" applyBorder="1" applyAlignment="1">
      <alignment horizontal="left" vertical="center" wrapText="1"/>
    </xf>
    <xf numFmtId="14" fontId="0" fillId="0" borderId="16" xfId="0" applyNumberFormat="1" applyBorder="1" applyAlignment="1">
      <alignment horizontal="left" vertical="center" wrapText="1"/>
    </xf>
    <xf numFmtId="0" fontId="0" fillId="0" borderId="19" xfId="0" applyBorder="1" applyAlignment="1">
      <alignment horizontal="center" vertical="center"/>
    </xf>
    <xf numFmtId="0" fontId="9" fillId="0" borderId="20"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4" borderId="29" xfId="0" applyFill="1"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1" fontId="0" fillId="9" borderId="1" xfId="0" applyNumberFormat="1" applyFill="1" applyBorder="1" applyAlignment="1">
      <alignment horizontal="center" vertical="center"/>
    </xf>
    <xf numFmtId="2" fontId="0" fillId="0" borderId="20" xfId="0" applyNumberFormat="1" applyBorder="1" applyAlignment="1">
      <alignment horizontal="center" vertical="center"/>
    </xf>
    <xf numFmtId="4" fontId="0" fillId="0" borderId="21" xfId="0" applyNumberFormat="1" applyBorder="1" applyAlignment="1">
      <alignment horizontal="center" vertical="center" wrapText="1"/>
    </xf>
    <xf numFmtId="0" fontId="0" fillId="0" borderId="17" xfId="0" applyBorder="1" applyAlignment="1">
      <alignment horizontal="left" vertical="center" wrapText="1"/>
    </xf>
    <xf numFmtId="2" fontId="0" fillId="9" borderId="1" xfId="0" applyNumberFormat="1" applyFill="1" applyBorder="1" applyAlignment="1">
      <alignment horizontal="center" vertical="center"/>
    </xf>
    <xf numFmtId="4" fontId="0" fillId="9" borderId="25" xfId="0" applyNumberFormat="1" applyFill="1" applyBorder="1" applyAlignment="1">
      <alignment horizontal="center" vertical="center" wrapText="1"/>
    </xf>
    <xf numFmtId="166" fontId="0" fillId="4" borderId="30" xfId="0" applyNumberFormat="1" applyFill="1" applyBorder="1" applyAlignment="1">
      <alignment horizontal="center" vertical="center"/>
    </xf>
    <xf numFmtId="4" fontId="0" fillId="4" borderId="31" xfId="0" applyNumberFormat="1" applyFill="1" applyBorder="1" applyAlignment="1">
      <alignment horizontal="center" vertical="center" wrapText="1"/>
    </xf>
    <xf numFmtId="0" fontId="0" fillId="0" borderId="27" xfId="0" applyBorder="1" applyAlignment="1">
      <alignment horizontal="center" vertical="center"/>
    </xf>
    <xf numFmtId="0" fontId="10" fillId="0" borderId="27" xfId="0" applyFont="1" applyBorder="1" applyAlignment="1">
      <alignment horizontal="left" vertical="center" wrapText="1"/>
    </xf>
    <xf numFmtId="0" fontId="0" fillId="0" borderId="27" xfId="0" applyBorder="1" applyAlignment="1">
      <alignment vertical="center"/>
    </xf>
    <xf numFmtId="165" fontId="0" fillId="0" borderId="27" xfId="0" applyNumberFormat="1" applyBorder="1" applyAlignment="1">
      <alignment horizontal="center" vertical="center"/>
    </xf>
    <xf numFmtId="0" fontId="0" fillId="0" borderId="27" xfId="0" applyBorder="1" applyAlignment="1">
      <alignment vertical="center" wrapText="1"/>
    </xf>
    <xf numFmtId="0" fontId="10" fillId="10" borderId="27" xfId="0" applyFont="1" applyFill="1" applyBorder="1" applyAlignment="1">
      <alignment horizontal="left" vertical="center" wrapText="1"/>
    </xf>
    <xf numFmtId="0" fontId="0" fillId="10" borderId="27" xfId="0" applyFill="1" applyBorder="1" applyAlignment="1">
      <alignment horizontal="left" vertical="center" wrapText="1"/>
    </xf>
    <xf numFmtId="164" fontId="0" fillId="10" borderId="27" xfId="1" applyFont="1" applyFill="1" applyBorder="1" applyAlignment="1">
      <alignment horizontal="left" vertical="center" wrapText="1"/>
    </xf>
    <xf numFmtId="2" fontId="0" fillId="4" borderId="30" xfId="0" applyNumberFormat="1" applyFill="1" applyBorder="1" applyAlignment="1">
      <alignment horizontal="center" vertical="center"/>
    </xf>
    <xf numFmtId="0" fontId="0" fillId="2" borderId="0" xfId="0" applyFill="1" applyAlignment="1">
      <alignment vertical="center"/>
    </xf>
    <xf numFmtId="0" fontId="0" fillId="0" borderId="19" xfId="0" applyBorder="1" applyAlignment="1">
      <alignment horizontal="left" vertical="center" wrapText="1"/>
    </xf>
    <xf numFmtId="0" fontId="0" fillId="0" borderId="21" xfId="0" applyBorder="1" applyAlignment="1">
      <alignment horizontal="left" vertical="center" wrapText="1"/>
    </xf>
    <xf numFmtId="14" fontId="0" fillId="0" borderId="36" xfId="0" applyNumberFormat="1" applyBorder="1" applyAlignment="1">
      <alignment horizontal="left" vertical="center" wrapText="1"/>
    </xf>
    <xf numFmtId="0" fontId="0" fillId="0" borderId="25" xfId="0" applyBorder="1" applyAlignment="1">
      <alignment horizontal="left" vertical="center" wrapText="1"/>
    </xf>
    <xf numFmtId="2" fontId="0" fillId="4" borderId="18" xfId="0" applyNumberFormat="1" applyFill="1" applyBorder="1" applyAlignment="1">
      <alignment horizontal="center" vertical="center"/>
    </xf>
    <xf numFmtId="14" fontId="0" fillId="0" borderId="1" xfId="1" applyNumberFormat="1" applyFont="1" applyFill="1"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11" borderId="16" xfId="0" applyFill="1" applyBorder="1" applyAlignment="1">
      <alignment horizontal="left" vertical="center" wrapText="1"/>
    </xf>
    <xf numFmtId="0" fontId="0" fillId="11" borderId="37" xfId="0" applyFill="1" applyBorder="1" applyAlignment="1">
      <alignment horizontal="left" vertical="center" wrapText="1"/>
    </xf>
    <xf numFmtId="0" fontId="0" fillId="11" borderId="3" xfId="0" applyFill="1" applyBorder="1" applyAlignment="1">
      <alignment horizontal="left" vertical="center" wrapText="1"/>
    </xf>
    <xf numFmtId="0" fontId="0" fillId="11" borderId="38" xfId="0" applyFill="1" applyBorder="1" applyAlignment="1">
      <alignment horizontal="left" vertical="center" wrapText="1"/>
    </xf>
    <xf numFmtId="0" fontId="0" fillId="11" borderId="27" xfId="0" applyFill="1" applyBorder="1" applyAlignment="1">
      <alignment horizontal="left" vertical="center" wrapText="1"/>
    </xf>
    <xf numFmtId="0" fontId="0" fillId="11" borderId="39" xfId="0" applyFill="1" applyBorder="1" applyAlignment="1">
      <alignment horizontal="left" vertical="center" wrapText="1"/>
    </xf>
    <xf numFmtId="0" fontId="0" fillId="11" borderId="0" xfId="0" applyFill="1" applyAlignment="1">
      <alignment horizontal="left" vertical="center" wrapText="1"/>
    </xf>
    <xf numFmtId="0" fontId="0" fillId="11" borderId="40" xfId="0" applyFill="1" applyBorder="1" applyAlignment="1">
      <alignment horizontal="left" vertical="center" wrapText="1"/>
    </xf>
    <xf numFmtId="0" fontId="7" fillId="4" borderId="18" xfId="0" applyFont="1" applyFill="1" applyBorder="1" applyAlignment="1">
      <alignment horizontal="left" vertical="center" wrapText="1"/>
    </xf>
    <xf numFmtId="4" fontId="0" fillId="4" borderId="23" xfId="0" applyNumberFormat="1" applyFill="1" applyBorder="1" applyAlignment="1">
      <alignment horizontal="center" vertical="center" wrapText="1"/>
    </xf>
    <xf numFmtId="0" fontId="0" fillId="11" borderId="33" xfId="0" applyFill="1" applyBorder="1" applyAlignment="1">
      <alignment horizontal="left" vertical="center" wrapText="1"/>
    </xf>
    <xf numFmtId="0" fontId="0" fillId="11" borderId="41" xfId="0" applyFill="1" applyBorder="1" applyAlignment="1">
      <alignment horizontal="left" vertical="center" wrapText="1"/>
    </xf>
    <xf numFmtId="0" fontId="0" fillId="11" borderId="8" xfId="0" applyFill="1" applyBorder="1" applyAlignment="1">
      <alignment horizontal="left" vertical="center" wrapText="1"/>
    </xf>
    <xf numFmtId="0" fontId="0" fillId="11" borderId="42" xfId="0" applyFill="1" applyBorder="1" applyAlignment="1">
      <alignment horizontal="left" vertical="center" wrapText="1"/>
    </xf>
    <xf numFmtId="0" fontId="7" fillId="0" borderId="43" xfId="0" applyFont="1" applyBorder="1" applyAlignment="1">
      <alignment horizontal="center" vertical="center"/>
    </xf>
    <xf numFmtId="0" fontId="7" fillId="0" borderId="44" xfId="0" applyFont="1" applyBorder="1" applyAlignment="1">
      <alignment vertical="center" wrapText="1"/>
    </xf>
    <xf numFmtId="0" fontId="7" fillId="0" borderId="44" xfId="0" applyFont="1" applyBorder="1" applyAlignment="1">
      <alignment vertical="center"/>
    </xf>
    <xf numFmtId="0" fontId="7" fillId="0" borderId="44" xfId="0" applyFont="1" applyBorder="1" applyAlignment="1">
      <alignment horizontal="center" vertical="center"/>
    </xf>
    <xf numFmtId="0" fontId="7" fillId="0" borderId="45" xfId="0" applyFont="1" applyBorder="1" applyAlignment="1">
      <alignment horizontal="center" vertical="center"/>
    </xf>
    <xf numFmtId="0" fontId="0" fillId="0" borderId="43" xfId="0" applyBorder="1" applyAlignment="1">
      <alignment horizontal="left" vertical="center" wrapText="1"/>
    </xf>
    <xf numFmtId="14" fontId="0" fillId="0" borderId="44" xfId="0" applyNumberFormat="1" applyBorder="1" applyAlignment="1">
      <alignment horizontal="left" vertical="center" wrapText="1"/>
    </xf>
    <xf numFmtId="164" fontId="0" fillId="0" borderId="44" xfId="1" applyFont="1" applyFill="1" applyBorder="1" applyAlignment="1">
      <alignment horizontal="left" vertical="center" wrapText="1"/>
    </xf>
    <xf numFmtId="0" fontId="0" fillId="0" borderId="44" xfId="0" applyBorder="1" applyAlignment="1">
      <alignment horizontal="left" vertical="center" wrapText="1"/>
    </xf>
    <xf numFmtId="0" fontId="0" fillId="0" borderId="45" xfId="0" applyBorder="1" applyAlignment="1">
      <alignment horizontal="left" vertical="center" wrapText="1"/>
    </xf>
    <xf numFmtId="0" fontId="7" fillId="0" borderId="46" xfId="0" applyFont="1" applyBorder="1" applyAlignment="1">
      <alignment horizontal="center" vertical="center"/>
    </xf>
    <xf numFmtId="0" fontId="7" fillId="0" borderId="36" xfId="0" applyFont="1" applyBorder="1" applyAlignment="1">
      <alignment horizontal="left" vertical="center" wrapText="1"/>
    </xf>
    <xf numFmtId="0" fontId="0" fillId="0" borderId="36" xfId="0" applyBorder="1" applyAlignment="1">
      <alignment horizontal="center" vertical="center"/>
    </xf>
    <xf numFmtId="2" fontId="0" fillId="0" borderId="36" xfId="0" applyNumberFormat="1" applyBorder="1" applyAlignment="1">
      <alignment horizontal="center" vertical="center"/>
    </xf>
    <xf numFmtId="165" fontId="0" fillId="0" borderId="36" xfId="0" applyNumberFormat="1" applyBorder="1" applyAlignment="1">
      <alignment horizontal="center" vertical="center"/>
    </xf>
    <xf numFmtId="166" fontId="0" fillId="0" borderId="36" xfId="0" applyNumberFormat="1" applyBorder="1" applyAlignment="1">
      <alignment horizontal="center" vertical="center"/>
    </xf>
    <xf numFmtId="3" fontId="8" fillId="0" borderId="36" xfId="0" applyNumberFormat="1" applyFont="1" applyBorder="1" applyAlignment="1">
      <alignment horizontal="center" vertical="center"/>
    </xf>
    <xf numFmtId="167" fontId="8" fillId="0" borderId="36" xfId="1" applyNumberFormat="1" applyFont="1" applyFill="1" applyBorder="1" applyAlignment="1">
      <alignment horizontal="center" vertical="center"/>
    </xf>
    <xf numFmtId="4" fontId="0" fillId="0" borderId="47" xfId="0" applyNumberFormat="1" applyBorder="1" applyAlignment="1">
      <alignment horizontal="center" vertical="center" wrapText="1"/>
    </xf>
    <xf numFmtId="165" fontId="0" fillId="4" borderId="30" xfId="0" applyNumberFormat="1" applyFill="1" applyBorder="1" applyAlignment="1">
      <alignment horizontal="center" vertical="center"/>
    </xf>
    <xf numFmtId="0" fontId="11" fillId="0" borderId="27" xfId="0" applyFont="1" applyBorder="1" applyAlignment="1">
      <alignment horizontal="center" vertical="center"/>
    </xf>
    <xf numFmtId="0" fontId="12" fillId="0" borderId="27" xfId="0" applyFont="1" applyBorder="1" applyAlignment="1">
      <alignment horizontal="left" vertical="center" wrapText="1"/>
    </xf>
    <xf numFmtId="0" fontId="12" fillId="10" borderId="27" xfId="0" applyFont="1" applyFill="1" applyBorder="1" applyAlignment="1">
      <alignment horizontal="left" vertical="center" wrapText="1"/>
    </xf>
    <xf numFmtId="2" fontId="8" fillId="0" borderId="20" xfId="0" applyNumberFormat="1" applyFont="1" applyBorder="1" applyAlignment="1">
      <alignment horizontal="center" vertical="center"/>
    </xf>
    <xf numFmtId="165" fontId="8" fillId="0" borderId="20" xfId="0" applyNumberFormat="1" applyFont="1" applyBorder="1" applyAlignment="1">
      <alignment horizontal="center" vertical="center"/>
    </xf>
    <xf numFmtId="166" fontId="8" fillId="0" borderId="20" xfId="0" applyNumberFormat="1" applyFont="1" applyBorder="1" applyAlignment="1">
      <alignment horizontal="center" vertical="center"/>
    </xf>
    <xf numFmtId="0" fontId="8" fillId="0" borderId="21" xfId="0" applyFont="1" applyBorder="1" applyAlignment="1">
      <alignment horizontal="center" vertical="center" wrapText="1"/>
    </xf>
    <xf numFmtId="0" fontId="7" fillId="4" borderId="22" xfId="0" applyFont="1" applyFill="1" applyBorder="1" applyAlignment="1">
      <alignment horizontal="center" vertical="center"/>
    </xf>
    <xf numFmtId="0" fontId="7" fillId="4" borderId="18" xfId="0" applyFont="1" applyFill="1" applyBorder="1" applyAlignment="1">
      <alignment horizontal="left" vertical="center" wrapText="1"/>
    </xf>
    <xf numFmtId="0" fontId="0" fillId="4" borderId="18" xfId="0" applyFill="1" applyBorder="1" applyAlignment="1">
      <alignment horizontal="center" vertical="center"/>
    </xf>
    <xf numFmtId="4" fontId="0" fillId="4" borderId="18" xfId="0" applyNumberFormat="1" applyFill="1" applyBorder="1" applyAlignment="1">
      <alignment horizontal="center" vertical="center"/>
    </xf>
    <xf numFmtId="2" fontId="0" fillId="4" borderId="18" xfId="0" applyNumberFormat="1" applyFill="1" applyBorder="1" applyAlignment="1">
      <alignment horizontal="center" vertical="center"/>
    </xf>
    <xf numFmtId="165" fontId="0" fillId="4" borderId="18" xfId="0" applyNumberFormat="1" applyFill="1" applyBorder="1" applyAlignment="1">
      <alignment horizontal="center" vertical="center"/>
    </xf>
    <xf numFmtId="166" fontId="0" fillId="4" borderId="18" xfId="0" applyNumberFormat="1" applyFill="1" applyBorder="1" applyAlignment="1">
      <alignment horizontal="center" vertical="center"/>
    </xf>
    <xf numFmtId="3" fontId="8" fillId="4" borderId="18" xfId="0" applyNumberFormat="1" applyFont="1" applyFill="1" applyBorder="1" applyAlignment="1">
      <alignment horizontal="center" vertical="center"/>
    </xf>
    <xf numFmtId="167" fontId="8" fillId="4" borderId="18" xfId="0" applyNumberFormat="1" applyFont="1" applyFill="1" applyBorder="1" applyAlignment="1">
      <alignment horizontal="center" vertical="center"/>
    </xf>
    <xf numFmtId="0" fontId="0" fillId="4" borderId="23" xfId="0" applyFill="1" applyBorder="1" applyAlignment="1">
      <alignment horizontal="center" vertical="center" wrapText="1"/>
    </xf>
    <xf numFmtId="0" fontId="7" fillId="0" borderId="32" xfId="0" applyFont="1" applyBorder="1" applyAlignment="1">
      <alignment horizontal="center" vertical="center"/>
    </xf>
    <xf numFmtId="0" fontId="7" fillId="0" borderId="33" xfId="0" applyFont="1" applyBorder="1" applyAlignment="1">
      <alignment horizontal="left" vertical="center" wrapText="1"/>
    </xf>
    <xf numFmtId="0" fontId="0" fillId="0" borderId="33" xfId="0" applyBorder="1" applyAlignment="1">
      <alignment horizontal="center" vertical="center"/>
    </xf>
    <xf numFmtId="2" fontId="0" fillId="0" borderId="33" xfId="0" applyNumberFormat="1" applyBorder="1" applyAlignment="1">
      <alignment horizontal="center" vertical="center"/>
    </xf>
    <xf numFmtId="165" fontId="0" fillId="0" borderId="33" xfId="0" applyNumberFormat="1" applyBorder="1" applyAlignment="1">
      <alignment horizontal="center" vertical="center"/>
    </xf>
    <xf numFmtId="166" fontId="0" fillId="0" borderId="33" xfId="0" applyNumberFormat="1" applyBorder="1" applyAlignment="1">
      <alignment horizontal="center" vertical="center"/>
    </xf>
    <xf numFmtId="3" fontId="8" fillId="0" borderId="33" xfId="0" applyNumberFormat="1" applyFont="1" applyBorder="1" applyAlignment="1">
      <alignment horizontal="center" vertical="center"/>
    </xf>
    <xf numFmtId="167" fontId="8" fillId="0" borderId="33" xfId="0" applyNumberFormat="1" applyFont="1" applyBorder="1" applyAlignment="1">
      <alignment horizontal="center" vertical="center"/>
    </xf>
    <xf numFmtId="0" fontId="0" fillId="0" borderId="34" xfId="0" applyBorder="1" applyAlignment="1">
      <alignment horizontal="center" vertical="center" wrapText="1"/>
    </xf>
    <xf numFmtId="0" fontId="0" fillId="0" borderId="29" xfId="0" applyBorder="1" applyAlignment="1">
      <alignment horizontal="left" vertical="center" wrapText="1"/>
    </xf>
    <xf numFmtId="14" fontId="0" fillId="0" borderId="30" xfId="0" applyNumberFormat="1" applyBorder="1" applyAlignment="1">
      <alignment horizontal="left" vertical="center" wrapText="1"/>
    </xf>
    <xf numFmtId="0" fontId="0" fillId="0" borderId="31" xfId="0" applyBorder="1" applyAlignment="1">
      <alignment horizontal="left" vertical="center" wrapText="1"/>
    </xf>
    <xf numFmtId="0" fontId="0" fillId="9" borderId="20" xfId="0" applyFill="1" applyBorder="1" applyAlignment="1">
      <alignment horizontal="center" vertical="center"/>
    </xf>
    <xf numFmtId="0" fontId="0" fillId="9" borderId="21" xfId="0" applyFill="1" applyBorder="1" applyAlignment="1">
      <alignment horizontal="center" vertical="center" wrapText="1"/>
    </xf>
    <xf numFmtId="0" fontId="0" fillId="0" borderId="26" xfId="0" applyBorder="1" applyAlignment="1">
      <alignment horizontal="left" vertical="center" wrapText="1"/>
    </xf>
    <xf numFmtId="14" fontId="0" fillId="0" borderId="27" xfId="0" applyNumberFormat="1" applyBorder="1" applyAlignment="1">
      <alignment horizontal="left" vertical="center" wrapText="1"/>
    </xf>
    <xf numFmtId="164" fontId="0" fillId="0" borderId="27" xfId="1" applyFont="1" applyFill="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4" fontId="0" fillId="0" borderId="0" xfId="0" applyNumberFormat="1" applyAlignment="1">
      <alignment vertical="center"/>
    </xf>
    <xf numFmtId="0" fontId="0" fillId="11" borderId="15" xfId="0" applyFill="1" applyBorder="1" applyAlignment="1">
      <alignment horizontal="left" vertical="center" wrapText="1"/>
    </xf>
    <xf numFmtId="0" fontId="0" fillId="11" borderId="4" xfId="0" applyFill="1" applyBorder="1" applyAlignment="1">
      <alignment horizontal="left" vertical="center" wrapText="1"/>
    </xf>
    <xf numFmtId="0" fontId="0" fillId="11" borderId="26" xfId="0" applyFill="1" applyBorder="1" applyAlignment="1">
      <alignment horizontal="left" vertical="center" wrapText="1"/>
    </xf>
    <xf numFmtId="0" fontId="0" fillId="11" borderId="6" xfId="0" applyFill="1" applyBorder="1" applyAlignment="1">
      <alignment horizontal="left" vertical="center" wrapText="1"/>
    </xf>
    <xf numFmtId="0" fontId="7" fillId="9" borderId="48" xfId="0" applyFont="1" applyFill="1" applyBorder="1" applyAlignment="1">
      <alignment horizontal="left" vertical="center" wrapText="1"/>
    </xf>
    <xf numFmtId="0" fontId="7" fillId="4" borderId="49" xfId="0" applyFont="1" applyFill="1" applyBorder="1" applyAlignment="1">
      <alignment horizontal="left" vertical="center" wrapText="1"/>
    </xf>
    <xf numFmtId="0" fontId="0" fillId="11" borderId="32" xfId="0" applyFill="1" applyBorder="1" applyAlignment="1">
      <alignment horizontal="left" vertical="center" wrapText="1"/>
    </xf>
    <xf numFmtId="0" fontId="0" fillId="11" borderId="9" xfId="0" applyFill="1" applyBorder="1" applyAlignment="1">
      <alignment horizontal="left" vertical="center" wrapText="1"/>
    </xf>
    <xf numFmtId="0" fontId="7" fillId="0" borderId="48" xfId="0" applyFont="1" applyBorder="1" applyAlignment="1">
      <alignment horizontal="left"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2" fontId="8" fillId="0" borderId="1" xfId="0" applyNumberFormat="1" applyFont="1" applyBorder="1" applyAlignment="1">
      <alignment horizontal="center" vertical="center"/>
    </xf>
    <xf numFmtId="2" fontId="8" fillId="0" borderId="1" xfId="1" applyNumberFormat="1" applyFont="1" applyFill="1" applyBorder="1" applyAlignment="1">
      <alignment horizontal="center" vertical="center"/>
    </xf>
    <xf numFmtId="0" fontId="7" fillId="9" borderId="48" xfId="0" applyFont="1" applyFill="1" applyBorder="1" applyAlignment="1">
      <alignment vertical="center" wrapText="1"/>
    </xf>
    <xf numFmtId="2" fontId="8" fillId="9" borderId="1" xfId="0" applyNumberFormat="1" applyFont="1" applyFill="1" applyBorder="1" applyAlignment="1">
      <alignment horizontal="center" vertical="center"/>
    </xf>
    <xf numFmtId="2" fontId="8" fillId="9" borderId="1" xfId="1" applyNumberFormat="1" applyFont="1" applyFill="1" applyBorder="1" applyAlignment="1">
      <alignment horizontal="center" vertical="center"/>
    </xf>
    <xf numFmtId="0" fontId="7" fillId="4" borderId="48" xfId="0" applyFont="1" applyFill="1" applyBorder="1" applyAlignment="1">
      <alignment vertical="center" wrapText="1"/>
    </xf>
    <xf numFmtId="0" fontId="0" fillId="4" borderId="1" xfId="0" applyFill="1" applyBorder="1" applyAlignment="1">
      <alignment horizontal="center" vertical="center" wrapText="1"/>
    </xf>
    <xf numFmtId="2" fontId="0" fillId="4" borderId="1" xfId="0" applyNumberFormat="1" applyFill="1" applyBorder="1" applyAlignment="1">
      <alignment horizontal="center" vertical="center"/>
    </xf>
    <xf numFmtId="2" fontId="8" fillId="4" borderId="1" xfId="0" applyNumberFormat="1" applyFont="1" applyFill="1" applyBorder="1" applyAlignment="1">
      <alignment horizontal="center" vertical="center"/>
    </xf>
    <xf numFmtId="0" fontId="7" fillId="0" borderId="50" xfId="0" applyFont="1" applyBorder="1" applyAlignment="1">
      <alignment horizontal="left" vertical="center" wrapText="1"/>
    </xf>
    <xf numFmtId="0" fontId="0" fillId="0" borderId="14" xfId="0" applyBorder="1" applyAlignment="1">
      <alignment horizontal="left" vertical="center" wrapText="1"/>
    </xf>
    <xf numFmtId="0" fontId="0" fillId="0" borderId="51" xfId="0" applyBorder="1" applyAlignment="1">
      <alignment horizontal="left" vertical="center" wrapText="1"/>
    </xf>
    <xf numFmtId="0" fontId="0" fillId="0" borderId="52" xfId="0" applyBorder="1" applyAlignment="1">
      <alignment horizontal="left" vertical="center" wrapText="1"/>
    </xf>
    <xf numFmtId="0" fontId="0" fillId="0" borderId="20" xfId="0" applyBorder="1" applyAlignment="1">
      <alignment horizontal="center" vertical="center" wrapText="1"/>
    </xf>
    <xf numFmtId="2" fontId="8" fillId="0" borderId="20" xfId="1" applyNumberFormat="1" applyFont="1" applyFill="1" applyBorder="1" applyAlignment="1">
      <alignment horizontal="center" vertical="center"/>
    </xf>
    <xf numFmtId="0" fontId="7" fillId="4" borderId="49" xfId="0" applyFont="1" applyFill="1" applyBorder="1" applyAlignment="1">
      <alignment vertical="center" wrapText="1"/>
    </xf>
    <xf numFmtId="2" fontId="8" fillId="4" borderId="30" xfId="0" applyNumberFormat="1" applyFont="1" applyFill="1" applyBorder="1" applyAlignment="1">
      <alignment horizontal="center" vertical="center"/>
    </xf>
    <xf numFmtId="0" fontId="0" fillId="10" borderId="18" xfId="0" applyFill="1" applyBorder="1" applyAlignment="1">
      <alignment horizontal="left" vertical="center" wrapText="1"/>
    </xf>
    <xf numFmtId="164" fontId="0" fillId="10" borderId="18" xfId="1" applyFont="1" applyFill="1" applyBorder="1" applyAlignment="1">
      <alignment horizontal="left" vertical="center" wrapText="1"/>
    </xf>
    <xf numFmtId="167" fontId="8" fillId="4" borderId="1" xfId="0" applyNumberFormat="1" applyFont="1" applyFill="1" applyBorder="1" applyAlignment="1">
      <alignment horizontal="center" vertical="center"/>
    </xf>
    <xf numFmtId="0" fontId="0" fillId="0" borderId="46" xfId="0" applyBorder="1" applyAlignment="1">
      <alignment horizontal="left" vertical="center" wrapText="1"/>
    </xf>
    <xf numFmtId="0" fontId="0" fillId="0" borderId="36" xfId="0" applyBorder="1" applyAlignment="1">
      <alignment horizontal="left" vertical="center" wrapText="1"/>
    </xf>
    <xf numFmtId="164" fontId="0" fillId="0" borderId="36" xfId="1" applyFont="1" applyFill="1" applyBorder="1" applyAlignment="1">
      <alignment horizontal="left" vertical="center" wrapText="1"/>
    </xf>
    <xf numFmtId="0" fontId="0" fillId="0" borderId="47" xfId="0" applyBorder="1" applyAlignment="1">
      <alignment horizontal="left" vertical="center" wrapText="1"/>
    </xf>
    <xf numFmtId="0" fontId="7" fillId="0" borderId="20" xfId="0" applyFont="1" applyBorder="1" applyAlignment="1">
      <alignment vertical="center" wrapText="1"/>
    </xf>
    <xf numFmtId="167" fontId="8" fillId="0" borderId="20" xfId="0" applyNumberFormat="1" applyFont="1" applyBorder="1" applyAlignment="1">
      <alignment horizontal="center" vertical="center"/>
    </xf>
    <xf numFmtId="0" fontId="7" fillId="9" borderId="1" xfId="0" applyFont="1" applyFill="1" applyBorder="1" applyAlignment="1">
      <alignment vertical="center" wrapText="1"/>
    </xf>
    <xf numFmtId="167" fontId="8" fillId="9" borderId="1" xfId="0" applyNumberFormat="1" applyFont="1" applyFill="1" applyBorder="1" applyAlignment="1">
      <alignment horizontal="center" vertical="center"/>
    </xf>
    <xf numFmtId="0" fontId="7" fillId="4" borderId="30" xfId="0" applyFont="1" applyFill="1" applyBorder="1" applyAlignment="1">
      <alignment vertical="center" wrapText="1"/>
    </xf>
    <xf numFmtId="0" fontId="0" fillId="4" borderId="30" xfId="0" applyFill="1" applyBorder="1" applyAlignment="1">
      <alignment horizontal="center" vertical="center" wrapText="1"/>
    </xf>
    <xf numFmtId="0" fontId="0" fillId="0" borderId="47"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164" fontId="0" fillId="0" borderId="20" xfId="1" applyFont="1" applyFill="1" applyBorder="1" applyAlignment="1">
      <alignment horizontal="left" vertical="center" wrapText="1"/>
    </xf>
    <xf numFmtId="0" fontId="0" fillId="0" borderId="21" xfId="0" applyBorder="1" applyAlignment="1">
      <alignment horizontal="left" vertical="center" wrapText="1"/>
    </xf>
    <xf numFmtId="0" fontId="0" fillId="0" borderId="24" xfId="0" applyBorder="1" applyAlignment="1">
      <alignment horizontal="left" vertical="center" wrapText="1"/>
    </xf>
    <xf numFmtId="0" fontId="0" fillId="0" borderId="1" xfId="0" applyBorder="1" applyAlignment="1">
      <alignment horizontal="left" vertical="center" wrapText="1"/>
    </xf>
    <xf numFmtId="164" fontId="0" fillId="0" borderId="1" xfId="1" applyFont="1" applyFill="1" applyBorder="1" applyAlignment="1">
      <alignment horizontal="left" vertical="center" wrapText="1"/>
    </xf>
    <xf numFmtId="0" fontId="0" fillId="0" borderId="25" xfId="0" applyBorder="1" applyAlignment="1">
      <alignment horizontal="left" vertical="center" wrapText="1"/>
    </xf>
    <xf numFmtId="14" fontId="0" fillId="0" borderId="1" xfId="0" applyNumberFormat="1" applyBorder="1" applyAlignment="1">
      <alignment horizontal="left" vertical="center" wrapText="1"/>
    </xf>
    <xf numFmtId="0" fontId="0" fillId="0" borderId="29" xfId="0" applyBorder="1" applyAlignment="1">
      <alignment horizontal="left" vertical="center" wrapText="1"/>
    </xf>
    <xf numFmtId="14" fontId="0" fillId="0" borderId="30" xfId="0" applyNumberFormat="1" applyBorder="1" applyAlignment="1">
      <alignment horizontal="left" vertical="center" wrapText="1"/>
    </xf>
    <xf numFmtId="164" fontId="0" fillId="0" borderId="30" xfId="1" applyFont="1" applyFill="1"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14" fontId="0" fillId="0" borderId="36" xfId="0" applyNumberFormat="1" applyBorder="1" applyAlignment="1">
      <alignment horizontal="left" vertical="center" wrapText="1"/>
    </xf>
    <xf numFmtId="0" fontId="12" fillId="10" borderId="36" xfId="0" applyFont="1" applyFill="1" applyBorder="1" applyAlignment="1">
      <alignment horizontal="left" vertical="center" wrapText="1"/>
    </xf>
    <xf numFmtId="0" fontId="0" fillId="10" borderId="36" xfId="0" applyFill="1" applyBorder="1" applyAlignment="1">
      <alignment horizontal="left" vertical="center" wrapText="1"/>
    </xf>
    <xf numFmtId="164" fontId="0" fillId="10" borderId="36" xfId="1" applyFont="1" applyFill="1" applyBorder="1" applyAlignment="1">
      <alignment horizontal="left" vertical="center" wrapText="1"/>
    </xf>
    <xf numFmtId="0" fontId="0" fillId="11" borderId="18" xfId="0" applyFill="1" applyBorder="1" applyAlignment="1">
      <alignment horizontal="left" vertical="center" wrapText="1"/>
    </xf>
    <xf numFmtId="0" fontId="0" fillId="11" borderId="53" xfId="0" applyFill="1" applyBorder="1" applyAlignment="1">
      <alignment horizontal="left" vertical="center" wrapText="1"/>
    </xf>
    <xf numFmtId="0" fontId="0" fillId="11" borderId="54" xfId="0" applyFill="1" applyBorder="1" applyAlignment="1">
      <alignment horizontal="left" vertical="center" wrapText="1"/>
    </xf>
    <xf numFmtId="0" fontId="0" fillId="11" borderId="55" xfId="0" applyFill="1" applyBorder="1" applyAlignment="1">
      <alignment horizontal="left" vertical="center" wrapText="1"/>
    </xf>
    <xf numFmtId="0" fontId="7" fillId="9" borderId="22" xfId="0" applyFont="1" applyFill="1" applyBorder="1" applyAlignment="1">
      <alignment horizontal="center" vertical="center"/>
    </xf>
    <xf numFmtId="0" fontId="7" fillId="9" borderId="18" xfId="0" applyFont="1" applyFill="1" applyBorder="1" applyAlignment="1">
      <alignment horizontal="left" vertical="center" wrapText="1"/>
    </xf>
    <xf numFmtId="0" fontId="0" fillId="9" borderId="18" xfId="0" applyFill="1" applyBorder="1" applyAlignment="1">
      <alignment horizontal="center" vertical="center"/>
    </xf>
    <xf numFmtId="2" fontId="0" fillId="9" borderId="18" xfId="0" applyNumberFormat="1" applyFill="1" applyBorder="1" applyAlignment="1">
      <alignment horizontal="center" vertical="center"/>
    </xf>
    <xf numFmtId="165" fontId="0" fillId="9" borderId="18" xfId="0" applyNumberFormat="1" applyFill="1" applyBorder="1" applyAlignment="1">
      <alignment horizontal="center" vertical="center"/>
    </xf>
    <xf numFmtId="166" fontId="0" fillId="9" borderId="18" xfId="0" applyNumberFormat="1" applyFill="1" applyBorder="1" applyAlignment="1">
      <alignment horizontal="center" vertical="center"/>
    </xf>
    <xf numFmtId="3" fontId="8" fillId="9" borderId="18" xfId="0" applyNumberFormat="1" applyFont="1" applyFill="1" applyBorder="1" applyAlignment="1">
      <alignment horizontal="center" vertical="center"/>
    </xf>
    <xf numFmtId="167" fontId="8" fillId="9" borderId="18" xfId="1" applyNumberFormat="1" applyFont="1" applyFill="1" applyBorder="1" applyAlignment="1">
      <alignment horizontal="center" vertical="center"/>
    </xf>
    <xf numFmtId="0" fontId="0" fillId="9" borderId="23" xfId="0" applyFill="1" applyBorder="1" applyAlignment="1">
      <alignment horizontal="center" vertical="center" wrapText="1"/>
    </xf>
    <xf numFmtId="0" fontId="0" fillId="0" borderId="46" xfId="0" applyBorder="1" applyAlignment="1">
      <alignment horizontal="left" vertical="center" wrapText="1"/>
    </xf>
    <xf numFmtId="14" fontId="0" fillId="0" borderId="1" xfId="0" applyNumberFormat="1" applyBorder="1" applyAlignment="1">
      <alignment horizontal="left"/>
    </xf>
    <xf numFmtId="164" fontId="0" fillId="0" borderId="1" xfId="1" applyFont="1" applyBorder="1" applyAlignment="1">
      <alignment horizontal="left"/>
    </xf>
    <xf numFmtId="0" fontId="0" fillId="0" borderId="6" xfId="0" applyBorder="1" applyAlignment="1">
      <alignment horizontal="left"/>
    </xf>
    <xf numFmtId="0" fontId="7" fillId="0" borderId="46" xfId="0" applyFont="1" applyBorder="1" applyAlignment="1">
      <alignment horizontal="center" vertical="center"/>
    </xf>
    <xf numFmtId="0" fontId="7" fillId="0" borderId="36" xfId="0" applyFont="1" applyBorder="1" applyAlignment="1">
      <alignment horizontal="left" vertical="center" wrapText="1"/>
    </xf>
    <xf numFmtId="0" fontId="0" fillId="0" borderId="36" xfId="0" applyBorder="1" applyAlignment="1">
      <alignment horizontal="center" vertical="center"/>
    </xf>
    <xf numFmtId="2" fontId="0" fillId="0" borderId="36" xfId="0" applyNumberFormat="1" applyBorder="1" applyAlignment="1">
      <alignment horizontal="center" vertical="center"/>
    </xf>
    <xf numFmtId="165" fontId="0" fillId="0" borderId="36" xfId="0" applyNumberFormat="1" applyBorder="1" applyAlignment="1">
      <alignment horizontal="center" vertical="center"/>
    </xf>
    <xf numFmtId="166" fontId="0" fillId="0" borderId="36" xfId="0" applyNumberFormat="1" applyBorder="1" applyAlignment="1">
      <alignment horizontal="center" vertical="center"/>
    </xf>
    <xf numFmtId="3" fontId="8" fillId="0" borderId="36" xfId="0" applyNumberFormat="1" applyFont="1" applyBorder="1" applyAlignment="1">
      <alignment horizontal="center" vertical="center"/>
    </xf>
    <xf numFmtId="167" fontId="8" fillId="0" borderId="36" xfId="1" applyNumberFormat="1" applyFont="1" applyFill="1" applyBorder="1" applyAlignment="1">
      <alignment horizontal="center" vertical="center"/>
    </xf>
    <xf numFmtId="0" fontId="0" fillId="0" borderId="47" xfId="0" applyBorder="1" applyAlignment="1">
      <alignment horizontal="center" vertical="center" wrapText="1"/>
    </xf>
    <xf numFmtId="0" fontId="0" fillId="0" borderId="37" xfId="0" applyBorder="1" applyAlignment="1">
      <alignment horizontal="left" vertical="center" wrapText="1"/>
    </xf>
    <xf numFmtId="0" fontId="0" fillId="0" borderId="39" xfId="0" applyBorder="1" applyAlignment="1">
      <alignment horizontal="left" vertical="center" wrapText="1"/>
    </xf>
    <xf numFmtId="0" fontId="0" fillId="0" borderId="19" xfId="0" applyBorder="1" applyAlignment="1">
      <alignment vertical="center" wrapText="1"/>
    </xf>
    <xf numFmtId="14" fontId="0" fillId="0" borderId="20" xfId="0" applyNumberFormat="1" applyBorder="1" applyAlignment="1">
      <alignment horizontal="left"/>
    </xf>
    <xf numFmtId="164" fontId="0" fillId="0" borderId="20" xfId="1" applyFont="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4" xfId="0" applyBorder="1" applyAlignment="1">
      <alignment horizontal="center" vertical="center" wrapText="1"/>
    </xf>
    <xf numFmtId="14" fontId="0" fillId="0" borderId="1" xfId="0" applyNumberFormat="1" applyBorder="1" applyAlignment="1">
      <alignment horizontal="center" vertical="center" wrapText="1"/>
    </xf>
    <xf numFmtId="164" fontId="0" fillId="0" borderId="1" xfId="1" applyFont="1" applyFill="1" applyBorder="1" applyAlignment="1">
      <alignment horizontal="center" vertical="center" wrapText="1"/>
    </xf>
    <xf numFmtId="0" fontId="0" fillId="0" borderId="1"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vertical="center" wrapText="1"/>
    </xf>
    <xf numFmtId="14" fontId="0" fillId="0" borderId="30" xfId="0" applyNumberFormat="1" applyBorder="1" applyAlignment="1">
      <alignment horizontal="center" vertical="center" wrapText="1"/>
    </xf>
    <xf numFmtId="164" fontId="0" fillId="0" borderId="30" xfId="1" applyFont="1" applyFill="1"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11" borderId="28" xfId="0" applyFill="1" applyBorder="1" applyAlignment="1">
      <alignment horizontal="left" vertical="center" wrapText="1"/>
    </xf>
    <xf numFmtId="0" fontId="0" fillId="11" borderId="34" xfId="0" applyFill="1" applyBorder="1" applyAlignment="1">
      <alignment horizontal="left" vertical="center" wrapText="1"/>
    </xf>
    <xf numFmtId="0" fontId="0" fillId="11" borderId="17" xfId="0" applyFill="1" applyBorder="1" applyAlignment="1">
      <alignment horizontal="left" vertical="center" wrapText="1"/>
    </xf>
    <xf numFmtId="0" fontId="0" fillId="11" borderId="2" xfId="0" applyFill="1" applyBorder="1" applyAlignment="1">
      <alignment horizontal="left" vertical="center" wrapText="1"/>
    </xf>
    <xf numFmtId="0" fontId="0" fillId="11" borderId="5" xfId="0" applyFill="1" applyBorder="1" applyAlignment="1">
      <alignment horizontal="left" vertical="center" wrapText="1"/>
    </xf>
    <xf numFmtId="0" fontId="0" fillId="11" borderId="7" xfId="0" applyFill="1" applyBorder="1" applyAlignment="1">
      <alignment horizontal="left" vertical="center" wrapText="1"/>
    </xf>
    <xf numFmtId="166" fontId="0" fillId="11" borderId="37" xfId="0" applyNumberFormat="1" applyFill="1" applyBorder="1" applyAlignment="1">
      <alignment horizontal="left" vertical="center" wrapText="1"/>
    </xf>
    <xf numFmtId="166" fontId="0" fillId="11" borderId="3" xfId="0" applyNumberFormat="1" applyFill="1" applyBorder="1" applyAlignment="1">
      <alignment horizontal="left" vertical="center" wrapText="1"/>
    </xf>
    <xf numFmtId="166" fontId="0" fillId="11" borderId="4" xfId="0" applyNumberFormat="1" applyFill="1" applyBorder="1" applyAlignment="1">
      <alignment horizontal="left" vertical="center" wrapText="1"/>
    </xf>
    <xf numFmtId="166" fontId="0" fillId="11" borderId="39" xfId="0" applyNumberFormat="1" applyFill="1" applyBorder="1" applyAlignment="1">
      <alignment horizontal="left" vertical="center" wrapText="1"/>
    </xf>
    <xf numFmtId="166" fontId="0" fillId="11" borderId="0" xfId="0" applyNumberFormat="1" applyFill="1" applyAlignment="1">
      <alignment horizontal="left" vertical="center" wrapText="1"/>
    </xf>
    <xf numFmtId="166" fontId="0" fillId="11" borderId="6" xfId="0" applyNumberFormat="1" applyFill="1" applyBorder="1" applyAlignment="1">
      <alignment horizontal="left" vertical="center" wrapText="1"/>
    </xf>
    <xf numFmtId="166" fontId="0" fillId="11" borderId="41" xfId="0" applyNumberFormat="1" applyFill="1" applyBorder="1" applyAlignment="1">
      <alignment horizontal="left" vertical="center" wrapText="1"/>
    </xf>
    <xf numFmtId="166" fontId="0" fillId="11" borderId="8" xfId="0" applyNumberFormat="1" applyFill="1" applyBorder="1" applyAlignment="1">
      <alignment horizontal="left" vertical="center" wrapText="1"/>
    </xf>
    <xf numFmtId="166" fontId="0" fillId="11" borderId="9" xfId="0" applyNumberFormat="1" applyFill="1" applyBorder="1" applyAlignment="1">
      <alignment horizontal="left" vertical="center" wrapText="1"/>
    </xf>
    <xf numFmtId="0" fontId="12" fillId="0" borderId="27" xfId="0" applyFont="1" applyBorder="1" applyAlignment="1">
      <alignment horizontal="left" vertical="center"/>
    </xf>
    <xf numFmtId="14" fontId="0" fillId="0" borderId="20" xfId="1" applyNumberFormat="1" applyFont="1" applyFill="1" applyBorder="1" applyAlignment="1">
      <alignment horizontal="left" vertical="center" wrapText="1"/>
    </xf>
    <xf numFmtId="14" fontId="0" fillId="0" borderId="18" xfId="1" applyNumberFormat="1" applyFont="1" applyFill="1" applyBorder="1" applyAlignment="1">
      <alignment horizontal="left" vertical="center" wrapText="1"/>
    </xf>
    <xf numFmtId="14" fontId="0" fillId="0" borderId="33" xfId="1" applyNumberFormat="1" applyFont="1" applyFill="1" applyBorder="1" applyAlignment="1">
      <alignment horizontal="left" vertical="center" wrapText="1"/>
    </xf>
    <xf numFmtId="14" fontId="0" fillId="0" borderId="16" xfId="1" applyNumberFormat="1" applyFont="1" applyFill="1" applyBorder="1" applyAlignment="1">
      <alignment horizontal="left" vertical="center" wrapText="1"/>
    </xf>
    <xf numFmtId="14" fontId="0" fillId="0" borderId="27" xfId="1" applyNumberFormat="1" applyFont="1" applyFill="1" applyBorder="1" applyAlignment="1">
      <alignment horizontal="left" vertical="center" wrapText="1"/>
    </xf>
    <xf numFmtId="14" fontId="0" fillId="0" borderId="36" xfId="1" applyNumberFormat="1" applyFont="1" applyFill="1" applyBorder="1" applyAlignment="1">
      <alignment horizontal="left" vertical="center" wrapText="1"/>
    </xf>
    <xf numFmtId="0" fontId="0" fillId="11" borderId="14" xfId="0" applyFill="1" applyBorder="1" applyAlignment="1">
      <alignment horizontal="left" vertical="center" wrapText="1"/>
    </xf>
    <xf numFmtId="0" fontId="0" fillId="11" borderId="51" xfId="0" applyFill="1" applyBorder="1" applyAlignment="1">
      <alignment horizontal="left" vertical="center" wrapText="1"/>
    </xf>
    <xf numFmtId="0" fontId="0" fillId="11" borderId="52" xfId="0" applyFill="1" applyBorder="1" applyAlignment="1">
      <alignment horizontal="left" vertical="center" wrapText="1"/>
    </xf>
    <xf numFmtId="1" fontId="0" fillId="0" borderId="20" xfId="0" applyNumberFormat="1" applyBorder="1" applyAlignment="1">
      <alignment horizontal="center" vertical="center"/>
    </xf>
    <xf numFmtId="1" fontId="0" fillId="4" borderId="30" xfId="0" applyNumberFormat="1" applyFill="1" applyBorder="1" applyAlignment="1">
      <alignment horizontal="center" vertical="center"/>
    </xf>
    <xf numFmtId="0" fontId="0" fillId="0" borderId="38" xfId="0" applyBorder="1" applyAlignment="1">
      <alignment horizontal="left" vertical="center" wrapText="1"/>
    </xf>
    <xf numFmtId="0" fontId="0" fillId="0" borderId="40" xfId="0" applyBorder="1" applyAlignment="1">
      <alignment horizontal="left" vertical="center" wrapText="1"/>
    </xf>
    <xf numFmtId="0" fontId="0" fillId="0" borderId="56" xfId="0" applyBorder="1" applyAlignment="1">
      <alignment horizontal="left" vertical="center" wrapText="1"/>
    </xf>
    <xf numFmtId="0" fontId="0" fillId="0" borderId="55" xfId="0" applyBorder="1" applyAlignment="1">
      <alignment horizontal="left" vertical="center" wrapText="1"/>
    </xf>
    <xf numFmtId="0" fontId="7" fillId="0" borderId="20" xfId="0" applyFont="1" applyBorder="1" applyAlignment="1">
      <alignment horizontal="left" vertical="center"/>
    </xf>
    <xf numFmtId="0" fontId="7" fillId="9" borderId="1" xfId="0" applyFont="1" applyFill="1" applyBorder="1" applyAlignment="1">
      <alignment horizontal="left" vertical="center"/>
    </xf>
    <xf numFmtId="0" fontId="7" fillId="4" borderId="30" xfId="0" applyFont="1" applyFill="1" applyBorder="1" applyAlignment="1">
      <alignment horizontal="left" vertical="center"/>
    </xf>
    <xf numFmtId="0" fontId="7" fillId="0" borderId="19" xfId="0" applyFont="1" applyBorder="1" applyAlignment="1">
      <alignment horizontal="center" vertical="center" wrapText="1"/>
    </xf>
    <xf numFmtId="2" fontId="0" fillId="0" borderId="20" xfId="0" applyNumberFormat="1" applyBorder="1" applyAlignment="1">
      <alignment horizontal="center" vertical="center" wrapText="1"/>
    </xf>
    <xf numFmtId="165" fontId="0" fillId="0" borderId="20" xfId="0" applyNumberFormat="1" applyBorder="1" applyAlignment="1">
      <alignment horizontal="center" vertical="center" wrapText="1"/>
    </xf>
    <xf numFmtId="166" fontId="0" fillId="0" borderId="20" xfId="0" applyNumberFormat="1" applyBorder="1" applyAlignment="1">
      <alignment horizontal="center" vertical="center" wrapText="1"/>
    </xf>
    <xf numFmtId="3" fontId="8" fillId="0" borderId="20" xfId="0" applyNumberFormat="1" applyFont="1" applyBorder="1" applyAlignment="1">
      <alignment horizontal="center" vertical="center" wrapText="1"/>
    </xf>
    <xf numFmtId="167" fontId="8" fillId="0" borderId="20" xfId="1" applyNumberFormat="1" applyFont="1" applyFill="1" applyBorder="1" applyAlignment="1">
      <alignment horizontal="center" vertical="center" wrapText="1"/>
    </xf>
    <xf numFmtId="0" fontId="7" fillId="9" borderId="24" xfId="0" applyFont="1" applyFill="1" applyBorder="1" applyAlignment="1">
      <alignment horizontal="center" vertical="center" wrapText="1"/>
    </xf>
    <xf numFmtId="2" fontId="0" fillId="9" borderId="1" xfId="0" applyNumberFormat="1" applyFill="1" applyBorder="1" applyAlignment="1">
      <alignment horizontal="center" vertical="center" wrapText="1"/>
    </xf>
    <xf numFmtId="165" fontId="0" fillId="9" borderId="1" xfId="0" applyNumberFormat="1" applyFill="1" applyBorder="1" applyAlignment="1">
      <alignment horizontal="center" vertical="center" wrapText="1"/>
    </xf>
    <xf numFmtId="166" fontId="0" fillId="9" borderId="1" xfId="0" applyNumberFormat="1" applyFill="1" applyBorder="1" applyAlignment="1">
      <alignment horizontal="center" vertical="center" wrapText="1"/>
    </xf>
    <xf numFmtId="3" fontId="8" fillId="9" borderId="1" xfId="0" applyNumberFormat="1" applyFont="1" applyFill="1" applyBorder="1" applyAlignment="1">
      <alignment horizontal="center" vertical="center" wrapText="1"/>
    </xf>
    <xf numFmtId="167" fontId="8" fillId="9" borderId="1" xfId="1" applyNumberFormat="1" applyFont="1" applyFill="1" applyBorder="1" applyAlignment="1">
      <alignment horizontal="center" vertical="center" wrapText="1"/>
    </xf>
    <xf numFmtId="0" fontId="7" fillId="4" borderId="29" xfId="0" applyFont="1" applyFill="1" applyBorder="1" applyAlignment="1">
      <alignment horizontal="center" vertical="center" wrapText="1"/>
    </xf>
    <xf numFmtId="4" fontId="0" fillId="4" borderId="30" xfId="0" applyNumberFormat="1" applyFill="1" applyBorder="1" applyAlignment="1">
      <alignment horizontal="center" vertical="center" wrapText="1"/>
    </xf>
    <xf numFmtId="2" fontId="0" fillId="4" borderId="30" xfId="0" applyNumberFormat="1" applyFill="1" applyBorder="1" applyAlignment="1">
      <alignment horizontal="center" vertical="center" wrapText="1"/>
    </xf>
    <xf numFmtId="3" fontId="8" fillId="4" borderId="30" xfId="0" applyNumberFormat="1" applyFont="1" applyFill="1" applyBorder="1" applyAlignment="1">
      <alignment horizontal="center" vertical="center" wrapText="1"/>
    </xf>
    <xf numFmtId="167" fontId="8" fillId="4" borderId="30" xfId="0" applyNumberFormat="1" applyFont="1" applyFill="1" applyBorder="1" applyAlignment="1">
      <alignment horizontal="center" vertical="center" wrapText="1"/>
    </xf>
    <xf numFmtId="0" fontId="0" fillId="2" borderId="0" xfId="0" applyFill="1" applyAlignment="1">
      <alignment vertical="center" wrapText="1"/>
    </xf>
    <xf numFmtId="0" fontId="7" fillId="4" borderId="24" xfId="0" applyFont="1" applyFill="1" applyBorder="1" applyAlignment="1">
      <alignment horizontal="center" vertical="center" wrapText="1"/>
    </xf>
    <xf numFmtId="4" fontId="0" fillId="4" borderId="1" xfId="0" applyNumberFormat="1" applyFill="1" applyBorder="1" applyAlignment="1">
      <alignment horizontal="center" vertical="center" wrapText="1"/>
    </xf>
    <xf numFmtId="2" fontId="0" fillId="4" borderId="1" xfId="0" applyNumberFormat="1" applyFill="1" applyBorder="1" applyAlignment="1">
      <alignment horizontal="center" vertical="center" wrapText="1"/>
    </xf>
    <xf numFmtId="0" fontId="7" fillId="0" borderId="24" xfId="0" applyFont="1" applyBorder="1" applyAlignment="1">
      <alignment horizontal="center" vertical="center" wrapText="1"/>
    </xf>
    <xf numFmtId="2"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3" fontId="8" fillId="0" borderId="1" xfId="0" applyNumberFormat="1" applyFont="1" applyBorder="1" applyAlignment="1">
      <alignment horizontal="center" vertical="center" wrapText="1"/>
    </xf>
    <xf numFmtId="2" fontId="8" fillId="9" borderId="1" xfId="0" applyNumberFormat="1" applyFont="1" applyFill="1" applyBorder="1" applyAlignment="1">
      <alignment horizontal="center" vertical="center" wrapText="1"/>
    </xf>
    <xf numFmtId="14" fontId="0" fillId="0" borderId="20" xfId="0" applyNumberFormat="1" applyBorder="1" applyAlignment="1">
      <alignment horizontal="left" vertical="center" wrapText="1"/>
    </xf>
    <xf numFmtId="0" fontId="0" fillId="11" borderId="19" xfId="0" applyFill="1" applyBorder="1" applyAlignment="1">
      <alignment horizontal="left" vertical="center" wrapText="1"/>
    </xf>
    <xf numFmtId="0" fontId="0" fillId="11" borderId="20" xfId="0" applyFill="1" applyBorder="1" applyAlignment="1">
      <alignment horizontal="left" vertical="center" wrapText="1"/>
    </xf>
    <xf numFmtId="0" fontId="0" fillId="11" borderId="21" xfId="0" applyFill="1" applyBorder="1" applyAlignment="1">
      <alignment horizontal="left" vertical="center" wrapText="1"/>
    </xf>
    <xf numFmtId="0" fontId="0" fillId="11" borderId="24" xfId="0" applyFill="1" applyBorder="1" applyAlignment="1">
      <alignment horizontal="left" vertical="center" wrapText="1"/>
    </xf>
    <xf numFmtId="0" fontId="0" fillId="11" borderId="1" xfId="0" applyFill="1" applyBorder="1" applyAlignment="1">
      <alignment horizontal="left" vertical="center" wrapText="1"/>
    </xf>
    <xf numFmtId="0" fontId="0" fillId="11" borderId="25" xfId="0" applyFill="1" applyBorder="1" applyAlignment="1">
      <alignment horizontal="left" vertical="center" wrapText="1"/>
    </xf>
    <xf numFmtId="0" fontId="0" fillId="11" borderId="29" xfId="0" applyFill="1" applyBorder="1" applyAlignment="1">
      <alignment horizontal="left" vertical="center" wrapText="1"/>
    </xf>
    <xf numFmtId="0" fontId="0" fillId="11" borderId="30" xfId="0" applyFill="1" applyBorder="1" applyAlignment="1">
      <alignment horizontal="left" vertical="center" wrapText="1"/>
    </xf>
    <xf numFmtId="0" fontId="0" fillId="11" borderId="31" xfId="0" applyFill="1" applyBorder="1" applyAlignment="1">
      <alignment horizontal="left" vertical="center" wrapText="1"/>
    </xf>
    <xf numFmtId="0" fontId="0" fillId="0" borderId="21" xfId="0" applyBorder="1" applyAlignment="1">
      <alignment vertical="center" wrapText="1"/>
    </xf>
    <xf numFmtId="0" fontId="0" fillId="9" borderId="25" xfId="0" applyFill="1" applyBorder="1" applyAlignment="1">
      <alignment vertical="center" wrapText="1"/>
    </xf>
    <xf numFmtId="0" fontId="0" fillId="4" borderId="31" xfId="0" applyFill="1" applyBorder="1" applyAlignment="1">
      <alignment vertical="center" wrapText="1"/>
    </xf>
    <xf numFmtId="0" fontId="0" fillId="0" borderId="20" xfId="0" applyBorder="1" applyAlignment="1">
      <alignment horizontal="left" vertical="center"/>
    </xf>
    <xf numFmtId="14" fontId="0" fillId="0" borderId="1" xfId="0" applyNumberFormat="1" applyBorder="1" applyAlignment="1">
      <alignment horizontal="center" vertical="center"/>
    </xf>
    <xf numFmtId="164" fontId="0" fillId="0" borderId="1" xfId="1" applyFont="1" applyFill="1" applyBorder="1" applyAlignment="1">
      <alignment horizontal="center" vertical="center"/>
    </xf>
    <xf numFmtId="0" fontId="0" fillId="0" borderId="1" xfId="0" applyBorder="1" applyAlignment="1">
      <alignment horizontal="center" vertical="center"/>
    </xf>
    <xf numFmtId="0" fontId="0" fillId="11" borderId="40" xfId="0" applyFill="1" applyBorder="1" applyAlignment="1">
      <alignment horizontal="left" vertical="center" wrapText="1"/>
    </xf>
    <xf numFmtId="0" fontId="0" fillId="11" borderId="39" xfId="0" applyFill="1" applyBorder="1" applyAlignment="1">
      <alignment horizontal="left" vertical="center" wrapText="1"/>
    </xf>
    <xf numFmtId="0" fontId="0" fillId="11" borderId="0" xfId="0" applyFill="1" applyAlignment="1">
      <alignment horizontal="left" vertical="center" wrapText="1"/>
    </xf>
    <xf numFmtId="0" fontId="0" fillId="0" borderId="7" xfId="0" applyBorder="1" applyAlignment="1">
      <alignment vertical="center"/>
    </xf>
    <xf numFmtId="0" fontId="0" fillId="0" borderId="0" xfId="0" applyAlignment="1">
      <alignment horizontal="left" vertical="center"/>
    </xf>
    <xf numFmtId="0" fontId="0" fillId="0" borderId="8" xfId="0" applyBorder="1" applyAlignment="1">
      <alignment horizontal="center" vertical="center"/>
    </xf>
    <xf numFmtId="0" fontId="0" fillId="0" borderId="9" xfId="0" applyBorder="1" applyAlignment="1">
      <alignment vertical="center" wrapText="1"/>
    </xf>
    <xf numFmtId="0" fontId="13" fillId="4" borderId="10" xfId="0" applyFont="1" applyFill="1" applyBorder="1" applyAlignment="1">
      <alignment vertical="center"/>
    </xf>
    <xf numFmtId="0" fontId="4" fillId="4" borderId="10" xfId="0" applyFont="1" applyFill="1" applyBorder="1" applyAlignment="1">
      <alignment horizontal="left" vertical="center"/>
    </xf>
    <xf numFmtId="0" fontId="14" fillId="4" borderId="12" xfId="0" applyFont="1" applyFill="1" applyBorder="1" applyAlignment="1">
      <alignment vertical="center"/>
    </xf>
    <xf numFmtId="4" fontId="14" fillId="4" borderId="11" xfId="0" applyNumberFormat="1" applyFont="1" applyFill="1" applyBorder="1" applyAlignment="1">
      <alignment horizontal="center" vertical="center"/>
    </xf>
    <xf numFmtId="4" fontId="14" fillId="4" borderId="13" xfId="0" applyNumberFormat="1" applyFont="1" applyFill="1" applyBorder="1" applyAlignment="1">
      <alignment horizontal="center" vertical="center"/>
    </xf>
    <xf numFmtId="4" fontId="14" fillId="4" borderId="12" xfId="0" applyNumberFormat="1" applyFont="1" applyFill="1" applyBorder="1" applyAlignment="1">
      <alignment horizontal="center" vertical="center"/>
    </xf>
    <xf numFmtId="0" fontId="14" fillId="4" borderId="12" xfId="0" applyFont="1" applyFill="1" applyBorder="1" applyAlignment="1">
      <alignment horizontal="center" vertical="center"/>
    </xf>
    <xf numFmtId="0" fontId="14" fillId="4" borderId="12" xfId="0" applyFont="1" applyFill="1" applyBorder="1" applyAlignment="1">
      <alignment horizontal="right" vertical="center"/>
    </xf>
    <xf numFmtId="167" fontId="14" fillId="4" borderId="12" xfId="0" applyNumberFormat="1" applyFont="1" applyFill="1" applyBorder="1" applyAlignment="1">
      <alignment horizontal="center" vertical="center"/>
    </xf>
    <xf numFmtId="0" fontId="14" fillId="4" borderId="11" xfId="0" applyFont="1" applyFill="1" applyBorder="1" applyAlignment="1">
      <alignment horizontal="center" vertical="center"/>
    </xf>
    <xf numFmtId="0" fontId="14" fillId="4" borderId="13" xfId="0" applyFont="1" applyFill="1" applyBorder="1" applyAlignment="1">
      <alignment vertical="center" wrapText="1"/>
    </xf>
    <xf numFmtId="0" fontId="13" fillId="0" borderId="0" xfId="0" applyFont="1" applyAlignment="1">
      <alignment vertical="center"/>
    </xf>
    <xf numFmtId="4" fontId="14" fillId="0" borderId="0" xfId="0" applyNumberFormat="1"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wrapText="1"/>
    </xf>
    <xf numFmtId="0" fontId="4" fillId="0" borderId="0" xfId="0" applyFont="1" applyAlignment="1">
      <alignment horizontal="left" vertical="center"/>
    </xf>
    <xf numFmtId="0" fontId="14" fillId="0" borderId="0" xfId="0" applyFont="1" applyAlignment="1">
      <alignment vertical="center"/>
    </xf>
    <xf numFmtId="164" fontId="14" fillId="0" borderId="0" xfId="1" applyFont="1" applyFill="1" applyBorder="1" applyAlignment="1">
      <alignment horizontal="center" vertical="center"/>
    </xf>
    <xf numFmtId="0" fontId="2" fillId="5" borderId="2" xfId="0" applyFont="1" applyFill="1" applyBorder="1" applyAlignment="1">
      <alignment vertical="center"/>
    </xf>
    <xf numFmtId="0" fontId="0" fillId="5" borderId="3" xfId="0" applyFill="1" applyBorder="1" applyAlignment="1">
      <alignment horizontal="left" vertical="center"/>
    </xf>
    <xf numFmtId="0" fontId="0" fillId="5" borderId="4" xfId="0" applyFill="1" applyBorder="1" applyAlignment="1">
      <alignment vertical="center"/>
    </xf>
    <xf numFmtId="43" fontId="14" fillId="0" borderId="0" xfId="0" applyNumberFormat="1" applyFont="1" applyAlignment="1">
      <alignment horizontal="center" vertical="center"/>
    </xf>
    <xf numFmtId="0" fontId="0" fillId="5" borderId="7" xfId="0" applyFill="1" applyBorder="1" applyAlignment="1">
      <alignment vertical="center"/>
    </xf>
    <xf numFmtId="0" fontId="0" fillId="5" borderId="8" xfId="0" applyFill="1" applyBorder="1" applyAlignment="1">
      <alignment horizontal="left" vertical="center"/>
    </xf>
    <xf numFmtId="0" fontId="0" fillId="5" borderId="9" xfId="0" applyFill="1" applyBorder="1" applyAlignment="1">
      <alignment vertical="center"/>
    </xf>
    <xf numFmtId="2" fontId="0" fillId="0" borderId="0" xfId="0" applyNumberFormat="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412C-E507-46F8-8842-932EF902AEA3}">
  <sheetPr filterMode="1">
    <outlinePr summaryBelow="0"/>
  </sheetPr>
  <dimension ref="B1:AI721"/>
  <sheetViews>
    <sheetView showGridLines="0" tabSelected="1" zoomScale="115" zoomScaleNormal="115" workbookViewId="0">
      <pane ySplit="6" topLeftCell="A8" activePane="bottomLeft" state="frozen"/>
      <selection pane="bottomLeft" activeCell="P8" sqref="P8"/>
    </sheetView>
  </sheetViews>
  <sheetFormatPr baseColWidth="10" defaultColWidth="11.42578125" defaultRowHeight="15" outlineLevelRow="2" x14ac:dyDescent="0.25"/>
  <cols>
    <col min="1" max="1" width="11.42578125" style="1"/>
    <col min="2" max="2" width="7.28515625" style="1" customWidth="1"/>
    <col min="3" max="3" width="14.7109375" style="1" customWidth="1"/>
    <col min="4" max="4" width="35.7109375" style="484" customWidth="1"/>
    <col min="5" max="5" width="18" style="1" customWidth="1"/>
    <col min="6" max="6" width="50.85546875" style="1" customWidth="1"/>
    <col min="7" max="7" width="21.42578125" style="5" bestFit="1" customWidth="1"/>
    <col min="8" max="8" width="9.42578125" style="6" customWidth="1"/>
    <col min="9" max="10" width="20" style="6" customWidth="1"/>
    <col min="11" max="11" width="16.28515625" style="6" customWidth="1"/>
    <col min="12" max="12" width="15.140625" style="6" customWidth="1"/>
    <col min="13" max="13" width="23" style="6" customWidth="1"/>
    <col min="14" max="14" width="22.85546875" style="6" customWidth="1"/>
    <col min="15" max="15" width="18.42578125" style="6" customWidth="1"/>
    <col min="16" max="16" width="26.42578125" style="6" customWidth="1"/>
    <col min="17" max="17" width="23.5703125" style="6" customWidth="1"/>
    <col min="18" max="18" width="17.140625" style="6" customWidth="1"/>
    <col min="19" max="19" width="32.140625" style="7" customWidth="1"/>
    <col min="20" max="20" width="31" style="1" hidden="1" customWidth="1"/>
    <col min="21" max="21" width="13.5703125" style="8" hidden="1" customWidth="1"/>
    <col min="22" max="22" width="15.140625" style="8" hidden="1" customWidth="1"/>
    <col min="23" max="23" width="16.28515625" style="8" hidden="1" customWidth="1"/>
    <col min="24" max="24" width="19.7109375" style="8" hidden="1" customWidth="1"/>
    <col min="25" max="25" width="14.5703125" style="8" hidden="1" customWidth="1"/>
    <col min="26" max="26" width="15.140625" style="8" hidden="1" customWidth="1"/>
    <col min="27" max="27" width="14.5703125" style="8" hidden="1" customWidth="1"/>
    <col min="28" max="28" width="16.28515625" style="8" hidden="1" customWidth="1"/>
    <col min="29" max="29" width="69.28515625" style="8" hidden="1" customWidth="1"/>
    <col min="30" max="30" width="10.7109375" style="8" hidden="1" customWidth="1"/>
    <col min="31" max="31" width="3" style="1" hidden="1" customWidth="1"/>
    <col min="32" max="32" width="0" style="1" hidden="1" customWidth="1"/>
    <col min="33" max="33" width="14.85546875" style="1" bestFit="1" customWidth="1"/>
    <col min="34" max="16384" width="11.42578125" style="1"/>
  </cols>
  <sheetData>
    <row r="1" spans="3:35" ht="15.75" thickBot="1" x14ac:dyDescent="0.3">
      <c r="D1" s="2" t="s">
        <v>0</v>
      </c>
      <c r="E1" s="3">
        <v>0</v>
      </c>
      <c r="F1" s="4" t="s">
        <v>1</v>
      </c>
    </row>
    <row r="2" spans="3:35" ht="30" x14ac:dyDescent="0.25">
      <c r="C2" s="9"/>
      <c r="D2" s="10" t="s">
        <v>2</v>
      </c>
      <c r="E2" s="11"/>
      <c r="F2" s="12"/>
      <c r="G2" s="13"/>
      <c r="H2" s="14"/>
      <c r="I2" s="14"/>
      <c r="J2" s="14"/>
      <c r="K2" s="14"/>
      <c r="L2" s="14"/>
      <c r="M2" s="14"/>
      <c r="N2" s="14"/>
      <c r="O2" s="14"/>
      <c r="P2" s="14"/>
      <c r="Q2" s="15"/>
      <c r="R2" s="16" t="s">
        <v>3</v>
      </c>
      <c r="S2" s="17">
        <v>614.85</v>
      </c>
    </row>
    <row r="3" spans="3:35" ht="15.75" thickBot="1" x14ac:dyDescent="0.3">
      <c r="C3" s="18"/>
      <c r="D3" s="19" t="s">
        <v>4</v>
      </c>
      <c r="E3" s="20"/>
      <c r="F3" s="20"/>
      <c r="G3" s="21"/>
      <c r="H3" s="22"/>
      <c r="I3" s="22"/>
      <c r="J3" s="22"/>
      <c r="K3" s="22"/>
      <c r="L3" s="22"/>
      <c r="M3" s="22"/>
      <c r="N3" s="22"/>
      <c r="O3" s="22"/>
      <c r="P3" s="22"/>
      <c r="Q3" s="23"/>
      <c r="R3" s="24"/>
      <c r="S3" s="25"/>
    </row>
    <row r="4" spans="3:35" ht="19.5" thickBot="1" x14ac:dyDescent="0.3">
      <c r="C4" s="26"/>
      <c r="D4" s="27" t="s">
        <v>5</v>
      </c>
      <c r="E4" s="28"/>
      <c r="F4" s="29"/>
      <c r="G4" s="30"/>
      <c r="H4" s="31"/>
      <c r="I4" s="31"/>
      <c r="J4" s="31"/>
      <c r="K4" s="31"/>
      <c r="L4" s="31"/>
      <c r="M4" s="31"/>
      <c r="N4" s="31"/>
      <c r="O4" s="28" t="s">
        <v>6</v>
      </c>
      <c r="P4" s="28"/>
      <c r="Q4" s="32"/>
      <c r="R4" s="33" t="s">
        <v>7</v>
      </c>
      <c r="S4" s="34"/>
    </row>
    <row r="5" spans="3:35" ht="15.75" thickBot="1" x14ac:dyDescent="0.3">
      <c r="C5" s="35" t="s">
        <v>6</v>
      </c>
      <c r="D5" s="36"/>
      <c r="E5" s="36"/>
      <c r="F5" s="36"/>
      <c r="G5" s="37"/>
      <c r="H5" s="36"/>
      <c r="I5" s="36"/>
      <c r="J5" s="36"/>
      <c r="K5" s="38"/>
      <c r="L5" s="39" t="s">
        <v>8</v>
      </c>
      <c r="M5" s="40"/>
      <c r="N5" s="40"/>
      <c r="O5" s="40"/>
      <c r="P5" s="40"/>
      <c r="Q5" s="41"/>
      <c r="R5" s="42"/>
      <c r="S5" s="43"/>
    </row>
    <row r="6" spans="3:35" ht="45.75" thickBot="1" x14ac:dyDescent="0.3">
      <c r="C6" s="44" t="s">
        <v>9</v>
      </c>
      <c r="D6" s="45" t="s">
        <v>10</v>
      </c>
      <c r="E6" s="46" t="s">
        <v>11</v>
      </c>
      <c r="F6" s="47" t="s">
        <v>12</v>
      </c>
      <c r="G6" s="48" t="s">
        <v>13</v>
      </c>
      <c r="H6" s="45" t="s">
        <v>14</v>
      </c>
      <c r="I6" s="45" t="s">
        <v>15</v>
      </c>
      <c r="J6" s="49" t="s">
        <v>16</v>
      </c>
      <c r="K6" s="45" t="s">
        <v>17</v>
      </c>
      <c r="L6" s="45" t="s">
        <v>18</v>
      </c>
      <c r="M6" s="45" t="s">
        <v>19</v>
      </c>
      <c r="N6" s="49" t="s">
        <v>20</v>
      </c>
      <c r="O6" s="49" t="s">
        <v>21</v>
      </c>
      <c r="P6" s="49" t="s">
        <v>22</v>
      </c>
      <c r="Q6" s="45" t="s">
        <v>23</v>
      </c>
      <c r="R6" s="45" t="s">
        <v>24</v>
      </c>
      <c r="S6" s="50" t="s">
        <v>25</v>
      </c>
      <c r="U6" s="51" t="s">
        <v>26</v>
      </c>
      <c r="V6" s="52" t="s">
        <v>27</v>
      </c>
      <c r="W6" s="52" t="s">
        <v>28</v>
      </c>
      <c r="X6" s="53" t="s">
        <v>29</v>
      </c>
      <c r="Y6" s="52" t="s">
        <v>30</v>
      </c>
      <c r="Z6" s="52" t="s">
        <v>31</v>
      </c>
      <c r="AA6" s="52" t="s">
        <v>32</v>
      </c>
      <c r="AB6" s="52" t="s">
        <v>33</v>
      </c>
      <c r="AC6" s="52" t="s">
        <v>34</v>
      </c>
      <c r="AD6" s="52" t="s">
        <v>35</v>
      </c>
    </row>
    <row r="7" spans="3:35" ht="15.75" hidden="1" thickBot="1" x14ac:dyDescent="0.3">
      <c r="C7" s="54"/>
      <c r="D7" s="55" t="s">
        <v>36</v>
      </c>
      <c r="E7" s="56"/>
      <c r="F7" s="57"/>
      <c r="G7" s="56"/>
      <c r="H7" s="56"/>
      <c r="I7" s="56"/>
      <c r="J7" s="56"/>
      <c r="K7" s="56"/>
      <c r="L7" s="56"/>
      <c r="M7" s="56"/>
      <c r="N7" s="56"/>
      <c r="O7" s="56"/>
      <c r="P7" s="56"/>
      <c r="Q7" s="56"/>
      <c r="R7" s="56"/>
      <c r="S7" s="58"/>
      <c r="U7" s="59"/>
      <c r="V7" s="59"/>
      <c r="W7" s="59"/>
      <c r="X7" s="59"/>
      <c r="Y7" s="59"/>
      <c r="Z7" s="59"/>
      <c r="AA7" s="59"/>
      <c r="AB7" s="59"/>
      <c r="AC7" s="59"/>
      <c r="AD7" s="59"/>
    </row>
    <row r="8" spans="3:35" ht="30" customHeight="1" outlineLevel="1" x14ac:dyDescent="0.25">
      <c r="C8" s="60" t="s">
        <v>37</v>
      </c>
      <c r="D8" s="61" t="s">
        <v>38</v>
      </c>
      <c r="E8" s="62">
        <v>1978</v>
      </c>
      <c r="F8" s="62" t="s">
        <v>39</v>
      </c>
      <c r="G8" s="63">
        <f>1030.05+1072.43</f>
        <v>2102.48</v>
      </c>
      <c r="H8" s="63" t="s">
        <v>40</v>
      </c>
      <c r="I8" s="64">
        <v>1100</v>
      </c>
      <c r="J8" s="65">
        <f>I8*$S$2</f>
        <v>676335</v>
      </c>
      <c r="K8" s="66">
        <f>R8-E8</f>
        <v>43</v>
      </c>
      <c r="L8" s="67">
        <v>50</v>
      </c>
      <c r="M8" s="67">
        <v>30</v>
      </c>
      <c r="N8" s="68">
        <f>+I8*G8</f>
        <v>2312728</v>
      </c>
      <c r="O8" s="68">
        <f>+N8/L8</f>
        <v>46254.559999999998</v>
      </c>
      <c r="P8" s="68">
        <f>(N8/L8)*M8</f>
        <v>1387636.7999999998</v>
      </c>
      <c r="Q8" s="69" t="s">
        <v>41</v>
      </c>
      <c r="R8" s="62">
        <v>2021</v>
      </c>
      <c r="S8" s="70" t="s">
        <v>42</v>
      </c>
      <c r="U8" s="71" t="s">
        <v>37</v>
      </c>
      <c r="V8" s="72">
        <v>28824</v>
      </c>
      <c r="W8" s="73">
        <v>468993.12</v>
      </c>
      <c r="X8" s="73">
        <v>0</v>
      </c>
      <c r="Y8" s="73">
        <v>41031.67</v>
      </c>
      <c r="Z8" s="73">
        <v>386137.69</v>
      </c>
      <c r="AA8" s="73">
        <v>27294.6</v>
      </c>
      <c r="AB8" s="73">
        <v>96592.499999999971</v>
      </c>
      <c r="AC8" s="74" t="s">
        <v>43</v>
      </c>
      <c r="AD8" s="75">
        <v>900058</v>
      </c>
      <c r="AI8" s="1">
        <f>SUMIF(D7:D696,"=Terreno*",G7:G696)</f>
        <v>124304.56566666669</v>
      </c>
    </row>
    <row r="9" spans="3:35" ht="30" customHeight="1" outlineLevel="1" x14ac:dyDescent="0.25">
      <c r="C9" s="76" t="str">
        <f>C8</f>
        <v>A-1</v>
      </c>
      <c r="D9" s="77" t="s">
        <v>44</v>
      </c>
      <c r="E9" s="78">
        <v>1978</v>
      </c>
      <c r="F9" s="78" t="s">
        <v>39</v>
      </c>
      <c r="G9" s="79">
        <v>187.08</v>
      </c>
      <c r="H9" s="79" t="s">
        <v>40</v>
      </c>
      <c r="I9" s="80">
        <v>30.54</v>
      </c>
      <c r="J9" s="81">
        <f>I9*$S$2</f>
        <v>18777.519</v>
      </c>
      <c r="K9" s="82">
        <f>R9-E9</f>
        <v>43</v>
      </c>
      <c r="L9" s="83">
        <v>15</v>
      </c>
      <c r="M9" s="83">
        <v>5</v>
      </c>
      <c r="N9" s="84">
        <f>+I9*G9</f>
        <v>5713.4232000000002</v>
      </c>
      <c r="O9" s="84">
        <f>+N9/L9</f>
        <v>380.89488</v>
      </c>
      <c r="P9" s="84">
        <f>(N9/L9)*M9</f>
        <v>1904.4744000000001</v>
      </c>
      <c r="Q9" s="85" t="s">
        <v>41</v>
      </c>
      <c r="R9" s="78">
        <v>2021</v>
      </c>
      <c r="S9" s="86" t="s">
        <v>42</v>
      </c>
      <c r="U9" s="87" t="s">
        <v>37</v>
      </c>
      <c r="V9" s="88">
        <v>28854</v>
      </c>
      <c r="W9" s="89">
        <v>165859.69</v>
      </c>
      <c r="X9" s="89">
        <v>0</v>
      </c>
      <c r="Y9" s="89">
        <v>29460119.27</v>
      </c>
      <c r="Z9" s="89">
        <v>136281.15</v>
      </c>
      <c r="AA9" s="89">
        <v>6067074.0599999996</v>
      </c>
      <c r="AB9" s="89">
        <v>23422623.750000004</v>
      </c>
      <c r="AC9" s="90" t="s">
        <v>45</v>
      </c>
      <c r="AD9" s="91">
        <v>900064</v>
      </c>
    </row>
    <row r="10" spans="3:35" ht="30" customHeight="1" outlineLevel="1" x14ac:dyDescent="0.25">
      <c r="C10" s="76" t="str">
        <f>C8</f>
        <v>A-1</v>
      </c>
      <c r="D10" s="77" t="s">
        <v>46</v>
      </c>
      <c r="E10" s="78">
        <v>1978</v>
      </c>
      <c r="F10" s="78" t="s">
        <v>39</v>
      </c>
      <c r="G10" s="79">
        <v>465.28</v>
      </c>
      <c r="H10" s="79" t="s">
        <v>40</v>
      </c>
      <c r="I10" s="80">
        <v>3.4</v>
      </c>
      <c r="J10" s="81">
        <f>I10*$S$2</f>
        <v>2090.4900000000002</v>
      </c>
      <c r="K10" s="82">
        <f>R10-E10</f>
        <v>43</v>
      </c>
      <c r="L10" s="83">
        <v>10</v>
      </c>
      <c r="M10" s="83">
        <v>5</v>
      </c>
      <c r="N10" s="84">
        <f>+I10*G10</f>
        <v>1581.9519999999998</v>
      </c>
      <c r="O10" s="84">
        <f>+N10/L10</f>
        <v>158.19519999999997</v>
      </c>
      <c r="P10" s="84">
        <f>(N10/L10)*M10</f>
        <v>790.97599999999989</v>
      </c>
      <c r="Q10" s="85" t="s">
        <v>41</v>
      </c>
      <c r="R10" s="78">
        <v>2021</v>
      </c>
      <c r="S10" s="86" t="s">
        <v>42</v>
      </c>
      <c r="U10" s="87" t="s">
        <v>37</v>
      </c>
      <c r="V10" s="88">
        <v>28854</v>
      </c>
      <c r="W10" s="89">
        <v>331719.37</v>
      </c>
      <c r="X10" s="89">
        <v>0</v>
      </c>
      <c r="Y10" s="89">
        <v>10326452.23</v>
      </c>
      <c r="Z10" s="89">
        <v>272562.78000000003</v>
      </c>
      <c r="AA10" s="89">
        <v>3929137.7</v>
      </c>
      <c r="AB10" s="89">
        <v>6456471.1200000001</v>
      </c>
      <c r="AC10" s="90" t="s">
        <v>47</v>
      </c>
      <c r="AD10" s="91">
        <v>900068</v>
      </c>
    </row>
    <row r="11" spans="3:35" ht="30" customHeight="1" outlineLevel="1" thickBot="1" x14ac:dyDescent="0.3">
      <c r="C11" s="92" t="str">
        <f>C8</f>
        <v>A-1</v>
      </c>
      <c r="D11" s="93" t="s">
        <v>48</v>
      </c>
      <c r="E11" s="94">
        <v>1978</v>
      </c>
      <c r="F11" s="94" t="s">
        <v>39</v>
      </c>
      <c r="G11" s="95">
        <v>1030.05</v>
      </c>
      <c r="H11" s="95" t="s">
        <v>40</v>
      </c>
      <c r="I11" s="96">
        <f>+J11/$S$2</f>
        <v>129.78081002760996</v>
      </c>
      <c r="J11" s="97">
        <f>+((95000^(0.364-(0.00000133*G11)))/(G11^(0.364-(0.00000133*95000))))*6500</f>
        <v>79795.731045475986</v>
      </c>
      <c r="K11" s="98" t="s">
        <v>41</v>
      </c>
      <c r="L11" s="99" t="s">
        <v>41</v>
      </c>
      <c r="M11" s="99" t="s">
        <v>41</v>
      </c>
      <c r="N11" s="100" t="s">
        <v>41</v>
      </c>
      <c r="O11" s="100" t="s">
        <v>41</v>
      </c>
      <c r="P11" s="100" t="s">
        <v>41</v>
      </c>
      <c r="Q11" s="101">
        <f>I11*G11</f>
        <v>133680.72336893962</v>
      </c>
      <c r="R11" s="94">
        <v>2021</v>
      </c>
      <c r="S11" s="102" t="s">
        <v>42</v>
      </c>
      <c r="U11" s="87" t="s">
        <v>37</v>
      </c>
      <c r="V11" s="88">
        <v>31411</v>
      </c>
      <c r="W11" s="89">
        <v>30386.880000000001</v>
      </c>
      <c r="X11" s="89">
        <v>0</v>
      </c>
      <c r="Y11" s="89">
        <v>0</v>
      </c>
      <c r="Z11" s="89">
        <v>28975.33</v>
      </c>
      <c r="AA11" s="89">
        <v>0</v>
      </c>
      <c r="AB11" s="89">
        <v>1411.5499999999993</v>
      </c>
      <c r="AC11" s="90" t="s">
        <v>49</v>
      </c>
      <c r="AD11" s="91">
        <v>900130</v>
      </c>
    </row>
    <row r="12" spans="3:35" ht="30" customHeight="1" outlineLevel="1" x14ac:dyDescent="0.25">
      <c r="C12" s="103" t="s">
        <v>50</v>
      </c>
      <c r="D12" s="104" t="s">
        <v>51</v>
      </c>
      <c r="E12" s="105">
        <v>1981</v>
      </c>
      <c r="F12" s="105" t="s">
        <v>39</v>
      </c>
      <c r="G12" s="106">
        <f>178.65+465+465.71</f>
        <v>1109.3599999999999</v>
      </c>
      <c r="H12" s="106" t="s">
        <v>40</v>
      </c>
      <c r="I12" s="107">
        <v>1200</v>
      </c>
      <c r="J12" s="108">
        <f>I12*$S$2</f>
        <v>737820</v>
      </c>
      <c r="K12" s="109">
        <f>R12-E12</f>
        <v>40</v>
      </c>
      <c r="L12" s="110">
        <v>50</v>
      </c>
      <c r="M12" s="110">
        <v>30</v>
      </c>
      <c r="N12" s="111">
        <f>+I12*G12</f>
        <v>1331231.9999999998</v>
      </c>
      <c r="O12" s="111">
        <f>+N12/L12</f>
        <v>26624.639999999996</v>
      </c>
      <c r="P12" s="111">
        <f>(N12/L12)*M12</f>
        <v>798739.19999999984</v>
      </c>
      <c r="Q12" s="112" t="s">
        <v>41</v>
      </c>
      <c r="R12" s="105">
        <v>2021</v>
      </c>
      <c r="S12" s="113" t="s">
        <v>52</v>
      </c>
      <c r="U12" s="71" t="s">
        <v>50</v>
      </c>
      <c r="V12" s="72">
        <v>29828</v>
      </c>
      <c r="W12" s="73">
        <v>1015599.09</v>
      </c>
      <c r="X12" s="73">
        <v>0</v>
      </c>
      <c r="Y12" s="73">
        <v>11312917.59</v>
      </c>
      <c r="Z12" s="73">
        <v>780318.66</v>
      </c>
      <c r="AA12" s="73">
        <v>3386366.89</v>
      </c>
      <c r="AB12" s="73">
        <v>8161831.129999999</v>
      </c>
      <c r="AC12" s="74" t="s">
        <v>53</v>
      </c>
      <c r="AD12" s="75">
        <v>900108</v>
      </c>
    </row>
    <row r="13" spans="3:35" ht="30" customHeight="1" outlineLevel="1" x14ac:dyDescent="0.25">
      <c r="C13" s="114" t="str">
        <f>C12</f>
        <v>A-2</v>
      </c>
      <c r="D13" s="115" t="s">
        <v>44</v>
      </c>
      <c r="E13" s="116">
        <v>1981</v>
      </c>
      <c r="F13" s="116" t="s">
        <v>39</v>
      </c>
      <c r="G13" s="117">
        <v>30.62</v>
      </c>
      <c r="H13" s="117" t="s">
        <v>40</v>
      </c>
      <c r="I13" s="118">
        <v>30.54</v>
      </c>
      <c r="J13" s="119">
        <f>I13*$S$2</f>
        <v>18777.519</v>
      </c>
      <c r="K13" s="120">
        <f>R13-E13</f>
        <v>40</v>
      </c>
      <c r="L13" s="121">
        <v>15</v>
      </c>
      <c r="M13" s="121">
        <v>5</v>
      </c>
      <c r="N13" s="122">
        <f>+I13*G13</f>
        <v>935.13480000000004</v>
      </c>
      <c r="O13" s="122">
        <f>+N13/L13</f>
        <v>62.342320000000001</v>
      </c>
      <c r="P13" s="122">
        <f>(N13/L13)*M13</f>
        <v>311.71159999999998</v>
      </c>
      <c r="Q13" s="123" t="s">
        <v>41</v>
      </c>
      <c r="R13" s="116">
        <v>2021</v>
      </c>
      <c r="S13" s="124" t="s">
        <v>52</v>
      </c>
      <c r="U13" s="125" t="s">
        <v>50</v>
      </c>
      <c r="V13" s="88">
        <v>29828</v>
      </c>
      <c r="W13" s="89">
        <v>2543811</v>
      </c>
      <c r="X13" s="89">
        <v>0</v>
      </c>
      <c r="Y13" s="89">
        <v>24742582.829999998</v>
      </c>
      <c r="Z13" s="89">
        <v>1954494.79</v>
      </c>
      <c r="AA13" s="89">
        <v>4733093.8099999996</v>
      </c>
      <c r="AB13" s="89">
        <v>20598805.23</v>
      </c>
      <c r="AC13" s="90" t="s">
        <v>54</v>
      </c>
      <c r="AD13" s="91">
        <v>900109</v>
      </c>
    </row>
    <row r="14" spans="3:35" ht="30" customHeight="1" outlineLevel="1" x14ac:dyDescent="0.25">
      <c r="C14" s="114" t="str">
        <f>C12</f>
        <v>A-2</v>
      </c>
      <c r="D14" s="115" t="s">
        <v>46</v>
      </c>
      <c r="E14" s="116">
        <v>1981</v>
      </c>
      <c r="F14" s="116" t="s">
        <v>39</v>
      </c>
      <c r="G14" s="117">
        <v>295.38</v>
      </c>
      <c r="H14" s="117" t="s">
        <v>40</v>
      </c>
      <c r="I14" s="118">
        <v>3.4</v>
      </c>
      <c r="J14" s="119">
        <f>I14*$S$2</f>
        <v>2090.4900000000002</v>
      </c>
      <c r="K14" s="120">
        <f>R14-E14</f>
        <v>40</v>
      </c>
      <c r="L14" s="121">
        <v>10</v>
      </c>
      <c r="M14" s="121">
        <v>5</v>
      </c>
      <c r="N14" s="122">
        <f>+I14*G14</f>
        <v>1004.2919999999999</v>
      </c>
      <c r="O14" s="122">
        <f>+N14/L14</f>
        <v>100.42919999999999</v>
      </c>
      <c r="P14" s="122">
        <f>(N14/L14)*M14</f>
        <v>502.14599999999996</v>
      </c>
      <c r="Q14" s="123" t="s">
        <v>41</v>
      </c>
      <c r="R14" s="116">
        <v>2021</v>
      </c>
      <c r="S14" s="124" t="s">
        <v>52</v>
      </c>
      <c r="U14" s="125" t="s">
        <v>50</v>
      </c>
      <c r="V14" s="88">
        <v>29828</v>
      </c>
      <c r="W14" s="89">
        <v>1253855.75</v>
      </c>
      <c r="X14" s="89">
        <v>0</v>
      </c>
      <c r="Y14" s="89">
        <v>4928703.24</v>
      </c>
      <c r="Z14" s="89">
        <v>652607.21</v>
      </c>
      <c r="AA14" s="89">
        <v>2037729.1</v>
      </c>
      <c r="AB14" s="89">
        <v>3492222.68</v>
      </c>
      <c r="AC14" s="90" t="s">
        <v>54</v>
      </c>
      <c r="AD14" s="91">
        <v>900110</v>
      </c>
    </row>
    <row r="15" spans="3:35" ht="30" customHeight="1" outlineLevel="1" thickBot="1" x14ac:dyDescent="0.3">
      <c r="C15" s="92" t="str">
        <f>C12</f>
        <v>A-2</v>
      </c>
      <c r="D15" s="93" t="s">
        <v>48</v>
      </c>
      <c r="E15" s="94">
        <v>1981</v>
      </c>
      <c r="F15" s="94" t="s">
        <v>39</v>
      </c>
      <c r="G15" s="95">
        <v>465.71</v>
      </c>
      <c r="H15" s="95" t="s">
        <v>40</v>
      </c>
      <c r="I15" s="96">
        <f>+J15/$S$2</f>
        <v>158.0792017908191</v>
      </c>
      <c r="J15" s="97">
        <f>+((95000^(0.364-(0.00000133*G15)))/(G15^(0.364-(0.00000133*95000))))*6500</f>
        <v>97194.997221085127</v>
      </c>
      <c r="K15" s="126" t="s">
        <v>41</v>
      </c>
      <c r="L15" s="127" t="s">
        <v>41</v>
      </c>
      <c r="M15" s="127" t="s">
        <v>41</v>
      </c>
      <c r="N15" s="127" t="s">
        <v>41</v>
      </c>
      <c r="O15" s="127" t="s">
        <v>41</v>
      </c>
      <c r="P15" s="127" t="s">
        <v>41</v>
      </c>
      <c r="Q15" s="128">
        <f>I15*G15</f>
        <v>73619.065066002353</v>
      </c>
      <c r="R15" s="129">
        <v>2021</v>
      </c>
      <c r="S15" s="130" t="s">
        <v>52</v>
      </c>
      <c r="U15" s="125" t="s">
        <v>50</v>
      </c>
      <c r="V15" s="88">
        <v>32719</v>
      </c>
      <c r="W15" s="89">
        <v>372662.79</v>
      </c>
      <c r="X15" s="89">
        <v>0</v>
      </c>
      <c r="Y15" s="89">
        <v>0</v>
      </c>
      <c r="Z15" s="89">
        <v>372662.79</v>
      </c>
      <c r="AA15" s="89">
        <v>0</v>
      </c>
      <c r="AB15" s="89">
        <v>0</v>
      </c>
      <c r="AC15" s="90" t="s">
        <v>55</v>
      </c>
      <c r="AD15" s="91">
        <v>900243</v>
      </c>
    </row>
    <row r="16" spans="3:35" ht="30" customHeight="1" outlineLevel="1" x14ac:dyDescent="0.25">
      <c r="C16" s="103" t="s">
        <v>56</v>
      </c>
      <c r="D16" s="104" t="s">
        <v>57</v>
      </c>
      <c r="E16" s="105">
        <v>1981</v>
      </c>
      <c r="F16" s="105" t="s">
        <v>39</v>
      </c>
      <c r="G16" s="106">
        <f>G19+509.59</f>
        <v>1015.26</v>
      </c>
      <c r="H16" s="106" t="s">
        <v>40</v>
      </c>
      <c r="I16" s="107">
        <v>1000</v>
      </c>
      <c r="J16" s="108">
        <f>I16*$S$2</f>
        <v>614850</v>
      </c>
      <c r="K16" s="109">
        <f>R16-E16</f>
        <v>40</v>
      </c>
      <c r="L16" s="110">
        <v>50</v>
      </c>
      <c r="M16" s="110">
        <v>30</v>
      </c>
      <c r="N16" s="111">
        <f>+I16*G16</f>
        <v>1015260</v>
      </c>
      <c r="O16" s="111">
        <f>+N16/L16</f>
        <v>20305.2</v>
      </c>
      <c r="P16" s="111">
        <f>(N16/L16)*M16</f>
        <v>609156</v>
      </c>
      <c r="Q16" s="112" t="s">
        <v>41</v>
      </c>
      <c r="R16" s="105">
        <v>2021</v>
      </c>
      <c r="S16" s="113" t="s">
        <v>52</v>
      </c>
      <c r="U16" s="71" t="s">
        <v>56</v>
      </c>
      <c r="V16" s="74" t="s">
        <v>58</v>
      </c>
      <c r="W16" s="73">
        <v>386981.82</v>
      </c>
      <c r="X16" s="73">
        <v>0</v>
      </c>
      <c r="Y16" s="73">
        <v>454209762.14999998</v>
      </c>
      <c r="Z16" s="73">
        <v>295509.90999999997</v>
      </c>
      <c r="AA16" s="73">
        <v>45843593.509999998</v>
      </c>
      <c r="AB16" s="73">
        <v>408457640.54999995</v>
      </c>
      <c r="AC16" s="74" t="s">
        <v>59</v>
      </c>
      <c r="AD16" s="75">
        <v>900098</v>
      </c>
    </row>
    <row r="17" spans="3:30" ht="30" customHeight="1" outlineLevel="1" x14ac:dyDescent="0.25">
      <c r="C17" s="114" t="str">
        <f>C16</f>
        <v>A-3</v>
      </c>
      <c r="D17" s="115" t="s">
        <v>44</v>
      </c>
      <c r="E17" s="116">
        <v>1981</v>
      </c>
      <c r="F17" s="116" t="s">
        <v>39</v>
      </c>
      <c r="G17" s="117">
        <v>52</v>
      </c>
      <c r="H17" s="117" t="s">
        <v>40</v>
      </c>
      <c r="I17" s="118">
        <v>30.54</v>
      </c>
      <c r="J17" s="119">
        <f>I17*$S$2</f>
        <v>18777.519</v>
      </c>
      <c r="K17" s="120">
        <f>R17-E17</f>
        <v>40</v>
      </c>
      <c r="L17" s="121">
        <v>15</v>
      </c>
      <c r="M17" s="121">
        <v>5</v>
      </c>
      <c r="N17" s="122">
        <f>+I17*G17</f>
        <v>1588.08</v>
      </c>
      <c r="O17" s="122">
        <f>+N17/L17</f>
        <v>105.872</v>
      </c>
      <c r="P17" s="122">
        <f>(N17/L17)*M17</f>
        <v>529.36</v>
      </c>
      <c r="Q17" s="123" t="s">
        <v>41</v>
      </c>
      <c r="R17" s="116">
        <v>2021</v>
      </c>
      <c r="S17" s="124" t="s">
        <v>52</v>
      </c>
      <c r="U17" s="125" t="s">
        <v>56</v>
      </c>
      <c r="V17" s="90" t="s">
        <v>58</v>
      </c>
      <c r="W17" s="89">
        <v>596238.66</v>
      </c>
      <c r="X17" s="89">
        <v>0</v>
      </c>
      <c r="Y17" s="89">
        <v>49772273.18</v>
      </c>
      <c r="Z17" s="89">
        <v>458109.81</v>
      </c>
      <c r="AA17" s="89">
        <v>11122295.6</v>
      </c>
      <c r="AB17" s="89">
        <v>38788106.429999992</v>
      </c>
      <c r="AC17" s="90" t="s">
        <v>59</v>
      </c>
      <c r="AD17" s="91">
        <v>900099</v>
      </c>
    </row>
    <row r="18" spans="3:30" ht="30" customHeight="1" outlineLevel="1" x14ac:dyDescent="0.25">
      <c r="C18" s="114" t="str">
        <f>C16</f>
        <v>A-3</v>
      </c>
      <c r="D18" s="115" t="s">
        <v>46</v>
      </c>
      <c r="E18" s="116">
        <v>1981</v>
      </c>
      <c r="F18" s="116" t="s">
        <v>39</v>
      </c>
      <c r="G18" s="117">
        <v>223</v>
      </c>
      <c r="H18" s="117" t="s">
        <v>40</v>
      </c>
      <c r="I18" s="118">
        <v>3.4</v>
      </c>
      <c r="J18" s="119">
        <f>I18*$S$2</f>
        <v>2090.4900000000002</v>
      </c>
      <c r="K18" s="120">
        <f>R18-E18</f>
        <v>40</v>
      </c>
      <c r="L18" s="121">
        <v>10</v>
      </c>
      <c r="M18" s="121">
        <v>5</v>
      </c>
      <c r="N18" s="122">
        <f>+I18*G18</f>
        <v>758.19999999999993</v>
      </c>
      <c r="O18" s="122">
        <f>+N18/L18</f>
        <v>75.819999999999993</v>
      </c>
      <c r="P18" s="122">
        <f>(N18/L18)*M18</f>
        <v>379.09999999999997</v>
      </c>
      <c r="Q18" s="123" t="s">
        <v>41</v>
      </c>
      <c r="R18" s="116">
        <v>2021</v>
      </c>
      <c r="S18" s="124" t="s">
        <v>52</v>
      </c>
      <c r="U18" s="125" t="s">
        <v>56</v>
      </c>
      <c r="V18" s="90" t="s">
        <v>58</v>
      </c>
      <c r="W18" s="89">
        <v>722366.07</v>
      </c>
      <c r="X18" s="89">
        <v>0</v>
      </c>
      <c r="Y18" s="89">
        <v>0</v>
      </c>
      <c r="Z18" s="89">
        <v>555017.72</v>
      </c>
      <c r="AA18" s="89">
        <v>0</v>
      </c>
      <c r="AB18" s="89">
        <v>167348.34999999998</v>
      </c>
      <c r="AC18" s="90" t="s">
        <v>59</v>
      </c>
      <c r="AD18" s="91">
        <v>900100</v>
      </c>
    </row>
    <row r="19" spans="3:30" ht="30" customHeight="1" outlineLevel="1" x14ac:dyDescent="0.25">
      <c r="C19" s="131" t="str">
        <f>C16</f>
        <v>A-3</v>
      </c>
      <c r="D19" s="132" t="s">
        <v>48</v>
      </c>
      <c r="E19" s="133">
        <v>1981</v>
      </c>
      <c r="F19" s="133" t="s">
        <v>39</v>
      </c>
      <c r="G19" s="134">
        <v>505.67</v>
      </c>
      <c r="H19" s="134" t="s">
        <v>40</v>
      </c>
      <c r="I19" s="96">
        <f>+J19/$S$2</f>
        <v>154.92225522391246</v>
      </c>
      <c r="J19" s="97">
        <f>+((95000^(0.364-(0.00000133*G19)))/(G19^(0.364-(0.00000133*95000))))*6500</f>
        <v>95253.94862442257</v>
      </c>
      <c r="K19" s="135" t="s">
        <v>41</v>
      </c>
      <c r="L19" s="136" t="s">
        <v>41</v>
      </c>
      <c r="M19" s="136" t="s">
        <v>41</v>
      </c>
      <c r="N19" s="136" t="s">
        <v>41</v>
      </c>
      <c r="O19" s="136" t="s">
        <v>41</v>
      </c>
      <c r="P19" s="136" t="s">
        <v>41</v>
      </c>
      <c r="Q19" s="101">
        <f>I19*G19</f>
        <v>78339.53679907581</v>
      </c>
      <c r="R19" s="133">
        <v>2021</v>
      </c>
      <c r="S19" s="137" t="s">
        <v>52</v>
      </c>
      <c r="U19" s="125" t="s">
        <v>56</v>
      </c>
      <c r="V19" s="90" t="s">
        <v>58</v>
      </c>
      <c r="W19" s="89">
        <v>687967.68</v>
      </c>
      <c r="X19" s="89">
        <v>0</v>
      </c>
      <c r="Y19" s="89">
        <v>7917887.8399999999</v>
      </c>
      <c r="Z19" s="89">
        <v>528588.19999999995</v>
      </c>
      <c r="AA19" s="89">
        <v>1689956.03</v>
      </c>
      <c r="AB19" s="89">
        <v>6387311.2899999991</v>
      </c>
      <c r="AC19" s="90" t="s">
        <v>60</v>
      </c>
      <c r="AD19" s="91">
        <v>900101</v>
      </c>
    </row>
    <row r="20" spans="3:30" ht="30" customHeight="1" outlineLevel="1" x14ac:dyDescent="0.25">
      <c r="C20" s="138" t="s">
        <v>61</v>
      </c>
      <c r="D20" s="139" t="s">
        <v>62</v>
      </c>
      <c r="E20" s="140">
        <v>2016</v>
      </c>
      <c r="F20" s="140" t="s">
        <v>39</v>
      </c>
      <c r="G20" s="141">
        <f>G23+197.7</f>
        <v>395.4</v>
      </c>
      <c r="H20" s="141" t="s">
        <v>40</v>
      </c>
      <c r="I20" s="142">
        <v>995</v>
      </c>
      <c r="J20" s="143">
        <f>I20*$S$2</f>
        <v>611775.75</v>
      </c>
      <c r="K20" s="144">
        <f>R20-E20</f>
        <v>5</v>
      </c>
      <c r="L20" s="145">
        <v>50</v>
      </c>
      <c r="M20" s="145">
        <v>46</v>
      </c>
      <c r="N20" s="146">
        <f>+I20*G20</f>
        <v>393423</v>
      </c>
      <c r="O20" s="146">
        <f>+N20/L20</f>
        <v>7868.46</v>
      </c>
      <c r="P20" s="146">
        <f>(N20/L20)*M20</f>
        <v>361949.16</v>
      </c>
      <c r="Q20" s="147" t="s">
        <v>41</v>
      </c>
      <c r="R20" s="140">
        <v>2021</v>
      </c>
      <c r="S20" s="148" t="s">
        <v>52</v>
      </c>
      <c r="U20" s="125" t="s">
        <v>56</v>
      </c>
      <c r="V20" s="90" t="s">
        <v>58</v>
      </c>
      <c r="W20" s="89">
        <v>472977.79</v>
      </c>
      <c r="X20" s="89">
        <v>0</v>
      </c>
      <c r="Y20" s="89">
        <v>13174455.92</v>
      </c>
      <c r="Z20" s="89">
        <v>363404.59</v>
      </c>
      <c r="AA20" s="89">
        <v>4784548.67</v>
      </c>
      <c r="AB20" s="89">
        <v>8499480.4499999993</v>
      </c>
      <c r="AC20" s="90" t="s">
        <v>59</v>
      </c>
      <c r="AD20" s="91">
        <v>900102</v>
      </c>
    </row>
    <row r="21" spans="3:30" ht="30" customHeight="1" outlineLevel="1" x14ac:dyDescent="0.25">
      <c r="C21" s="114" t="str">
        <f>C20</f>
        <v>A-3´</v>
      </c>
      <c r="D21" s="115" t="s">
        <v>44</v>
      </c>
      <c r="E21" s="116">
        <v>2016</v>
      </c>
      <c r="F21" s="116" t="s">
        <v>39</v>
      </c>
      <c r="G21" s="117">
        <v>52</v>
      </c>
      <c r="H21" s="117" t="s">
        <v>40</v>
      </c>
      <c r="I21" s="118">
        <v>30.54</v>
      </c>
      <c r="J21" s="119">
        <f>I21*$S$2</f>
        <v>18777.519</v>
      </c>
      <c r="K21" s="120">
        <f>R21-E21</f>
        <v>5</v>
      </c>
      <c r="L21" s="121">
        <v>15</v>
      </c>
      <c r="M21" s="121">
        <v>12</v>
      </c>
      <c r="N21" s="122">
        <f>+I21*G21</f>
        <v>1588.08</v>
      </c>
      <c r="O21" s="122">
        <f>+N21/L21</f>
        <v>105.872</v>
      </c>
      <c r="P21" s="122">
        <f>(N21/L21)*M21</f>
        <v>1270.4639999999999</v>
      </c>
      <c r="Q21" s="123" t="s">
        <v>41</v>
      </c>
      <c r="R21" s="116">
        <v>2021</v>
      </c>
      <c r="S21" s="124" t="s">
        <v>52</v>
      </c>
      <c r="U21" s="149" t="s">
        <v>56</v>
      </c>
      <c r="V21" s="150">
        <v>39022</v>
      </c>
      <c r="W21" s="151">
        <v>3165918.65</v>
      </c>
      <c r="X21" s="151">
        <v>0</v>
      </c>
      <c r="Y21" s="151">
        <v>1152736.3500000001</v>
      </c>
      <c r="Z21" s="151">
        <v>2084229.88</v>
      </c>
      <c r="AA21" s="151">
        <v>758884.9</v>
      </c>
      <c r="AB21" s="151">
        <v>1475540.2200000002</v>
      </c>
      <c r="AC21" s="152" t="s">
        <v>63</v>
      </c>
      <c r="AD21" s="153">
        <v>900279</v>
      </c>
    </row>
    <row r="22" spans="3:30" ht="30" customHeight="1" outlineLevel="1" x14ac:dyDescent="0.25">
      <c r="C22" s="114" t="str">
        <f>C20</f>
        <v>A-3´</v>
      </c>
      <c r="D22" s="115" t="s">
        <v>46</v>
      </c>
      <c r="E22" s="116">
        <v>2016</v>
      </c>
      <c r="F22" s="116" t="s">
        <v>39</v>
      </c>
      <c r="G22" s="117">
        <v>72</v>
      </c>
      <c r="H22" s="117" t="s">
        <v>40</v>
      </c>
      <c r="I22" s="118">
        <v>3.4</v>
      </c>
      <c r="J22" s="119">
        <f>I22*$S$2</f>
        <v>2090.4900000000002</v>
      </c>
      <c r="K22" s="120">
        <f>R22-E22</f>
        <v>5</v>
      </c>
      <c r="L22" s="121">
        <v>10</v>
      </c>
      <c r="M22" s="121">
        <v>8</v>
      </c>
      <c r="N22" s="122">
        <f>+I22*G22</f>
        <v>244.79999999999998</v>
      </c>
      <c r="O22" s="122">
        <f>+N22/L22</f>
        <v>24.479999999999997</v>
      </c>
      <c r="P22" s="122">
        <f>(N22/L22)*M22</f>
        <v>195.83999999999997</v>
      </c>
      <c r="Q22" s="123" t="s">
        <v>41</v>
      </c>
      <c r="R22" s="116">
        <v>2021</v>
      </c>
      <c r="S22" s="124" t="s">
        <v>52</v>
      </c>
      <c r="U22" s="154"/>
      <c r="V22" s="155"/>
      <c r="W22" s="156"/>
      <c r="X22" s="156"/>
      <c r="Y22" s="156"/>
      <c r="Z22" s="156"/>
      <c r="AA22" s="156"/>
      <c r="AB22" s="156"/>
      <c r="AC22" s="157"/>
      <c r="AD22" s="158"/>
    </row>
    <row r="23" spans="3:30" ht="30" customHeight="1" outlineLevel="1" thickBot="1" x14ac:dyDescent="0.3">
      <c r="C23" s="159" t="str">
        <f>C20</f>
        <v>A-3´</v>
      </c>
      <c r="D23" s="160" t="s">
        <v>48</v>
      </c>
      <c r="E23" s="161">
        <v>2016</v>
      </c>
      <c r="F23" s="161" t="s">
        <v>39</v>
      </c>
      <c r="G23" s="162">
        <v>197.7</v>
      </c>
      <c r="H23" s="162" t="s">
        <v>40</v>
      </c>
      <c r="I23" s="96">
        <f>+J23/$S$2</f>
        <v>194.5721774106253</v>
      </c>
      <c r="J23" s="97">
        <f>+((95000^(0.364-(0.00000133*G23)))/(G23^(0.364-(0.00000133*95000))))*6500</f>
        <v>119632.70328092297</v>
      </c>
      <c r="K23" s="163" t="s">
        <v>41</v>
      </c>
      <c r="L23" s="164" t="s">
        <v>41</v>
      </c>
      <c r="M23" s="164" t="s">
        <v>41</v>
      </c>
      <c r="N23" s="164" t="s">
        <v>41</v>
      </c>
      <c r="O23" s="164" t="s">
        <v>41</v>
      </c>
      <c r="P23" s="164" t="s">
        <v>41</v>
      </c>
      <c r="Q23" s="101">
        <f>I23*G23</f>
        <v>38466.91947408062</v>
      </c>
      <c r="R23" s="161">
        <v>2021</v>
      </c>
      <c r="S23" s="165" t="s">
        <v>52</v>
      </c>
      <c r="U23" s="166"/>
      <c r="V23" s="167"/>
      <c r="W23" s="168"/>
      <c r="X23" s="168"/>
      <c r="Y23" s="168"/>
      <c r="Z23" s="168"/>
      <c r="AA23" s="168"/>
      <c r="AB23" s="168"/>
      <c r="AC23" s="169"/>
      <c r="AD23" s="170"/>
    </row>
    <row r="24" spans="3:30" ht="30" customHeight="1" outlineLevel="1" x14ac:dyDescent="0.25">
      <c r="C24" s="103" t="s">
        <v>64</v>
      </c>
      <c r="D24" s="104" t="s">
        <v>65</v>
      </c>
      <c r="E24" s="105">
        <v>1981</v>
      </c>
      <c r="F24" s="105" t="s">
        <v>39</v>
      </c>
      <c r="G24" s="106">
        <f>923.04+942.26</f>
        <v>1865.3</v>
      </c>
      <c r="H24" s="106" t="s">
        <v>40</v>
      </c>
      <c r="I24" s="107">
        <v>1000</v>
      </c>
      <c r="J24" s="108">
        <f>I24*$S$2</f>
        <v>614850</v>
      </c>
      <c r="K24" s="109">
        <f>R24-E24</f>
        <v>40</v>
      </c>
      <c r="L24" s="110">
        <v>50</v>
      </c>
      <c r="M24" s="110">
        <v>30</v>
      </c>
      <c r="N24" s="146">
        <f>+I24*G24</f>
        <v>1865300</v>
      </c>
      <c r="O24" s="111">
        <f>+N24/L24</f>
        <v>37306</v>
      </c>
      <c r="P24" s="111">
        <f>(N24/L24)*M24</f>
        <v>1119180</v>
      </c>
      <c r="Q24" s="112" t="s">
        <v>41</v>
      </c>
      <c r="R24" s="105">
        <v>2021</v>
      </c>
      <c r="S24" s="113" t="s">
        <v>66</v>
      </c>
      <c r="U24" s="71" t="s">
        <v>64</v>
      </c>
      <c r="V24" s="74" t="s">
        <v>58</v>
      </c>
      <c r="W24" s="73">
        <v>1142910.42</v>
      </c>
      <c r="X24" s="73">
        <v>0</v>
      </c>
      <c r="Y24" s="73">
        <v>55314040.090000004</v>
      </c>
      <c r="Z24" s="73">
        <v>845882.6</v>
      </c>
      <c r="AA24" s="73">
        <v>4779769.9400000004</v>
      </c>
      <c r="AB24" s="73">
        <v>50831297.970000006</v>
      </c>
      <c r="AC24" s="74" t="s">
        <v>67</v>
      </c>
      <c r="AD24" s="75">
        <v>900106</v>
      </c>
    </row>
    <row r="25" spans="3:30" ht="30" customHeight="1" outlineLevel="1" x14ac:dyDescent="0.25">
      <c r="C25" s="114" t="str">
        <f>C24</f>
        <v>A-4</v>
      </c>
      <c r="D25" s="115" t="s">
        <v>44</v>
      </c>
      <c r="E25" s="116">
        <v>1981</v>
      </c>
      <c r="F25" s="116" t="s">
        <v>39</v>
      </c>
      <c r="G25" s="117">
        <v>72.900000000000006</v>
      </c>
      <c r="H25" s="117" t="s">
        <v>40</v>
      </c>
      <c r="I25" s="118">
        <v>30.54</v>
      </c>
      <c r="J25" s="119">
        <f>I25*$S$2</f>
        <v>18777.519</v>
      </c>
      <c r="K25" s="120">
        <f>R25-E25</f>
        <v>40</v>
      </c>
      <c r="L25" s="121">
        <v>15</v>
      </c>
      <c r="M25" s="121">
        <v>5</v>
      </c>
      <c r="N25" s="122">
        <f>+I25*G25</f>
        <v>2226.366</v>
      </c>
      <c r="O25" s="122">
        <f>+N25/L25</f>
        <v>148.42439999999999</v>
      </c>
      <c r="P25" s="122">
        <f>(N25/L25)*M25</f>
        <v>742.12199999999996</v>
      </c>
      <c r="Q25" s="123" t="s">
        <v>41</v>
      </c>
      <c r="R25" s="116">
        <v>2021</v>
      </c>
      <c r="S25" s="124" t="s">
        <v>66</v>
      </c>
      <c r="U25" s="125" t="s">
        <v>64</v>
      </c>
      <c r="V25" s="90" t="s">
        <v>58</v>
      </c>
      <c r="W25" s="89">
        <v>1142910.42</v>
      </c>
      <c r="X25" s="89">
        <v>0</v>
      </c>
      <c r="Y25" s="89">
        <v>37419723</v>
      </c>
      <c r="Z25" s="89">
        <v>878135.97</v>
      </c>
      <c r="AA25" s="89">
        <v>6540316.1500000004</v>
      </c>
      <c r="AB25" s="89">
        <v>31144181.300000004</v>
      </c>
      <c r="AC25" s="90" t="s">
        <v>68</v>
      </c>
      <c r="AD25" s="91">
        <v>900107</v>
      </c>
    </row>
    <row r="26" spans="3:30" ht="30" customHeight="1" outlineLevel="1" x14ac:dyDescent="0.25">
      <c r="C26" s="114" t="str">
        <f>C24</f>
        <v>A-4</v>
      </c>
      <c r="D26" s="115" t="s">
        <v>46</v>
      </c>
      <c r="E26" s="116">
        <v>1981</v>
      </c>
      <c r="F26" s="116" t="s">
        <v>39</v>
      </c>
      <c r="G26" s="117">
        <v>482.83</v>
      </c>
      <c r="H26" s="117" t="s">
        <v>40</v>
      </c>
      <c r="I26" s="118">
        <v>3.4</v>
      </c>
      <c r="J26" s="119">
        <f>I26*$S$2</f>
        <v>2090.4900000000002</v>
      </c>
      <c r="K26" s="120">
        <f>R26-E26</f>
        <v>40</v>
      </c>
      <c r="L26" s="121">
        <v>10</v>
      </c>
      <c r="M26" s="121">
        <v>5</v>
      </c>
      <c r="N26" s="122">
        <f>+I26*G26</f>
        <v>1641.6219999999998</v>
      </c>
      <c r="O26" s="122">
        <f>+N26/L26</f>
        <v>164.16219999999998</v>
      </c>
      <c r="P26" s="122">
        <f>(N26/L26)*M26</f>
        <v>820.81099999999992</v>
      </c>
      <c r="Q26" s="123" t="s">
        <v>41</v>
      </c>
      <c r="R26" s="116">
        <v>2021</v>
      </c>
      <c r="S26" s="124" t="s">
        <v>66</v>
      </c>
      <c r="U26" s="125" t="s">
        <v>64</v>
      </c>
      <c r="V26" s="90" t="s">
        <v>69</v>
      </c>
      <c r="W26" s="89">
        <v>1738133.2</v>
      </c>
      <c r="X26" s="89">
        <v>0</v>
      </c>
      <c r="Y26" s="89">
        <v>0</v>
      </c>
      <c r="Z26" s="89">
        <v>1332568.72</v>
      </c>
      <c r="AA26" s="89">
        <v>0</v>
      </c>
      <c r="AB26" s="89">
        <v>405564.48</v>
      </c>
      <c r="AC26" s="90" t="s">
        <v>70</v>
      </c>
      <c r="AD26" s="91">
        <v>900112</v>
      </c>
    </row>
    <row r="27" spans="3:30" ht="30" customHeight="1" outlineLevel="1" thickBot="1" x14ac:dyDescent="0.3">
      <c r="C27" s="159" t="str">
        <f>C24</f>
        <v>A-4</v>
      </c>
      <c r="D27" s="160" t="s">
        <v>48</v>
      </c>
      <c r="E27" s="161">
        <v>1981</v>
      </c>
      <c r="F27" s="161" t="s">
        <v>39</v>
      </c>
      <c r="G27" s="162">
        <v>923.04</v>
      </c>
      <c r="H27" s="162" t="s">
        <v>40</v>
      </c>
      <c r="I27" s="96">
        <f>+J27/$S$2</f>
        <v>133.42587086259709</v>
      </c>
      <c r="J27" s="97">
        <f>+((95000^(0.364-(0.00000133*G27)))/(G27^(0.364-(0.00000133*95000))))*6500</f>
        <v>82036.896699867822</v>
      </c>
      <c r="K27" s="163" t="s">
        <v>41</v>
      </c>
      <c r="L27" s="164" t="s">
        <v>41</v>
      </c>
      <c r="M27" s="164" t="s">
        <v>41</v>
      </c>
      <c r="N27" s="164" t="s">
        <v>41</v>
      </c>
      <c r="O27" s="164" t="s">
        <v>41</v>
      </c>
      <c r="P27" s="164" t="s">
        <v>41</v>
      </c>
      <c r="Q27" s="171">
        <f>I27*G27</f>
        <v>123157.41584101162</v>
      </c>
      <c r="R27" s="161">
        <v>2021</v>
      </c>
      <c r="S27" s="165" t="s">
        <v>66</v>
      </c>
      <c r="U27" s="172" t="s">
        <v>64</v>
      </c>
      <c r="V27" s="173" t="s">
        <v>71</v>
      </c>
      <c r="W27" s="174">
        <v>1142910.42</v>
      </c>
      <c r="X27" s="174">
        <v>0</v>
      </c>
      <c r="Y27" s="174">
        <v>60257985.920000002</v>
      </c>
      <c r="Z27" s="174">
        <v>809561.34</v>
      </c>
      <c r="AA27" s="174">
        <v>15419598.800000001</v>
      </c>
      <c r="AB27" s="174">
        <v>45171736.200000003</v>
      </c>
      <c r="AC27" s="173" t="s">
        <v>72</v>
      </c>
      <c r="AD27" s="175">
        <v>900123</v>
      </c>
    </row>
    <row r="28" spans="3:30" ht="30" customHeight="1" outlineLevel="1" x14ac:dyDescent="0.25">
      <c r="C28" s="103" t="s">
        <v>73</v>
      </c>
      <c r="D28" s="104" t="s">
        <v>74</v>
      </c>
      <c r="E28" s="105">
        <v>1992</v>
      </c>
      <c r="F28" s="105" t="s">
        <v>39</v>
      </c>
      <c r="G28" s="106">
        <f>337.3+389.62</f>
        <v>726.92000000000007</v>
      </c>
      <c r="H28" s="106" t="s">
        <v>40</v>
      </c>
      <c r="I28" s="107">
        <v>1300</v>
      </c>
      <c r="J28" s="108">
        <f>I28*$S$2</f>
        <v>799305</v>
      </c>
      <c r="K28" s="109">
        <f>R28-E28</f>
        <v>29</v>
      </c>
      <c r="L28" s="110">
        <v>50</v>
      </c>
      <c r="M28" s="110">
        <v>30</v>
      </c>
      <c r="N28" s="111">
        <f>+I28*G28</f>
        <v>944996.00000000012</v>
      </c>
      <c r="O28" s="111">
        <f>+N28/L28</f>
        <v>18899.920000000002</v>
      </c>
      <c r="P28" s="111">
        <f>(N28/L28)*M28</f>
        <v>566997.60000000009</v>
      </c>
      <c r="Q28" s="112" t="s">
        <v>41</v>
      </c>
      <c r="R28" s="105">
        <v>2021</v>
      </c>
      <c r="S28" s="113" t="s">
        <v>52</v>
      </c>
      <c r="U28" s="176" t="s">
        <v>73</v>
      </c>
      <c r="V28" s="177" t="s">
        <v>75</v>
      </c>
      <c r="W28" s="178">
        <v>43465571.5</v>
      </c>
      <c r="X28" s="178">
        <v>0</v>
      </c>
      <c r="Y28" s="178">
        <v>5022276.47</v>
      </c>
      <c r="Z28" s="178">
        <v>20935916.98</v>
      </c>
      <c r="AA28" s="178">
        <v>915299.45</v>
      </c>
      <c r="AB28" s="178">
        <v>26636631.539999999</v>
      </c>
      <c r="AC28" s="177" t="s">
        <v>76</v>
      </c>
      <c r="AD28" s="179">
        <v>900249</v>
      </c>
    </row>
    <row r="29" spans="3:30" ht="30" customHeight="1" outlineLevel="1" x14ac:dyDescent="0.25">
      <c r="C29" s="114" t="str">
        <f>C28</f>
        <v>A-5</v>
      </c>
      <c r="D29" s="115" t="s">
        <v>44</v>
      </c>
      <c r="E29" s="116">
        <v>1992</v>
      </c>
      <c r="F29" s="116" t="s">
        <v>39</v>
      </c>
      <c r="G29" s="117">
        <v>65</v>
      </c>
      <c r="H29" s="117" t="s">
        <v>40</v>
      </c>
      <c r="I29" s="118">
        <v>30.54</v>
      </c>
      <c r="J29" s="119">
        <f>I29*$S$2</f>
        <v>18777.519</v>
      </c>
      <c r="K29" s="120">
        <f>R29-E29</f>
        <v>29</v>
      </c>
      <c r="L29" s="121">
        <v>15</v>
      </c>
      <c r="M29" s="121">
        <v>5</v>
      </c>
      <c r="N29" s="122">
        <f>+I29*G29</f>
        <v>1985.1</v>
      </c>
      <c r="O29" s="122">
        <f>+N29/L29</f>
        <v>132.34</v>
      </c>
      <c r="P29" s="122">
        <f>(N29/L29)*M29</f>
        <v>661.7</v>
      </c>
      <c r="Q29" s="123" t="s">
        <v>41</v>
      </c>
      <c r="R29" s="116">
        <v>2021</v>
      </c>
      <c r="S29" s="124" t="s">
        <v>52</v>
      </c>
      <c r="U29" s="180"/>
      <c r="V29" s="157"/>
      <c r="W29" s="156"/>
      <c r="X29" s="156"/>
      <c r="Y29" s="156"/>
      <c r="Z29" s="156"/>
      <c r="AA29" s="156"/>
      <c r="AB29" s="156"/>
      <c r="AC29" s="157"/>
      <c r="AD29" s="158"/>
    </row>
    <row r="30" spans="3:30" ht="30" customHeight="1" outlineLevel="1" x14ac:dyDescent="0.25">
      <c r="C30" s="114" t="str">
        <f>C28</f>
        <v>A-5</v>
      </c>
      <c r="D30" s="115" t="s">
        <v>46</v>
      </c>
      <c r="E30" s="116">
        <v>1992</v>
      </c>
      <c r="F30" s="116" t="s">
        <v>39</v>
      </c>
      <c r="G30" s="117">
        <v>310</v>
      </c>
      <c r="H30" s="117" t="s">
        <v>40</v>
      </c>
      <c r="I30" s="118">
        <v>3.4</v>
      </c>
      <c r="J30" s="119">
        <f>I30*$S$2</f>
        <v>2090.4900000000002</v>
      </c>
      <c r="K30" s="120">
        <f>R30-E30</f>
        <v>29</v>
      </c>
      <c r="L30" s="121">
        <v>10</v>
      </c>
      <c r="M30" s="121">
        <v>5</v>
      </c>
      <c r="N30" s="122">
        <f>+I30*G30</f>
        <v>1054</v>
      </c>
      <c r="O30" s="122">
        <f>+N30/L30</f>
        <v>105.4</v>
      </c>
      <c r="P30" s="122">
        <f>(N30/L30)*M30</f>
        <v>527</v>
      </c>
      <c r="Q30" s="123" t="s">
        <v>41</v>
      </c>
      <c r="R30" s="116">
        <v>2021</v>
      </c>
      <c r="S30" s="124" t="s">
        <v>52</v>
      </c>
      <c r="U30" s="180"/>
      <c r="V30" s="157"/>
      <c r="W30" s="156"/>
      <c r="X30" s="156"/>
      <c r="Y30" s="156"/>
      <c r="Z30" s="156"/>
      <c r="AA30" s="156"/>
      <c r="AB30" s="156"/>
      <c r="AC30" s="157"/>
      <c r="AD30" s="158"/>
    </row>
    <row r="31" spans="3:30" ht="30" customHeight="1" outlineLevel="1" thickBot="1" x14ac:dyDescent="0.3">
      <c r="C31" s="159" t="str">
        <f>C28</f>
        <v>A-5</v>
      </c>
      <c r="D31" s="160" t="s">
        <v>48</v>
      </c>
      <c r="E31" s="161">
        <v>1992</v>
      </c>
      <c r="F31" s="161" t="s">
        <v>39</v>
      </c>
      <c r="G31" s="162">
        <v>337.3</v>
      </c>
      <c r="H31" s="162" t="s">
        <v>40</v>
      </c>
      <c r="I31" s="96">
        <f>+J31/$S$2</f>
        <v>171.00918471751871</v>
      </c>
      <c r="J31" s="97">
        <f>+((95000^(0.364-(0.00000133*G31)))/(G31^(0.364-(0.00000133*95000))))*6500</f>
        <v>105144.99722356639</v>
      </c>
      <c r="K31" s="163" t="s">
        <v>41</v>
      </c>
      <c r="L31" s="164" t="s">
        <v>41</v>
      </c>
      <c r="M31" s="164" t="s">
        <v>41</v>
      </c>
      <c r="N31" s="164" t="s">
        <v>41</v>
      </c>
      <c r="O31" s="164" t="s">
        <v>41</v>
      </c>
      <c r="P31" s="164" t="s">
        <v>41</v>
      </c>
      <c r="Q31" s="171">
        <f>I31*G31</f>
        <v>57681.39800521906</v>
      </c>
      <c r="R31" s="161">
        <v>2021</v>
      </c>
      <c r="S31" s="165" t="s">
        <v>52</v>
      </c>
      <c r="U31" s="181"/>
      <c r="V31" s="169"/>
      <c r="W31" s="168"/>
      <c r="X31" s="168"/>
      <c r="Y31" s="168"/>
      <c r="Z31" s="168"/>
      <c r="AA31" s="168"/>
      <c r="AB31" s="168"/>
      <c r="AC31" s="169"/>
      <c r="AD31" s="170"/>
    </row>
    <row r="32" spans="3:30" ht="30" customHeight="1" outlineLevel="1" x14ac:dyDescent="0.25">
      <c r="C32" s="103" t="s">
        <v>77</v>
      </c>
      <c r="D32" s="104" t="s">
        <v>78</v>
      </c>
      <c r="E32" s="105">
        <v>2004</v>
      </c>
      <c r="F32" s="105" t="s">
        <v>39</v>
      </c>
      <c r="G32" s="106">
        <v>13.83</v>
      </c>
      <c r="H32" s="106" t="s">
        <v>40</v>
      </c>
      <c r="I32" s="107">
        <v>800</v>
      </c>
      <c r="J32" s="108">
        <f>I32*$S$2</f>
        <v>491880</v>
      </c>
      <c r="K32" s="109">
        <f>R32-E32</f>
        <v>17</v>
      </c>
      <c r="L32" s="110">
        <v>50</v>
      </c>
      <c r="M32" s="110">
        <v>34</v>
      </c>
      <c r="N32" s="111">
        <f>+I32*G32</f>
        <v>11064</v>
      </c>
      <c r="O32" s="111">
        <f>+N32/L32</f>
        <v>221.28</v>
      </c>
      <c r="P32" s="111">
        <f>(N32/L32)*M32</f>
        <v>7523.52</v>
      </c>
      <c r="Q32" s="112" t="s">
        <v>41</v>
      </c>
      <c r="R32" s="105">
        <v>2021</v>
      </c>
      <c r="S32" s="113" t="s">
        <v>79</v>
      </c>
      <c r="U32" s="176" t="s">
        <v>77</v>
      </c>
      <c r="V32" s="177" t="s">
        <v>80</v>
      </c>
      <c r="W32" s="178">
        <v>926469.4</v>
      </c>
      <c r="X32" s="178">
        <v>0</v>
      </c>
      <c r="Y32" s="178">
        <v>0</v>
      </c>
      <c r="Z32" s="178">
        <v>460886.79</v>
      </c>
      <c r="AA32" s="178">
        <v>0</v>
      </c>
      <c r="AB32" s="178">
        <v>465582.61000000004</v>
      </c>
      <c r="AC32" s="177" t="s">
        <v>81</v>
      </c>
      <c r="AD32" s="179">
        <v>900264</v>
      </c>
    </row>
    <row r="33" spans="3:30" ht="30" customHeight="1" outlineLevel="1" x14ac:dyDescent="0.25">
      <c r="C33" s="114" t="str">
        <f>C32</f>
        <v>A-6</v>
      </c>
      <c r="D33" s="115" t="s">
        <v>44</v>
      </c>
      <c r="E33" s="116">
        <v>2004</v>
      </c>
      <c r="F33" s="116" t="s">
        <v>39</v>
      </c>
      <c r="G33" s="117">
        <v>16</v>
      </c>
      <c r="H33" s="117" t="s">
        <v>40</v>
      </c>
      <c r="I33" s="118">
        <v>30.54</v>
      </c>
      <c r="J33" s="119">
        <f>I33*$S$2</f>
        <v>18777.519</v>
      </c>
      <c r="K33" s="120">
        <f>R33-E33</f>
        <v>17</v>
      </c>
      <c r="L33" s="121">
        <v>15</v>
      </c>
      <c r="M33" s="121">
        <v>10</v>
      </c>
      <c r="N33" s="122">
        <f>+I33*G33</f>
        <v>488.64</v>
      </c>
      <c r="O33" s="122">
        <f>+N33/L33</f>
        <v>32.576000000000001</v>
      </c>
      <c r="P33" s="122">
        <f>(N33/L33)*M33</f>
        <v>325.76</v>
      </c>
      <c r="Q33" s="123" t="s">
        <v>41</v>
      </c>
      <c r="R33" s="116">
        <v>2021</v>
      </c>
      <c r="S33" s="124" t="s">
        <v>79</v>
      </c>
      <c r="U33" s="180"/>
      <c r="V33" s="157"/>
      <c r="W33" s="156"/>
      <c r="X33" s="156"/>
      <c r="Y33" s="156"/>
      <c r="Z33" s="156"/>
      <c r="AA33" s="156"/>
      <c r="AB33" s="156"/>
      <c r="AC33" s="157"/>
      <c r="AD33" s="158"/>
    </row>
    <row r="34" spans="3:30" ht="30" customHeight="1" outlineLevel="1" x14ac:dyDescent="0.25">
      <c r="C34" s="114" t="str">
        <f>C32</f>
        <v>A-6</v>
      </c>
      <c r="D34" s="115" t="s">
        <v>46</v>
      </c>
      <c r="E34" s="116">
        <v>2004</v>
      </c>
      <c r="F34" s="116" t="s">
        <v>39</v>
      </c>
      <c r="G34" s="117">
        <v>2</v>
      </c>
      <c r="H34" s="117" t="s">
        <v>40</v>
      </c>
      <c r="I34" s="118">
        <v>3.4</v>
      </c>
      <c r="J34" s="119">
        <f>I34*$S$2</f>
        <v>2090.4900000000002</v>
      </c>
      <c r="K34" s="120">
        <f>R34-E34</f>
        <v>17</v>
      </c>
      <c r="L34" s="121">
        <v>10</v>
      </c>
      <c r="M34" s="121">
        <v>6</v>
      </c>
      <c r="N34" s="122">
        <f>+I34*G34</f>
        <v>6.8</v>
      </c>
      <c r="O34" s="122">
        <f>+N34/L34</f>
        <v>0.67999999999999994</v>
      </c>
      <c r="P34" s="122">
        <f>(N34/L34)*M34</f>
        <v>4.08</v>
      </c>
      <c r="Q34" s="123" t="s">
        <v>41</v>
      </c>
      <c r="R34" s="116">
        <v>2021</v>
      </c>
      <c r="S34" s="124" t="s">
        <v>79</v>
      </c>
      <c r="U34" s="180"/>
      <c r="V34" s="157"/>
      <c r="W34" s="156"/>
      <c r="X34" s="156"/>
      <c r="Y34" s="156"/>
      <c r="Z34" s="156"/>
      <c r="AA34" s="156"/>
      <c r="AB34" s="156"/>
      <c r="AC34" s="157"/>
      <c r="AD34" s="158"/>
    </row>
    <row r="35" spans="3:30" ht="30" customHeight="1" outlineLevel="1" thickBot="1" x14ac:dyDescent="0.3">
      <c r="C35" s="159" t="str">
        <f>C32</f>
        <v>A-6</v>
      </c>
      <c r="D35" s="160" t="s">
        <v>48</v>
      </c>
      <c r="E35" s="161">
        <v>2004</v>
      </c>
      <c r="F35" s="161" t="s">
        <v>39</v>
      </c>
      <c r="G35" s="162">
        <f>G32</f>
        <v>13.83</v>
      </c>
      <c r="H35" s="162" t="s">
        <v>40</v>
      </c>
      <c r="I35" s="96">
        <f>+J35/$S$2</f>
        <v>367.13654850327958</v>
      </c>
      <c r="J35" s="97">
        <f>+((95000^(0.364-(0.00000133*G35)))/(G35^(0.364-(0.00000133*95000))))*6500</f>
        <v>225733.90684724145</v>
      </c>
      <c r="K35" s="163" t="s">
        <v>41</v>
      </c>
      <c r="L35" s="164" t="s">
        <v>41</v>
      </c>
      <c r="M35" s="164" t="s">
        <v>41</v>
      </c>
      <c r="N35" s="164" t="s">
        <v>41</v>
      </c>
      <c r="O35" s="164" t="s">
        <v>41</v>
      </c>
      <c r="P35" s="164" t="s">
        <v>41</v>
      </c>
      <c r="Q35" s="171">
        <f>I35*G35</f>
        <v>5077.4984658003568</v>
      </c>
      <c r="R35" s="161">
        <v>2021</v>
      </c>
      <c r="S35" s="165" t="s">
        <v>79</v>
      </c>
      <c r="U35" s="181"/>
      <c r="V35" s="169"/>
      <c r="W35" s="168"/>
      <c r="X35" s="168"/>
      <c r="Y35" s="168"/>
      <c r="Z35" s="168"/>
      <c r="AA35" s="168"/>
      <c r="AB35" s="168"/>
      <c r="AC35" s="169"/>
      <c r="AD35" s="170"/>
    </row>
    <row r="36" spans="3:30" ht="30" customHeight="1" outlineLevel="1" x14ac:dyDescent="0.25">
      <c r="C36" s="103" t="s">
        <v>82</v>
      </c>
      <c r="D36" s="104" t="s">
        <v>83</v>
      </c>
      <c r="E36" s="105">
        <v>1995</v>
      </c>
      <c r="F36" s="105" t="s">
        <v>39</v>
      </c>
      <c r="G36" s="106">
        <v>118.34</v>
      </c>
      <c r="H36" s="106" t="s">
        <v>40</v>
      </c>
      <c r="I36" s="107">
        <v>600</v>
      </c>
      <c r="J36" s="108">
        <f>I36*$S$2</f>
        <v>368910</v>
      </c>
      <c r="K36" s="109">
        <f>R36-E36</f>
        <v>26</v>
      </c>
      <c r="L36" s="110">
        <v>50</v>
      </c>
      <c r="M36" s="110">
        <v>30</v>
      </c>
      <c r="N36" s="111">
        <f>+I36*G36</f>
        <v>71004</v>
      </c>
      <c r="O36" s="111">
        <f>+N36/L36</f>
        <v>1420.08</v>
      </c>
      <c r="P36" s="111">
        <f>(N36/L36)*M36</f>
        <v>42602.399999999994</v>
      </c>
      <c r="Q36" s="112" t="s">
        <v>41</v>
      </c>
      <c r="R36" s="105">
        <v>2021</v>
      </c>
      <c r="S36" s="113" t="s">
        <v>79</v>
      </c>
      <c r="U36" s="176" t="s">
        <v>82</v>
      </c>
      <c r="V36" s="177" t="s">
        <v>84</v>
      </c>
      <c r="W36" s="178">
        <v>1212954.3999999999</v>
      </c>
      <c r="X36" s="178">
        <v>0</v>
      </c>
      <c r="Y36" s="178">
        <v>13425.11</v>
      </c>
      <c r="Z36" s="178">
        <v>776290.61</v>
      </c>
      <c r="AA36" s="178">
        <v>7970.03</v>
      </c>
      <c r="AB36" s="178">
        <v>442118.87</v>
      </c>
      <c r="AC36" s="177" t="s">
        <v>85</v>
      </c>
      <c r="AD36" s="179">
        <v>900211</v>
      </c>
    </row>
    <row r="37" spans="3:30" ht="30" customHeight="1" outlineLevel="1" x14ac:dyDescent="0.25">
      <c r="C37" s="114" t="str">
        <f>C36</f>
        <v>A-7</v>
      </c>
      <c r="D37" s="115" t="s">
        <v>44</v>
      </c>
      <c r="E37" s="116">
        <v>1995</v>
      </c>
      <c r="F37" s="116" t="s">
        <v>39</v>
      </c>
      <c r="G37" s="117">
        <v>37</v>
      </c>
      <c r="H37" s="117" t="s">
        <v>40</v>
      </c>
      <c r="I37" s="117">
        <v>30.54</v>
      </c>
      <c r="J37" s="119">
        <f>I37*$S$2</f>
        <v>18777.519</v>
      </c>
      <c r="K37" s="120">
        <f>R37-E37</f>
        <v>26</v>
      </c>
      <c r="L37" s="182">
        <v>15</v>
      </c>
      <c r="M37" s="183">
        <v>5</v>
      </c>
      <c r="N37" s="122">
        <f>+I37*G37</f>
        <v>1129.98</v>
      </c>
      <c r="O37" s="122">
        <f>+N37/L37</f>
        <v>75.332000000000008</v>
      </c>
      <c r="P37" s="122">
        <f>(N37/L37)*M37</f>
        <v>376.66</v>
      </c>
      <c r="Q37" s="123" t="s">
        <v>41</v>
      </c>
      <c r="R37" s="116">
        <v>2021</v>
      </c>
      <c r="S37" s="124" t="s">
        <v>79</v>
      </c>
      <c r="U37" s="180"/>
      <c r="V37" s="157"/>
      <c r="W37" s="156"/>
      <c r="X37" s="157"/>
      <c r="Y37" s="157"/>
      <c r="Z37" s="157"/>
      <c r="AA37" s="157"/>
      <c r="AB37" s="157"/>
      <c r="AC37" s="157"/>
      <c r="AD37" s="184"/>
    </row>
    <row r="38" spans="3:30" ht="30" customHeight="1" outlineLevel="1" x14ac:dyDescent="0.25">
      <c r="C38" s="114" t="str">
        <f>C36</f>
        <v>A-7</v>
      </c>
      <c r="D38" s="185" t="s">
        <v>86</v>
      </c>
      <c r="E38" s="186">
        <v>1995</v>
      </c>
      <c r="F38" s="187" t="s">
        <v>39</v>
      </c>
      <c r="G38" s="117">
        <v>0</v>
      </c>
      <c r="H38" s="117" t="s">
        <v>87</v>
      </c>
      <c r="I38" s="117">
        <v>0</v>
      </c>
      <c r="J38" s="117">
        <v>0</v>
      </c>
      <c r="K38" s="182">
        <v>0</v>
      </c>
      <c r="L38" s="117">
        <v>0</v>
      </c>
      <c r="M38" s="117">
        <v>0</v>
      </c>
      <c r="N38" s="117">
        <v>0</v>
      </c>
      <c r="O38" s="117">
        <v>0</v>
      </c>
      <c r="P38" s="117">
        <v>0</v>
      </c>
      <c r="Q38" s="123">
        <v>0</v>
      </c>
      <c r="R38" s="116" t="s">
        <v>87</v>
      </c>
      <c r="S38" s="124" t="s">
        <v>88</v>
      </c>
      <c r="U38" s="180"/>
      <c r="V38" s="157"/>
      <c r="W38" s="156"/>
      <c r="X38" s="157"/>
      <c r="Y38" s="157"/>
      <c r="Z38" s="157"/>
      <c r="AA38" s="157"/>
      <c r="AB38" s="157"/>
      <c r="AC38" s="157"/>
      <c r="AD38" s="184"/>
    </row>
    <row r="39" spans="3:30" ht="30" customHeight="1" outlineLevel="1" thickBot="1" x14ac:dyDescent="0.3">
      <c r="C39" s="159" t="str">
        <f>C36</f>
        <v>A-7</v>
      </c>
      <c r="D39" s="160" t="s">
        <v>48</v>
      </c>
      <c r="E39" s="161">
        <v>1995</v>
      </c>
      <c r="F39" s="161" t="s">
        <v>39</v>
      </c>
      <c r="G39" s="162">
        <f>G36</f>
        <v>118.34</v>
      </c>
      <c r="H39" s="162" t="s">
        <v>40</v>
      </c>
      <c r="I39" s="96">
        <f>+J39/$S$2</f>
        <v>220.0758562882616</v>
      </c>
      <c r="J39" s="97">
        <f>+((95000^(0.364-(0.00000133*G39)))/(G39^(0.364-(0.00000133*95000))))*6500</f>
        <v>135313.64023883766</v>
      </c>
      <c r="K39" s="163" t="s">
        <v>41</v>
      </c>
      <c r="L39" s="164" t="s">
        <v>41</v>
      </c>
      <c r="M39" s="164" t="s">
        <v>41</v>
      </c>
      <c r="N39" s="164" t="s">
        <v>41</v>
      </c>
      <c r="O39" s="164" t="s">
        <v>41</v>
      </c>
      <c r="P39" s="164" t="s">
        <v>41</v>
      </c>
      <c r="Q39" s="171">
        <f>I39*G39</f>
        <v>26043.776833152879</v>
      </c>
      <c r="R39" s="161">
        <v>2021</v>
      </c>
      <c r="S39" s="165" t="s">
        <v>79</v>
      </c>
      <c r="U39" s="181"/>
      <c r="V39" s="169"/>
      <c r="W39" s="168"/>
      <c r="X39" s="169"/>
      <c r="Y39" s="169"/>
      <c r="Z39" s="169"/>
      <c r="AA39" s="169"/>
      <c r="AB39" s="169"/>
      <c r="AC39" s="169"/>
      <c r="AD39" s="188"/>
    </row>
    <row r="40" spans="3:30" ht="30" customHeight="1" outlineLevel="1" x14ac:dyDescent="0.25">
      <c r="C40" s="103" t="s">
        <v>89</v>
      </c>
      <c r="D40" s="104" t="s">
        <v>90</v>
      </c>
      <c r="E40" s="105">
        <v>1981</v>
      </c>
      <c r="F40" s="105" t="s">
        <v>39</v>
      </c>
      <c r="G40" s="106">
        <v>6.25</v>
      </c>
      <c r="H40" s="106" t="s">
        <v>40</v>
      </c>
      <c r="I40" s="107">
        <v>500</v>
      </c>
      <c r="J40" s="108">
        <f t="shared" ref="J40:J58" si="0">I40*$S$2</f>
        <v>307425</v>
      </c>
      <c r="K40" s="109">
        <f>R40-E40</f>
        <v>40</v>
      </c>
      <c r="L40" s="110">
        <v>50</v>
      </c>
      <c r="M40" s="110">
        <v>30</v>
      </c>
      <c r="N40" s="111">
        <f>+I40*G40</f>
        <v>3125</v>
      </c>
      <c r="O40" s="111">
        <f>+N40/L40</f>
        <v>62.5</v>
      </c>
      <c r="P40" s="111">
        <f>(N40/L40)*M40</f>
        <v>1875</v>
      </c>
      <c r="Q40" s="112" t="s">
        <v>41</v>
      </c>
      <c r="R40" s="105">
        <v>2021</v>
      </c>
      <c r="S40" s="113" t="s">
        <v>79</v>
      </c>
      <c r="U40" s="176" t="s">
        <v>89</v>
      </c>
      <c r="V40" s="189">
        <v>31807</v>
      </c>
      <c r="W40" s="178">
        <v>83827.98</v>
      </c>
      <c r="X40" s="178">
        <v>0</v>
      </c>
      <c r="Y40" s="178">
        <v>0</v>
      </c>
      <c r="Z40" s="178">
        <v>77332.52</v>
      </c>
      <c r="AA40" s="178">
        <v>0</v>
      </c>
      <c r="AB40" s="178">
        <v>6495.4599999999919</v>
      </c>
      <c r="AC40" s="177" t="s">
        <v>91</v>
      </c>
      <c r="AD40" s="179">
        <v>900137</v>
      </c>
    </row>
    <row r="41" spans="3:30" ht="30" customHeight="1" outlineLevel="1" x14ac:dyDescent="0.25">
      <c r="C41" s="114" t="str">
        <f>C40</f>
        <v>A-8</v>
      </c>
      <c r="D41" s="115" t="s">
        <v>44</v>
      </c>
      <c r="E41" s="116">
        <v>1981</v>
      </c>
      <c r="F41" s="116" t="s">
        <v>39</v>
      </c>
      <c r="G41" s="117">
        <v>10</v>
      </c>
      <c r="H41" s="117" t="s">
        <v>40</v>
      </c>
      <c r="I41" s="118">
        <v>30.54</v>
      </c>
      <c r="J41" s="119">
        <f t="shared" si="0"/>
        <v>18777.519</v>
      </c>
      <c r="K41" s="120">
        <f>R41-E41</f>
        <v>40</v>
      </c>
      <c r="L41" s="121">
        <v>15</v>
      </c>
      <c r="M41" s="121">
        <v>5</v>
      </c>
      <c r="N41" s="122">
        <f>+I41*G41</f>
        <v>305.39999999999998</v>
      </c>
      <c r="O41" s="122">
        <f>+N41/L41</f>
        <v>20.36</v>
      </c>
      <c r="P41" s="122">
        <f>(N41/L41)*M41</f>
        <v>101.8</v>
      </c>
      <c r="Q41" s="123" t="s">
        <v>41</v>
      </c>
      <c r="R41" s="116">
        <v>2021</v>
      </c>
      <c r="S41" s="124" t="s">
        <v>79</v>
      </c>
      <c r="T41" s="5" t="s">
        <v>6</v>
      </c>
      <c r="U41" s="180"/>
      <c r="V41" s="155"/>
      <c r="W41" s="156"/>
      <c r="X41" s="156"/>
      <c r="Y41" s="156"/>
      <c r="Z41" s="156"/>
      <c r="AA41" s="156"/>
      <c r="AB41" s="156"/>
      <c r="AC41" s="157"/>
      <c r="AD41" s="158"/>
    </row>
    <row r="42" spans="3:30" ht="30" customHeight="1" outlineLevel="1" x14ac:dyDescent="0.25">
      <c r="C42" s="114" t="str">
        <f>C40</f>
        <v>A-8</v>
      </c>
      <c r="D42" s="115" t="s">
        <v>46</v>
      </c>
      <c r="E42" s="116">
        <v>1981</v>
      </c>
      <c r="F42" s="116" t="s">
        <v>39</v>
      </c>
      <c r="G42" s="117">
        <v>10</v>
      </c>
      <c r="H42" s="117" t="s">
        <v>40</v>
      </c>
      <c r="I42" s="118">
        <v>3.4</v>
      </c>
      <c r="J42" s="119">
        <f t="shared" si="0"/>
        <v>2090.4900000000002</v>
      </c>
      <c r="K42" s="120">
        <f>R42-E42</f>
        <v>40</v>
      </c>
      <c r="L42" s="121">
        <v>10</v>
      </c>
      <c r="M42" s="121">
        <v>5</v>
      </c>
      <c r="N42" s="122">
        <f>+I42*G42</f>
        <v>34</v>
      </c>
      <c r="O42" s="122">
        <f>+N42/L42</f>
        <v>3.4</v>
      </c>
      <c r="P42" s="122">
        <f>(N42/L42)*M42</f>
        <v>17</v>
      </c>
      <c r="Q42" s="123" t="s">
        <v>41</v>
      </c>
      <c r="R42" s="116">
        <v>2021</v>
      </c>
      <c r="S42" s="124" t="s">
        <v>79</v>
      </c>
      <c r="T42" s="5"/>
      <c r="U42" s="180"/>
      <c r="V42" s="155"/>
      <c r="W42" s="156"/>
      <c r="X42" s="156"/>
      <c r="Y42" s="156"/>
      <c r="Z42" s="156"/>
      <c r="AA42" s="156"/>
      <c r="AB42" s="156"/>
      <c r="AC42" s="157"/>
      <c r="AD42" s="158"/>
    </row>
    <row r="43" spans="3:30" ht="30" customHeight="1" outlineLevel="1" thickBot="1" x14ac:dyDescent="0.3">
      <c r="C43" s="159" t="str">
        <f>C40</f>
        <v>A-8</v>
      </c>
      <c r="D43" s="160" t="s">
        <v>48</v>
      </c>
      <c r="E43" s="161">
        <v>1981</v>
      </c>
      <c r="F43" s="161" t="s">
        <v>39</v>
      </c>
      <c r="G43" s="162">
        <f>G40</f>
        <v>6.25</v>
      </c>
      <c r="H43" s="162" t="s">
        <v>40</v>
      </c>
      <c r="I43" s="96">
        <f>+J43/$S$2</f>
        <v>443.45883133158492</v>
      </c>
      <c r="J43" s="97">
        <f>+((95000^(0.364-(0.00000133*G43)))/(G43^(0.364-(0.00000133*95000))))*6500</f>
        <v>272660.66244422499</v>
      </c>
      <c r="K43" s="163" t="s">
        <v>41</v>
      </c>
      <c r="L43" s="164" t="s">
        <v>41</v>
      </c>
      <c r="M43" s="164" t="s">
        <v>41</v>
      </c>
      <c r="N43" s="164" t="s">
        <v>41</v>
      </c>
      <c r="O43" s="164" t="s">
        <v>41</v>
      </c>
      <c r="P43" s="164" t="s">
        <v>41</v>
      </c>
      <c r="Q43" s="171">
        <f>I43*G43</f>
        <v>2771.6176958224059</v>
      </c>
      <c r="R43" s="161">
        <v>2021</v>
      </c>
      <c r="S43" s="165" t="s">
        <v>79</v>
      </c>
      <c r="T43" s="5"/>
      <c r="U43" s="181"/>
      <c r="V43" s="167"/>
      <c r="W43" s="168"/>
      <c r="X43" s="168"/>
      <c r="Y43" s="168"/>
      <c r="Z43" s="168"/>
      <c r="AA43" s="168"/>
      <c r="AB43" s="168"/>
      <c r="AC43" s="169"/>
      <c r="AD43" s="170"/>
    </row>
    <row r="44" spans="3:30" ht="30" customHeight="1" outlineLevel="1" x14ac:dyDescent="0.25">
      <c r="C44" s="103" t="s">
        <v>92</v>
      </c>
      <c r="D44" s="104" t="s">
        <v>93</v>
      </c>
      <c r="E44" s="105">
        <v>2014</v>
      </c>
      <c r="F44" s="105" t="s">
        <v>39</v>
      </c>
      <c r="G44" s="106">
        <v>20.74</v>
      </c>
      <c r="H44" s="106" t="s">
        <v>40</v>
      </c>
      <c r="I44" s="107">
        <v>800</v>
      </c>
      <c r="J44" s="108">
        <f t="shared" si="0"/>
        <v>491880</v>
      </c>
      <c r="K44" s="109">
        <f>R44-E44</f>
        <v>7</v>
      </c>
      <c r="L44" s="110">
        <v>50</v>
      </c>
      <c r="M44" s="110">
        <v>45</v>
      </c>
      <c r="N44" s="111">
        <f>+I44*G44</f>
        <v>16592</v>
      </c>
      <c r="O44" s="111">
        <f t="shared" ref="O44:O58" si="1">+N44/L44</f>
        <v>331.84</v>
      </c>
      <c r="P44" s="111">
        <f t="shared" ref="P44:P58" si="2">(N44/L44)*M44</f>
        <v>14932.8</v>
      </c>
      <c r="Q44" s="112" t="s">
        <v>41</v>
      </c>
      <c r="R44" s="105">
        <v>2021</v>
      </c>
      <c r="S44" s="113" t="s">
        <v>79</v>
      </c>
      <c r="T44" s="5"/>
      <c r="U44" s="176" t="s">
        <v>92</v>
      </c>
      <c r="V44" s="177" t="s">
        <v>94</v>
      </c>
      <c r="W44" s="178">
        <v>534284.25</v>
      </c>
      <c r="X44" s="178">
        <v>0</v>
      </c>
      <c r="Y44" s="178">
        <v>0</v>
      </c>
      <c r="Z44" s="178">
        <v>193232.61</v>
      </c>
      <c r="AA44" s="178">
        <v>0</v>
      </c>
      <c r="AB44" s="178">
        <v>341051.64</v>
      </c>
      <c r="AC44" s="177" t="s">
        <v>95</v>
      </c>
      <c r="AD44" s="179">
        <v>900250</v>
      </c>
    </row>
    <row r="45" spans="3:30" ht="30" customHeight="1" outlineLevel="1" x14ac:dyDescent="0.25">
      <c r="C45" s="114" t="str">
        <f>C44</f>
        <v>A-9</v>
      </c>
      <c r="D45" s="115" t="s">
        <v>44</v>
      </c>
      <c r="E45" s="116">
        <v>2014</v>
      </c>
      <c r="F45" s="116" t="s">
        <v>39</v>
      </c>
      <c r="G45" s="117">
        <v>17.09</v>
      </c>
      <c r="H45" s="117" t="s">
        <v>40</v>
      </c>
      <c r="I45" s="118">
        <v>30.54</v>
      </c>
      <c r="J45" s="119">
        <f t="shared" si="0"/>
        <v>18777.519</v>
      </c>
      <c r="K45" s="120">
        <f>R45-E45</f>
        <v>7</v>
      </c>
      <c r="L45" s="121">
        <v>15</v>
      </c>
      <c r="M45" s="121">
        <v>11</v>
      </c>
      <c r="N45" s="122">
        <f>+I45*G45</f>
        <v>521.92859999999996</v>
      </c>
      <c r="O45" s="122">
        <f t="shared" si="1"/>
        <v>34.79524</v>
      </c>
      <c r="P45" s="122">
        <f t="shared" si="2"/>
        <v>382.74763999999999</v>
      </c>
      <c r="Q45" s="123" t="s">
        <v>41</v>
      </c>
      <c r="R45" s="116">
        <v>2021</v>
      </c>
      <c r="S45" s="124" t="s">
        <v>79</v>
      </c>
      <c r="U45" s="180"/>
      <c r="V45" s="157"/>
      <c r="W45" s="156"/>
      <c r="X45" s="156"/>
      <c r="Y45" s="156"/>
      <c r="Z45" s="156"/>
      <c r="AA45" s="156"/>
      <c r="AB45" s="156"/>
      <c r="AC45" s="157"/>
      <c r="AD45" s="158"/>
    </row>
    <row r="46" spans="3:30" ht="30" customHeight="1" outlineLevel="1" x14ac:dyDescent="0.25">
      <c r="C46" s="114" t="str">
        <f>C44</f>
        <v>A-9</v>
      </c>
      <c r="D46" s="115" t="s">
        <v>46</v>
      </c>
      <c r="E46" s="116">
        <v>2014</v>
      </c>
      <c r="F46" s="116" t="s">
        <v>39</v>
      </c>
      <c r="G46" s="117">
        <v>35.26</v>
      </c>
      <c r="H46" s="117" t="s">
        <v>40</v>
      </c>
      <c r="I46" s="118">
        <v>3.4</v>
      </c>
      <c r="J46" s="119">
        <f t="shared" si="0"/>
        <v>2090.4900000000002</v>
      </c>
      <c r="K46" s="120">
        <f>R46-E46</f>
        <v>7</v>
      </c>
      <c r="L46" s="121">
        <v>10</v>
      </c>
      <c r="M46" s="121">
        <v>7</v>
      </c>
      <c r="N46" s="122">
        <f>+I46*G46</f>
        <v>119.88399999999999</v>
      </c>
      <c r="O46" s="122">
        <f t="shared" si="1"/>
        <v>11.988399999999999</v>
      </c>
      <c r="P46" s="122">
        <f t="shared" si="2"/>
        <v>83.91879999999999</v>
      </c>
      <c r="Q46" s="123" t="s">
        <v>41</v>
      </c>
      <c r="R46" s="116">
        <v>2021</v>
      </c>
      <c r="S46" s="124" t="s">
        <v>79</v>
      </c>
      <c r="U46" s="180"/>
      <c r="V46" s="157"/>
      <c r="W46" s="156"/>
      <c r="X46" s="156"/>
      <c r="Y46" s="156"/>
      <c r="Z46" s="156"/>
      <c r="AA46" s="156"/>
      <c r="AB46" s="156"/>
      <c r="AC46" s="157"/>
      <c r="AD46" s="158"/>
    </row>
    <row r="47" spans="3:30" ht="30" customHeight="1" outlineLevel="1" thickBot="1" x14ac:dyDescent="0.3">
      <c r="C47" s="159" t="str">
        <f>C44</f>
        <v>A-9</v>
      </c>
      <c r="D47" s="160" t="s">
        <v>48</v>
      </c>
      <c r="E47" s="161">
        <v>2014</v>
      </c>
      <c r="F47" s="161" t="s">
        <v>39</v>
      </c>
      <c r="G47" s="162">
        <f>G44</f>
        <v>20.74</v>
      </c>
      <c r="H47" s="162" t="s">
        <v>40</v>
      </c>
      <c r="I47" s="96">
        <f>+J47/$S$2</f>
        <v>333.39467974220435</v>
      </c>
      <c r="J47" s="97">
        <f>+((95000^(0.364-(0.00000133*G47)))/(G47^(0.364-(0.00000133*95000))))*6500</f>
        <v>204987.71883949437</v>
      </c>
      <c r="K47" s="163" t="s">
        <v>41</v>
      </c>
      <c r="L47" s="164" t="s">
        <v>41</v>
      </c>
      <c r="M47" s="164" t="s">
        <v>41</v>
      </c>
      <c r="N47" s="164" t="s">
        <v>41</v>
      </c>
      <c r="O47" s="164" t="s">
        <v>41</v>
      </c>
      <c r="P47" s="164" t="s">
        <v>41</v>
      </c>
      <c r="Q47" s="171">
        <f>I47*G47</f>
        <v>6914.605657853318</v>
      </c>
      <c r="R47" s="161">
        <v>2021</v>
      </c>
      <c r="S47" s="165" t="s">
        <v>79</v>
      </c>
      <c r="U47" s="181"/>
      <c r="V47" s="169"/>
      <c r="W47" s="168"/>
      <c r="X47" s="168"/>
      <c r="Y47" s="168"/>
      <c r="Z47" s="168"/>
      <c r="AA47" s="168"/>
      <c r="AB47" s="168"/>
      <c r="AC47" s="169"/>
      <c r="AD47" s="170"/>
    </row>
    <row r="48" spans="3:30" ht="30" customHeight="1" outlineLevel="1" x14ac:dyDescent="0.25">
      <c r="C48" s="190" t="s">
        <v>96</v>
      </c>
      <c r="D48" s="191" t="s">
        <v>97</v>
      </c>
      <c r="E48" s="105">
        <v>2014</v>
      </c>
      <c r="F48" s="105" t="s">
        <v>39</v>
      </c>
      <c r="G48" s="106">
        <v>140.82</v>
      </c>
      <c r="H48" s="106" t="s">
        <v>40</v>
      </c>
      <c r="I48" s="107">
        <v>920</v>
      </c>
      <c r="J48" s="108">
        <f t="shared" si="0"/>
        <v>565662</v>
      </c>
      <c r="K48" s="109">
        <f>R48-E48</f>
        <v>7</v>
      </c>
      <c r="L48" s="110">
        <v>50</v>
      </c>
      <c r="M48" s="110">
        <v>45</v>
      </c>
      <c r="N48" s="111">
        <f>+I48*G48</f>
        <v>129554.4</v>
      </c>
      <c r="O48" s="111">
        <f t="shared" si="1"/>
        <v>2591.0879999999997</v>
      </c>
      <c r="P48" s="111">
        <f t="shared" si="2"/>
        <v>116598.95999999999</v>
      </c>
      <c r="Q48" s="112" t="s">
        <v>41</v>
      </c>
      <c r="R48" s="105">
        <v>2021</v>
      </c>
      <c r="S48" s="113" t="s">
        <v>52</v>
      </c>
      <c r="U48" s="192" t="s">
        <v>98</v>
      </c>
      <c r="V48" s="193"/>
      <c r="W48" s="193"/>
      <c r="X48" s="193"/>
      <c r="Y48" s="193"/>
      <c r="Z48" s="193"/>
      <c r="AA48" s="193"/>
      <c r="AB48" s="193"/>
      <c r="AC48" s="193"/>
      <c r="AD48" s="194"/>
    </row>
    <row r="49" spans="2:30" ht="30" customHeight="1" outlineLevel="1" x14ac:dyDescent="0.25">
      <c r="C49" s="186" t="str">
        <f>C48</f>
        <v>A-11</v>
      </c>
      <c r="D49" s="115" t="s">
        <v>44</v>
      </c>
      <c r="E49" s="116">
        <v>2014</v>
      </c>
      <c r="F49" s="116" t="s">
        <v>99</v>
      </c>
      <c r="G49" s="117">
        <v>20</v>
      </c>
      <c r="H49" s="117" t="s">
        <v>40</v>
      </c>
      <c r="I49" s="118">
        <v>30.54</v>
      </c>
      <c r="J49" s="119">
        <f t="shared" si="0"/>
        <v>18777.519</v>
      </c>
      <c r="K49" s="120">
        <f>R49-E49</f>
        <v>7</v>
      </c>
      <c r="L49" s="121">
        <v>15</v>
      </c>
      <c r="M49" s="121">
        <v>11</v>
      </c>
      <c r="N49" s="122">
        <f>+I49*G49</f>
        <v>610.79999999999995</v>
      </c>
      <c r="O49" s="122">
        <f t="shared" si="1"/>
        <v>40.72</v>
      </c>
      <c r="P49" s="122">
        <f t="shared" si="2"/>
        <v>447.91999999999996</v>
      </c>
      <c r="Q49" s="123" t="s">
        <v>41</v>
      </c>
      <c r="R49" s="116">
        <v>2021</v>
      </c>
      <c r="S49" s="124" t="s">
        <v>52</v>
      </c>
      <c r="U49" s="195"/>
      <c r="V49" s="196"/>
      <c r="W49" s="196"/>
      <c r="X49" s="196"/>
      <c r="Y49" s="196"/>
      <c r="Z49" s="196"/>
      <c r="AA49" s="196"/>
      <c r="AB49" s="196"/>
      <c r="AC49" s="196"/>
      <c r="AD49" s="197"/>
    </row>
    <row r="50" spans="2:30" ht="30" customHeight="1" outlineLevel="1" x14ac:dyDescent="0.25">
      <c r="C50" s="186" t="str">
        <f>C48</f>
        <v>A-11</v>
      </c>
      <c r="D50" s="115" t="s">
        <v>46</v>
      </c>
      <c r="E50" s="116">
        <v>2014</v>
      </c>
      <c r="F50" s="116" t="s">
        <v>100</v>
      </c>
      <c r="G50" s="117">
        <v>162.80000000000001</v>
      </c>
      <c r="H50" s="117" t="s">
        <v>40</v>
      </c>
      <c r="I50" s="118">
        <v>3.4</v>
      </c>
      <c r="J50" s="119">
        <f t="shared" si="0"/>
        <v>2090.4900000000002</v>
      </c>
      <c r="K50" s="120">
        <f>R50-E50</f>
        <v>7</v>
      </c>
      <c r="L50" s="121">
        <v>10</v>
      </c>
      <c r="M50" s="121">
        <v>7</v>
      </c>
      <c r="N50" s="122">
        <f>+I50*G50</f>
        <v>553.52</v>
      </c>
      <c r="O50" s="122">
        <f t="shared" si="1"/>
        <v>55.351999999999997</v>
      </c>
      <c r="P50" s="122">
        <f t="shared" si="2"/>
        <v>387.464</v>
      </c>
      <c r="Q50" s="123" t="s">
        <v>41</v>
      </c>
      <c r="R50" s="116">
        <v>2021</v>
      </c>
      <c r="S50" s="124" t="s">
        <v>52</v>
      </c>
      <c r="U50" s="195"/>
      <c r="V50" s="196"/>
      <c r="W50" s="196"/>
      <c r="X50" s="196"/>
      <c r="Y50" s="196"/>
      <c r="Z50" s="196"/>
      <c r="AA50" s="196"/>
      <c r="AB50" s="196"/>
      <c r="AC50" s="196"/>
      <c r="AD50" s="197"/>
    </row>
    <row r="51" spans="2:30" ht="30" customHeight="1" outlineLevel="1" thickBot="1" x14ac:dyDescent="0.3">
      <c r="C51" s="198" t="str">
        <f>C48</f>
        <v>A-11</v>
      </c>
      <c r="D51" s="160" t="s">
        <v>48</v>
      </c>
      <c r="E51" s="161">
        <v>2014</v>
      </c>
      <c r="F51" s="161" t="s">
        <v>101</v>
      </c>
      <c r="G51" s="162">
        <f>G48</f>
        <v>140.82</v>
      </c>
      <c r="H51" s="162" t="s">
        <v>40</v>
      </c>
      <c r="I51" s="96">
        <f>+J51/$S$2</f>
        <v>211.09269783550792</v>
      </c>
      <c r="J51" s="97">
        <f>+((95000^(0.364-(0.00000133*G51)))/(G51^(0.364-(0.00000133*95000))))*6500</f>
        <v>129790.34526416205</v>
      </c>
      <c r="K51" s="163" t="s">
        <v>41</v>
      </c>
      <c r="L51" s="164" t="s">
        <v>41</v>
      </c>
      <c r="M51" s="164" t="s">
        <v>41</v>
      </c>
      <c r="N51" s="164" t="s">
        <v>41</v>
      </c>
      <c r="O51" s="164" t="s">
        <v>41</v>
      </c>
      <c r="P51" s="164" t="s">
        <v>41</v>
      </c>
      <c r="Q51" s="171">
        <f>I51*G51</f>
        <v>29726.073709196226</v>
      </c>
      <c r="R51" s="161">
        <v>2021</v>
      </c>
      <c r="S51" s="165" t="s">
        <v>52</v>
      </c>
      <c r="U51" s="199"/>
      <c r="V51" s="200"/>
      <c r="W51" s="200"/>
      <c r="X51" s="200"/>
      <c r="Y51" s="200"/>
      <c r="Z51" s="200"/>
      <c r="AA51" s="200"/>
      <c r="AB51" s="200"/>
      <c r="AC51" s="200"/>
      <c r="AD51" s="201"/>
    </row>
    <row r="52" spans="2:30" ht="30" customHeight="1" outlineLevel="1" x14ac:dyDescent="0.25">
      <c r="C52" s="190" t="s">
        <v>102</v>
      </c>
      <c r="D52" s="191" t="s">
        <v>103</v>
      </c>
      <c r="E52" s="105">
        <v>2017</v>
      </c>
      <c r="F52" s="105" t="s">
        <v>39</v>
      </c>
      <c r="G52" s="106">
        <v>251.31</v>
      </c>
      <c r="H52" s="106" t="s">
        <v>40</v>
      </c>
      <c r="I52" s="107">
        <v>252</v>
      </c>
      <c r="J52" s="108">
        <f t="shared" si="0"/>
        <v>154942.20000000001</v>
      </c>
      <c r="K52" s="109">
        <f>R52-E52</f>
        <v>4</v>
      </c>
      <c r="L52" s="110">
        <v>50</v>
      </c>
      <c r="M52" s="110">
        <v>48</v>
      </c>
      <c r="N52" s="111">
        <f>+I52*G52</f>
        <v>63330.12</v>
      </c>
      <c r="O52" s="111">
        <f t="shared" si="1"/>
        <v>1266.6024</v>
      </c>
      <c r="P52" s="111">
        <f t="shared" si="2"/>
        <v>60796.915200000003</v>
      </c>
      <c r="Q52" s="112" t="s">
        <v>41</v>
      </c>
      <c r="R52" s="105">
        <v>2021</v>
      </c>
      <c r="S52" s="113" t="s">
        <v>104</v>
      </c>
      <c r="U52" s="176" t="s">
        <v>102</v>
      </c>
      <c r="V52" s="189">
        <v>43236</v>
      </c>
      <c r="W52" s="178">
        <v>34061418</v>
      </c>
      <c r="X52" s="178">
        <v>0</v>
      </c>
      <c r="Y52" s="178">
        <v>0</v>
      </c>
      <c r="Z52" s="178">
        <v>1135380.5900000001</v>
      </c>
      <c r="AA52" s="178">
        <v>0</v>
      </c>
      <c r="AB52" s="178">
        <v>32926037.41</v>
      </c>
      <c r="AC52" s="177" t="s">
        <v>105</v>
      </c>
      <c r="AD52" s="179">
        <v>900394</v>
      </c>
    </row>
    <row r="53" spans="2:30" ht="30" customHeight="1" outlineLevel="1" x14ac:dyDescent="0.25">
      <c r="C53" s="186" t="str">
        <f>C52</f>
        <v>A-12</v>
      </c>
      <c r="D53" s="115" t="s">
        <v>44</v>
      </c>
      <c r="E53" s="116">
        <v>2017</v>
      </c>
      <c r="F53" s="116" t="s">
        <v>39</v>
      </c>
      <c r="G53" s="117">
        <v>56</v>
      </c>
      <c r="H53" s="117" t="s">
        <v>40</v>
      </c>
      <c r="I53" s="117">
        <v>30.54</v>
      </c>
      <c r="J53" s="119">
        <f t="shared" si="0"/>
        <v>18777.519</v>
      </c>
      <c r="K53" s="120">
        <f>R53-E53</f>
        <v>4</v>
      </c>
      <c r="L53" s="202">
        <v>15</v>
      </c>
      <c r="M53" s="182">
        <v>15</v>
      </c>
      <c r="N53" s="122">
        <f>+I53*G53</f>
        <v>1710.24</v>
      </c>
      <c r="O53" s="122">
        <f t="shared" si="1"/>
        <v>114.01600000000001</v>
      </c>
      <c r="P53" s="122">
        <f t="shared" si="2"/>
        <v>1710.24</v>
      </c>
      <c r="Q53" s="123" t="s">
        <v>41</v>
      </c>
      <c r="R53" s="116">
        <v>2021</v>
      </c>
      <c r="S53" s="124" t="s">
        <v>104</v>
      </c>
      <c r="U53" s="180"/>
      <c r="V53" s="155"/>
      <c r="W53" s="156"/>
      <c r="X53" s="156"/>
      <c r="Y53" s="156"/>
      <c r="Z53" s="156"/>
      <c r="AA53" s="156"/>
      <c r="AB53" s="156"/>
      <c r="AC53" s="157"/>
      <c r="AD53" s="158"/>
    </row>
    <row r="54" spans="2:30" ht="30" customHeight="1" outlineLevel="1" x14ac:dyDescent="0.25">
      <c r="C54" s="186" t="str">
        <f>C52</f>
        <v>A-12</v>
      </c>
      <c r="D54" s="115" t="s">
        <v>46</v>
      </c>
      <c r="E54" s="116">
        <v>2017</v>
      </c>
      <c r="F54" s="116" t="s">
        <v>39</v>
      </c>
      <c r="G54" s="117">
        <v>170</v>
      </c>
      <c r="H54" s="117" t="s">
        <v>40</v>
      </c>
      <c r="I54" s="118">
        <v>3.4</v>
      </c>
      <c r="J54" s="119">
        <f t="shared" si="0"/>
        <v>2090.4900000000002</v>
      </c>
      <c r="K54" s="120">
        <f>R54-E54</f>
        <v>4</v>
      </c>
      <c r="L54" s="121">
        <v>10</v>
      </c>
      <c r="M54" s="121">
        <v>10</v>
      </c>
      <c r="N54" s="122">
        <f>+I54*G54</f>
        <v>578</v>
      </c>
      <c r="O54" s="122">
        <f t="shared" si="1"/>
        <v>57.8</v>
      </c>
      <c r="P54" s="122">
        <f t="shared" si="2"/>
        <v>578</v>
      </c>
      <c r="Q54" s="123" t="s">
        <v>41</v>
      </c>
      <c r="R54" s="116">
        <v>2021</v>
      </c>
      <c r="S54" s="124" t="s">
        <v>104</v>
      </c>
      <c r="U54" s="180"/>
      <c r="V54" s="155"/>
      <c r="W54" s="156"/>
      <c r="X54" s="156"/>
      <c r="Y54" s="156"/>
      <c r="Z54" s="156"/>
      <c r="AA54" s="156"/>
      <c r="AB54" s="156"/>
      <c r="AC54" s="157"/>
      <c r="AD54" s="158"/>
    </row>
    <row r="55" spans="2:30" ht="30" customHeight="1" outlineLevel="1" thickBot="1" x14ac:dyDescent="0.3">
      <c r="C55" s="198" t="str">
        <f>C52</f>
        <v>A-12</v>
      </c>
      <c r="D55" s="160" t="s">
        <v>48</v>
      </c>
      <c r="E55" s="161">
        <v>2017</v>
      </c>
      <c r="F55" s="161" t="s">
        <v>39</v>
      </c>
      <c r="G55" s="162">
        <f>+G52</f>
        <v>251.31</v>
      </c>
      <c r="H55" s="162" t="s">
        <v>40</v>
      </c>
      <c r="I55" s="96">
        <f>+J55/$S$2</f>
        <v>183.63774617152481</v>
      </c>
      <c r="J55" s="97">
        <f>+((95000^(0.364-(0.00000133*G55)))/(G55^(0.364-(0.00000133*95000))))*6500</f>
        <v>112909.66823356203</v>
      </c>
      <c r="K55" s="163" t="s">
        <v>41</v>
      </c>
      <c r="L55" s="164" t="s">
        <v>41</v>
      </c>
      <c r="M55" s="164" t="s">
        <v>41</v>
      </c>
      <c r="N55" s="164" t="s">
        <v>41</v>
      </c>
      <c r="O55" s="164" t="s">
        <v>41</v>
      </c>
      <c r="P55" s="164" t="s">
        <v>41</v>
      </c>
      <c r="Q55" s="101">
        <f>I55*G55</f>
        <v>46150.001990365898</v>
      </c>
      <c r="R55" s="161">
        <v>2021</v>
      </c>
      <c r="S55" s="165" t="s">
        <v>104</v>
      </c>
      <c r="U55" s="181"/>
      <c r="V55" s="167"/>
      <c r="W55" s="168"/>
      <c r="X55" s="168"/>
      <c r="Y55" s="168"/>
      <c r="Z55" s="168"/>
      <c r="AA55" s="168"/>
      <c r="AB55" s="168"/>
      <c r="AC55" s="169"/>
      <c r="AD55" s="170"/>
    </row>
    <row r="56" spans="2:30" ht="30" customHeight="1" outlineLevel="1" x14ac:dyDescent="0.25">
      <c r="C56" s="103" t="s">
        <v>106</v>
      </c>
      <c r="D56" s="104" t="s">
        <v>107</v>
      </c>
      <c r="E56" s="105">
        <v>2008</v>
      </c>
      <c r="F56" s="105" t="s">
        <v>39</v>
      </c>
      <c r="G56" s="203">
        <v>90.04</v>
      </c>
      <c r="H56" s="106" t="s">
        <v>40</v>
      </c>
      <c r="I56" s="107">
        <v>1200</v>
      </c>
      <c r="J56" s="108">
        <f t="shared" si="0"/>
        <v>737820</v>
      </c>
      <c r="K56" s="109">
        <f>R56-E56</f>
        <v>13</v>
      </c>
      <c r="L56" s="105">
        <v>50</v>
      </c>
      <c r="M56" s="105">
        <v>39</v>
      </c>
      <c r="N56" s="111">
        <f>+I56*G56</f>
        <v>108048.00000000001</v>
      </c>
      <c r="O56" s="111">
        <f t="shared" si="1"/>
        <v>2160.9600000000005</v>
      </c>
      <c r="P56" s="111">
        <f t="shared" si="2"/>
        <v>84277.440000000017</v>
      </c>
      <c r="Q56" s="112" t="s">
        <v>41</v>
      </c>
      <c r="R56" s="105">
        <v>2021</v>
      </c>
      <c r="S56" s="204" t="s">
        <v>79</v>
      </c>
      <c r="U56" s="176" t="s">
        <v>106</v>
      </c>
      <c r="V56" s="178" t="s">
        <v>108</v>
      </c>
      <c r="W56" s="178">
        <v>41651400.969999999</v>
      </c>
      <c r="X56" s="178">
        <v>0</v>
      </c>
      <c r="Y56" s="178">
        <v>0</v>
      </c>
      <c r="Z56" s="178">
        <v>8677375.1099999994</v>
      </c>
      <c r="AA56" s="178">
        <v>0</v>
      </c>
      <c r="AB56" s="178">
        <v>32974025.859999999</v>
      </c>
      <c r="AC56" s="177" t="s">
        <v>109</v>
      </c>
      <c r="AD56" s="205">
        <v>900319</v>
      </c>
    </row>
    <row r="57" spans="2:30" ht="30" customHeight="1" outlineLevel="1" x14ac:dyDescent="0.25">
      <c r="C57" s="114" t="str">
        <f>C56</f>
        <v>A-13</v>
      </c>
      <c r="D57" s="115" t="s">
        <v>44</v>
      </c>
      <c r="E57" s="116">
        <v>2008</v>
      </c>
      <c r="F57" s="116" t="s">
        <v>39</v>
      </c>
      <c r="G57" s="206">
        <v>117</v>
      </c>
      <c r="H57" s="117" t="s">
        <v>40</v>
      </c>
      <c r="I57" s="118">
        <v>1200</v>
      </c>
      <c r="J57" s="119">
        <f t="shared" si="0"/>
        <v>737820</v>
      </c>
      <c r="K57" s="120">
        <f>R57-E57</f>
        <v>13</v>
      </c>
      <c r="L57" s="116">
        <v>15</v>
      </c>
      <c r="M57" s="116">
        <v>11</v>
      </c>
      <c r="N57" s="122">
        <f>+I57*G57</f>
        <v>140400</v>
      </c>
      <c r="O57" s="122">
        <f t="shared" si="1"/>
        <v>9360</v>
      </c>
      <c r="P57" s="122">
        <f t="shared" si="2"/>
        <v>102960</v>
      </c>
      <c r="Q57" s="123" t="s">
        <v>41</v>
      </c>
      <c r="R57" s="116">
        <v>2021</v>
      </c>
      <c r="S57" s="207" t="s">
        <v>79</v>
      </c>
      <c r="U57" s="180"/>
      <c r="V57" s="156"/>
      <c r="W57" s="156"/>
      <c r="X57" s="156"/>
      <c r="Y57" s="156"/>
      <c r="Z57" s="156"/>
      <c r="AA57" s="156"/>
      <c r="AB57" s="156"/>
      <c r="AC57" s="157"/>
      <c r="AD57" s="184"/>
    </row>
    <row r="58" spans="2:30" ht="30" customHeight="1" outlineLevel="1" x14ac:dyDescent="0.25">
      <c r="C58" s="114" t="str">
        <f>C56</f>
        <v>A-13</v>
      </c>
      <c r="D58" s="115" t="s">
        <v>46</v>
      </c>
      <c r="E58" s="116">
        <v>2008</v>
      </c>
      <c r="F58" s="116" t="s">
        <v>39</v>
      </c>
      <c r="G58" s="206">
        <v>14</v>
      </c>
      <c r="H58" s="117" t="s">
        <v>40</v>
      </c>
      <c r="I58" s="118">
        <v>1200</v>
      </c>
      <c r="J58" s="119">
        <f t="shared" si="0"/>
        <v>737820</v>
      </c>
      <c r="K58" s="120">
        <f>R58-E58</f>
        <v>13</v>
      </c>
      <c r="L58" s="116">
        <v>10</v>
      </c>
      <c r="M58" s="116">
        <v>7</v>
      </c>
      <c r="N58" s="122">
        <f>+I58*G58</f>
        <v>16800</v>
      </c>
      <c r="O58" s="122">
        <f t="shared" si="1"/>
        <v>1680</v>
      </c>
      <c r="P58" s="122">
        <f t="shared" si="2"/>
        <v>11760</v>
      </c>
      <c r="Q58" s="123" t="s">
        <v>41</v>
      </c>
      <c r="R58" s="116">
        <v>2021</v>
      </c>
      <c r="S58" s="207" t="s">
        <v>79</v>
      </c>
      <c r="U58" s="180"/>
      <c r="V58" s="156"/>
      <c r="W58" s="156"/>
      <c r="X58" s="156"/>
      <c r="Y58" s="156"/>
      <c r="Z58" s="156"/>
      <c r="AA58" s="156"/>
      <c r="AB58" s="156"/>
      <c r="AC58" s="157"/>
      <c r="AD58" s="184"/>
    </row>
    <row r="59" spans="2:30" ht="30" customHeight="1" outlineLevel="1" thickBot="1" x14ac:dyDescent="0.3">
      <c r="B59" s="1">
        <v>13</v>
      </c>
      <c r="C59" s="159" t="str">
        <f>C56</f>
        <v>A-13</v>
      </c>
      <c r="D59" s="160" t="s">
        <v>48</v>
      </c>
      <c r="E59" s="161">
        <v>2008</v>
      </c>
      <c r="F59" s="161" t="s">
        <v>39</v>
      </c>
      <c r="G59" s="162">
        <f>+G56</f>
        <v>90.04</v>
      </c>
      <c r="H59" s="162" t="s">
        <v>40</v>
      </c>
      <c r="I59" s="96">
        <f>+J59/$S$2</f>
        <v>234.94590503747156</v>
      </c>
      <c r="J59" s="208">
        <f>+((95000^(0.364-(0.00000133*G59)))/(G59^(0.364-(0.00000133*95000))))*6500</f>
        <v>144456.48971228939</v>
      </c>
      <c r="K59" s="163" t="s">
        <v>41</v>
      </c>
      <c r="L59" s="164" t="s">
        <v>41</v>
      </c>
      <c r="M59" s="164" t="s">
        <v>41</v>
      </c>
      <c r="N59" s="164" t="s">
        <v>41</v>
      </c>
      <c r="O59" s="164" t="s">
        <v>41</v>
      </c>
      <c r="P59" s="164" t="s">
        <v>41</v>
      </c>
      <c r="Q59" s="171">
        <f>I59*G59</f>
        <v>21154.52928957394</v>
      </c>
      <c r="R59" s="161">
        <v>2021</v>
      </c>
      <c r="S59" s="209" t="s">
        <v>79</v>
      </c>
      <c r="U59" s="181"/>
      <c r="V59" s="168"/>
      <c r="W59" s="168"/>
      <c r="X59" s="168"/>
      <c r="Y59" s="168"/>
      <c r="Z59" s="168"/>
      <c r="AA59" s="168"/>
      <c r="AB59" s="168"/>
      <c r="AC59" s="169"/>
      <c r="AD59" s="188"/>
    </row>
    <row r="60" spans="2:30" ht="16.5" hidden="1" thickBot="1" x14ac:dyDescent="0.3">
      <c r="C60" s="210" t="s">
        <v>6</v>
      </c>
      <c r="D60" s="211" t="s">
        <v>110</v>
      </c>
      <c r="E60" s="210"/>
      <c r="F60" s="212"/>
      <c r="G60" s="210"/>
      <c r="H60" s="210"/>
      <c r="I60" s="213"/>
      <c r="J60" s="210"/>
      <c r="K60" s="210"/>
      <c r="L60" s="210"/>
      <c r="M60" s="210"/>
      <c r="N60" s="210"/>
      <c r="O60" s="210"/>
      <c r="P60" s="210"/>
      <c r="Q60" s="210"/>
      <c r="R60" s="210"/>
      <c r="S60" s="214" t="s">
        <v>6</v>
      </c>
      <c r="U60" s="215" t="s">
        <v>110</v>
      </c>
      <c r="V60" s="216"/>
      <c r="W60" s="216"/>
      <c r="X60" s="216"/>
      <c r="Y60" s="216"/>
      <c r="Z60" s="217"/>
      <c r="AA60" s="217"/>
      <c r="AB60" s="217"/>
      <c r="AC60" s="216"/>
      <c r="AD60" s="216"/>
    </row>
    <row r="61" spans="2:30" ht="30" customHeight="1" outlineLevel="1" x14ac:dyDescent="0.25">
      <c r="C61" s="103" t="s">
        <v>111</v>
      </c>
      <c r="D61" s="104" t="s">
        <v>112</v>
      </c>
      <c r="E61" s="105">
        <v>1976</v>
      </c>
      <c r="F61" s="105" t="s">
        <v>39</v>
      </c>
      <c r="G61" s="203">
        <f>393.98+412</f>
        <v>805.98</v>
      </c>
      <c r="H61" s="203" t="s">
        <v>40</v>
      </c>
      <c r="I61" s="107">
        <v>1200</v>
      </c>
      <c r="J61" s="108">
        <f t="shared" ref="J61:J104" si="3">I61*$S$2</f>
        <v>737820</v>
      </c>
      <c r="K61" s="109">
        <f>R61-E61</f>
        <v>45</v>
      </c>
      <c r="L61" s="105">
        <v>50</v>
      </c>
      <c r="M61" s="105">
        <v>30</v>
      </c>
      <c r="N61" s="111">
        <f>+I61*G61</f>
        <v>967176</v>
      </c>
      <c r="O61" s="111">
        <f t="shared" ref="O61:O104" si="4">+N61/L61</f>
        <v>19343.52</v>
      </c>
      <c r="P61" s="111">
        <f t="shared" ref="P61:P104" si="5">(N61/L61)*M61</f>
        <v>580305.6</v>
      </c>
      <c r="Q61" s="105" t="s">
        <v>41</v>
      </c>
      <c r="R61" s="105">
        <v>2021</v>
      </c>
      <c r="S61" s="204" t="s">
        <v>66</v>
      </c>
      <c r="U61" s="176" t="s">
        <v>111</v>
      </c>
      <c r="V61" s="177" t="s">
        <v>113</v>
      </c>
      <c r="W61" s="178">
        <v>646675.80000000005</v>
      </c>
      <c r="X61" s="178">
        <v>0</v>
      </c>
      <c r="Y61" s="178">
        <v>35894966.399999999</v>
      </c>
      <c r="Z61" s="178">
        <v>582008.1</v>
      </c>
      <c r="AA61" s="178">
        <v>20282720.280000001</v>
      </c>
      <c r="AB61" s="178">
        <v>15676913.819999993</v>
      </c>
      <c r="AC61" s="177" t="s">
        <v>114</v>
      </c>
      <c r="AD61" s="205">
        <v>900005</v>
      </c>
    </row>
    <row r="62" spans="2:30" ht="30" customHeight="1" outlineLevel="1" x14ac:dyDescent="0.25">
      <c r="C62" s="114" t="str">
        <f>C61</f>
        <v>B-1</v>
      </c>
      <c r="D62" s="115" t="s">
        <v>44</v>
      </c>
      <c r="E62" s="116">
        <v>1976</v>
      </c>
      <c r="F62" s="116" t="s">
        <v>39</v>
      </c>
      <c r="G62" s="206">
        <v>63.97</v>
      </c>
      <c r="H62" s="206" t="s">
        <v>40</v>
      </c>
      <c r="I62" s="118">
        <v>30.54</v>
      </c>
      <c r="J62" s="119">
        <f t="shared" si="3"/>
        <v>18777.519</v>
      </c>
      <c r="K62" s="120">
        <f>R62-E62</f>
        <v>45</v>
      </c>
      <c r="L62" s="116">
        <v>15</v>
      </c>
      <c r="M62" s="116">
        <v>5</v>
      </c>
      <c r="N62" s="122">
        <f t="shared" ref="N62:N104" si="6">+I62*G62</f>
        <v>1953.6437999999998</v>
      </c>
      <c r="O62" s="122">
        <f t="shared" si="4"/>
        <v>130.24292</v>
      </c>
      <c r="P62" s="122">
        <f t="shared" si="5"/>
        <v>651.21460000000002</v>
      </c>
      <c r="Q62" s="116" t="s">
        <v>41</v>
      </c>
      <c r="R62" s="116">
        <v>2021</v>
      </c>
      <c r="S62" s="207" t="s">
        <v>66</v>
      </c>
      <c r="U62" s="180"/>
      <c r="V62" s="157"/>
      <c r="W62" s="156"/>
      <c r="X62" s="156"/>
      <c r="Y62" s="156"/>
      <c r="Z62" s="156"/>
      <c r="AA62" s="156"/>
      <c r="AB62" s="156"/>
      <c r="AC62" s="157"/>
      <c r="AD62" s="184"/>
    </row>
    <row r="63" spans="2:30" ht="30" customHeight="1" outlineLevel="1" x14ac:dyDescent="0.25">
      <c r="C63" s="114" t="str">
        <f>C61</f>
        <v>B-1</v>
      </c>
      <c r="D63" s="115" t="s">
        <v>46</v>
      </c>
      <c r="E63" s="116">
        <v>1976</v>
      </c>
      <c r="F63" s="116" t="s">
        <v>39</v>
      </c>
      <c r="G63" s="206">
        <v>260.02999999999997</v>
      </c>
      <c r="H63" s="206" t="s">
        <v>40</v>
      </c>
      <c r="I63" s="118">
        <v>3.4</v>
      </c>
      <c r="J63" s="119">
        <f t="shared" si="3"/>
        <v>2090.4900000000002</v>
      </c>
      <c r="K63" s="120">
        <f>R63-E63</f>
        <v>45</v>
      </c>
      <c r="L63" s="116">
        <v>10</v>
      </c>
      <c r="M63" s="116">
        <v>5</v>
      </c>
      <c r="N63" s="122">
        <f t="shared" si="6"/>
        <v>884.10199999999986</v>
      </c>
      <c r="O63" s="122">
        <f t="shared" si="4"/>
        <v>88.410199999999989</v>
      </c>
      <c r="P63" s="122">
        <f t="shared" si="5"/>
        <v>442.05099999999993</v>
      </c>
      <c r="Q63" s="116" t="s">
        <v>41</v>
      </c>
      <c r="R63" s="116">
        <v>2021</v>
      </c>
      <c r="S63" s="207" t="s">
        <v>66</v>
      </c>
      <c r="U63" s="180"/>
      <c r="V63" s="157"/>
      <c r="W63" s="156"/>
      <c r="X63" s="156"/>
      <c r="Y63" s="156"/>
      <c r="Z63" s="156"/>
      <c r="AA63" s="156"/>
      <c r="AB63" s="156"/>
      <c r="AC63" s="157"/>
      <c r="AD63" s="184"/>
    </row>
    <row r="64" spans="2:30" ht="30" customHeight="1" outlineLevel="1" thickBot="1" x14ac:dyDescent="0.3">
      <c r="C64" s="159" t="str">
        <f>C61</f>
        <v>B-1</v>
      </c>
      <c r="D64" s="160" t="s">
        <v>48</v>
      </c>
      <c r="E64" s="161">
        <v>1976</v>
      </c>
      <c r="F64" s="161" t="s">
        <v>39</v>
      </c>
      <c r="G64" s="162">
        <v>393.98</v>
      </c>
      <c r="H64" s="218" t="s">
        <v>40</v>
      </c>
      <c r="I64" s="96">
        <f>+J64/$S$2</f>
        <v>164.66937584921462</v>
      </c>
      <c r="J64" s="97">
        <f>+((95000^(0.364-(0.00000133*G64)))/(G64^(0.364-(0.00000133*95000))))*6500</f>
        <v>101246.96574088962</v>
      </c>
      <c r="K64" s="163" t="s">
        <v>41</v>
      </c>
      <c r="L64" s="163" t="s">
        <v>41</v>
      </c>
      <c r="M64" s="163" t="s">
        <v>41</v>
      </c>
      <c r="N64" s="163" t="s">
        <v>41</v>
      </c>
      <c r="O64" s="163" t="s">
        <v>41</v>
      </c>
      <c r="P64" s="163" t="s">
        <v>41</v>
      </c>
      <c r="Q64" s="171">
        <f>I64*G64</f>
        <v>64876.44069707358</v>
      </c>
      <c r="R64" s="161">
        <v>2021</v>
      </c>
      <c r="S64" s="209" t="s">
        <v>66</v>
      </c>
      <c r="U64" s="181"/>
      <c r="V64" s="169"/>
      <c r="W64" s="168"/>
      <c r="X64" s="168"/>
      <c r="Y64" s="168"/>
      <c r="Z64" s="168"/>
      <c r="AA64" s="168"/>
      <c r="AB64" s="168"/>
      <c r="AC64" s="169"/>
      <c r="AD64" s="188"/>
    </row>
    <row r="65" spans="3:30" ht="30" customHeight="1" outlineLevel="1" x14ac:dyDescent="0.25">
      <c r="C65" s="103" t="s">
        <v>115</v>
      </c>
      <c r="D65" s="104" t="s">
        <v>112</v>
      </c>
      <c r="E65" s="105">
        <v>1976</v>
      </c>
      <c r="F65" s="105" t="s">
        <v>39</v>
      </c>
      <c r="G65" s="203">
        <f>393.98+399.93</f>
        <v>793.91000000000008</v>
      </c>
      <c r="H65" s="203" t="s">
        <v>40</v>
      </c>
      <c r="I65" s="107">
        <v>1200</v>
      </c>
      <c r="J65" s="108">
        <f t="shared" si="3"/>
        <v>737820</v>
      </c>
      <c r="K65" s="109">
        <f>R65-E65</f>
        <v>45</v>
      </c>
      <c r="L65" s="105">
        <v>50</v>
      </c>
      <c r="M65" s="105">
        <v>30</v>
      </c>
      <c r="N65" s="111">
        <f t="shared" si="6"/>
        <v>952692.00000000012</v>
      </c>
      <c r="O65" s="111">
        <f t="shared" si="4"/>
        <v>19053.840000000004</v>
      </c>
      <c r="P65" s="111">
        <f t="shared" si="5"/>
        <v>571615.20000000007</v>
      </c>
      <c r="Q65" s="105" t="s">
        <v>41</v>
      </c>
      <c r="R65" s="105">
        <v>2021</v>
      </c>
      <c r="S65" s="204" t="s">
        <v>66</v>
      </c>
      <c r="U65" s="176" t="s">
        <v>115</v>
      </c>
      <c r="V65" s="177" t="s">
        <v>113</v>
      </c>
      <c r="W65" s="178">
        <v>644504.98</v>
      </c>
      <c r="X65" s="178">
        <v>0</v>
      </c>
      <c r="Y65" s="178">
        <v>42146540.990000002</v>
      </c>
      <c r="Z65" s="178">
        <v>580054.48</v>
      </c>
      <c r="AA65" s="178">
        <v>23306729.09</v>
      </c>
      <c r="AB65" s="178">
        <v>18904262.400000002</v>
      </c>
      <c r="AC65" s="177" t="s">
        <v>116</v>
      </c>
      <c r="AD65" s="205">
        <v>900004</v>
      </c>
    </row>
    <row r="66" spans="3:30" ht="30" customHeight="1" outlineLevel="1" x14ac:dyDescent="0.25">
      <c r="C66" s="114" t="str">
        <f>C65</f>
        <v>B-2</v>
      </c>
      <c r="D66" s="115" t="s">
        <v>44</v>
      </c>
      <c r="E66" s="116">
        <v>1976</v>
      </c>
      <c r="F66" s="116" t="s">
        <v>39</v>
      </c>
      <c r="G66" s="206">
        <v>33.36</v>
      </c>
      <c r="H66" s="206" t="s">
        <v>40</v>
      </c>
      <c r="I66" s="118">
        <v>30.54</v>
      </c>
      <c r="J66" s="119">
        <f t="shared" si="3"/>
        <v>18777.519</v>
      </c>
      <c r="K66" s="120">
        <f>R66-E66</f>
        <v>45</v>
      </c>
      <c r="L66" s="116">
        <v>15</v>
      </c>
      <c r="M66" s="116">
        <v>5</v>
      </c>
      <c r="N66" s="122">
        <f t="shared" si="6"/>
        <v>1018.8144</v>
      </c>
      <c r="O66" s="122">
        <f t="shared" si="4"/>
        <v>67.920959999999994</v>
      </c>
      <c r="P66" s="122">
        <f t="shared" si="5"/>
        <v>339.60479999999995</v>
      </c>
      <c r="Q66" s="116" t="s">
        <v>41</v>
      </c>
      <c r="R66" s="116">
        <v>2021</v>
      </c>
      <c r="S66" s="207" t="s">
        <v>66</v>
      </c>
      <c r="U66" s="180"/>
      <c r="V66" s="157"/>
      <c r="W66" s="156"/>
      <c r="X66" s="156"/>
      <c r="Y66" s="156"/>
      <c r="Z66" s="156"/>
      <c r="AA66" s="156"/>
      <c r="AB66" s="156"/>
      <c r="AC66" s="157"/>
      <c r="AD66" s="184"/>
    </row>
    <row r="67" spans="3:30" ht="30" customHeight="1" outlineLevel="1" x14ac:dyDescent="0.25">
      <c r="C67" s="114" t="str">
        <f>C65</f>
        <v>B-2</v>
      </c>
      <c r="D67" s="115" t="s">
        <v>46</v>
      </c>
      <c r="E67" s="116">
        <v>1976</v>
      </c>
      <c r="F67" s="116" t="s">
        <v>39</v>
      </c>
      <c r="G67" s="206">
        <v>290.64</v>
      </c>
      <c r="H67" s="206" t="s">
        <v>40</v>
      </c>
      <c r="I67" s="118">
        <v>3.4</v>
      </c>
      <c r="J67" s="119">
        <f t="shared" si="3"/>
        <v>2090.4900000000002</v>
      </c>
      <c r="K67" s="120">
        <f>R67-E67</f>
        <v>45</v>
      </c>
      <c r="L67" s="116">
        <v>10</v>
      </c>
      <c r="M67" s="116">
        <v>5</v>
      </c>
      <c r="N67" s="122">
        <f t="shared" si="6"/>
        <v>988.17599999999993</v>
      </c>
      <c r="O67" s="122">
        <f t="shared" si="4"/>
        <v>98.817599999999999</v>
      </c>
      <c r="P67" s="122">
        <f t="shared" si="5"/>
        <v>494.08799999999997</v>
      </c>
      <c r="Q67" s="116" t="s">
        <v>41</v>
      </c>
      <c r="R67" s="116">
        <v>2021</v>
      </c>
      <c r="S67" s="207" t="s">
        <v>66</v>
      </c>
      <c r="U67" s="180"/>
      <c r="V67" s="157"/>
      <c r="W67" s="156"/>
      <c r="X67" s="156"/>
      <c r="Y67" s="156"/>
      <c r="Z67" s="156"/>
      <c r="AA67" s="156"/>
      <c r="AB67" s="156"/>
      <c r="AC67" s="157"/>
      <c r="AD67" s="184"/>
    </row>
    <row r="68" spans="3:30" ht="30" customHeight="1" outlineLevel="1" thickBot="1" x14ac:dyDescent="0.3">
      <c r="C68" s="159" t="str">
        <f>C65</f>
        <v>B-2</v>
      </c>
      <c r="D68" s="160" t="s">
        <v>48</v>
      </c>
      <c r="E68" s="161">
        <v>1976</v>
      </c>
      <c r="F68" s="161" t="s">
        <v>39</v>
      </c>
      <c r="G68" s="162">
        <v>393.98</v>
      </c>
      <c r="H68" s="218" t="s">
        <v>40</v>
      </c>
      <c r="I68" s="96">
        <f>+J68/$S$2</f>
        <v>164.66937584921462</v>
      </c>
      <c r="J68" s="97">
        <f>+((95000^(0.364-(0.00000133*G68)))/(G68^(0.364-(0.00000133*95000))))*6500</f>
        <v>101246.96574088962</v>
      </c>
      <c r="K68" s="163" t="s">
        <v>41</v>
      </c>
      <c r="L68" s="163" t="s">
        <v>41</v>
      </c>
      <c r="M68" s="163" t="s">
        <v>41</v>
      </c>
      <c r="N68" s="163" t="s">
        <v>41</v>
      </c>
      <c r="O68" s="163" t="s">
        <v>41</v>
      </c>
      <c r="P68" s="163" t="s">
        <v>41</v>
      </c>
      <c r="Q68" s="171">
        <f>I68*G68</f>
        <v>64876.44069707358</v>
      </c>
      <c r="R68" s="161">
        <v>2021</v>
      </c>
      <c r="S68" s="209" t="s">
        <v>66</v>
      </c>
      <c r="U68" s="181"/>
      <c r="V68" s="169"/>
      <c r="W68" s="168"/>
      <c r="X68" s="168"/>
      <c r="Y68" s="168"/>
      <c r="Z68" s="168"/>
      <c r="AA68" s="168"/>
      <c r="AB68" s="168"/>
      <c r="AC68" s="169"/>
      <c r="AD68" s="188"/>
    </row>
    <row r="69" spans="3:30" ht="30" customHeight="1" outlineLevel="1" x14ac:dyDescent="0.25">
      <c r="C69" s="103" t="s">
        <v>117</v>
      </c>
      <c r="D69" s="104" t="s">
        <v>112</v>
      </c>
      <c r="E69" s="105">
        <v>1976</v>
      </c>
      <c r="F69" s="105" t="s">
        <v>39</v>
      </c>
      <c r="G69" s="203">
        <f>393.83+411.75</f>
        <v>805.57999999999993</v>
      </c>
      <c r="H69" s="203" t="s">
        <v>40</v>
      </c>
      <c r="I69" s="107">
        <v>1200</v>
      </c>
      <c r="J69" s="108">
        <f t="shared" si="3"/>
        <v>737820</v>
      </c>
      <c r="K69" s="109" t="s">
        <v>6</v>
      </c>
      <c r="L69" s="105">
        <v>50</v>
      </c>
      <c r="M69" s="105">
        <v>30</v>
      </c>
      <c r="N69" s="111">
        <f t="shared" si="6"/>
        <v>966695.99999999988</v>
      </c>
      <c r="O69" s="111">
        <f t="shared" si="4"/>
        <v>19333.919999999998</v>
      </c>
      <c r="P69" s="111">
        <f t="shared" si="5"/>
        <v>580017.6</v>
      </c>
      <c r="Q69" s="105" t="s">
        <v>41</v>
      </c>
      <c r="R69" s="105">
        <v>2021</v>
      </c>
      <c r="S69" s="204" t="s">
        <v>66</v>
      </c>
      <c r="U69" s="176" t="s">
        <v>117</v>
      </c>
      <c r="V69" s="177" t="s">
        <v>118</v>
      </c>
      <c r="W69" s="178">
        <v>1002662.63</v>
      </c>
      <c r="X69" s="178">
        <v>0</v>
      </c>
      <c r="Y69" s="178">
        <v>43415213.490000002</v>
      </c>
      <c r="Z69" s="178">
        <v>935323.27</v>
      </c>
      <c r="AA69" s="178">
        <v>21356345.010000002</v>
      </c>
      <c r="AB69" s="178">
        <v>22126207.84</v>
      </c>
      <c r="AC69" s="177" t="s">
        <v>119</v>
      </c>
      <c r="AD69" s="205">
        <v>900052</v>
      </c>
    </row>
    <row r="70" spans="3:30" ht="30" customHeight="1" outlineLevel="1" x14ac:dyDescent="0.25">
      <c r="C70" s="114" t="str">
        <f>C69</f>
        <v>B-3</v>
      </c>
      <c r="D70" s="115" t="s">
        <v>44</v>
      </c>
      <c r="E70" s="116">
        <v>1976</v>
      </c>
      <c r="F70" s="116" t="s">
        <v>39</v>
      </c>
      <c r="G70" s="206">
        <v>33.36</v>
      </c>
      <c r="H70" s="206" t="s">
        <v>40</v>
      </c>
      <c r="I70" s="118">
        <v>30.54</v>
      </c>
      <c r="J70" s="119">
        <f t="shared" si="3"/>
        <v>18777.519</v>
      </c>
      <c r="K70" s="120">
        <f>R70-E70</f>
        <v>45</v>
      </c>
      <c r="L70" s="116">
        <v>15</v>
      </c>
      <c r="M70" s="116">
        <v>5</v>
      </c>
      <c r="N70" s="122">
        <f t="shared" si="6"/>
        <v>1018.8144</v>
      </c>
      <c r="O70" s="122">
        <f t="shared" si="4"/>
        <v>67.920959999999994</v>
      </c>
      <c r="P70" s="122">
        <f t="shared" si="5"/>
        <v>339.60479999999995</v>
      </c>
      <c r="Q70" s="116" t="s">
        <v>41</v>
      </c>
      <c r="R70" s="116">
        <v>2021</v>
      </c>
      <c r="S70" s="207" t="s">
        <v>66</v>
      </c>
      <c r="U70" s="180"/>
      <c r="V70" s="157"/>
      <c r="W70" s="156"/>
      <c r="X70" s="156"/>
      <c r="Y70" s="156"/>
      <c r="Z70" s="156"/>
      <c r="AA70" s="156"/>
      <c r="AB70" s="156"/>
      <c r="AC70" s="157"/>
      <c r="AD70" s="184"/>
    </row>
    <row r="71" spans="3:30" ht="30" customHeight="1" outlineLevel="1" x14ac:dyDescent="0.25">
      <c r="C71" s="114" t="str">
        <f>C69</f>
        <v>B-3</v>
      </c>
      <c r="D71" s="115" t="s">
        <v>46</v>
      </c>
      <c r="E71" s="116">
        <v>1976</v>
      </c>
      <c r="F71" s="116" t="s">
        <v>39</v>
      </c>
      <c r="G71" s="206">
        <v>309</v>
      </c>
      <c r="H71" s="206" t="s">
        <v>40</v>
      </c>
      <c r="I71" s="118">
        <v>3.4</v>
      </c>
      <c r="J71" s="119">
        <f t="shared" si="3"/>
        <v>2090.4900000000002</v>
      </c>
      <c r="K71" s="120">
        <f>R71-E71</f>
        <v>45</v>
      </c>
      <c r="L71" s="116">
        <v>10</v>
      </c>
      <c r="M71" s="116">
        <v>5</v>
      </c>
      <c r="N71" s="122">
        <f t="shared" si="6"/>
        <v>1050.5999999999999</v>
      </c>
      <c r="O71" s="122">
        <f t="shared" si="4"/>
        <v>105.05999999999999</v>
      </c>
      <c r="P71" s="122">
        <f t="shared" si="5"/>
        <v>525.29999999999995</v>
      </c>
      <c r="Q71" s="116" t="s">
        <v>41</v>
      </c>
      <c r="R71" s="116">
        <v>2021</v>
      </c>
      <c r="S71" s="207" t="s">
        <v>66</v>
      </c>
      <c r="U71" s="180"/>
      <c r="V71" s="157"/>
      <c r="W71" s="156"/>
      <c r="X71" s="156"/>
      <c r="Y71" s="156"/>
      <c r="Z71" s="156"/>
      <c r="AA71" s="156"/>
      <c r="AB71" s="156"/>
      <c r="AC71" s="157"/>
      <c r="AD71" s="184"/>
    </row>
    <row r="72" spans="3:30" ht="30" customHeight="1" outlineLevel="1" thickBot="1" x14ac:dyDescent="0.3">
      <c r="C72" s="159" t="str">
        <f>C69</f>
        <v>B-3</v>
      </c>
      <c r="D72" s="160" t="s">
        <v>48</v>
      </c>
      <c r="E72" s="161">
        <v>1976</v>
      </c>
      <c r="F72" s="161" t="s">
        <v>39</v>
      </c>
      <c r="G72" s="162">
        <v>393.83</v>
      </c>
      <c r="H72" s="218" t="s">
        <v>40</v>
      </c>
      <c r="I72" s="96">
        <f>+J72/$S$2</f>
        <v>164.68465529173338</v>
      </c>
      <c r="J72" s="97">
        <f>+((95000^(0.364-(0.00000133*G72)))/(G72^(0.364-(0.00000133*95000))))*6500</f>
        <v>101256.36030612227</v>
      </c>
      <c r="K72" s="163" t="s">
        <v>41</v>
      </c>
      <c r="L72" s="163" t="s">
        <v>41</v>
      </c>
      <c r="M72" s="163" t="s">
        <v>41</v>
      </c>
      <c r="N72" s="163" t="s">
        <v>41</v>
      </c>
      <c r="O72" s="163" t="s">
        <v>41</v>
      </c>
      <c r="P72" s="163" t="s">
        <v>41</v>
      </c>
      <c r="Q72" s="171">
        <f>I72*G72</f>
        <v>64857.757793543351</v>
      </c>
      <c r="R72" s="161">
        <v>2021</v>
      </c>
      <c r="S72" s="209" t="s">
        <v>66</v>
      </c>
      <c r="U72" s="181"/>
      <c r="V72" s="169"/>
      <c r="W72" s="168"/>
      <c r="X72" s="168"/>
      <c r="Y72" s="168"/>
      <c r="Z72" s="168"/>
      <c r="AA72" s="168"/>
      <c r="AB72" s="168"/>
      <c r="AC72" s="169"/>
      <c r="AD72" s="188"/>
    </row>
    <row r="73" spans="3:30" ht="30" customHeight="1" outlineLevel="1" x14ac:dyDescent="0.25">
      <c r="C73" s="103" t="s">
        <v>120</v>
      </c>
      <c r="D73" s="104" t="s">
        <v>121</v>
      </c>
      <c r="E73" s="105">
        <v>1975</v>
      </c>
      <c r="F73" s="105" t="s">
        <v>39</v>
      </c>
      <c r="G73" s="203">
        <v>581.67999999999995</v>
      </c>
      <c r="H73" s="203" t="s">
        <v>40</v>
      </c>
      <c r="I73" s="107">
        <v>925</v>
      </c>
      <c r="J73" s="108">
        <f t="shared" si="3"/>
        <v>568736.25</v>
      </c>
      <c r="K73" s="109">
        <f>R73-E73</f>
        <v>46</v>
      </c>
      <c r="L73" s="105">
        <v>50</v>
      </c>
      <c r="M73" s="105">
        <v>30</v>
      </c>
      <c r="N73" s="111">
        <f t="shared" si="6"/>
        <v>538054</v>
      </c>
      <c r="O73" s="111">
        <f t="shared" si="4"/>
        <v>10761.08</v>
      </c>
      <c r="P73" s="111">
        <f t="shared" si="5"/>
        <v>322832.40000000002</v>
      </c>
      <c r="Q73" s="105" t="s">
        <v>41</v>
      </c>
      <c r="R73" s="105">
        <v>2021</v>
      </c>
      <c r="S73" s="204" t="s">
        <v>66</v>
      </c>
      <c r="T73" s="219" t="s">
        <v>52</v>
      </c>
      <c r="U73" s="176" t="s">
        <v>120</v>
      </c>
      <c r="V73" s="177" t="s">
        <v>113</v>
      </c>
      <c r="W73" s="178">
        <v>180189.43</v>
      </c>
      <c r="X73" s="178">
        <v>0</v>
      </c>
      <c r="Y73" s="178">
        <v>37920456.960000001</v>
      </c>
      <c r="Z73" s="178">
        <v>180189.43</v>
      </c>
      <c r="AA73" s="178">
        <v>15280269.390000001</v>
      </c>
      <c r="AB73" s="178">
        <v>22640187.57</v>
      </c>
      <c r="AC73" s="177" t="s">
        <v>122</v>
      </c>
      <c r="AD73" s="205">
        <v>900006</v>
      </c>
    </row>
    <row r="74" spans="3:30" ht="30" customHeight="1" outlineLevel="1" x14ac:dyDescent="0.25">
      <c r="C74" s="114" t="str">
        <f>C73</f>
        <v>B-4</v>
      </c>
      <c r="D74" s="115" t="s">
        <v>44</v>
      </c>
      <c r="E74" s="116">
        <v>1975</v>
      </c>
      <c r="F74" s="116" t="s">
        <v>39</v>
      </c>
      <c r="G74" s="206">
        <v>84.39</v>
      </c>
      <c r="H74" s="206" t="s">
        <v>40</v>
      </c>
      <c r="I74" s="118">
        <v>30.54</v>
      </c>
      <c r="J74" s="119">
        <f t="shared" si="3"/>
        <v>18777.519</v>
      </c>
      <c r="K74" s="120">
        <f>R74-E74</f>
        <v>46</v>
      </c>
      <c r="L74" s="116">
        <v>15</v>
      </c>
      <c r="M74" s="116">
        <v>5</v>
      </c>
      <c r="N74" s="122">
        <f t="shared" si="6"/>
        <v>2577.2705999999998</v>
      </c>
      <c r="O74" s="122">
        <f t="shared" si="4"/>
        <v>171.81804</v>
      </c>
      <c r="P74" s="122">
        <f t="shared" si="5"/>
        <v>859.09019999999998</v>
      </c>
      <c r="Q74" s="116" t="s">
        <v>41</v>
      </c>
      <c r="R74" s="116">
        <v>2021</v>
      </c>
      <c r="S74" s="207" t="s">
        <v>66</v>
      </c>
      <c r="T74" s="219" t="s">
        <v>52</v>
      </c>
      <c r="U74" s="180"/>
      <c r="V74" s="157"/>
      <c r="W74" s="156"/>
      <c r="X74" s="156"/>
      <c r="Y74" s="156"/>
      <c r="Z74" s="156"/>
      <c r="AA74" s="156"/>
      <c r="AB74" s="156"/>
      <c r="AC74" s="157"/>
      <c r="AD74" s="184"/>
    </row>
    <row r="75" spans="3:30" ht="30" customHeight="1" outlineLevel="1" x14ac:dyDescent="0.25">
      <c r="C75" s="114" t="str">
        <f>C73</f>
        <v>B-4</v>
      </c>
      <c r="D75" s="115" t="s">
        <v>46</v>
      </c>
      <c r="E75" s="116">
        <v>1975</v>
      </c>
      <c r="F75" s="116" t="s">
        <v>39</v>
      </c>
      <c r="G75" s="206">
        <v>314.95</v>
      </c>
      <c r="H75" s="206" t="s">
        <v>40</v>
      </c>
      <c r="I75" s="118">
        <v>3.4</v>
      </c>
      <c r="J75" s="119">
        <f t="shared" si="3"/>
        <v>2090.4900000000002</v>
      </c>
      <c r="K75" s="120">
        <f>R75-E75</f>
        <v>46</v>
      </c>
      <c r="L75" s="116">
        <v>10</v>
      </c>
      <c r="M75" s="116">
        <v>5</v>
      </c>
      <c r="N75" s="122">
        <f t="shared" si="6"/>
        <v>1070.83</v>
      </c>
      <c r="O75" s="122">
        <f t="shared" si="4"/>
        <v>107.083</v>
      </c>
      <c r="P75" s="122">
        <f t="shared" si="5"/>
        <v>535.41499999999996</v>
      </c>
      <c r="Q75" s="116" t="s">
        <v>41</v>
      </c>
      <c r="R75" s="116">
        <v>2021</v>
      </c>
      <c r="S75" s="207" t="s">
        <v>66</v>
      </c>
      <c r="T75" s="219" t="s">
        <v>52</v>
      </c>
      <c r="U75" s="180"/>
      <c r="V75" s="157"/>
      <c r="W75" s="156"/>
      <c r="X75" s="156"/>
      <c r="Y75" s="156"/>
      <c r="Z75" s="156"/>
      <c r="AA75" s="156"/>
      <c r="AB75" s="156"/>
      <c r="AC75" s="157"/>
      <c r="AD75" s="184"/>
    </row>
    <row r="76" spans="3:30" ht="30" customHeight="1" outlineLevel="1" thickBot="1" x14ac:dyDescent="0.3">
      <c r="C76" s="159" t="str">
        <f>C73</f>
        <v>B-4</v>
      </c>
      <c r="D76" s="160" t="s">
        <v>48</v>
      </c>
      <c r="E76" s="161">
        <v>1975</v>
      </c>
      <c r="F76" s="161" t="s">
        <v>39</v>
      </c>
      <c r="G76" s="162">
        <f>+G73</f>
        <v>581.67999999999995</v>
      </c>
      <c r="H76" s="218" t="s">
        <v>40</v>
      </c>
      <c r="I76" s="96">
        <f>+J76/$S$2</f>
        <v>149.67782010072102</v>
      </c>
      <c r="J76" s="97">
        <f>+((95000^(0.364-(0.00000133*G76)))/(G76^(0.364-(0.00000133*95000))))*6500</f>
        <v>92029.407688928317</v>
      </c>
      <c r="K76" s="163" t="s">
        <v>41</v>
      </c>
      <c r="L76" s="163" t="s">
        <v>41</v>
      </c>
      <c r="M76" s="163" t="s">
        <v>41</v>
      </c>
      <c r="N76" s="163" t="s">
        <v>41</v>
      </c>
      <c r="O76" s="163" t="s">
        <v>41</v>
      </c>
      <c r="P76" s="163" t="s">
        <v>41</v>
      </c>
      <c r="Q76" s="171">
        <f>I76*G76</f>
        <v>87064.5943961874</v>
      </c>
      <c r="R76" s="161">
        <v>2021</v>
      </c>
      <c r="S76" s="209" t="s">
        <v>66</v>
      </c>
      <c r="T76" s="219" t="s">
        <v>52</v>
      </c>
      <c r="U76" s="181"/>
      <c r="V76" s="169"/>
      <c r="W76" s="168"/>
      <c r="X76" s="168"/>
      <c r="Y76" s="168"/>
      <c r="Z76" s="168"/>
      <c r="AA76" s="168"/>
      <c r="AB76" s="168"/>
      <c r="AC76" s="169"/>
      <c r="AD76" s="188"/>
    </row>
    <row r="77" spans="3:30" ht="30" customHeight="1" outlineLevel="1" x14ac:dyDescent="0.25">
      <c r="C77" s="103" t="s">
        <v>123</v>
      </c>
      <c r="D77" s="104" t="s">
        <v>124</v>
      </c>
      <c r="E77" s="105">
        <v>1975</v>
      </c>
      <c r="F77" s="105" t="s">
        <v>39</v>
      </c>
      <c r="G77" s="203">
        <v>1272.17</v>
      </c>
      <c r="H77" s="203" t="s">
        <v>40</v>
      </c>
      <c r="I77" s="107">
        <v>800</v>
      </c>
      <c r="J77" s="108">
        <f t="shared" si="3"/>
        <v>491880</v>
      </c>
      <c r="K77" s="109">
        <f>R77-E77</f>
        <v>46</v>
      </c>
      <c r="L77" s="105">
        <v>50</v>
      </c>
      <c r="M77" s="105">
        <v>30</v>
      </c>
      <c r="N77" s="111">
        <f t="shared" si="6"/>
        <v>1017736</v>
      </c>
      <c r="O77" s="111">
        <f t="shared" si="4"/>
        <v>20354.72</v>
      </c>
      <c r="P77" s="111">
        <f t="shared" si="5"/>
        <v>610641.60000000009</v>
      </c>
      <c r="Q77" s="105" t="s">
        <v>41</v>
      </c>
      <c r="R77" s="105">
        <v>2021</v>
      </c>
      <c r="S77" s="113" t="s">
        <v>52</v>
      </c>
      <c r="U77" s="220" t="s">
        <v>123</v>
      </c>
      <c r="V77" s="72">
        <v>28245</v>
      </c>
      <c r="W77" s="73">
        <v>410699.4</v>
      </c>
      <c r="X77" s="73">
        <v>0</v>
      </c>
      <c r="Y77" s="73">
        <v>27678577.539999999</v>
      </c>
      <c r="Z77" s="73">
        <v>335135.25</v>
      </c>
      <c r="AA77" s="73">
        <v>7041850.1799999997</v>
      </c>
      <c r="AB77" s="73">
        <v>20712291.509999998</v>
      </c>
      <c r="AC77" s="74" t="s">
        <v>125</v>
      </c>
      <c r="AD77" s="221">
        <v>900035</v>
      </c>
    </row>
    <row r="78" spans="3:30" ht="30" customHeight="1" outlineLevel="1" x14ac:dyDescent="0.25">
      <c r="C78" s="114" t="s">
        <v>123</v>
      </c>
      <c r="D78" s="115" t="s">
        <v>44</v>
      </c>
      <c r="E78" s="116">
        <v>1975</v>
      </c>
      <c r="F78" s="116" t="s">
        <v>39</v>
      </c>
      <c r="G78" s="206">
        <v>432.82</v>
      </c>
      <c r="H78" s="206" t="s">
        <v>40</v>
      </c>
      <c r="I78" s="118">
        <v>30.54</v>
      </c>
      <c r="J78" s="119">
        <f t="shared" si="3"/>
        <v>18777.519</v>
      </c>
      <c r="K78" s="120">
        <f>R78-E78</f>
        <v>46</v>
      </c>
      <c r="L78" s="116">
        <v>15</v>
      </c>
      <c r="M78" s="116">
        <v>5</v>
      </c>
      <c r="N78" s="122">
        <f t="shared" si="6"/>
        <v>13218.3228</v>
      </c>
      <c r="O78" s="122">
        <f t="shared" si="4"/>
        <v>881.22151999999994</v>
      </c>
      <c r="P78" s="122">
        <f t="shared" si="5"/>
        <v>4406.1075999999994</v>
      </c>
      <c r="Q78" s="116" t="s">
        <v>41</v>
      </c>
      <c r="R78" s="116">
        <v>2021</v>
      </c>
      <c r="S78" s="124" t="s">
        <v>52</v>
      </c>
      <c r="U78" s="87" t="s">
        <v>123</v>
      </c>
      <c r="V78" s="222">
        <v>28245</v>
      </c>
      <c r="W78" s="89">
        <v>410699.4</v>
      </c>
      <c r="X78" s="89">
        <v>0</v>
      </c>
      <c r="Y78" s="89">
        <v>10487668.91</v>
      </c>
      <c r="Z78" s="89">
        <v>351147.9</v>
      </c>
      <c r="AA78" s="89">
        <v>4285413.2699999996</v>
      </c>
      <c r="AB78" s="89">
        <v>6261807.1400000006</v>
      </c>
      <c r="AC78" s="90" t="s">
        <v>125</v>
      </c>
      <c r="AD78" s="223">
        <v>900036</v>
      </c>
    </row>
    <row r="79" spans="3:30" ht="30" customHeight="1" outlineLevel="1" x14ac:dyDescent="0.25">
      <c r="C79" s="114" t="s">
        <v>123</v>
      </c>
      <c r="D79" s="115" t="s">
        <v>46</v>
      </c>
      <c r="E79" s="116">
        <v>1975</v>
      </c>
      <c r="F79" s="116" t="s">
        <v>39</v>
      </c>
      <c r="G79" s="206">
        <v>278.95</v>
      </c>
      <c r="H79" s="206" t="s">
        <v>40</v>
      </c>
      <c r="I79" s="118">
        <v>3.4</v>
      </c>
      <c r="J79" s="119">
        <f t="shared" si="3"/>
        <v>2090.4900000000002</v>
      </c>
      <c r="K79" s="120">
        <f>R79-E79</f>
        <v>46</v>
      </c>
      <c r="L79" s="116">
        <v>10</v>
      </c>
      <c r="M79" s="116">
        <v>5</v>
      </c>
      <c r="N79" s="122">
        <f t="shared" si="6"/>
        <v>948.43</v>
      </c>
      <c r="O79" s="122">
        <f t="shared" si="4"/>
        <v>94.842999999999989</v>
      </c>
      <c r="P79" s="122">
        <f t="shared" si="5"/>
        <v>474.21499999999992</v>
      </c>
      <c r="Q79" s="116" t="s">
        <v>41</v>
      </c>
      <c r="R79" s="116">
        <v>2021</v>
      </c>
      <c r="S79" s="124" t="s">
        <v>52</v>
      </c>
      <c r="U79" s="87" t="s">
        <v>123</v>
      </c>
      <c r="V79" s="88">
        <v>28701</v>
      </c>
      <c r="W79" s="89">
        <v>179727.3</v>
      </c>
      <c r="X79" s="89">
        <v>0</v>
      </c>
      <c r="Y79" s="89">
        <v>0</v>
      </c>
      <c r="Z79" s="89">
        <v>179727.3</v>
      </c>
      <c r="AA79" s="89">
        <v>0</v>
      </c>
      <c r="AB79" s="89">
        <v>0</v>
      </c>
      <c r="AC79" s="90" t="s">
        <v>126</v>
      </c>
      <c r="AD79" s="223">
        <v>900055</v>
      </c>
    </row>
    <row r="80" spans="3:30" ht="30" customHeight="1" outlineLevel="1" thickBot="1" x14ac:dyDescent="0.3">
      <c r="C80" s="92" t="s">
        <v>123</v>
      </c>
      <c r="D80" s="93" t="s">
        <v>48</v>
      </c>
      <c r="E80" s="129">
        <v>1975</v>
      </c>
      <c r="F80" s="129" t="s">
        <v>39</v>
      </c>
      <c r="G80" s="95">
        <f>G77</f>
        <v>1272.17</v>
      </c>
      <c r="H80" s="224" t="s">
        <v>40</v>
      </c>
      <c r="I80" s="96">
        <f>+J80/$S$2</f>
        <v>122.97538122862903</v>
      </c>
      <c r="J80" s="97">
        <f>+((95000^(0.364-(0.00000133*G80)))/(G80^(0.364-(0.00000133*95000))))*6500</f>
        <v>75611.413148422565</v>
      </c>
      <c r="K80" s="98" t="s">
        <v>41</v>
      </c>
      <c r="L80" s="98" t="s">
        <v>41</v>
      </c>
      <c r="M80" s="98" t="s">
        <v>41</v>
      </c>
      <c r="N80" s="98" t="s">
        <v>41</v>
      </c>
      <c r="O80" s="98" t="s">
        <v>41</v>
      </c>
      <c r="P80" s="98" t="s">
        <v>41</v>
      </c>
      <c r="Q80" s="101">
        <f>I80*G80</f>
        <v>156445.590737625</v>
      </c>
      <c r="R80" s="94">
        <v>2021</v>
      </c>
      <c r="S80" s="102" t="s">
        <v>52</v>
      </c>
      <c r="U80" s="87" t="s">
        <v>123</v>
      </c>
      <c r="V80" s="88">
        <v>32719</v>
      </c>
      <c r="W80" s="89">
        <v>280437.98</v>
      </c>
      <c r="X80" s="89">
        <v>0</v>
      </c>
      <c r="Y80" s="89">
        <v>0</v>
      </c>
      <c r="Z80" s="89">
        <v>280437.98</v>
      </c>
      <c r="AA80" s="89">
        <v>0</v>
      </c>
      <c r="AB80" s="89">
        <v>0</v>
      </c>
      <c r="AC80" s="90" t="s">
        <v>127</v>
      </c>
      <c r="AD80" s="223">
        <v>900239</v>
      </c>
    </row>
    <row r="81" spans="3:30" ht="30" customHeight="1" outlineLevel="1" x14ac:dyDescent="0.25">
      <c r="C81" s="103" t="s">
        <v>128</v>
      </c>
      <c r="D81" s="104" t="s">
        <v>129</v>
      </c>
      <c r="E81" s="105">
        <v>1975</v>
      </c>
      <c r="F81" s="105" t="s">
        <v>39</v>
      </c>
      <c r="G81" s="203">
        <v>978.27</v>
      </c>
      <c r="H81" s="203" t="s">
        <v>40</v>
      </c>
      <c r="I81" s="107">
        <v>800</v>
      </c>
      <c r="J81" s="108">
        <f t="shared" si="3"/>
        <v>491880</v>
      </c>
      <c r="K81" s="109">
        <f>R81-E81</f>
        <v>46</v>
      </c>
      <c r="L81" s="105">
        <v>50</v>
      </c>
      <c r="M81" s="105">
        <v>30</v>
      </c>
      <c r="N81" s="111">
        <f t="shared" si="6"/>
        <v>782616</v>
      </c>
      <c r="O81" s="111">
        <f t="shared" si="4"/>
        <v>15652.32</v>
      </c>
      <c r="P81" s="111">
        <f t="shared" si="5"/>
        <v>469569.6</v>
      </c>
      <c r="Q81" s="105" t="s">
        <v>41</v>
      </c>
      <c r="R81" s="105">
        <v>2021</v>
      </c>
      <c r="S81" s="113" t="s">
        <v>52</v>
      </c>
      <c r="U81" s="220" t="s">
        <v>128</v>
      </c>
      <c r="V81" s="72">
        <v>32172</v>
      </c>
      <c r="W81" s="73">
        <v>348149.29</v>
      </c>
      <c r="X81" s="73">
        <v>0</v>
      </c>
      <c r="Y81" s="73">
        <v>0</v>
      </c>
      <c r="Z81" s="73">
        <v>348149.29</v>
      </c>
      <c r="AA81" s="73">
        <v>0</v>
      </c>
      <c r="AB81" s="73">
        <v>0</v>
      </c>
      <c r="AC81" s="74" t="s">
        <v>130</v>
      </c>
      <c r="AD81" s="221">
        <v>900228</v>
      </c>
    </row>
    <row r="82" spans="3:30" ht="30" customHeight="1" outlineLevel="1" x14ac:dyDescent="0.25">
      <c r="C82" s="114" t="s">
        <v>128</v>
      </c>
      <c r="D82" s="115" t="s">
        <v>44</v>
      </c>
      <c r="E82" s="116">
        <v>1975</v>
      </c>
      <c r="F82" s="116" t="s">
        <v>39</v>
      </c>
      <c r="G82" s="206">
        <v>302.8</v>
      </c>
      <c r="H82" s="206" t="s">
        <v>40</v>
      </c>
      <c r="I82" s="118">
        <v>30.54</v>
      </c>
      <c r="J82" s="119">
        <f t="shared" si="3"/>
        <v>18777.519</v>
      </c>
      <c r="K82" s="120">
        <f>R82-E82</f>
        <v>46</v>
      </c>
      <c r="L82" s="116">
        <v>15</v>
      </c>
      <c r="M82" s="116">
        <v>5</v>
      </c>
      <c r="N82" s="122">
        <f t="shared" si="6"/>
        <v>9247.5120000000006</v>
      </c>
      <c r="O82" s="122">
        <f t="shared" si="4"/>
        <v>616.50080000000003</v>
      </c>
      <c r="P82" s="122">
        <f t="shared" si="5"/>
        <v>3082.5039999999999</v>
      </c>
      <c r="Q82" s="116" t="s">
        <v>41</v>
      </c>
      <c r="R82" s="116">
        <v>2021</v>
      </c>
      <c r="S82" s="124" t="s">
        <v>52</v>
      </c>
      <c r="U82" s="87" t="s">
        <v>128</v>
      </c>
      <c r="V82" s="225">
        <v>32172</v>
      </c>
      <c r="W82" s="89">
        <v>5419040.4000000004</v>
      </c>
      <c r="X82" s="89">
        <v>0</v>
      </c>
      <c r="Y82" s="89">
        <v>34068573.5</v>
      </c>
      <c r="Z82" s="89">
        <v>3468185.64</v>
      </c>
      <c r="AA82" s="89">
        <v>8509018.1500000004</v>
      </c>
      <c r="AB82" s="89">
        <v>27510410.109999999</v>
      </c>
      <c r="AC82" s="90" t="s">
        <v>131</v>
      </c>
      <c r="AD82" s="223">
        <v>900199</v>
      </c>
    </row>
    <row r="83" spans="3:30" ht="30" customHeight="1" outlineLevel="1" x14ac:dyDescent="0.25">
      <c r="C83" s="114" t="s">
        <v>128</v>
      </c>
      <c r="D83" s="115" t="s">
        <v>46</v>
      </c>
      <c r="E83" s="116">
        <v>1975</v>
      </c>
      <c r="F83" s="116" t="s">
        <v>39</v>
      </c>
      <c r="G83" s="206">
        <v>302.8</v>
      </c>
      <c r="H83" s="206" t="s">
        <v>40</v>
      </c>
      <c r="I83" s="118">
        <v>3.4</v>
      </c>
      <c r="J83" s="119">
        <f t="shared" si="3"/>
        <v>2090.4900000000002</v>
      </c>
      <c r="K83" s="120">
        <f>R83-E83</f>
        <v>46</v>
      </c>
      <c r="L83" s="116">
        <v>10</v>
      </c>
      <c r="M83" s="116">
        <v>5</v>
      </c>
      <c r="N83" s="122">
        <f t="shared" si="6"/>
        <v>1029.52</v>
      </c>
      <c r="O83" s="122">
        <f t="shared" si="4"/>
        <v>102.952</v>
      </c>
      <c r="P83" s="122">
        <f t="shared" si="5"/>
        <v>514.76</v>
      </c>
      <c r="Q83" s="116" t="s">
        <v>41</v>
      </c>
      <c r="R83" s="116">
        <v>2021</v>
      </c>
      <c r="S83" s="124" t="s">
        <v>52</v>
      </c>
      <c r="U83" s="87" t="s">
        <v>128</v>
      </c>
      <c r="V83" s="225">
        <v>32172</v>
      </c>
      <c r="W83" s="89">
        <v>420870.8</v>
      </c>
      <c r="X83" s="89">
        <v>0</v>
      </c>
      <c r="Y83" s="89">
        <v>0</v>
      </c>
      <c r="Z83" s="89">
        <v>375812.58</v>
      </c>
      <c r="AA83" s="89">
        <v>0</v>
      </c>
      <c r="AB83" s="89">
        <v>45058.219999999972</v>
      </c>
      <c r="AC83" s="90" t="s">
        <v>132</v>
      </c>
      <c r="AD83" s="223">
        <v>900200</v>
      </c>
    </row>
    <row r="84" spans="3:30" ht="30" customHeight="1" outlineLevel="1" thickBot="1" x14ac:dyDescent="0.3">
      <c r="C84" s="92" t="s">
        <v>128</v>
      </c>
      <c r="D84" s="93" t="s">
        <v>48</v>
      </c>
      <c r="E84" s="129">
        <v>1975</v>
      </c>
      <c r="F84" s="129" t="s">
        <v>39</v>
      </c>
      <c r="G84" s="95">
        <f>G81</f>
        <v>978.27</v>
      </c>
      <c r="H84" s="224" t="s">
        <v>40</v>
      </c>
      <c r="I84" s="96">
        <f>+J84/$S$2</f>
        <v>131.48510012067618</v>
      </c>
      <c r="J84" s="97">
        <f>+((95000^(0.364-(0.00000133*G84)))/(G84^(0.364-(0.00000133*95000))))*6500</f>
        <v>80843.613809197748</v>
      </c>
      <c r="K84" s="98" t="s">
        <v>41</v>
      </c>
      <c r="L84" s="98" t="s">
        <v>41</v>
      </c>
      <c r="M84" s="98" t="s">
        <v>41</v>
      </c>
      <c r="N84" s="98" t="s">
        <v>41</v>
      </c>
      <c r="O84" s="98" t="s">
        <v>41</v>
      </c>
      <c r="P84" s="98" t="s">
        <v>41</v>
      </c>
      <c r="Q84" s="101">
        <f>I84*G84</f>
        <v>128627.92889505389</v>
      </c>
      <c r="R84" s="94">
        <v>2021</v>
      </c>
      <c r="S84" s="102" t="s">
        <v>52</v>
      </c>
      <c r="U84" s="87" t="s">
        <v>128</v>
      </c>
      <c r="V84" s="225">
        <v>33208</v>
      </c>
      <c r="W84" s="89">
        <v>501083.06</v>
      </c>
      <c r="X84" s="89">
        <v>0</v>
      </c>
      <c r="Y84" s="89">
        <v>64322825.93</v>
      </c>
      <c r="Z84" s="89">
        <v>291463.40000000002</v>
      </c>
      <c r="AA84" s="89">
        <v>17805309.079999998</v>
      </c>
      <c r="AB84" s="89">
        <v>46727136.510000005</v>
      </c>
      <c r="AC84" s="90" t="s">
        <v>133</v>
      </c>
      <c r="AD84" s="223">
        <v>900310</v>
      </c>
    </row>
    <row r="85" spans="3:30" ht="30" customHeight="1" outlineLevel="1" x14ac:dyDescent="0.25">
      <c r="C85" s="103" t="s">
        <v>134</v>
      </c>
      <c r="D85" s="104" t="s">
        <v>135</v>
      </c>
      <c r="E85" s="105">
        <v>1975</v>
      </c>
      <c r="F85" s="105" t="s">
        <v>39</v>
      </c>
      <c r="G85" s="203">
        <v>503.34</v>
      </c>
      <c r="H85" s="203" t="s">
        <v>40</v>
      </c>
      <c r="I85" s="107">
        <v>800</v>
      </c>
      <c r="J85" s="108">
        <f t="shared" si="3"/>
        <v>491880</v>
      </c>
      <c r="K85" s="109">
        <f>R85-E85</f>
        <v>46</v>
      </c>
      <c r="L85" s="105">
        <v>50</v>
      </c>
      <c r="M85" s="105">
        <v>30</v>
      </c>
      <c r="N85" s="111">
        <f t="shared" si="6"/>
        <v>402672</v>
      </c>
      <c r="O85" s="111">
        <f t="shared" si="4"/>
        <v>8053.44</v>
      </c>
      <c r="P85" s="111">
        <f t="shared" si="5"/>
        <v>241603.19999999998</v>
      </c>
      <c r="Q85" s="105" t="s">
        <v>41</v>
      </c>
      <c r="R85" s="105">
        <v>2021</v>
      </c>
      <c r="S85" s="204" t="s">
        <v>42</v>
      </c>
      <c r="U85" s="220" t="s">
        <v>134</v>
      </c>
      <c r="V85" s="73" t="s">
        <v>136</v>
      </c>
      <c r="W85" s="73">
        <v>171407.2</v>
      </c>
      <c r="X85" s="73">
        <v>0</v>
      </c>
      <c r="Y85" s="73">
        <v>105532537.98</v>
      </c>
      <c r="Z85" s="73">
        <v>171407.2</v>
      </c>
      <c r="AA85" s="73">
        <v>30271754.710000001</v>
      </c>
      <c r="AB85" s="73">
        <v>75260783.270000011</v>
      </c>
      <c r="AC85" s="74" t="s">
        <v>137</v>
      </c>
      <c r="AD85" s="221">
        <v>900016</v>
      </c>
    </row>
    <row r="86" spans="3:30" ht="30" customHeight="1" outlineLevel="1" x14ac:dyDescent="0.25">
      <c r="C86" s="114" t="s">
        <v>134</v>
      </c>
      <c r="D86" s="115" t="s">
        <v>44</v>
      </c>
      <c r="E86" s="116">
        <v>1975</v>
      </c>
      <c r="F86" s="116" t="s">
        <v>39</v>
      </c>
      <c r="G86" s="206">
        <v>152.16999999999999</v>
      </c>
      <c r="H86" s="206" t="s">
        <v>40</v>
      </c>
      <c r="I86" s="118">
        <v>30.54</v>
      </c>
      <c r="J86" s="119">
        <f t="shared" si="3"/>
        <v>18777.519</v>
      </c>
      <c r="K86" s="120">
        <f>R86-E86</f>
        <v>46</v>
      </c>
      <c r="L86" s="116">
        <v>15</v>
      </c>
      <c r="M86" s="116">
        <v>5</v>
      </c>
      <c r="N86" s="122">
        <f t="shared" si="6"/>
        <v>4647.2717999999995</v>
      </c>
      <c r="O86" s="122">
        <f t="shared" si="4"/>
        <v>309.81811999999996</v>
      </c>
      <c r="P86" s="122">
        <f t="shared" si="5"/>
        <v>1549.0905999999998</v>
      </c>
      <c r="Q86" s="116" t="s">
        <v>41</v>
      </c>
      <c r="R86" s="116">
        <v>2021</v>
      </c>
      <c r="S86" s="207" t="s">
        <v>42</v>
      </c>
      <c r="U86" s="226" t="s">
        <v>134</v>
      </c>
      <c r="V86" s="150">
        <v>27789</v>
      </c>
      <c r="W86" s="151">
        <v>195893.94</v>
      </c>
      <c r="X86" s="151">
        <v>0</v>
      </c>
      <c r="Y86" s="151">
        <v>0</v>
      </c>
      <c r="Z86" s="151">
        <v>195893.94</v>
      </c>
      <c r="AA86" s="151">
        <v>0</v>
      </c>
      <c r="AB86" s="151">
        <v>0</v>
      </c>
      <c r="AC86" s="152" t="s">
        <v>137</v>
      </c>
      <c r="AD86" s="227">
        <v>900017</v>
      </c>
    </row>
    <row r="87" spans="3:30" ht="30" customHeight="1" outlineLevel="1" x14ac:dyDescent="0.25">
      <c r="C87" s="114" t="s">
        <v>134</v>
      </c>
      <c r="D87" s="115" t="s">
        <v>46</v>
      </c>
      <c r="E87" s="116">
        <v>1975</v>
      </c>
      <c r="F87" s="116" t="s">
        <v>39</v>
      </c>
      <c r="G87" s="206">
        <v>210.76</v>
      </c>
      <c r="H87" s="206" t="s">
        <v>40</v>
      </c>
      <c r="I87" s="118">
        <v>3.4</v>
      </c>
      <c r="J87" s="119">
        <f t="shared" si="3"/>
        <v>2090.4900000000002</v>
      </c>
      <c r="K87" s="120">
        <f>R87-E87</f>
        <v>46</v>
      </c>
      <c r="L87" s="116">
        <v>10</v>
      </c>
      <c r="M87" s="116">
        <v>5</v>
      </c>
      <c r="N87" s="122">
        <f t="shared" si="6"/>
        <v>716.58399999999995</v>
      </c>
      <c r="O87" s="122">
        <f t="shared" si="4"/>
        <v>71.6584</v>
      </c>
      <c r="P87" s="122">
        <f t="shared" si="5"/>
        <v>358.29200000000003</v>
      </c>
      <c r="Q87" s="116" t="s">
        <v>41</v>
      </c>
      <c r="R87" s="116">
        <v>2021</v>
      </c>
      <c r="S87" s="207" t="s">
        <v>42</v>
      </c>
      <c r="U87" s="180"/>
      <c r="V87" s="155"/>
      <c r="W87" s="156"/>
      <c r="X87" s="156"/>
      <c r="Y87" s="156"/>
      <c r="Z87" s="156"/>
      <c r="AA87" s="156"/>
      <c r="AB87" s="156"/>
      <c r="AC87" s="157"/>
      <c r="AD87" s="184"/>
    </row>
    <row r="88" spans="3:30" ht="30" customHeight="1" outlineLevel="1" thickBot="1" x14ac:dyDescent="0.3">
      <c r="C88" s="159" t="s">
        <v>134</v>
      </c>
      <c r="D88" s="160" t="s">
        <v>48</v>
      </c>
      <c r="E88" s="161">
        <v>1975</v>
      </c>
      <c r="F88" s="161" t="s">
        <v>39</v>
      </c>
      <c r="G88" s="162">
        <f>G85</f>
        <v>503.34</v>
      </c>
      <c r="H88" s="218" t="s">
        <v>40</v>
      </c>
      <c r="I88" s="96">
        <f>+J88/$S$2</f>
        <v>155.0978940805505</v>
      </c>
      <c r="J88" s="97">
        <f>+((95000^(0.364-(0.00000133*G88)))/(G88^(0.364-(0.00000133*95000))))*6500</f>
        <v>95361.940175426484</v>
      </c>
      <c r="K88" s="163" t="s">
        <v>41</v>
      </c>
      <c r="L88" s="163" t="s">
        <v>41</v>
      </c>
      <c r="M88" s="163" t="s">
        <v>41</v>
      </c>
      <c r="N88" s="163" t="s">
        <v>41</v>
      </c>
      <c r="O88" s="163" t="s">
        <v>41</v>
      </c>
      <c r="P88" s="163" t="s">
        <v>41</v>
      </c>
      <c r="Q88" s="171">
        <f>I88*G88</f>
        <v>78066.974006504286</v>
      </c>
      <c r="R88" s="161">
        <v>2021</v>
      </c>
      <c r="S88" s="209" t="s">
        <v>42</v>
      </c>
      <c r="U88" s="181"/>
      <c r="V88" s="167"/>
      <c r="W88" s="168"/>
      <c r="X88" s="168"/>
      <c r="Y88" s="168"/>
      <c r="Z88" s="168"/>
      <c r="AA88" s="168"/>
      <c r="AB88" s="168"/>
      <c r="AC88" s="169"/>
      <c r="AD88" s="188"/>
    </row>
    <row r="89" spans="3:30" ht="30" customHeight="1" outlineLevel="1" x14ac:dyDescent="0.25">
      <c r="C89" s="103" t="s">
        <v>138</v>
      </c>
      <c r="D89" s="104" t="s">
        <v>139</v>
      </c>
      <c r="E89" s="105">
        <v>1975</v>
      </c>
      <c r="F89" s="105" t="s">
        <v>39</v>
      </c>
      <c r="G89" s="203">
        <v>69.349999999999994</v>
      </c>
      <c r="H89" s="203" t="s">
        <v>40</v>
      </c>
      <c r="I89" s="107">
        <v>600</v>
      </c>
      <c r="J89" s="108">
        <f t="shared" si="3"/>
        <v>368910</v>
      </c>
      <c r="K89" s="109">
        <f>R89-E89</f>
        <v>46</v>
      </c>
      <c r="L89" s="105">
        <v>50</v>
      </c>
      <c r="M89" s="105">
        <v>30</v>
      </c>
      <c r="N89" s="111">
        <f t="shared" si="6"/>
        <v>41610</v>
      </c>
      <c r="O89" s="111">
        <f t="shared" si="4"/>
        <v>832.2</v>
      </c>
      <c r="P89" s="111">
        <f t="shared" si="5"/>
        <v>24966</v>
      </c>
      <c r="Q89" s="105" t="s">
        <v>41</v>
      </c>
      <c r="R89" s="105">
        <v>2021</v>
      </c>
      <c r="S89" s="204" t="s">
        <v>66</v>
      </c>
      <c r="U89" s="228" t="s">
        <v>138</v>
      </c>
      <c r="V89" s="229" t="s">
        <v>140</v>
      </c>
      <c r="W89" s="230"/>
      <c r="X89" s="230"/>
      <c r="Y89" s="230"/>
      <c r="Z89" s="230"/>
      <c r="AA89" s="230"/>
      <c r="AB89" s="230"/>
      <c r="AC89" s="230"/>
      <c r="AD89" s="231"/>
    </row>
    <row r="90" spans="3:30" ht="30" customHeight="1" outlineLevel="1" x14ac:dyDescent="0.25">
      <c r="C90" s="114" t="s">
        <v>138</v>
      </c>
      <c r="D90" s="115" t="s">
        <v>44</v>
      </c>
      <c r="E90" s="116">
        <v>1975</v>
      </c>
      <c r="F90" s="116" t="s">
        <v>39</v>
      </c>
      <c r="G90" s="206">
        <v>15</v>
      </c>
      <c r="H90" s="206" t="s">
        <v>40</v>
      </c>
      <c r="I90" s="206">
        <v>30.54</v>
      </c>
      <c r="J90" s="119">
        <f t="shared" si="3"/>
        <v>18777.519</v>
      </c>
      <c r="K90" s="120">
        <f>R90-E90</f>
        <v>46</v>
      </c>
      <c r="L90" s="206">
        <v>15</v>
      </c>
      <c r="M90" s="206">
        <v>5</v>
      </c>
      <c r="N90" s="122">
        <f t="shared" si="6"/>
        <v>458.09999999999997</v>
      </c>
      <c r="O90" s="122">
        <f t="shared" si="4"/>
        <v>30.54</v>
      </c>
      <c r="P90" s="122">
        <f t="shared" si="5"/>
        <v>152.69999999999999</v>
      </c>
      <c r="Q90" s="116" t="s">
        <v>41</v>
      </c>
      <c r="R90" s="116">
        <v>2021</v>
      </c>
      <c r="S90" s="207" t="s">
        <v>66</v>
      </c>
      <c r="U90" s="232"/>
      <c r="V90" s="233"/>
      <c r="W90" s="234"/>
      <c r="X90" s="234"/>
      <c r="Y90" s="234"/>
      <c r="Z90" s="234"/>
      <c r="AA90" s="234"/>
      <c r="AB90" s="234"/>
      <c r="AC90" s="234"/>
      <c r="AD90" s="235"/>
    </row>
    <row r="91" spans="3:30" ht="30" customHeight="1" outlineLevel="1" x14ac:dyDescent="0.25">
      <c r="C91" s="114" t="s">
        <v>138</v>
      </c>
      <c r="D91" s="115" t="s">
        <v>46</v>
      </c>
      <c r="E91" s="116">
        <v>1975</v>
      </c>
      <c r="F91" s="116" t="s">
        <v>39</v>
      </c>
      <c r="G91" s="206">
        <v>60.93</v>
      </c>
      <c r="H91" s="206" t="s">
        <v>40</v>
      </c>
      <c r="I91" s="118">
        <v>3.4</v>
      </c>
      <c r="J91" s="119">
        <f t="shared" si="3"/>
        <v>2090.4900000000002</v>
      </c>
      <c r="K91" s="120">
        <f>R91-E91</f>
        <v>46</v>
      </c>
      <c r="L91" s="116">
        <v>10</v>
      </c>
      <c r="M91" s="116">
        <v>5</v>
      </c>
      <c r="N91" s="122">
        <f t="shared" si="6"/>
        <v>207.16200000000001</v>
      </c>
      <c r="O91" s="122">
        <f t="shared" si="4"/>
        <v>20.716200000000001</v>
      </c>
      <c r="P91" s="122">
        <f t="shared" si="5"/>
        <v>103.581</v>
      </c>
      <c r="Q91" s="116" t="s">
        <v>41</v>
      </c>
      <c r="R91" s="116">
        <v>2021</v>
      </c>
      <c r="S91" s="207" t="s">
        <v>66</v>
      </c>
      <c r="U91" s="232"/>
      <c r="V91" s="233"/>
      <c r="W91" s="234"/>
      <c r="X91" s="234"/>
      <c r="Y91" s="234"/>
      <c r="Z91" s="234"/>
      <c r="AA91" s="234"/>
      <c r="AB91" s="234"/>
      <c r="AC91" s="234"/>
      <c r="AD91" s="235"/>
    </row>
    <row r="92" spans="3:30" ht="30" customHeight="1" outlineLevel="1" thickBot="1" x14ac:dyDescent="0.3">
      <c r="C92" s="92" t="s">
        <v>138</v>
      </c>
      <c r="D92" s="236" t="s">
        <v>48</v>
      </c>
      <c r="E92" s="94">
        <v>1975</v>
      </c>
      <c r="F92" s="94" t="s">
        <v>39</v>
      </c>
      <c r="G92" s="95">
        <f>G89</f>
        <v>69.349999999999994</v>
      </c>
      <c r="H92" s="224" t="s">
        <v>40</v>
      </c>
      <c r="I92" s="96">
        <f>+J92/$S$2</f>
        <v>250.06433536249224</v>
      </c>
      <c r="J92" s="97">
        <f>+((95000^(0.364-(0.00000133*G92)))/(G92^(0.364-(0.00000133*95000))))*6500</f>
        <v>153752.05659762837</v>
      </c>
      <c r="K92" s="98" t="s">
        <v>41</v>
      </c>
      <c r="L92" s="98" t="s">
        <v>41</v>
      </c>
      <c r="M92" s="98" t="s">
        <v>41</v>
      </c>
      <c r="N92" s="98" t="s">
        <v>41</v>
      </c>
      <c r="O92" s="98" t="s">
        <v>41</v>
      </c>
      <c r="P92" s="98" t="s">
        <v>41</v>
      </c>
      <c r="Q92" s="101">
        <f>I92*G92</f>
        <v>17341.961657388834</v>
      </c>
      <c r="R92" s="94">
        <v>2021</v>
      </c>
      <c r="S92" s="237" t="s">
        <v>66</v>
      </c>
      <c r="U92" s="238"/>
      <c r="V92" s="239"/>
      <c r="W92" s="240"/>
      <c r="X92" s="240"/>
      <c r="Y92" s="240"/>
      <c r="Z92" s="240"/>
      <c r="AA92" s="240"/>
      <c r="AB92" s="240"/>
      <c r="AC92" s="240"/>
      <c r="AD92" s="241"/>
    </row>
    <row r="93" spans="3:30" ht="30" customHeight="1" outlineLevel="1" thickBot="1" x14ac:dyDescent="0.3">
      <c r="C93" s="242" t="s">
        <v>141</v>
      </c>
      <c r="D93" s="243" t="s">
        <v>142</v>
      </c>
      <c r="E93" s="244"/>
      <c r="F93" s="244"/>
      <c r="G93" s="245"/>
      <c r="H93" s="245"/>
      <c r="I93" s="245"/>
      <c r="J93" s="245"/>
      <c r="K93" s="245"/>
      <c r="L93" s="245"/>
      <c r="M93" s="245"/>
      <c r="N93" s="245"/>
      <c r="O93" s="245"/>
      <c r="P93" s="245"/>
      <c r="Q93" s="245"/>
      <c r="R93" s="245"/>
      <c r="S93" s="246"/>
      <c r="U93" s="247" t="s">
        <v>141</v>
      </c>
      <c r="V93" s="248">
        <v>32172</v>
      </c>
      <c r="W93" s="249">
        <v>215829</v>
      </c>
      <c r="X93" s="249">
        <v>0</v>
      </c>
      <c r="Y93" s="249">
        <v>0</v>
      </c>
      <c r="Z93" s="249">
        <v>215829</v>
      </c>
      <c r="AA93" s="249">
        <v>0</v>
      </c>
      <c r="AB93" s="249">
        <v>0</v>
      </c>
      <c r="AC93" s="250" t="s">
        <v>143</v>
      </c>
      <c r="AD93" s="251">
        <v>900217</v>
      </c>
    </row>
    <row r="94" spans="3:30" ht="30" customHeight="1" outlineLevel="1" x14ac:dyDescent="0.25">
      <c r="C94" s="252" t="s">
        <v>144</v>
      </c>
      <c r="D94" s="253" t="s">
        <v>145</v>
      </c>
      <c r="E94" s="254">
        <v>1980</v>
      </c>
      <c r="F94" s="254" t="s">
        <v>39</v>
      </c>
      <c r="G94" s="255">
        <v>37.67</v>
      </c>
      <c r="H94" s="255" t="s">
        <v>40</v>
      </c>
      <c r="I94" s="256">
        <v>800</v>
      </c>
      <c r="J94" s="257">
        <f t="shared" si="3"/>
        <v>491880</v>
      </c>
      <c r="K94" s="258">
        <f>R94-E94</f>
        <v>41</v>
      </c>
      <c r="L94" s="254">
        <v>50</v>
      </c>
      <c r="M94" s="254">
        <v>30</v>
      </c>
      <c r="N94" s="259">
        <f t="shared" si="6"/>
        <v>30136</v>
      </c>
      <c r="O94" s="259">
        <f t="shared" si="4"/>
        <v>602.72</v>
      </c>
      <c r="P94" s="259">
        <f t="shared" si="5"/>
        <v>18081.600000000002</v>
      </c>
      <c r="Q94" s="254" t="s">
        <v>41</v>
      </c>
      <c r="R94" s="254">
        <v>2021</v>
      </c>
      <c r="S94" s="260" t="s">
        <v>79</v>
      </c>
      <c r="U94" s="228" t="s">
        <v>144</v>
      </c>
      <c r="V94" s="229" t="s">
        <v>140</v>
      </c>
      <c r="W94" s="230"/>
      <c r="X94" s="230"/>
      <c r="Y94" s="230"/>
      <c r="Z94" s="230"/>
      <c r="AA94" s="230"/>
      <c r="AB94" s="230"/>
      <c r="AC94" s="230"/>
      <c r="AD94" s="231"/>
    </row>
    <row r="95" spans="3:30" ht="30" customHeight="1" outlineLevel="1" x14ac:dyDescent="0.25">
      <c r="C95" s="114" t="s">
        <v>144</v>
      </c>
      <c r="D95" s="115" t="s">
        <v>44</v>
      </c>
      <c r="E95" s="116">
        <v>1980</v>
      </c>
      <c r="F95" s="116" t="s">
        <v>39</v>
      </c>
      <c r="G95" s="206">
        <v>12.95</v>
      </c>
      <c r="H95" s="206" t="s">
        <v>40</v>
      </c>
      <c r="I95" s="118">
        <v>30.54</v>
      </c>
      <c r="J95" s="119">
        <f t="shared" si="3"/>
        <v>18777.519</v>
      </c>
      <c r="K95" s="120">
        <f>R95-E95</f>
        <v>41</v>
      </c>
      <c r="L95" s="116">
        <v>15</v>
      </c>
      <c r="M95" s="116">
        <v>5</v>
      </c>
      <c r="N95" s="122">
        <f t="shared" si="6"/>
        <v>395.49299999999999</v>
      </c>
      <c r="O95" s="122">
        <f t="shared" si="4"/>
        <v>26.366199999999999</v>
      </c>
      <c r="P95" s="122">
        <f t="shared" si="5"/>
        <v>131.83099999999999</v>
      </c>
      <c r="Q95" s="116" t="s">
        <v>41</v>
      </c>
      <c r="R95" s="116">
        <v>2021</v>
      </c>
      <c r="S95" s="207" t="s">
        <v>79</v>
      </c>
      <c r="U95" s="232"/>
      <c r="V95" s="233"/>
      <c r="W95" s="234"/>
      <c r="X95" s="234"/>
      <c r="Y95" s="234"/>
      <c r="Z95" s="234"/>
      <c r="AA95" s="234"/>
      <c r="AB95" s="234"/>
      <c r="AC95" s="234"/>
      <c r="AD95" s="235"/>
    </row>
    <row r="96" spans="3:30" ht="30" customHeight="1" outlineLevel="1" x14ac:dyDescent="0.25">
      <c r="C96" s="114" t="s">
        <v>144</v>
      </c>
      <c r="D96" s="115" t="s">
        <v>46</v>
      </c>
      <c r="E96" s="116">
        <v>1980</v>
      </c>
      <c r="F96" s="116" t="s">
        <v>39</v>
      </c>
      <c r="G96" s="206">
        <v>97.08</v>
      </c>
      <c r="H96" s="206" t="s">
        <v>40</v>
      </c>
      <c r="I96" s="118">
        <v>3.4</v>
      </c>
      <c r="J96" s="119">
        <f t="shared" si="3"/>
        <v>2090.4900000000002</v>
      </c>
      <c r="K96" s="120">
        <f>R96-E96</f>
        <v>41</v>
      </c>
      <c r="L96" s="116">
        <v>10</v>
      </c>
      <c r="M96" s="116">
        <v>5</v>
      </c>
      <c r="N96" s="122">
        <f t="shared" si="6"/>
        <v>330.072</v>
      </c>
      <c r="O96" s="122">
        <f t="shared" si="4"/>
        <v>33.007199999999997</v>
      </c>
      <c r="P96" s="122">
        <f t="shared" si="5"/>
        <v>165.036</v>
      </c>
      <c r="Q96" s="116" t="s">
        <v>41</v>
      </c>
      <c r="R96" s="116">
        <v>2021</v>
      </c>
      <c r="S96" s="207" t="s">
        <v>79</v>
      </c>
      <c r="U96" s="232"/>
      <c r="V96" s="233"/>
      <c r="W96" s="234"/>
      <c r="X96" s="234"/>
      <c r="Y96" s="234"/>
      <c r="Z96" s="234"/>
      <c r="AA96" s="234"/>
      <c r="AB96" s="234"/>
      <c r="AC96" s="234"/>
      <c r="AD96" s="235"/>
    </row>
    <row r="97" spans="2:30" ht="30" customHeight="1" outlineLevel="1" thickBot="1" x14ac:dyDescent="0.3">
      <c r="C97" s="159" t="s">
        <v>144</v>
      </c>
      <c r="D97" s="160" t="s">
        <v>48</v>
      </c>
      <c r="E97" s="161">
        <v>1980</v>
      </c>
      <c r="F97" s="161" t="s">
        <v>39</v>
      </c>
      <c r="G97" s="162">
        <f>G94</f>
        <v>37.67</v>
      </c>
      <c r="H97" s="218" t="s">
        <v>40</v>
      </c>
      <c r="I97" s="96">
        <f>+J97/$S$2</f>
        <v>289.23498517522768</v>
      </c>
      <c r="J97" s="97">
        <f>+((95000^(0.364-(0.00000133*G97)))/(G97^(0.364-(0.00000133*95000))))*6500</f>
        <v>177836.13063498875</v>
      </c>
      <c r="K97" s="163" t="s">
        <v>41</v>
      </c>
      <c r="L97" s="163" t="s">
        <v>41</v>
      </c>
      <c r="M97" s="163" t="s">
        <v>41</v>
      </c>
      <c r="N97" s="163" t="s">
        <v>41</v>
      </c>
      <c r="O97" s="163" t="s">
        <v>41</v>
      </c>
      <c r="P97" s="163" t="s">
        <v>41</v>
      </c>
      <c r="Q97" s="171">
        <f>I97*G97</f>
        <v>10895.481891550828</v>
      </c>
      <c r="R97" s="161">
        <v>2021</v>
      </c>
      <c r="S97" s="209" t="s">
        <v>79</v>
      </c>
      <c r="U97" s="232"/>
      <c r="V97" s="233"/>
      <c r="W97" s="234"/>
      <c r="X97" s="234"/>
      <c r="Y97" s="234"/>
      <c r="Z97" s="234"/>
      <c r="AA97" s="234"/>
      <c r="AB97" s="234"/>
      <c r="AC97" s="234"/>
      <c r="AD97" s="235"/>
    </row>
    <row r="98" spans="2:30" ht="30" customHeight="1" outlineLevel="1" x14ac:dyDescent="0.25">
      <c r="C98" s="103" t="s">
        <v>146</v>
      </c>
      <c r="D98" s="104" t="s">
        <v>147</v>
      </c>
      <c r="E98" s="105">
        <v>2011</v>
      </c>
      <c r="F98" s="105" t="s">
        <v>39</v>
      </c>
      <c r="G98" s="203">
        <f>G101+179.03</f>
        <v>357.49</v>
      </c>
      <c r="H98" s="203" t="s">
        <v>40</v>
      </c>
      <c r="I98" s="107">
        <v>700</v>
      </c>
      <c r="J98" s="108">
        <f t="shared" si="3"/>
        <v>430395</v>
      </c>
      <c r="K98" s="109">
        <f>R98-E98</f>
        <v>10</v>
      </c>
      <c r="L98" s="105">
        <v>50</v>
      </c>
      <c r="M98" s="105">
        <v>41</v>
      </c>
      <c r="N98" s="111">
        <f t="shared" si="6"/>
        <v>250243</v>
      </c>
      <c r="O98" s="111">
        <f t="shared" si="4"/>
        <v>5004.8599999999997</v>
      </c>
      <c r="P98" s="111">
        <f t="shared" si="5"/>
        <v>205199.25999999998</v>
      </c>
      <c r="Q98" s="105" t="s">
        <v>41</v>
      </c>
      <c r="R98" s="105">
        <v>2021</v>
      </c>
      <c r="S98" s="204" t="s">
        <v>79</v>
      </c>
      <c r="T98" s="219" t="s">
        <v>148</v>
      </c>
      <c r="U98" s="176" t="s">
        <v>146</v>
      </c>
      <c r="V98" s="189">
        <v>41207</v>
      </c>
      <c r="W98" s="178">
        <v>140495647.69999999</v>
      </c>
      <c r="X98" s="178">
        <v>0</v>
      </c>
      <c r="Y98" s="178">
        <v>44189636.350000001</v>
      </c>
      <c r="Z98" s="178">
        <v>20371868.780000001</v>
      </c>
      <c r="AA98" s="178">
        <v>1623812.11</v>
      </c>
      <c r="AB98" s="178">
        <v>162689603.15999997</v>
      </c>
      <c r="AC98" s="177" t="s">
        <v>149</v>
      </c>
      <c r="AD98" s="205">
        <v>900346</v>
      </c>
    </row>
    <row r="99" spans="2:30" ht="30" customHeight="1" outlineLevel="1" x14ac:dyDescent="0.25">
      <c r="C99" s="114" t="s">
        <v>146</v>
      </c>
      <c r="D99" s="115" t="s">
        <v>44</v>
      </c>
      <c r="E99" s="116">
        <v>2011</v>
      </c>
      <c r="F99" s="116" t="s">
        <v>39</v>
      </c>
      <c r="G99" s="206">
        <v>39.78</v>
      </c>
      <c r="H99" s="206" t="s">
        <v>40</v>
      </c>
      <c r="I99" s="118">
        <v>30.54</v>
      </c>
      <c r="J99" s="119">
        <f t="shared" si="3"/>
        <v>18777.519</v>
      </c>
      <c r="K99" s="120">
        <f>R99-E99</f>
        <v>10</v>
      </c>
      <c r="L99" s="116">
        <v>15</v>
      </c>
      <c r="M99" s="116">
        <v>10</v>
      </c>
      <c r="N99" s="122">
        <f t="shared" si="6"/>
        <v>1214.8812</v>
      </c>
      <c r="O99" s="122">
        <f t="shared" si="4"/>
        <v>80.992080000000001</v>
      </c>
      <c r="P99" s="122">
        <f t="shared" si="5"/>
        <v>809.92079999999999</v>
      </c>
      <c r="Q99" s="116" t="s">
        <v>41</v>
      </c>
      <c r="R99" s="116">
        <v>2021</v>
      </c>
      <c r="S99" s="207" t="s">
        <v>79</v>
      </c>
      <c r="T99" s="219" t="s">
        <v>148</v>
      </c>
      <c r="U99" s="180"/>
      <c r="V99" s="155"/>
      <c r="W99" s="156"/>
      <c r="X99" s="156"/>
      <c r="Y99" s="156"/>
      <c r="Z99" s="156"/>
      <c r="AA99" s="156"/>
      <c r="AB99" s="156"/>
      <c r="AC99" s="157"/>
      <c r="AD99" s="184"/>
    </row>
    <row r="100" spans="2:30" ht="30" customHeight="1" outlineLevel="1" x14ac:dyDescent="0.25">
      <c r="C100" s="114" t="s">
        <v>146</v>
      </c>
      <c r="D100" s="115" t="s">
        <v>46</v>
      </c>
      <c r="E100" s="116">
        <v>2011</v>
      </c>
      <c r="F100" s="116" t="s">
        <v>39</v>
      </c>
      <c r="G100" s="206">
        <v>186.87</v>
      </c>
      <c r="H100" s="206" t="s">
        <v>40</v>
      </c>
      <c r="I100" s="118">
        <v>3.4</v>
      </c>
      <c r="J100" s="119">
        <f t="shared" si="3"/>
        <v>2090.4900000000002</v>
      </c>
      <c r="K100" s="120">
        <f>R100-E100</f>
        <v>10</v>
      </c>
      <c r="L100" s="116">
        <v>10</v>
      </c>
      <c r="M100" s="116">
        <v>6</v>
      </c>
      <c r="N100" s="122">
        <f t="shared" si="6"/>
        <v>635.35799999999995</v>
      </c>
      <c r="O100" s="122">
        <f t="shared" si="4"/>
        <v>63.535799999999995</v>
      </c>
      <c r="P100" s="122">
        <f t="shared" si="5"/>
        <v>381.21479999999997</v>
      </c>
      <c r="Q100" s="116" t="s">
        <v>41</v>
      </c>
      <c r="R100" s="116">
        <v>2021</v>
      </c>
      <c r="S100" s="207" t="s">
        <v>79</v>
      </c>
      <c r="T100" s="219" t="s">
        <v>148</v>
      </c>
      <c r="U100" s="180"/>
      <c r="V100" s="155"/>
      <c r="W100" s="156"/>
      <c r="X100" s="156"/>
      <c r="Y100" s="156"/>
      <c r="Z100" s="156"/>
      <c r="AA100" s="156"/>
      <c r="AB100" s="156"/>
      <c r="AC100" s="157"/>
      <c r="AD100" s="184"/>
    </row>
    <row r="101" spans="2:30" ht="30" customHeight="1" outlineLevel="1" thickBot="1" x14ac:dyDescent="0.3">
      <c r="C101" s="159" t="s">
        <v>146</v>
      </c>
      <c r="D101" s="160" t="s">
        <v>48</v>
      </c>
      <c r="E101" s="161">
        <v>2011</v>
      </c>
      <c r="F101" s="161" t="s">
        <v>39</v>
      </c>
      <c r="G101" s="162">
        <f>178.46</f>
        <v>178.46</v>
      </c>
      <c r="H101" s="218" t="s">
        <v>40</v>
      </c>
      <c r="I101" s="96">
        <f>+J101/$S$2</f>
        <v>199.42307462542863</v>
      </c>
      <c r="J101" s="97">
        <f>+((95000^(0.364-(0.00000133*G101)))/(G101^(0.364-(0.00000133*95000))))*6500</f>
        <v>122615.27743344479</v>
      </c>
      <c r="K101" s="163" t="s">
        <v>41</v>
      </c>
      <c r="L101" s="163" t="s">
        <v>41</v>
      </c>
      <c r="M101" s="163" t="s">
        <v>41</v>
      </c>
      <c r="N101" s="163" t="s">
        <v>41</v>
      </c>
      <c r="O101" s="163" t="s">
        <v>41</v>
      </c>
      <c r="P101" s="163" t="s">
        <v>41</v>
      </c>
      <c r="Q101" s="171">
        <f>I101*G101</f>
        <v>35589.041897653995</v>
      </c>
      <c r="R101" s="161">
        <v>2021</v>
      </c>
      <c r="S101" s="209" t="s">
        <v>79</v>
      </c>
      <c r="T101" s="219" t="s">
        <v>148</v>
      </c>
      <c r="U101" s="181"/>
      <c r="V101" s="167"/>
      <c r="W101" s="168"/>
      <c r="X101" s="168"/>
      <c r="Y101" s="168"/>
      <c r="Z101" s="168"/>
      <c r="AA101" s="168"/>
      <c r="AB101" s="168"/>
      <c r="AC101" s="169"/>
      <c r="AD101" s="188"/>
    </row>
    <row r="102" spans="2:30" ht="30" customHeight="1" outlineLevel="1" x14ac:dyDescent="0.25">
      <c r="C102" s="103" t="s">
        <v>150</v>
      </c>
      <c r="D102" s="104" t="s">
        <v>151</v>
      </c>
      <c r="E102" s="105">
        <v>2016</v>
      </c>
      <c r="F102" s="105" t="s">
        <v>39</v>
      </c>
      <c r="G102" s="203">
        <v>1046.3</v>
      </c>
      <c r="H102" s="203" t="s">
        <v>40</v>
      </c>
      <c r="I102" s="107">
        <v>185</v>
      </c>
      <c r="J102" s="108">
        <f t="shared" si="3"/>
        <v>113747.25</v>
      </c>
      <c r="K102" s="109">
        <f>R102-E102</f>
        <v>5</v>
      </c>
      <c r="L102" s="105">
        <v>50</v>
      </c>
      <c r="M102" s="105">
        <v>46</v>
      </c>
      <c r="N102" s="111">
        <f t="shared" si="6"/>
        <v>193565.5</v>
      </c>
      <c r="O102" s="111">
        <f t="shared" si="4"/>
        <v>3871.31</v>
      </c>
      <c r="P102" s="111">
        <f t="shared" si="5"/>
        <v>178080.26</v>
      </c>
      <c r="Q102" s="105" t="s">
        <v>41</v>
      </c>
      <c r="R102" s="105">
        <v>2021</v>
      </c>
      <c r="S102" s="204" t="s">
        <v>79</v>
      </c>
      <c r="T102" s="219" t="s">
        <v>152</v>
      </c>
      <c r="U102" s="176" t="s">
        <v>150</v>
      </c>
      <c r="V102" s="189">
        <v>43236</v>
      </c>
      <c r="W102" s="178">
        <v>34061418</v>
      </c>
      <c r="X102" s="178">
        <v>0</v>
      </c>
      <c r="Y102" s="178">
        <v>0</v>
      </c>
      <c r="Z102" s="178">
        <v>1135380.5900000001</v>
      </c>
      <c r="AA102" s="178">
        <v>0</v>
      </c>
      <c r="AB102" s="178">
        <v>32926037.41</v>
      </c>
      <c r="AC102" s="177" t="s">
        <v>153</v>
      </c>
      <c r="AD102" s="205">
        <v>900395</v>
      </c>
    </row>
    <row r="103" spans="2:30" ht="30" customHeight="1" outlineLevel="1" x14ac:dyDescent="0.25">
      <c r="C103" s="114" t="s">
        <v>150</v>
      </c>
      <c r="D103" s="115" t="s">
        <v>44</v>
      </c>
      <c r="E103" s="116">
        <v>2016</v>
      </c>
      <c r="F103" s="116" t="s">
        <v>39</v>
      </c>
      <c r="G103" s="206">
        <v>39</v>
      </c>
      <c r="H103" s="206" t="s">
        <v>40</v>
      </c>
      <c r="I103" s="118">
        <v>30.54</v>
      </c>
      <c r="J103" s="119">
        <f t="shared" si="3"/>
        <v>18777.519</v>
      </c>
      <c r="K103" s="120">
        <f>R103-E103</f>
        <v>5</v>
      </c>
      <c r="L103" s="116">
        <v>15</v>
      </c>
      <c r="M103" s="116">
        <v>12</v>
      </c>
      <c r="N103" s="122">
        <f t="shared" si="6"/>
        <v>1191.06</v>
      </c>
      <c r="O103" s="122">
        <f t="shared" si="4"/>
        <v>79.403999999999996</v>
      </c>
      <c r="P103" s="122">
        <f t="shared" si="5"/>
        <v>952.84799999999996</v>
      </c>
      <c r="Q103" s="116" t="s">
        <v>41</v>
      </c>
      <c r="R103" s="116">
        <v>2021</v>
      </c>
      <c r="S103" s="207" t="s">
        <v>79</v>
      </c>
      <c r="T103" s="219" t="s">
        <v>152</v>
      </c>
      <c r="U103" s="180"/>
      <c r="V103" s="155"/>
      <c r="W103" s="156"/>
      <c r="X103" s="156"/>
      <c r="Y103" s="156"/>
      <c r="Z103" s="156"/>
      <c r="AA103" s="156"/>
      <c r="AB103" s="156"/>
      <c r="AC103" s="157"/>
      <c r="AD103" s="184"/>
    </row>
    <row r="104" spans="2:30" ht="30" customHeight="1" outlineLevel="1" x14ac:dyDescent="0.25">
      <c r="C104" s="114" t="s">
        <v>150</v>
      </c>
      <c r="D104" s="115" t="s">
        <v>46</v>
      </c>
      <c r="E104" s="116">
        <v>2016</v>
      </c>
      <c r="F104" s="116" t="s">
        <v>39</v>
      </c>
      <c r="G104" s="206">
        <v>240</v>
      </c>
      <c r="H104" s="206" t="s">
        <v>40</v>
      </c>
      <c r="I104" s="118">
        <v>3.4</v>
      </c>
      <c r="J104" s="119">
        <f t="shared" si="3"/>
        <v>2090.4900000000002</v>
      </c>
      <c r="K104" s="120">
        <f>R104-E104</f>
        <v>5</v>
      </c>
      <c r="L104" s="116">
        <v>10</v>
      </c>
      <c r="M104" s="116">
        <v>8</v>
      </c>
      <c r="N104" s="122">
        <f t="shared" si="6"/>
        <v>816</v>
      </c>
      <c r="O104" s="122">
        <f t="shared" si="4"/>
        <v>81.599999999999994</v>
      </c>
      <c r="P104" s="122">
        <f t="shared" si="5"/>
        <v>652.79999999999995</v>
      </c>
      <c r="Q104" s="116" t="s">
        <v>41</v>
      </c>
      <c r="R104" s="116">
        <v>2021</v>
      </c>
      <c r="S104" s="207" t="s">
        <v>79</v>
      </c>
      <c r="T104" s="219" t="s">
        <v>152</v>
      </c>
      <c r="U104" s="180"/>
      <c r="V104" s="155"/>
      <c r="W104" s="156"/>
      <c r="X104" s="156"/>
      <c r="Y104" s="156"/>
      <c r="Z104" s="156"/>
      <c r="AA104" s="156"/>
      <c r="AB104" s="156"/>
      <c r="AC104" s="157"/>
      <c r="AD104" s="184"/>
    </row>
    <row r="105" spans="2:30" ht="30" customHeight="1" outlineLevel="1" thickBot="1" x14ac:dyDescent="0.3">
      <c r="B105" s="1">
        <v>12</v>
      </c>
      <c r="C105" s="159" t="s">
        <v>150</v>
      </c>
      <c r="D105" s="160" t="s">
        <v>48</v>
      </c>
      <c r="E105" s="161">
        <v>2016</v>
      </c>
      <c r="F105" s="161" t="s">
        <v>39</v>
      </c>
      <c r="G105" s="162">
        <f>G102</f>
        <v>1046.3</v>
      </c>
      <c r="H105" s="218" t="s">
        <v>40</v>
      </c>
      <c r="I105" s="261">
        <f>+J105/$S$2</f>
        <v>129.26691192508207</v>
      </c>
      <c r="J105" s="208">
        <f>+((95000^(0.364-(0.00000133*G105)))/(G105^(0.364-(0.00000133*95000))))*6500</f>
        <v>79479.760797136711</v>
      </c>
      <c r="K105" s="163" t="s">
        <v>41</v>
      </c>
      <c r="L105" s="163" t="s">
        <v>41</v>
      </c>
      <c r="M105" s="163" t="s">
        <v>41</v>
      </c>
      <c r="N105" s="163" t="s">
        <v>41</v>
      </c>
      <c r="O105" s="163" t="s">
        <v>41</v>
      </c>
      <c r="P105" s="163" t="s">
        <v>41</v>
      </c>
      <c r="Q105" s="171">
        <f>I105*G105</f>
        <v>135251.96994721337</v>
      </c>
      <c r="R105" s="161">
        <v>2021</v>
      </c>
      <c r="S105" s="209" t="s">
        <v>79</v>
      </c>
      <c r="T105" s="219" t="s">
        <v>152</v>
      </c>
      <c r="U105" s="181"/>
      <c r="V105" s="167"/>
      <c r="W105" s="168"/>
      <c r="X105" s="168"/>
      <c r="Y105" s="168"/>
      <c r="Z105" s="168"/>
      <c r="AA105" s="168"/>
      <c r="AB105" s="168"/>
      <c r="AC105" s="169"/>
      <c r="AD105" s="188"/>
    </row>
    <row r="106" spans="2:30" ht="16.5" hidden="1" thickBot="1" x14ac:dyDescent="0.3">
      <c r="C106" s="262"/>
      <c r="D106" s="263" t="s">
        <v>154</v>
      </c>
      <c r="E106" s="210"/>
      <c r="F106" s="210"/>
      <c r="G106" s="210"/>
      <c r="H106" s="210"/>
      <c r="I106" s="213"/>
      <c r="J106" s="210"/>
      <c r="K106" s="210"/>
      <c r="L106" s="210"/>
      <c r="M106" s="210"/>
      <c r="N106" s="210"/>
      <c r="O106" s="210"/>
      <c r="P106" s="210"/>
      <c r="Q106" s="210"/>
      <c r="R106" s="210"/>
      <c r="S106" s="214"/>
      <c r="U106" s="264" t="s">
        <v>154</v>
      </c>
      <c r="V106" s="216"/>
      <c r="W106" s="216"/>
      <c r="X106" s="216"/>
      <c r="Y106" s="216"/>
      <c r="Z106" s="217"/>
      <c r="AA106" s="217"/>
      <c r="AB106" s="217"/>
      <c r="AC106" s="216"/>
      <c r="AD106" s="216"/>
    </row>
    <row r="107" spans="2:30" ht="30" customHeight="1" outlineLevel="1" x14ac:dyDescent="0.25">
      <c r="C107" s="103" t="s">
        <v>155</v>
      </c>
      <c r="D107" s="104" t="s">
        <v>156</v>
      </c>
      <c r="E107" s="110">
        <v>1978</v>
      </c>
      <c r="F107" s="110" t="s">
        <v>39</v>
      </c>
      <c r="G107" s="265">
        <f>G110+413.58</f>
        <v>807.62</v>
      </c>
      <c r="H107" s="265" t="s">
        <v>40</v>
      </c>
      <c r="I107" s="266">
        <v>1200</v>
      </c>
      <c r="J107" s="267">
        <f t="shared" ref="J107:J163" si="7">I107*$S$2</f>
        <v>737820</v>
      </c>
      <c r="K107" s="109">
        <f>R107-E107</f>
        <v>43</v>
      </c>
      <c r="L107" s="110">
        <v>50</v>
      </c>
      <c r="M107" s="110">
        <v>30</v>
      </c>
      <c r="N107" s="111">
        <f>+I107*G107</f>
        <v>969144</v>
      </c>
      <c r="O107" s="111">
        <f>+N107/L107</f>
        <v>19382.88</v>
      </c>
      <c r="P107" s="111">
        <f>(N107/L107)*M107</f>
        <v>581486.4</v>
      </c>
      <c r="Q107" s="110" t="s">
        <v>41</v>
      </c>
      <c r="R107" s="110">
        <v>2021</v>
      </c>
      <c r="S107" s="268" t="s">
        <v>157</v>
      </c>
      <c r="U107" s="176" t="s">
        <v>155</v>
      </c>
      <c r="V107" s="178" t="s">
        <v>158</v>
      </c>
      <c r="W107" s="178">
        <v>1072231.1299999999</v>
      </c>
      <c r="X107" s="178">
        <v>0</v>
      </c>
      <c r="Y107" s="178">
        <v>33060413.399999999</v>
      </c>
      <c r="Z107" s="178">
        <v>916757.37</v>
      </c>
      <c r="AA107" s="178">
        <v>10414709.630000001</v>
      </c>
      <c r="AB107" s="178">
        <v>22801177.530000001</v>
      </c>
      <c r="AC107" s="177" t="s">
        <v>159</v>
      </c>
      <c r="AD107" s="205">
        <v>900034</v>
      </c>
    </row>
    <row r="108" spans="2:30" ht="30" customHeight="1" outlineLevel="1" x14ac:dyDescent="0.25">
      <c r="C108" s="114" t="s">
        <v>155</v>
      </c>
      <c r="D108" s="115" t="s">
        <v>44</v>
      </c>
      <c r="E108" s="116">
        <v>1978</v>
      </c>
      <c r="F108" s="116" t="s">
        <v>39</v>
      </c>
      <c r="G108" s="206">
        <v>88.64</v>
      </c>
      <c r="H108" s="206" t="s">
        <v>40</v>
      </c>
      <c r="I108" s="118">
        <v>30.54</v>
      </c>
      <c r="J108" s="119">
        <f t="shared" si="7"/>
        <v>18777.519</v>
      </c>
      <c r="K108" s="120">
        <f>R108-E108</f>
        <v>43</v>
      </c>
      <c r="L108" s="116">
        <v>15</v>
      </c>
      <c r="M108" s="116">
        <v>5</v>
      </c>
      <c r="N108" s="122">
        <f>+I108*G108</f>
        <v>2707.0655999999999</v>
      </c>
      <c r="O108" s="122">
        <f>+N108/L108</f>
        <v>180.47103999999999</v>
      </c>
      <c r="P108" s="122">
        <f>(N108/L108)*M108</f>
        <v>902.35519999999997</v>
      </c>
      <c r="Q108" s="116" t="s">
        <v>41</v>
      </c>
      <c r="R108" s="116">
        <v>2021</v>
      </c>
      <c r="S108" s="124" t="s">
        <v>157</v>
      </c>
      <c r="U108" s="180"/>
      <c r="V108" s="156"/>
      <c r="W108" s="156"/>
      <c r="X108" s="156"/>
      <c r="Y108" s="156"/>
      <c r="Z108" s="156"/>
      <c r="AA108" s="156"/>
      <c r="AB108" s="156"/>
      <c r="AC108" s="157"/>
      <c r="AD108" s="184"/>
    </row>
    <row r="109" spans="2:30" ht="30" customHeight="1" outlineLevel="1" x14ac:dyDescent="0.25">
      <c r="C109" s="114" t="s">
        <v>155</v>
      </c>
      <c r="D109" s="115" t="s">
        <v>46</v>
      </c>
      <c r="E109" s="116">
        <v>1978</v>
      </c>
      <c r="F109" s="116" t="s">
        <v>39</v>
      </c>
      <c r="G109" s="206">
        <v>334.12</v>
      </c>
      <c r="H109" s="206" t="s">
        <v>40</v>
      </c>
      <c r="I109" s="118">
        <v>3.4</v>
      </c>
      <c r="J109" s="119">
        <f t="shared" si="7"/>
        <v>2090.4900000000002</v>
      </c>
      <c r="K109" s="120">
        <f>R109-E109</f>
        <v>43</v>
      </c>
      <c r="L109" s="116">
        <v>10</v>
      </c>
      <c r="M109" s="116">
        <v>5</v>
      </c>
      <c r="N109" s="122">
        <f>+I109*G109</f>
        <v>1136.008</v>
      </c>
      <c r="O109" s="122">
        <f>+N109/L109</f>
        <v>113.60080000000001</v>
      </c>
      <c r="P109" s="122">
        <f>(N109/L109)*M109</f>
        <v>568.00400000000002</v>
      </c>
      <c r="Q109" s="116" t="s">
        <v>41</v>
      </c>
      <c r="R109" s="116">
        <v>2021</v>
      </c>
      <c r="S109" s="124" t="s">
        <v>157</v>
      </c>
      <c r="U109" s="180"/>
      <c r="V109" s="156"/>
      <c r="W109" s="156"/>
      <c r="X109" s="156"/>
      <c r="Y109" s="156"/>
      <c r="Z109" s="156"/>
      <c r="AA109" s="156"/>
      <c r="AB109" s="156"/>
      <c r="AC109" s="157"/>
      <c r="AD109" s="184"/>
    </row>
    <row r="110" spans="2:30" ht="30" customHeight="1" outlineLevel="1" thickBot="1" x14ac:dyDescent="0.3">
      <c r="C110" s="159" t="s">
        <v>155</v>
      </c>
      <c r="D110" s="160" t="s">
        <v>48</v>
      </c>
      <c r="E110" s="161">
        <v>1978</v>
      </c>
      <c r="F110" s="161" t="s">
        <v>39</v>
      </c>
      <c r="G110" s="162">
        <f>394.04</f>
        <v>394.04</v>
      </c>
      <c r="H110" s="218" t="s">
        <v>40</v>
      </c>
      <c r="I110" s="96">
        <f>+J110/$S$2</f>
        <v>164.66326605767077</v>
      </c>
      <c r="J110" s="97">
        <f>+((95000^(0.364-(0.00000133*G110)))/(G110^(0.364-(0.00000133*95000))))*6500</f>
        <v>101243.20913555888</v>
      </c>
      <c r="K110" s="163" t="s">
        <v>41</v>
      </c>
      <c r="L110" s="163" t="s">
        <v>41</v>
      </c>
      <c r="M110" s="163" t="s">
        <v>41</v>
      </c>
      <c r="N110" s="163" t="s">
        <v>41</v>
      </c>
      <c r="O110" s="163" t="s">
        <v>41</v>
      </c>
      <c r="P110" s="163" t="s">
        <v>41</v>
      </c>
      <c r="Q110" s="171">
        <f>I110*G110</f>
        <v>64883.913357364596</v>
      </c>
      <c r="R110" s="161">
        <v>2021</v>
      </c>
      <c r="S110" s="165" t="s">
        <v>157</v>
      </c>
      <c r="U110" s="181"/>
      <c r="V110" s="168"/>
      <c r="W110" s="168"/>
      <c r="X110" s="168"/>
      <c r="Y110" s="168"/>
      <c r="Z110" s="168"/>
      <c r="AA110" s="168"/>
      <c r="AB110" s="168"/>
      <c r="AC110" s="169"/>
      <c r="AD110" s="188"/>
    </row>
    <row r="111" spans="2:30" ht="30" customHeight="1" outlineLevel="1" x14ac:dyDescent="0.25">
      <c r="C111" s="103" t="s">
        <v>160</v>
      </c>
      <c r="D111" s="104" t="s">
        <v>161</v>
      </c>
      <c r="E111" s="105">
        <v>1978</v>
      </c>
      <c r="F111" s="105" t="s">
        <v>39</v>
      </c>
      <c r="G111" s="203">
        <v>187.57</v>
      </c>
      <c r="H111" s="203" t="s">
        <v>40</v>
      </c>
      <c r="I111" s="107">
        <v>1800</v>
      </c>
      <c r="J111" s="108">
        <f t="shared" si="7"/>
        <v>1106730</v>
      </c>
      <c r="K111" s="109">
        <f>R111-E111</f>
        <v>43</v>
      </c>
      <c r="L111" s="105">
        <v>50</v>
      </c>
      <c r="M111" s="105">
        <v>30</v>
      </c>
      <c r="N111" s="111">
        <f>+I111*G111</f>
        <v>337626</v>
      </c>
      <c r="O111" s="111">
        <f>+N111/L111</f>
        <v>6752.52</v>
      </c>
      <c r="P111" s="111">
        <f>(N111/L111)*M111</f>
        <v>202575.6</v>
      </c>
      <c r="Q111" s="105" t="s">
        <v>41</v>
      </c>
      <c r="R111" s="105">
        <v>2021</v>
      </c>
      <c r="S111" s="113" t="s">
        <v>162</v>
      </c>
      <c r="U111" s="176" t="s">
        <v>160</v>
      </c>
      <c r="V111" s="177" t="s">
        <v>163</v>
      </c>
      <c r="W111" s="178">
        <v>212161.62</v>
      </c>
      <c r="X111" s="178">
        <v>0</v>
      </c>
      <c r="Y111" s="178">
        <v>1068573.5</v>
      </c>
      <c r="Z111" s="178">
        <v>188823.69</v>
      </c>
      <c r="AA111" s="178">
        <v>497237.16</v>
      </c>
      <c r="AB111" s="178">
        <v>594674.27000000025</v>
      </c>
      <c r="AC111" s="177" t="s">
        <v>164</v>
      </c>
      <c r="AD111" s="205">
        <v>900015</v>
      </c>
    </row>
    <row r="112" spans="2:30" ht="30" customHeight="1" outlineLevel="1" x14ac:dyDescent="0.25">
      <c r="C112" s="114" t="s">
        <v>160</v>
      </c>
      <c r="D112" s="115" t="s">
        <v>165</v>
      </c>
      <c r="E112" s="116">
        <v>1978</v>
      </c>
      <c r="F112" s="116" t="s">
        <v>39</v>
      </c>
      <c r="G112" s="206">
        <v>0</v>
      </c>
      <c r="H112" s="206" t="s">
        <v>87</v>
      </c>
      <c r="I112" s="118">
        <v>0</v>
      </c>
      <c r="J112" s="119">
        <f t="shared" si="7"/>
        <v>0</v>
      </c>
      <c r="K112" s="120">
        <v>0</v>
      </c>
      <c r="L112" s="116">
        <v>0</v>
      </c>
      <c r="M112" s="116">
        <v>0</v>
      </c>
      <c r="N112" s="122">
        <v>0</v>
      </c>
      <c r="O112" s="122">
        <v>0</v>
      </c>
      <c r="P112" s="122">
        <v>0</v>
      </c>
      <c r="Q112" s="116" t="s">
        <v>41</v>
      </c>
      <c r="R112" s="116" t="s">
        <v>87</v>
      </c>
      <c r="S112" s="124" t="s">
        <v>166</v>
      </c>
      <c r="U112" s="180"/>
      <c r="V112" s="157"/>
      <c r="W112" s="156"/>
      <c r="X112" s="156"/>
      <c r="Y112" s="156"/>
      <c r="Z112" s="156"/>
      <c r="AA112" s="156"/>
      <c r="AB112" s="156"/>
      <c r="AC112" s="157"/>
      <c r="AD112" s="184"/>
    </row>
    <row r="113" spans="3:33" ht="30" customHeight="1" outlineLevel="1" x14ac:dyDescent="0.25">
      <c r="C113" s="114" t="s">
        <v>160</v>
      </c>
      <c r="D113" s="115" t="s">
        <v>46</v>
      </c>
      <c r="E113" s="116">
        <v>1978</v>
      </c>
      <c r="F113" s="116" t="s">
        <v>39</v>
      </c>
      <c r="G113" s="206">
        <v>50</v>
      </c>
      <c r="H113" s="206" t="s">
        <v>40</v>
      </c>
      <c r="I113" s="118">
        <v>3.4</v>
      </c>
      <c r="J113" s="119">
        <f t="shared" si="7"/>
        <v>2090.4900000000002</v>
      </c>
      <c r="K113" s="120">
        <f>R113-E113</f>
        <v>43</v>
      </c>
      <c r="L113" s="116">
        <v>10</v>
      </c>
      <c r="M113" s="116">
        <v>5</v>
      </c>
      <c r="N113" s="122">
        <f>+I113*G113</f>
        <v>170</v>
      </c>
      <c r="O113" s="122">
        <f>+N113/L113</f>
        <v>17</v>
      </c>
      <c r="P113" s="122">
        <f>(N113/L113)*M113</f>
        <v>85</v>
      </c>
      <c r="Q113" s="116" t="s">
        <v>41</v>
      </c>
      <c r="R113" s="116">
        <v>2021</v>
      </c>
      <c r="S113" s="124" t="s">
        <v>162</v>
      </c>
      <c r="U113" s="180"/>
      <c r="V113" s="157"/>
      <c r="W113" s="156"/>
      <c r="X113" s="156"/>
      <c r="Y113" s="156"/>
      <c r="Z113" s="156"/>
      <c r="AA113" s="156"/>
      <c r="AB113" s="156"/>
      <c r="AC113" s="157"/>
      <c r="AD113" s="184"/>
    </row>
    <row r="114" spans="3:33" ht="51.75" customHeight="1" outlineLevel="1" thickBot="1" x14ac:dyDescent="0.3">
      <c r="C114" s="159" t="s">
        <v>160</v>
      </c>
      <c r="D114" s="160" t="s">
        <v>48</v>
      </c>
      <c r="E114" s="161">
        <v>1978</v>
      </c>
      <c r="F114" s="161" t="s">
        <v>39</v>
      </c>
      <c r="G114" s="162">
        <v>187.57</v>
      </c>
      <c r="H114" s="218" t="s">
        <v>40</v>
      </c>
      <c r="I114" s="96">
        <f>+J114/$S$2</f>
        <v>197.05003278810594</v>
      </c>
      <c r="J114" s="97">
        <f>+((95000^(0.364-(0.00000133*G114)))/(G114^(0.364-(0.00000133*95000))))*6500</f>
        <v>121156.21265976694</v>
      </c>
      <c r="K114" s="163" t="s">
        <v>41</v>
      </c>
      <c r="L114" s="163" t="s">
        <v>41</v>
      </c>
      <c r="M114" s="163" t="s">
        <v>41</v>
      </c>
      <c r="N114" s="163" t="s">
        <v>41</v>
      </c>
      <c r="O114" s="163" t="s">
        <v>41</v>
      </c>
      <c r="P114" s="163" t="s">
        <v>41</v>
      </c>
      <c r="Q114" s="171">
        <f>I114*G114</f>
        <v>36960.674650065026</v>
      </c>
      <c r="R114" s="161">
        <v>2021</v>
      </c>
      <c r="S114" s="165" t="s">
        <v>162</v>
      </c>
      <c r="U114" s="181"/>
      <c r="V114" s="169"/>
      <c r="W114" s="168"/>
      <c r="X114" s="168"/>
      <c r="Y114" s="168"/>
      <c r="Z114" s="168"/>
      <c r="AA114" s="168"/>
      <c r="AB114" s="168"/>
      <c r="AC114" s="169"/>
      <c r="AD114" s="188"/>
    </row>
    <row r="115" spans="3:33" ht="30" customHeight="1" outlineLevel="1" x14ac:dyDescent="0.25">
      <c r="C115" s="103" t="s">
        <v>167</v>
      </c>
      <c r="D115" s="104" t="s">
        <v>168</v>
      </c>
      <c r="E115" s="105">
        <v>1978</v>
      </c>
      <c r="F115" s="105" t="s">
        <v>39</v>
      </c>
      <c r="G115" s="203">
        <f>G118+1708.25</f>
        <v>3396.51</v>
      </c>
      <c r="H115" s="203" t="s">
        <v>40</v>
      </c>
      <c r="I115" s="107">
        <v>1500</v>
      </c>
      <c r="J115" s="108">
        <f t="shared" si="7"/>
        <v>922275</v>
      </c>
      <c r="K115" s="109">
        <f>R115-E115</f>
        <v>43</v>
      </c>
      <c r="L115" s="105">
        <v>50</v>
      </c>
      <c r="M115" s="105">
        <v>30</v>
      </c>
      <c r="N115" s="111">
        <f>+I115*G115</f>
        <v>5094765</v>
      </c>
      <c r="O115" s="111">
        <f>+N115/L115</f>
        <v>101895.3</v>
      </c>
      <c r="P115" s="111">
        <f>(N115/L115)*M115</f>
        <v>3056859</v>
      </c>
      <c r="Q115" s="105" t="s">
        <v>41</v>
      </c>
      <c r="R115" s="105">
        <v>2021</v>
      </c>
      <c r="S115" s="113" t="s">
        <v>169</v>
      </c>
      <c r="U115" s="220" t="s">
        <v>167</v>
      </c>
      <c r="V115" s="74" t="s">
        <v>170</v>
      </c>
      <c r="W115" s="73">
        <v>4171648.85</v>
      </c>
      <c r="X115" s="73">
        <v>0</v>
      </c>
      <c r="Y115" s="73">
        <v>336895148.99000001</v>
      </c>
      <c r="Z115" s="73">
        <v>3265160.95</v>
      </c>
      <c r="AA115" s="73">
        <v>59640942.640000001</v>
      </c>
      <c r="AB115" s="73">
        <v>278160694.25000006</v>
      </c>
      <c r="AC115" s="74" t="s">
        <v>171</v>
      </c>
      <c r="AD115" s="221">
        <v>900072</v>
      </c>
    </row>
    <row r="116" spans="3:33" ht="30" customHeight="1" outlineLevel="1" x14ac:dyDescent="0.25">
      <c r="C116" s="114" t="s">
        <v>167</v>
      </c>
      <c r="D116" s="115" t="s">
        <v>44</v>
      </c>
      <c r="E116" s="116">
        <v>1978</v>
      </c>
      <c r="F116" s="116" t="s">
        <v>39</v>
      </c>
      <c r="G116" s="206">
        <v>13.3</v>
      </c>
      <c r="H116" s="206" t="s">
        <v>40</v>
      </c>
      <c r="I116" s="118">
        <v>30.54</v>
      </c>
      <c r="J116" s="119">
        <f t="shared" si="7"/>
        <v>18777.519</v>
      </c>
      <c r="K116" s="120">
        <f>R116-E116</f>
        <v>43</v>
      </c>
      <c r="L116" s="116">
        <v>15</v>
      </c>
      <c r="M116" s="116">
        <v>5</v>
      </c>
      <c r="N116" s="122">
        <f>+I116*G116</f>
        <v>406.18200000000002</v>
      </c>
      <c r="O116" s="122">
        <f>+N116/L116</f>
        <v>27.078800000000001</v>
      </c>
      <c r="P116" s="122">
        <f>(N116/L116)*M116</f>
        <v>135.39400000000001</v>
      </c>
      <c r="Q116" s="116" t="s">
        <v>41</v>
      </c>
      <c r="R116" s="116">
        <v>2021</v>
      </c>
      <c r="S116" s="124" t="s">
        <v>169</v>
      </c>
      <c r="U116" s="87" t="s">
        <v>167</v>
      </c>
      <c r="V116" s="90" t="s">
        <v>170</v>
      </c>
      <c r="W116" s="89">
        <v>588309.44999999995</v>
      </c>
      <c r="X116" s="89">
        <v>0</v>
      </c>
      <c r="Y116" s="89">
        <v>3879000</v>
      </c>
      <c r="Z116" s="89">
        <v>482413.83</v>
      </c>
      <c r="AA116" s="89">
        <v>1618299.96</v>
      </c>
      <c r="AB116" s="89">
        <v>2366595.66</v>
      </c>
      <c r="AC116" s="90" t="s">
        <v>171</v>
      </c>
      <c r="AD116" s="223">
        <v>900073</v>
      </c>
    </row>
    <row r="117" spans="3:33" ht="30" customHeight="1" outlineLevel="1" x14ac:dyDescent="0.25">
      <c r="C117" s="114" t="s">
        <v>167</v>
      </c>
      <c r="D117" s="115" t="s">
        <v>46</v>
      </c>
      <c r="E117" s="116">
        <v>1978</v>
      </c>
      <c r="F117" s="116" t="s">
        <v>39</v>
      </c>
      <c r="G117" s="206">
        <v>515.03</v>
      </c>
      <c r="H117" s="206" t="s">
        <v>40</v>
      </c>
      <c r="I117" s="118">
        <v>3.4</v>
      </c>
      <c r="J117" s="119">
        <f t="shared" si="7"/>
        <v>2090.4900000000002</v>
      </c>
      <c r="K117" s="120">
        <f>R117-E117</f>
        <v>43</v>
      </c>
      <c r="L117" s="116">
        <v>10</v>
      </c>
      <c r="M117" s="116">
        <v>5</v>
      </c>
      <c r="N117" s="122">
        <f>+I117*G117</f>
        <v>1751.1019999999999</v>
      </c>
      <c r="O117" s="122">
        <f>+N117/L117</f>
        <v>175.11019999999999</v>
      </c>
      <c r="P117" s="122">
        <f>(N117/L117)*M117</f>
        <v>875.55099999999993</v>
      </c>
      <c r="Q117" s="116" t="s">
        <v>41</v>
      </c>
      <c r="R117" s="116">
        <v>2021</v>
      </c>
      <c r="S117" s="124" t="s">
        <v>169</v>
      </c>
      <c r="U117" s="87" t="s">
        <v>167</v>
      </c>
      <c r="V117" s="90" t="s">
        <v>170</v>
      </c>
      <c r="W117" s="89">
        <v>588309.44999999995</v>
      </c>
      <c r="X117" s="89">
        <v>0</v>
      </c>
      <c r="Y117" s="89">
        <v>0</v>
      </c>
      <c r="Z117" s="89">
        <v>482413.77</v>
      </c>
      <c r="AA117" s="89">
        <v>0</v>
      </c>
      <c r="AB117" s="89">
        <v>105895.67999999993</v>
      </c>
      <c r="AC117" s="90" t="s">
        <v>171</v>
      </c>
      <c r="AD117" s="223">
        <v>900074</v>
      </c>
    </row>
    <row r="118" spans="3:33" ht="30" customHeight="1" outlineLevel="1" x14ac:dyDescent="0.25">
      <c r="C118" s="269" t="s">
        <v>167</v>
      </c>
      <c r="D118" s="270" t="s">
        <v>48</v>
      </c>
      <c r="E118" s="271">
        <v>1978</v>
      </c>
      <c r="F118" s="271" t="s">
        <v>39</v>
      </c>
      <c r="G118" s="272">
        <v>1688.26</v>
      </c>
      <c r="H118" s="273" t="s">
        <v>40</v>
      </c>
      <c r="I118" s="274">
        <f>+J118/$S$2</f>
        <v>114.2503935488085</v>
      </c>
      <c r="J118" s="275">
        <f>+((95000^(0.364-(0.00000133*G118)))/(G118^(0.364-(0.00000133*95000))))*6500</f>
        <v>70246.854473484913</v>
      </c>
      <c r="K118" s="276" t="s">
        <v>41</v>
      </c>
      <c r="L118" s="276" t="s">
        <v>41</v>
      </c>
      <c r="M118" s="276" t="s">
        <v>41</v>
      </c>
      <c r="N118" s="276" t="s">
        <v>41</v>
      </c>
      <c r="O118" s="276" t="s">
        <v>41</v>
      </c>
      <c r="P118" s="276" t="s">
        <v>41</v>
      </c>
      <c r="Q118" s="277">
        <f>I118*G118</f>
        <v>192884.36941271144</v>
      </c>
      <c r="R118" s="271">
        <v>2021</v>
      </c>
      <c r="S118" s="278" t="s">
        <v>169</v>
      </c>
      <c r="U118" s="87" t="s">
        <v>167</v>
      </c>
      <c r="V118" s="90" t="s">
        <v>172</v>
      </c>
      <c r="W118" s="89">
        <v>156432.29999999999</v>
      </c>
      <c r="X118" s="89">
        <v>0</v>
      </c>
      <c r="Y118" s="89">
        <v>0</v>
      </c>
      <c r="Z118" s="89">
        <v>156432.29999999999</v>
      </c>
      <c r="AA118" s="89">
        <v>0</v>
      </c>
      <c r="AB118" s="89">
        <v>0</v>
      </c>
      <c r="AC118" s="90" t="s">
        <v>173</v>
      </c>
      <c r="AD118" s="223">
        <v>900233</v>
      </c>
    </row>
    <row r="119" spans="3:33" ht="30" customHeight="1" outlineLevel="1" thickBot="1" x14ac:dyDescent="0.3">
      <c r="C119" s="279"/>
      <c r="D119" s="280"/>
      <c r="E119" s="281"/>
      <c r="F119" s="281"/>
      <c r="G119" s="282"/>
      <c r="H119" s="282"/>
      <c r="I119" s="283"/>
      <c r="J119" s="284" t="e">
        <f t="shared" ref="J119" si="8">+((95000^(0.364-(0.00000133*G119)))/(G119^(0.364-(0.00000133*95000))))*6500</f>
        <v>#DIV/0!</v>
      </c>
      <c r="K119" s="285"/>
      <c r="L119" s="285"/>
      <c r="M119" s="285"/>
      <c r="N119" s="285"/>
      <c r="O119" s="285"/>
      <c r="P119" s="285"/>
      <c r="Q119" s="286"/>
      <c r="R119" s="281"/>
      <c r="S119" s="287"/>
      <c r="U119" s="288" t="s">
        <v>167</v>
      </c>
      <c r="V119" s="289">
        <v>39808</v>
      </c>
      <c r="W119" s="174">
        <v>10361830</v>
      </c>
      <c r="X119" s="174">
        <v>0</v>
      </c>
      <c r="Y119" s="174">
        <v>0</v>
      </c>
      <c r="Z119" s="174">
        <v>5742180.6900000004</v>
      </c>
      <c r="AA119" s="174">
        <v>0</v>
      </c>
      <c r="AB119" s="174">
        <v>4619649.3099999996</v>
      </c>
      <c r="AC119" s="173" t="s">
        <v>174</v>
      </c>
      <c r="AD119" s="290">
        <v>900294</v>
      </c>
    </row>
    <row r="120" spans="3:33" ht="30" customHeight="1" outlineLevel="1" thickBot="1" x14ac:dyDescent="0.3">
      <c r="C120" s="103" t="s">
        <v>175</v>
      </c>
      <c r="D120" s="104" t="s">
        <v>176</v>
      </c>
      <c r="E120" s="105">
        <v>1983</v>
      </c>
      <c r="F120" s="105" t="s">
        <v>39</v>
      </c>
      <c r="G120" s="203">
        <f>G123+520.07+520.07</f>
        <v>1560.21</v>
      </c>
      <c r="H120" s="203" t="s">
        <v>40</v>
      </c>
      <c r="I120" s="107">
        <v>2000</v>
      </c>
      <c r="J120" s="108">
        <v>8</v>
      </c>
      <c r="K120" s="109">
        <f>R120-E120</f>
        <v>38</v>
      </c>
      <c r="L120" s="105">
        <v>50</v>
      </c>
      <c r="M120" s="105">
        <v>30</v>
      </c>
      <c r="N120" s="111">
        <f>+I120*G120</f>
        <v>3120420</v>
      </c>
      <c r="O120" s="111">
        <f>+N120/L120</f>
        <v>62408.4</v>
      </c>
      <c r="P120" s="111">
        <f>((N120/L120)*M120)</f>
        <v>1872252</v>
      </c>
      <c r="Q120" s="105" t="s">
        <v>41</v>
      </c>
      <c r="R120" s="105">
        <v>2021</v>
      </c>
      <c r="S120" s="113" t="s">
        <v>66</v>
      </c>
      <c r="U120" s="220" t="s">
        <v>175</v>
      </c>
      <c r="V120" s="74" t="s">
        <v>84</v>
      </c>
      <c r="W120" s="73">
        <v>32871053</v>
      </c>
      <c r="X120" s="73">
        <v>0</v>
      </c>
      <c r="Y120" s="73">
        <v>90407364.969999999</v>
      </c>
      <c r="Z120" s="73">
        <v>14540607.01</v>
      </c>
      <c r="AA120" s="73">
        <v>20148283.309999999</v>
      </c>
      <c r="AB120" s="73">
        <v>88589527.649999991</v>
      </c>
      <c r="AC120" s="74" t="s">
        <v>177</v>
      </c>
      <c r="AD120" s="221">
        <v>900192</v>
      </c>
    </row>
    <row r="121" spans="3:33" ht="30" customHeight="1" outlineLevel="1" x14ac:dyDescent="0.25">
      <c r="C121" s="114" t="s">
        <v>175</v>
      </c>
      <c r="D121" s="115" t="s">
        <v>44</v>
      </c>
      <c r="E121" s="116">
        <v>1983</v>
      </c>
      <c r="F121" s="116" t="s">
        <v>39</v>
      </c>
      <c r="G121" s="206">
        <v>339</v>
      </c>
      <c r="H121" s="206" t="s">
        <v>40</v>
      </c>
      <c r="I121" s="118">
        <v>30.54</v>
      </c>
      <c r="J121" s="119">
        <f>I121*$S$2</f>
        <v>18777.519</v>
      </c>
      <c r="K121" s="120">
        <f>R121-E121</f>
        <v>40</v>
      </c>
      <c r="L121" s="116">
        <v>15</v>
      </c>
      <c r="M121" s="116">
        <v>5</v>
      </c>
      <c r="N121" s="122">
        <f>+I121*G121</f>
        <v>10353.06</v>
      </c>
      <c r="O121" s="122">
        <f>+N121/L121</f>
        <v>690.20399999999995</v>
      </c>
      <c r="P121" s="122">
        <f>(N121/L121)*M121</f>
        <v>3451.0199999999995</v>
      </c>
      <c r="Q121" s="291" t="s">
        <v>41</v>
      </c>
      <c r="R121" s="291">
        <v>2023</v>
      </c>
      <c r="S121" s="292" t="s">
        <v>66</v>
      </c>
      <c r="U121" s="87" t="s">
        <v>175</v>
      </c>
      <c r="V121" s="88">
        <v>32172</v>
      </c>
      <c r="W121" s="89">
        <v>283352.28000000003</v>
      </c>
      <c r="X121" s="89">
        <v>0</v>
      </c>
      <c r="Y121" s="89">
        <v>0</v>
      </c>
      <c r="Z121" s="89">
        <v>125341.5</v>
      </c>
      <c r="AA121" s="89">
        <v>0</v>
      </c>
      <c r="AB121" s="89">
        <v>158010.78000000003</v>
      </c>
      <c r="AC121" s="90" t="s">
        <v>178</v>
      </c>
      <c r="AD121" s="223">
        <v>900221</v>
      </c>
    </row>
    <row r="122" spans="3:33" ht="30" customHeight="1" outlineLevel="1" x14ac:dyDescent="0.25">
      <c r="C122" s="114" t="s">
        <v>175</v>
      </c>
      <c r="D122" s="115" t="s">
        <v>46</v>
      </c>
      <c r="E122" s="116">
        <v>1983</v>
      </c>
      <c r="F122" s="116" t="s">
        <v>39</v>
      </c>
      <c r="G122" s="206">
        <v>270</v>
      </c>
      <c r="H122" s="206" t="s">
        <v>40</v>
      </c>
      <c r="I122" s="118">
        <v>3.4</v>
      </c>
      <c r="J122" s="119">
        <f>I122*$S$2</f>
        <v>2090.4900000000002</v>
      </c>
      <c r="K122" s="120">
        <f>R122-E122</f>
        <v>38</v>
      </c>
      <c r="L122" s="116">
        <v>10</v>
      </c>
      <c r="M122" s="116">
        <v>5</v>
      </c>
      <c r="N122" s="122">
        <f>+I122*G122</f>
        <v>918</v>
      </c>
      <c r="O122" s="122">
        <f>+N122/L122</f>
        <v>91.8</v>
      </c>
      <c r="P122" s="122">
        <f>(N122/L122)*M122</f>
        <v>459</v>
      </c>
      <c r="Q122" s="116" t="s">
        <v>41</v>
      </c>
      <c r="R122" s="116">
        <v>2021</v>
      </c>
      <c r="S122" s="124" t="s">
        <v>66</v>
      </c>
      <c r="U122" s="226" t="s">
        <v>175</v>
      </c>
      <c r="V122" s="150">
        <v>32172</v>
      </c>
      <c r="W122" s="151">
        <v>724889.64</v>
      </c>
      <c r="X122" s="151">
        <v>0</v>
      </c>
      <c r="Y122" s="151">
        <v>0</v>
      </c>
      <c r="Z122" s="151">
        <v>380780.08</v>
      </c>
      <c r="AA122" s="151">
        <v>0</v>
      </c>
      <c r="AB122" s="151">
        <v>344109.56</v>
      </c>
      <c r="AC122" s="152" t="s">
        <v>179</v>
      </c>
      <c r="AD122" s="227">
        <v>900222</v>
      </c>
    </row>
    <row r="123" spans="3:33" ht="30" customHeight="1" outlineLevel="1" thickBot="1" x14ac:dyDescent="0.3">
      <c r="C123" s="159" t="s">
        <v>175</v>
      </c>
      <c r="D123" s="160" t="s">
        <v>48</v>
      </c>
      <c r="E123" s="161">
        <v>1983</v>
      </c>
      <c r="F123" s="161" t="s">
        <v>39</v>
      </c>
      <c r="G123" s="162">
        <v>520.07000000000005</v>
      </c>
      <c r="H123" s="218" t="s">
        <v>40</v>
      </c>
      <c r="I123" s="261">
        <f>+J123/$S$2</f>
        <v>153.85812202329649</v>
      </c>
      <c r="J123" s="97">
        <f>+((95000^(0.364-(0.00000133*G123)))/(G123^(0.364-(0.00000133*95000))))*6500</f>
        <v>94599.666326023842</v>
      </c>
      <c r="K123" s="163" t="s">
        <v>41</v>
      </c>
      <c r="L123" s="163" t="s">
        <v>41</v>
      </c>
      <c r="M123" s="163" t="s">
        <v>41</v>
      </c>
      <c r="N123" s="163" t="s">
        <v>41</v>
      </c>
      <c r="O123" s="163" t="s">
        <v>41</v>
      </c>
      <c r="P123" s="163" t="s">
        <v>41</v>
      </c>
      <c r="Q123" s="171">
        <f>I123*G123</f>
        <v>80016.993520655815</v>
      </c>
      <c r="R123" s="161">
        <v>2021</v>
      </c>
      <c r="S123" s="165" t="s">
        <v>66</v>
      </c>
      <c r="U123" s="181"/>
      <c r="V123" s="167"/>
      <c r="W123" s="168"/>
      <c r="X123" s="168"/>
      <c r="Y123" s="168"/>
      <c r="Z123" s="168"/>
      <c r="AA123" s="168"/>
      <c r="AB123" s="168"/>
      <c r="AC123" s="169"/>
      <c r="AD123" s="188"/>
    </row>
    <row r="124" spans="3:33" ht="30" customHeight="1" outlineLevel="1" thickBot="1" x14ac:dyDescent="0.3">
      <c r="C124" s="252" t="s">
        <v>180</v>
      </c>
      <c r="D124" s="253" t="s">
        <v>181</v>
      </c>
      <c r="E124" s="254">
        <v>2022</v>
      </c>
      <c r="F124" s="105" t="s">
        <v>39</v>
      </c>
      <c r="G124" s="203">
        <f>+G120</f>
        <v>1560.21</v>
      </c>
      <c r="H124" s="203" t="s">
        <v>40</v>
      </c>
      <c r="I124" s="107">
        <f>+J124/$S$2</f>
        <v>619.22627981140931</v>
      </c>
      <c r="J124" s="108">
        <f>594020747.47/G124</f>
        <v>380731.27814204502</v>
      </c>
      <c r="K124" s="258">
        <v>3</v>
      </c>
      <c r="L124" s="254">
        <v>40</v>
      </c>
      <c r="M124" s="254">
        <v>37</v>
      </c>
      <c r="N124" s="111">
        <f>+I124*G124</f>
        <v>966123.03402455896</v>
      </c>
      <c r="O124" s="111">
        <f>+N124/L124</f>
        <v>24153.075850613975</v>
      </c>
      <c r="P124" s="111">
        <f>((N124/L124)*M124)</f>
        <v>893663.80647271709</v>
      </c>
      <c r="Q124" s="105" t="s">
        <v>41</v>
      </c>
      <c r="R124" s="105">
        <v>2022</v>
      </c>
      <c r="S124" s="113" t="s">
        <v>66</v>
      </c>
      <c r="U124" s="293"/>
      <c r="V124" s="294"/>
      <c r="W124" s="295"/>
      <c r="X124" s="295"/>
      <c r="Y124" s="295"/>
      <c r="Z124" s="295"/>
      <c r="AA124" s="295"/>
      <c r="AB124" s="295"/>
      <c r="AC124" s="296"/>
      <c r="AD124" s="297"/>
      <c r="AG124" s="298"/>
    </row>
    <row r="125" spans="3:33" ht="35.25" customHeight="1" outlineLevel="1" x14ac:dyDescent="0.25">
      <c r="C125" s="103" t="s">
        <v>182</v>
      </c>
      <c r="D125" s="104" t="s">
        <v>183</v>
      </c>
      <c r="E125" s="105">
        <v>1983</v>
      </c>
      <c r="F125" s="105" t="s">
        <v>39</v>
      </c>
      <c r="G125" s="203">
        <v>59.6</v>
      </c>
      <c r="H125" s="203" t="s">
        <v>40</v>
      </c>
      <c r="I125" s="107">
        <v>1400</v>
      </c>
      <c r="J125" s="108">
        <f t="shared" si="7"/>
        <v>860790</v>
      </c>
      <c r="K125" s="109">
        <f>R125-E125</f>
        <v>38</v>
      </c>
      <c r="L125" s="105">
        <v>50</v>
      </c>
      <c r="M125" s="105">
        <v>30</v>
      </c>
      <c r="N125" s="111">
        <f>+I125*G125</f>
        <v>83440</v>
      </c>
      <c r="O125" s="111">
        <f>+N125/L125</f>
        <v>1668.8</v>
      </c>
      <c r="P125" s="111">
        <f>(N125/L125)*M125</f>
        <v>50064</v>
      </c>
      <c r="Q125" s="105" t="s">
        <v>41</v>
      </c>
      <c r="R125" s="105">
        <v>2021</v>
      </c>
      <c r="S125" s="113" t="s">
        <v>66</v>
      </c>
      <c r="U125" s="176" t="s">
        <v>182</v>
      </c>
      <c r="V125" s="177" t="s">
        <v>184</v>
      </c>
      <c r="W125" s="178">
        <v>24108155</v>
      </c>
      <c r="X125" s="178">
        <v>0</v>
      </c>
      <c r="Y125" s="178">
        <v>313140.18</v>
      </c>
      <c r="Z125" s="178">
        <v>5343974.45</v>
      </c>
      <c r="AA125" s="178">
        <v>57995.41</v>
      </c>
      <c r="AB125" s="178">
        <v>19019325.32</v>
      </c>
      <c r="AC125" s="177" t="s">
        <v>185</v>
      </c>
      <c r="AD125" s="205">
        <v>900298</v>
      </c>
    </row>
    <row r="126" spans="3:33" ht="30" customHeight="1" outlineLevel="1" x14ac:dyDescent="0.25">
      <c r="C126" s="114" t="s">
        <v>182</v>
      </c>
      <c r="D126" s="115" t="s">
        <v>44</v>
      </c>
      <c r="E126" s="116">
        <v>1983</v>
      </c>
      <c r="F126" s="116" t="s">
        <v>39</v>
      </c>
      <c r="G126" s="206">
        <v>60</v>
      </c>
      <c r="H126" s="206" t="s">
        <v>40</v>
      </c>
      <c r="I126" s="118">
        <v>30.54</v>
      </c>
      <c r="J126" s="119">
        <f t="shared" si="7"/>
        <v>18777.519</v>
      </c>
      <c r="K126" s="120">
        <f>R126-E126</f>
        <v>38</v>
      </c>
      <c r="L126" s="116">
        <v>15</v>
      </c>
      <c r="M126" s="116">
        <v>5</v>
      </c>
      <c r="N126" s="122">
        <f>+I126*G126</f>
        <v>1832.3999999999999</v>
      </c>
      <c r="O126" s="122">
        <f>+N126/L126</f>
        <v>122.16</v>
      </c>
      <c r="P126" s="122">
        <f>(N126/L126)*M126</f>
        <v>610.79999999999995</v>
      </c>
      <c r="Q126" s="116" t="s">
        <v>41</v>
      </c>
      <c r="R126" s="116">
        <v>2021</v>
      </c>
      <c r="S126" s="124" t="s">
        <v>66</v>
      </c>
      <c r="U126" s="180"/>
      <c r="V126" s="157"/>
      <c r="W126" s="156"/>
      <c r="X126" s="156"/>
      <c r="Y126" s="156"/>
      <c r="Z126" s="156"/>
      <c r="AA126" s="156"/>
      <c r="AB126" s="156"/>
      <c r="AC126" s="157"/>
      <c r="AD126" s="184"/>
    </row>
    <row r="127" spans="3:33" ht="30" customHeight="1" outlineLevel="1" x14ac:dyDescent="0.25">
      <c r="C127" s="114" t="s">
        <v>182</v>
      </c>
      <c r="D127" s="115" t="s">
        <v>46</v>
      </c>
      <c r="E127" s="116">
        <v>1983</v>
      </c>
      <c r="F127" s="116" t="s">
        <v>39</v>
      </c>
      <c r="G127" s="206">
        <v>60</v>
      </c>
      <c r="H127" s="206" t="s">
        <v>40</v>
      </c>
      <c r="I127" s="118">
        <v>3.4</v>
      </c>
      <c r="J127" s="119">
        <f t="shared" si="7"/>
        <v>2090.4900000000002</v>
      </c>
      <c r="K127" s="120">
        <f>R127-E127</f>
        <v>38</v>
      </c>
      <c r="L127" s="116">
        <v>10</v>
      </c>
      <c r="M127" s="116">
        <v>5</v>
      </c>
      <c r="N127" s="122">
        <f>+I127*G127</f>
        <v>204</v>
      </c>
      <c r="O127" s="122">
        <f>+N127/L127</f>
        <v>20.399999999999999</v>
      </c>
      <c r="P127" s="122">
        <f>(N127/L127)*M127</f>
        <v>102</v>
      </c>
      <c r="Q127" s="116" t="s">
        <v>41</v>
      </c>
      <c r="R127" s="116">
        <v>2021</v>
      </c>
      <c r="S127" s="124" t="s">
        <v>66</v>
      </c>
      <c r="U127" s="180"/>
      <c r="V127" s="157"/>
      <c r="W127" s="156"/>
      <c r="X127" s="156"/>
      <c r="Y127" s="156"/>
      <c r="Z127" s="156"/>
      <c r="AA127" s="156"/>
      <c r="AB127" s="156"/>
      <c r="AC127" s="157"/>
      <c r="AD127" s="184"/>
    </row>
    <row r="128" spans="3:33" ht="30" customHeight="1" outlineLevel="1" thickBot="1" x14ac:dyDescent="0.3">
      <c r="C128" s="159" t="s">
        <v>182</v>
      </c>
      <c r="D128" s="160" t="s">
        <v>48</v>
      </c>
      <c r="E128" s="161">
        <v>1983</v>
      </c>
      <c r="F128" s="161" t="s">
        <v>39</v>
      </c>
      <c r="G128" s="162">
        <f>59.6</f>
        <v>59.6</v>
      </c>
      <c r="H128" s="218" t="s">
        <v>40</v>
      </c>
      <c r="I128" s="261">
        <f>+J128/$S$2</f>
        <v>259.27086927517558</v>
      </c>
      <c r="J128" s="97">
        <f t="shared" ref="J128" si="9">+((95000^(0.364-(0.00000133*G128)))/(G128^(0.364-(0.00000133*95000))))*6500</f>
        <v>159412.69397384173</v>
      </c>
      <c r="K128" s="163" t="s">
        <v>41</v>
      </c>
      <c r="L128" s="163" t="s">
        <v>41</v>
      </c>
      <c r="M128" s="163" t="s">
        <v>41</v>
      </c>
      <c r="N128" s="163" t="s">
        <v>41</v>
      </c>
      <c r="O128" s="163" t="s">
        <v>41</v>
      </c>
      <c r="P128" s="163" t="s">
        <v>41</v>
      </c>
      <c r="Q128" s="171">
        <f>I128*G128</f>
        <v>15452.543808800465</v>
      </c>
      <c r="R128" s="161">
        <v>2021</v>
      </c>
      <c r="S128" s="165" t="s">
        <v>66</v>
      </c>
      <c r="U128" s="181"/>
      <c r="V128" s="169"/>
      <c r="W128" s="168"/>
      <c r="X128" s="168"/>
      <c r="Y128" s="168"/>
      <c r="Z128" s="168"/>
      <c r="AA128" s="168"/>
      <c r="AB128" s="168"/>
      <c r="AC128" s="169"/>
      <c r="AD128" s="188"/>
    </row>
    <row r="129" spans="3:30" ht="30" customHeight="1" outlineLevel="1" x14ac:dyDescent="0.25">
      <c r="C129" s="103" t="s">
        <v>186</v>
      </c>
      <c r="D129" s="104" t="s">
        <v>187</v>
      </c>
      <c r="E129" s="105">
        <v>1983</v>
      </c>
      <c r="F129" s="105" t="s">
        <v>39</v>
      </c>
      <c r="G129" s="203">
        <v>17.260000000000002</v>
      </c>
      <c r="H129" s="203" t="s">
        <v>40</v>
      </c>
      <c r="I129" s="107">
        <v>1200</v>
      </c>
      <c r="J129" s="108">
        <f t="shared" si="7"/>
        <v>737820</v>
      </c>
      <c r="K129" s="109">
        <f>R129-E129</f>
        <v>38</v>
      </c>
      <c r="L129" s="105">
        <v>50</v>
      </c>
      <c r="M129" s="105">
        <v>30</v>
      </c>
      <c r="N129" s="111">
        <f>+I129*G129</f>
        <v>20712.000000000004</v>
      </c>
      <c r="O129" s="111">
        <f>+N129/L129</f>
        <v>414.24000000000007</v>
      </c>
      <c r="P129" s="111">
        <f>(N129/L129)*M129</f>
        <v>12427.200000000003</v>
      </c>
      <c r="Q129" s="105" t="s">
        <v>41</v>
      </c>
      <c r="R129" s="105">
        <v>2021</v>
      </c>
      <c r="S129" s="113" t="s">
        <v>162</v>
      </c>
      <c r="U129" s="299" t="s">
        <v>186</v>
      </c>
      <c r="V129" s="229" t="s">
        <v>140</v>
      </c>
      <c r="W129" s="230"/>
      <c r="X129" s="230"/>
      <c r="Y129" s="230"/>
      <c r="Z129" s="230"/>
      <c r="AA129" s="230"/>
      <c r="AB129" s="230"/>
      <c r="AC129" s="230"/>
      <c r="AD129" s="300"/>
    </row>
    <row r="130" spans="3:30" ht="30" customHeight="1" outlineLevel="1" x14ac:dyDescent="0.25">
      <c r="C130" s="114" t="s">
        <v>186</v>
      </c>
      <c r="D130" s="115" t="s">
        <v>44</v>
      </c>
      <c r="E130" s="116">
        <v>1983</v>
      </c>
      <c r="F130" s="116" t="s">
        <v>39</v>
      </c>
      <c r="G130" s="206">
        <v>94.6</v>
      </c>
      <c r="H130" s="206" t="s">
        <v>40</v>
      </c>
      <c r="I130" s="118">
        <v>30.54</v>
      </c>
      <c r="J130" s="119">
        <f t="shared" si="7"/>
        <v>18777.519</v>
      </c>
      <c r="K130" s="120">
        <f>R130-E130</f>
        <v>38</v>
      </c>
      <c r="L130" s="116">
        <v>15</v>
      </c>
      <c r="M130" s="116">
        <v>5</v>
      </c>
      <c r="N130" s="122">
        <f>+I130*G130</f>
        <v>2889.0839999999998</v>
      </c>
      <c r="O130" s="122">
        <f>+N130/L130</f>
        <v>192.60559999999998</v>
      </c>
      <c r="P130" s="122">
        <f>(N130/L130)*M130</f>
        <v>963.02799999999991</v>
      </c>
      <c r="Q130" s="116" t="s">
        <v>41</v>
      </c>
      <c r="R130" s="116">
        <v>2021</v>
      </c>
      <c r="S130" s="124" t="s">
        <v>162</v>
      </c>
      <c r="U130" s="301"/>
      <c r="V130" s="233"/>
      <c r="W130" s="234"/>
      <c r="X130" s="234"/>
      <c r="Y130" s="234"/>
      <c r="Z130" s="234"/>
      <c r="AA130" s="234"/>
      <c r="AB130" s="234"/>
      <c r="AC130" s="234"/>
      <c r="AD130" s="302"/>
    </row>
    <row r="131" spans="3:30" ht="30" customHeight="1" outlineLevel="1" x14ac:dyDescent="0.25">
      <c r="C131" s="114" t="s">
        <v>186</v>
      </c>
      <c r="D131" s="303" t="s">
        <v>46</v>
      </c>
      <c r="E131" s="116">
        <v>1983</v>
      </c>
      <c r="F131" s="116" t="s">
        <v>39</v>
      </c>
      <c r="G131" s="206">
        <v>38.25</v>
      </c>
      <c r="H131" s="206" t="s">
        <v>40</v>
      </c>
      <c r="I131" s="118">
        <v>3.4</v>
      </c>
      <c r="J131" s="119">
        <f t="shared" si="7"/>
        <v>2090.4900000000002</v>
      </c>
      <c r="K131" s="120">
        <f>R131-E131</f>
        <v>38</v>
      </c>
      <c r="L131" s="116">
        <v>10</v>
      </c>
      <c r="M131" s="116">
        <v>5</v>
      </c>
      <c r="N131" s="122">
        <f>+I131*G131</f>
        <v>130.04999999999998</v>
      </c>
      <c r="O131" s="122">
        <f>+N131/L131</f>
        <v>13.004999999999999</v>
      </c>
      <c r="P131" s="122">
        <f>(N131/L131)*M131</f>
        <v>65.024999999999991</v>
      </c>
      <c r="Q131" s="116" t="s">
        <v>41</v>
      </c>
      <c r="R131" s="116">
        <v>2021</v>
      </c>
      <c r="S131" s="124" t="s">
        <v>162</v>
      </c>
      <c r="U131" s="301"/>
      <c r="V131" s="233"/>
      <c r="W131" s="234"/>
      <c r="X131" s="234"/>
      <c r="Y131" s="234"/>
      <c r="Z131" s="234"/>
      <c r="AA131" s="234"/>
      <c r="AB131" s="234"/>
      <c r="AC131" s="234"/>
      <c r="AD131" s="302"/>
    </row>
    <row r="132" spans="3:30" ht="30" customHeight="1" outlineLevel="1" thickBot="1" x14ac:dyDescent="0.3">
      <c r="C132" s="159" t="s">
        <v>186</v>
      </c>
      <c r="D132" s="304" t="s">
        <v>48</v>
      </c>
      <c r="E132" s="161">
        <v>1983</v>
      </c>
      <c r="F132" s="161" t="s">
        <v>39</v>
      </c>
      <c r="G132" s="162">
        <f>G129</f>
        <v>17.260000000000002</v>
      </c>
      <c r="H132" s="218" t="s">
        <v>40</v>
      </c>
      <c r="I132" s="261">
        <f>+J132/$S$2</f>
        <v>348.28803887064316</v>
      </c>
      <c r="J132" s="97">
        <f t="shared" ref="J132" si="10">+((95000^(0.364-(0.00000133*G132)))/(G132^(0.364-(0.00000133*95000))))*6500</f>
        <v>214144.90069961495</v>
      </c>
      <c r="K132" s="163" t="s">
        <v>41</v>
      </c>
      <c r="L132" s="163" t="s">
        <v>41</v>
      </c>
      <c r="M132" s="163" t="s">
        <v>41</v>
      </c>
      <c r="N132" s="163" t="s">
        <v>41</v>
      </c>
      <c r="O132" s="163" t="s">
        <v>41</v>
      </c>
      <c r="P132" s="163" t="s">
        <v>41</v>
      </c>
      <c r="Q132" s="171">
        <f>I132*G132</f>
        <v>6011.4515509073017</v>
      </c>
      <c r="R132" s="161">
        <v>2021</v>
      </c>
      <c r="S132" s="165" t="s">
        <v>162</v>
      </c>
      <c r="U132" s="305"/>
      <c r="V132" s="239"/>
      <c r="W132" s="240"/>
      <c r="X132" s="240"/>
      <c r="Y132" s="240"/>
      <c r="Z132" s="240"/>
      <c r="AA132" s="240"/>
      <c r="AB132" s="240"/>
      <c r="AC132" s="240"/>
      <c r="AD132" s="306"/>
    </row>
    <row r="133" spans="3:30" ht="30" customHeight="1" outlineLevel="1" x14ac:dyDescent="0.25">
      <c r="C133" s="138" t="s">
        <v>188</v>
      </c>
      <c r="D133" s="307" t="s">
        <v>189</v>
      </c>
      <c r="E133" s="140">
        <v>2015</v>
      </c>
      <c r="F133" s="308" t="s">
        <v>39</v>
      </c>
      <c r="G133" s="309">
        <v>10.9</v>
      </c>
      <c r="H133" s="309" t="s">
        <v>40</v>
      </c>
      <c r="I133" s="309">
        <v>800</v>
      </c>
      <c r="J133" s="309">
        <f t="shared" ref="J133:J135" si="11">I133*$S$2</f>
        <v>491880</v>
      </c>
      <c r="K133" s="310">
        <f>R133-E133</f>
        <v>6</v>
      </c>
      <c r="L133" s="309">
        <v>50</v>
      </c>
      <c r="M133" s="309">
        <v>45</v>
      </c>
      <c r="N133" s="111">
        <f>+I133*G133</f>
        <v>8720</v>
      </c>
      <c r="O133" s="311">
        <f>+N133/L133</f>
        <v>174.4</v>
      </c>
      <c r="P133" s="311">
        <f>(N133/L133)*M133</f>
        <v>7848</v>
      </c>
      <c r="Q133" s="311" t="s">
        <v>41</v>
      </c>
      <c r="R133" s="140">
        <v>2021</v>
      </c>
      <c r="S133" s="148" t="s">
        <v>79</v>
      </c>
      <c r="U133" s="299" t="s">
        <v>188</v>
      </c>
      <c r="V133" s="229" t="s">
        <v>140</v>
      </c>
      <c r="W133" s="230"/>
      <c r="X133" s="230"/>
      <c r="Y133" s="230"/>
      <c r="Z133" s="230"/>
      <c r="AA133" s="230"/>
      <c r="AB133" s="230"/>
      <c r="AC133" s="230"/>
      <c r="AD133" s="300"/>
    </row>
    <row r="134" spans="3:30" ht="30" customHeight="1" outlineLevel="1" x14ac:dyDescent="0.25">
      <c r="C134" s="114" t="s">
        <v>188</v>
      </c>
      <c r="D134" s="312" t="s">
        <v>190</v>
      </c>
      <c r="E134" s="116">
        <v>2015</v>
      </c>
      <c r="F134" s="187" t="s">
        <v>39</v>
      </c>
      <c r="G134" s="206">
        <v>4.3600000000000003</v>
      </c>
      <c r="H134" s="206" t="s">
        <v>40</v>
      </c>
      <c r="I134" s="206">
        <v>30.54</v>
      </c>
      <c r="J134" s="206">
        <f t="shared" si="11"/>
        <v>18777.519</v>
      </c>
      <c r="K134" s="313">
        <f>R134-E134</f>
        <v>6</v>
      </c>
      <c r="L134" s="206">
        <v>15</v>
      </c>
      <c r="M134" s="206">
        <v>12</v>
      </c>
      <c r="N134" s="122">
        <f>+I134*G134</f>
        <v>133.15440000000001</v>
      </c>
      <c r="O134" s="314">
        <f>+N134/L134</f>
        <v>8.8769600000000004</v>
      </c>
      <c r="P134" s="314">
        <f>(N134/L134)*M134</f>
        <v>106.52352</v>
      </c>
      <c r="Q134" s="314" t="s">
        <v>41</v>
      </c>
      <c r="R134" s="116">
        <v>2021</v>
      </c>
      <c r="S134" s="124" t="s">
        <v>79</v>
      </c>
      <c r="U134" s="301"/>
      <c r="V134" s="233"/>
      <c r="W134" s="234"/>
      <c r="X134" s="234"/>
      <c r="Y134" s="234"/>
      <c r="Z134" s="234"/>
      <c r="AA134" s="234"/>
      <c r="AB134" s="234"/>
      <c r="AC134" s="234"/>
      <c r="AD134" s="302"/>
    </row>
    <row r="135" spans="3:30" ht="30" customHeight="1" outlineLevel="1" x14ac:dyDescent="0.25">
      <c r="C135" s="114" t="s">
        <v>188</v>
      </c>
      <c r="D135" s="312" t="s">
        <v>191</v>
      </c>
      <c r="E135" s="116">
        <v>2015</v>
      </c>
      <c r="F135" s="187" t="s">
        <v>39</v>
      </c>
      <c r="G135" s="206">
        <v>40.36</v>
      </c>
      <c r="H135" s="206" t="s">
        <v>40</v>
      </c>
      <c r="I135" s="206">
        <v>3.4</v>
      </c>
      <c r="J135" s="206">
        <f t="shared" si="11"/>
        <v>2090.4900000000002</v>
      </c>
      <c r="K135" s="313">
        <f>R135-E135</f>
        <v>6</v>
      </c>
      <c r="L135" s="206">
        <v>10</v>
      </c>
      <c r="M135" s="206">
        <v>8</v>
      </c>
      <c r="N135" s="122">
        <f>+I135*G135</f>
        <v>137.22399999999999</v>
      </c>
      <c r="O135" s="314">
        <f>+N135/L135</f>
        <v>13.722399999999999</v>
      </c>
      <c r="P135" s="314">
        <f>(N135/L135)*M135</f>
        <v>109.77919999999999</v>
      </c>
      <c r="Q135" s="314" t="s">
        <v>41</v>
      </c>
      <c r="R135" s="116">
        <v>2021</v>
      </c>
      <c r="S135" s="124" t="s">
        <v>79</v>
      </c>
      <c r="U135" s="301"/>
      <c r="V135" s="233"/>
      <c r="W135" s="234"/>
      <c r="X135" s="234"/>
      <c r="Y135" s="234"/>
      <c r="Z135" s="234"/>
      <c r="AA135" s="234"/>
      <c r="AB135" s="234"/>
      <c r="AC135" s="234"/>
      <c r="AD135" s="302"/>
    </row>
    <row r="136" spans="3:30" ht="30" customHeight="1" outlineLevel="1" thickBot="1" x14ac:dyDescent="0.3">
      <c r="C136" s="131" t="s">
        <v>188</v>
      </c>
      <c r="D136" s="315" t="s">
        <v>48</v>
      </c>
      <c r="E136" s="133">
        <v>2015</v>
      </c>
      <c r="F136" s="316" t="s">
        <v>39</v>
      </c>
      <c r="G136" s="134">
        <f>G133</f>
        <v>10.9</v>
      </c>
      <c r="H136" s="317" t="s">
        <v>40</v>
      </c>
      <c r="I136" s="261">
        <f>+J136/$S$2</f>
        <v>388.52502968812632</v>
      </c>
      <c r="J136" s="97">
        <f t="shared" ref="J136" si="12">+((95000^(0.364-(0.00000133*G136)))/(G136^(0.364-(0.00000133*95000))))*6500</f>
        <v>238884.61450374447</v>
      </c>
      <c r="K136" s="318" t="s">
        <v>41</v>
      </c>
      <c r="L136" s="318" t="s">
        <v>41</v>
      </c>
      <c r="M136" s="318" t="s">
        <v>41</v>
      </c>
      <c r="N136" s="318" t="s">
        <v>41</v>
      </c>
      <c r="O136" s="318" t="s">
        <v>41</v>
      </c>
      <c r="P136" s="318" t="s">
        <v>41</v>
      </c>
      <c r="Q136" s="171">
        <f>I136*G136</f>
        <v>4234.9228236005774</v>
      </c>
      <c r="R136" s="133">
        <v>2021</v>
      </c>
      <c r="S136" s="137" t="s">
        <v>79</v>
      </c>
      <c r="U136" s="305"/>
      <c r="V136" s="239"/>
      <c r="W136" s="240"/>
      <c r="X136" s="240"/>
      <c r="Y136" s="240"/>
      <c r="Z136" s="240"/>
      <c r="AA136" s="240"/>
      <c r="AB136" s="240"/>
      <c r="AC136" s="240"/>
      <c r="AD136" s="306"/>
    </row>
    <row r="137" spans="3:30" ht="30" customHeight="1" outlineLevel="1" x14ac:dyDescent="0.25">
      <c r="C137" s="103" t="s">
        <v>192</v>
      </c>
      <c r="D137" s="319" t="s">
        <v>193</v>
      </c>
      <c r="E137" s="105">
        <v>1985</v>
      </c>
      <c r="F137" s="105" t="s">
        <v>39</v>
      </c>
      <c r="G137" s="203">
        <v>17.850000000000001</v>
      </c>
      <c r="H137" s="203" t="s">
        <v>40</v>
      </c>
      <c r="I137" s="107">
        <v>600</v>
      </c>
      <c r="J137" s="108">
        <f t="shared" si="7"/>
        <v>368910</v>
      </c>
      <c r="K137" s="109">
        <f>R137-E137</f>
        <v>36</v>
      </c>
      <c r="L137" s="105">
        <v>50</v>
      </c>
      <c r="M137" s="105">
        <v>30</v>
      </c>
      <c r="N137" s="111">
        <f>+I137*G137</f>
        <v>10710</v>
      </c>
      <c r="O137" s="111">
        <f>+N137/L137</f>
        <v>214.2</v>
      </c>
      <c r="P137" s="111">
        <f>(N137/L137)*M137</f>
        <v>6426</v>
      </c>
      <c r="Q137" s="105" t="s">
        <v>41</v>
      </c>
      <c r="R137" s="105">
        <v>2021</v>
      </c>
      <c r="S137" s="113" t="s">
        <v>79</v>
      </c>
      <c r="U137" s="299" t="s">
        <v>192</v>
      </c>
      <c r="V137" s="229" t="s">
        <v>140</v>
      </c>
      <c r="W137" s="230"/>
      <c r="X137" s="230"/>
      <c r="Y137" s="230"/>
      <c r="Z137" s="230"/>
      <c r="AA137" s="230"/>
      <c r="AB137" s="230"/>
      <c r="AC137" s="230"/>
      <c r="AD137" s="300"/>
    </row>
    <row r="138" spans="3:30" ht="30" customHeight="1" outlineLevel="1" x14ac:dyDescent="0.25">
      <c r="C138" s="114" t="s">
        <v>192</v>
      </c>
      <c r="D138" s="303" t="s">
        <v>44</v>
      </c>
      <c r="E138" s="116">
        <v>1985</v>
      </c>
      <c r="F138" s="116" t="s">
        <v>39</v>
      </c>
      <c r="G138" s="206">
        <v>6.64</v>
      </c>
      <c r="H138" s="206" t="s">
        <v>40</v>
      </c>
      <c r="I138" s="118">
        <v>30.54</v>
      </c>
      <c r="J138" s="119">
        <f t="shared" si="7"/>
        <v>18777.519</v>
      </c>
      <c r="K138" s="120">
        <f>R138-E138</f>
        <v>36</v>
      </c>
      <c r="L138" s="116">
        <v>15</v>
      </c>
      <c r="M138" s="116">
        <v>5</v>
      </c>
      <c r="N138" s="122">
        <f>+I138*G138</f>
        <v>202.78559999999999</v>
      </c>
      <c r="O138" s="122">
        <f>+N138/L138</f>
        <v>13.519039999999999</v>
      </c>
      <c r="P138" s="122">
        <f>(N138/L138)*M138</f>
        <v>67.595199999999991</v>
      </c>
      <c r="Q138" s="116" t="s">
        <v>41</v>
      </c>
      <c r="R138" s="116">
        <v>2021</v>
      </c>
      <c r="S138" s="124" t="s">
        <v>79</v>
      </c>
      <c r="U138" s="301"/>
      <c r="V138" s="233"/>
      <c r="W138" s="234"/>
      <c r="X138" s="234"/>
      <c r="Y138" s="234"/>
      <c r="Z138" s="234"/>
      <c r="AA138" s="234"/>
      <c r="AB138" s="234"/>
      <c r="AC138" s="234"/>
      <c r="AD138" s="302"/>
    </row>
    <row r="139" spans="3:30" ht="30" customHeight="1" outlineLevel="1" x14ac:dyDescent="0.25">
      <c r="C139" s="114" t="s">
        <v>192</v>
      </c>
      <c r="D139" s="115" t="s">
        <v>46</v>
      </c>
      <c r="E139" s="116">
        <v>1985</v>
      </c>
      <c r="F139" s="116" t="s">
        <v>39</v>
      </c>
      <c r="G139" s="206">
        <v>43.22</v>
      </c>
      <c r="H139" s="206" t="s">
        <v>40</v>
      </c>
      <c r="I139" s="118">
        <v>3.4</v>
      </c>
      <c r="J139" s="119">
        <f t="shared" si="7"/>
        <v>2090.4900000000002</v>
      </c>
      <c r="K139" s="120">
        <f>R139-E139</f>
        <v>36</v>
      </c>
      <c r="L139" s="116">
        <v>10</v>
      </c>
      <c r="M139" s="116">
        <v>5</v>
      </c>
      <c r="N139" s="122">
        <f>+I139*G139</f>
        <v>146.94799999999998</v>
      </c>
      <c r="O139" s="122">
        <f>+N139/L139</f>
        <v>14.694799999999997</v>
      </c>
      <c r="P139" s="122">
        <f>(N139/L139)*M139</f>
        <v>73.47399999999999</v>
      </c>
      <c r="Q139" s="116" t="s">
        <v>41</v>
      </c>
      <c r="R139" s="116">
        <v>2021</v>
      </c>
      <c r="S139" s="124" t="s">
        <v>79</v>
      </c>
      <c r="U139" s="301"/>
      <c r="V139" s="233"/>
      <c r="W139" s="234"/>
      <c r="X139" s="234"/>
      <c r="Y139" s="234"/>
      <c r="Z139" s="234"/>
      <c r="AA139" s="234"/>
      <c r="AB139" s="234"/>
      <c r="AC139" s="234"/>
      <c r="AD139" s="302"/>
    </row>
    <row r="140" spans="3:30" ht="30" customHeight="1" outlineLevel="1" thickBot="1" x14ac:dyDescent="0.3">
      <c r="C140" s="159" t="s">
        <v>192</v>
      </c>
      <c r="D140" s="160" t="s">
        <v>48</v>
      </c>
      <c r="E140" s="161">
        <v>1985</v>
      </c>
      <c r="F140" s="161" t="s">
        <v>39</v>
      </c>
      <c r="G140" s="162">
        <f>G137</f>
        <v>17.850000000000001</v>
      </c>
      <c r="H140" s="218" t="s">
        <v>40</v>
      </c>
      <c r="I140" s="261">
        <f>+J140/$S$2</f>
        <v>345.51394070225109</v>
      </c>
      <c r="J140" s="97">
        <f t="shared" ref="J140" si="13">+((95000^(0.364-(0.00000133*G140)))/(G140^(0.364-(0.00000133*95000))))*6500</f>
        <v>212439.2464407791</v>
      </c>
      <c r="K140" s="163" t="s">
        <v>41</v>
      </c>
      <c r="L140" s="163" t="s">
        <v>41</v>
      </c>
      <c r="M140" s="163" t="s">
        <v>41</v>
      </c>
      <c r="N140" s="163" t="s">
        <v>41</v>
      </c>
      <c r="O140" s="163" t="s">
        <v>41</v>
      </c>
      <c r="P140" s="163" t="s">
        <v>41</v>
      </c>
      <c r="Q140" s="171">
        <f>I140*G140</f>
        <v>6167.4238415351829</v>
      </c>
      <c r="R140" s="161">
        <v>2021</v>
      </c>
      <c r="S140" s="165" t="s">
        <v>79</v>
      </c>
      <c r="U140" s="305"/>
      <c r="V140" s="239"/>
      <c r="W140" s="240"/>
      <c r="X140" s="240"/>
      <c r="Y140" s="240"/>
      <c r="Z140" s="240"/>
      <c r="AA140" s="240"/>
      <c r="AB140" s="240"/>
      <c r="AC140" s="240"/>
      <c r="AD140" s="306"/>
    </row>
    <row r="141" spans="3:30" ht="30" customHeight="1" outlineLevel="1" x14ac:dyDescent="0.25">
      <c r="C141" s="103" t="s">
        <v>194</v>
      </c>
      <c r="D141" s="104" t="s">
        <v>195</v>
      </c>
      <c r="E141" s="105">
        <v>1985</v>
      </c>
      <c r="F141" s="105" t="s">
        <v>39</v>
      </c>
      <c r="G141" s="203">
        <v>274.33</v>
      </c>
      <c r="H141" s="203" t="s">
        <v>40</v>
      </c>
      <c r="I141" s="107">
        <v>1000</v>
      </c>
      <c r="J141" s="108">
        <f t="shared" si="7"/>
        <v>614850</v>
      </c>
      <c r="K141" s="109">
        <f>R141-E141</f>
        <v>36</v>
      </c>
      <c r="L141" s="105">
        <v>50</v>
      </c>
      <c r="M141" s="105">
        <v>30</v>
      </c>
      <c r="N141" s="111">
        <f>+I141*G141</f>
        <v>274330</v>
      </c>
      <c r="O141" s="111">
        <f>+N141/L141</f>
        <v>5486.6</v>
      </c>
      <c r="P141" s="111">
        <f>(N141/L141)*M141</f>
        <v>164598</v>
      </c>
      <c r="Q141" s="105" t="s">
        <v>41</v>
      </c>
      <c r="R141" s="105">
        <v>2021</v>
      </c>
      <c r="S141" s="113" t="s">
        <v>169</v>
      </c>
      <c r="U141" s="320" t="s">
        <v>194</v>
      </c>
      <c r="V141" s="176" t="s">
        <v>80</v>
      </c>
      <c r="W141" s="178">
        <v>13337627.369999999</v>
      </c>
      <c r="X141" s="178">
        <v>0</v>
      </c>
      <c r="Y141" s="178">
        <v>1740573.5</v>
      </c>
      <c r="Z141" s="178">
        <v>6692233.7800000003</v>
      </c>
      <c r="AA141" s="178">
        <v>296389.77</v>
      </c>
      <c r="AB141" s="178">
        <v>8089577.3199999984</v>
      </c>
      <c r="AC141" s="177" t="s">
        <v>196</v>
      </c>
      <c r="AD141" s="205">
        <v>900251</v>
      </c>
    </row>
    <row r="142" spans="3:30" ht="30" customHeight="1" outlineLevel="1" x14ac:dyDescent="0.25">
      <c r="C142" s="114" t="s">
        <v>194</v>
      </c>
      <c r="D142" s="115" t="s">
        <v>44</v>
      </c>
      <c r="E142" s="116">
        <v>1985</v>
      </c>
      <c r="F142" s="116" t="s">
        <v>39</v>
      </c>
      <c r="G142" s="206">
        <v>92.46</v>
      </c>
      <c r="H142" s="206" t="s">
        <v>40</v>
      </c>
      <c r="I142" s="118">
        <v>30.54</v>
      </c>
      <c r="J142" s="119">
        <f t="shared" si="7"/>
        <v>18777.519</v>
      </c>
      <c r="K142" s="120">
        <f>R142-E142</f>
        <v>36</v>
      </c>
      <c r="L142" s="116">
        <v>15</v>
      </c>
      <c r="M142" s="116">
        <v>5</v>
      </c>
      <c r="N142" s="122">
        <f>+I142*G142</f>
        <v>2823.7283999999995</v>
      </c>
      <c r="O142" s="122">
        <f>+N142/L142</f>
        <v>188.24855999999997</v>
      </c>
      <c r="P142" s="122">
        <f>(N142/L142)*M142</f>
        <v>941.24279999999987</v>
      </c>
      <c r="Q142" s="116" t="s">
        <v>41</v>
      </c>
      <c r="R142" s="116">
        <v>2021</v>
      </c>
      <c r="S142" s="124" t="s">
        <v>169</v>
      </c>
      <c r="U142" s="321"/>
      <c r="V142" s="180"/>
      <c r="W142" s="156"/>
      <c r="X142" s="156"/>
      <c r="Y142" s="156"/>
      <c r="Z142" s="156"/>
      <c r="AA142" s="156"/>
      <c r="AB142" s="156"/>
      <c r="AC142" s="157"/>
      <c r="AD142" s="184"/>
    </row>
    <row r="143" spans="3:30" ht="30" customHeight="1" outlineLevel="1" x14ac:dyDescent="0.25">
      <c r="C143" s="114" t="s">
        <v>194</v>
      </c>
      <c r="D143" s="115" t="s">
        <v>46</v>
      </c>
      <c r="E143" s="116">
        <v>1985</v>
      </c>
      <c r="F143" s="116" t="s">
        <v>39</v>
      </c>
      <c r="G143" s="206">
        <v>156.66</v>
      </c>
      <c r="H143" s="206" t="s">
        <v>40</v>
      </c>
      <c r="I143" s="118">
        <v>3.4</v>
      </c>
      <c r="J143" s="119">
        <f t="shared" si="7"/>
        <v>2090.4900000000002</v>
      </c>
      <c r="K143" s="120">
        <f>R143-E143</f>
        <v>36</v>
      </c>
      <c r="L143" s="116">
        <v>10</v>
      </c>
      <c r="M143" s="116">
        <v>5</v>
      </c>
      <c r="N143" s="122">
        <f>+I143*G143</f>
        <v>532.64400000000001</v>
      </c>
      <c r="O143" s="122">
        <f>+N143/L143</f>
        <v>53.264400000000002</v>
      </c>
      <c r="P143" s="122">
        <f>(N143/L143)*M143</f>
        <v>266.322</v>
      </c>
      <c r="Q143" s="116" t="s">
        <v>41</v>
      </c>
      <c r="R143" s="116">
        <v>2021</v>
      </c>
      <c r="S143" s="124" t="s">
        <v>169</v>
      </c>
      <c r="U143" s="321"/>
      <c r="V143" s="180"/>
      <c r="W143" s="156"/>
      <c r="X143" s="156"/>
      <c r="Y143" s="156"/>
      <c r="Z143" s="156"/>
      <c r="AA143" s="156"/>
      <c r="AB143" s="156"/>
      <c r="AC143" s="157"/>
      <c r="AD143" s="184"/>
    </row>
    <row r="144" spans="3:30" ht="30" customHeight="1" outlineLevel="1" thickBot="1" x14ac:dyDescent="0.3">
      <c r="C144" s="159" t="s">
        <v>194</v>
      </c>
      <c r="D144" s="160" t="s">
        <v>48</v>
      </c>
      <c r="E144" s="161">
        <v>1985</v>
      </c>
      <c r="F144" s="161" t="s">
        <v>39</v>
      </c>
      <c r="G144" s="162">
        <f>G141</f>
        <v>274.33</v>
      </c>
      <c r="H144" s="218" t="s">
        <v>40</v>
      </c>
      <c r="I144" s="261">
        <f>+J144/$S$2</f>
        <v>179.78926387798472</v>
      </c>
      <c r="J144" s="97">
        <f t="shared" ref="J144" si="14">+((95000^(0.364-(0.00000133*G144)))/(G144^(0.364-(0.00000133*95000))))*6500</f>
        <v>110543.42889537891</v>
      </c>
      <c r="K144" s="163" t="s">
        <v>41</v>
      </c>
      <c r="L144" s="163" t="s">
        <v>41</v>
      </c>
      <c r="M144" s="163" t="s">
        <v>41</v>
      </c>
      <c r="N144" s="163" t="s">
        <v>41</v>
      </c>
      <c r="O144" s="163" t="s">
        <v>41</v>
      </c>
      <c r="P144" s="163" t="s">
        <v>41</v>
      </c>
      <c r="Q144" s="171">
        <f>I144*G144</f>
        <v>49321.588759647544</v>
      </c>
      <c r="R144" s="161">
        <v>2021</v>
      </c>
      <c r="S144" s="165" t="s">
        <v>169</v>
      </c>
      <c r="U144" s="322"/>
      <c r="V144" s="181"/>
      <c r="W144" s="168"/>
      <c r="X144" s="168"/>
      <c r="Y144" s="168"/>
      <c r="Z144" s="168"/>
      <c r="AA144" s="168"/>
      <c r="AB144" s="168"/>
      <c r="AC144" s="169"/>
      <c r="AD144" s="188"/>
    </row>
    <row r="145" spans="3:30" ht="30" customHeight="1" outlineLevel="1" x14ac:dyDescent="0.25">
      <c r="C145" s="103" t="s">
        <v>197</v>
      </c>
      <c r="D145" s="104" t="s">
        <v>198</v>
      </c>
      <c r="E145" s="105">
        <v>1978</v>
      </c>
      <c r="F145" s="105" t="s">
        <v>39</v>
      </c>
      <c r="G145" s="203">
        <v>1237.8399999999999</v>
      </c>
      <c r="H145" s="203" t="s">
        <v>40</v>
      </c>
      <c r="I145" s="107">
        <v>1000</v>
      </c>
      <c r="J145" s="108">
        <f t="shared" si="7"/>
        <v>614850</v>
      </c>
      <c r="K145" s="109">
        <f>R145-E145</f>
        <v>43</v>
      </c>
      <c r="L145" s="105">
        <v>50</v>
      </c>
      <c r="M145" s="105">
        <v>30</v>
      </c>
      <c r="N145" s="111">
        <f>+I145*G145</f>
        <v>1237840</v>
      </c>
      <c r="O145" s="111">
        <f>+N145/L145</f>
        <v>24756.799999999999</v>
      </c>
      <c r="P145" s="111">
        <f>(N145/L145)*M145</f>
        <v>742704</v>
      </c>
      <c r="Q145" s="105" t="s">
        <v>41</v>
      </c>
      <c r="R145" s="105">
        <v>2021</v>
      </c>
      <c r="S145" s="113" t="s">
        <v>79</v>
      </c>
      <c r="U145" s="176" t="s">
        <v>197</v>
      </c>
      <c r="V145" s="177" t="s">
        <v>199</v>
      </c>
      <c r="W145" s="178">
        <v>2402682.86</v>
      </c>
      <c r="X145" s="178">
        <v>0</v>
      </c>
      <c r="Y145" s="178">
        <v>191066540.30000001</v>
      </c>
      <c r="Z145" s="178">
        <v>1982213.14</v>
      </c>
      <c r="AA145" s="178">
        <v>64697885.780000001</v>
      </c>
      <c r="AB145" s="178">
        <v>126789124.24000004</v>
      </c>
      <c r="AC145" s="177" t="s">
        <v>200</v>
      </c>
      <c r="AD145" s="205">
        <v>900056</v>
      </c>
    </row>
    <row r="146" spans="3:30" ht="30" customHeight="1" outlineLevel="1" x14ac:dyDescent="0.25">
      <c r="C146" s="114" t="s">
        <v>197</v>
      </c>
      <c r="D146" s="115" t="s">
        <v>44</v>
      </c>
      <c r="E146" s="116">
        <v>1978</v>
      </c>
      <c r="F146" s="116" t="s">
        <v>39</v>
      </c>
      <c r="G146" s="206">
        <v>107.29</v>
      </c>
      <c r="H146" s="206" t="s">
        <v>40</v>
      </c>
      <c r="I146" s="118">
        <v>30.54</v>
      </c>
      <c r="J146" s="119">
        <f t="shared" si="7"/>
        <v>18777.519</v>
      </c>
      <c r="K146" s="120">
        <f>R146-E146</f>
        <v>43</v>
      </c>
      <c r="L146" s="116">
        <v>15</v>
      </c>
      <c r="M146" s="116">
        <v>5</v>
      </c>
      <c r="N146" s="122">
        <f>+I146*G146</f>
        <v>3276.6366000000003</v>
      </c>
      <c r="O146" s="122">
        <f>+N146/L146</f>
        <v>218.44244</v>
      </c>
      <c r="P146" s="122">
        <f>(N146/L146)*M146</f>
        <v>1092.2121999999999</v>
      </c>
      <c r="Q146" s="116" t="s">
        <v>41</v>
      </c>
      <c r="R146" s="116">
        <v>2021</v>
      </c>
      <c r="S146" s="124" t="s">
        <v>79</v>
      </c>
      <c r="U146" s="180"/>
      <c r="V146" s="157"/>
      <c r="W146" s="156"/>
      <c r="X146" s="156"/>
      <c r="Y146" s="156"/>
      <c r="Z146" s="156"/>
      <c r="AA146" s="156"/>
      <c r="AB146" s="156"/>
      <c r="AC146" s="157"/>
      <c r="AD146" s="184"/>
    </row>
    <row r="147" spans="3:30" ht="30" customHeight="1" outlineLevel="1" x14ac:dyDescent="0.25">
      <c r="C147" s="114" t="s">
        <v>197</v>
      </c>
      <c r="D147" s="115" t="s">
        <v>46</v>
      </c>
      <c r="E147" s="116">
        <v>1978</v>
      </c>
      <c r="F147" s="116" t="s">
        <v>39</v>
      </c>
      <c r="G147" s="206">
        <v>384</v>
      </c>
      <c r="H147" s="206" t="s">
        <v>40</v>
      </c>
      <c r="I147" s="118">
        <v>3.4</v>
      </c>
      <c r="J147" s="119">
        <f t="shared" si="7"/>
        <v>2090.4900000000002</v>
      </c>
      <c r="K147" s="120">
        <f>R147-E147</f>
        <v>43</v>
      </c>
      <c r="L147" s="116">
        <v>10</v>
      </c>
      <c r="M147" s="116">
        <v>5</v>
      </c>
      <c r="N147" s="122">
        <f>+I147*G147</f>
        <v>1305.5999999999999</v>
      </c>
      <c r="O147" s="122">
        <f>+N147/L147</f>
        <v>130.56</v>
      </c>
      <c r="P147" s="122">
        <f>(N147/L147)*M147</f>
        <v>652.79999999999995</v>
      </c>
      <c r="Q147" s="116" t="s">
        <v>41</v>
      </c>
      <c r="R147" s="116">
        <v>2021</v>
      </c>
      <c r="S147" s="124" t="s">
        <v>79</v>
      </c>
      <c r="U147" s="180"/>
      <c r="V147" s="157"/>
      <c r="W147" s="156"/>
      <c r="X147" s="156"/>
      <c r="Y147" s="156"/>
      <c r="Z147" s="156"/>
      <c r="AA147" s="156"/>
      <c r="AB147" s="156"/>
      <c r="AC147" s="157"/>
      <c r="AD147" s="184"/>
    </row>
    <row r="148" spans="3:30" ht="30" customHeight="1" outlineLevel="1" thickBot="1" x14ac:dyDescent="0.3">
      <c r="C148" s="159" t="s">
        <v>197</v>
      </c>
      <c r="D148" s="160" t="s">
        <v>48</v>
      </c>
      <c r="E148" s="161">
        <v>1978</v>
      </c>
      <c r="F148" s="161" t="s">
        <v>39</v>
      </c>
      <c r="G148" s="162">
        <f>G145</f>
        <v>1237.8399999999999</v>
      </c>
      <c r="H148" s="218" t="s">
        <v>40</v>
      </c>
      <c r="I148" s="261">
        <f>+J148/$S$2</f>
        <v>123.8422655798275</v>
      </c>
      <c r="J148" s="97">
        <f t="shared" ref="J148" si="15">+((95000^(0.364-(0.00000133*G148)))/(G148^(0.364-(0.00000133*95000))))*6500</f>
        <v>76144.416991756938</v>
      </c>
      <c r="K148" s="163" t="s">
        <v>41</v>
      </c>
      <c r="L148" s="163" t="s">
        <v>41</v>
      </c>
      <c r="M148" s="163" t="s">
        <v>41</v>
      </c>
      <c r="N148" s="163" t="s">
        <v>41</v>
      </c>
      <c r="O148" s="163" t="s">
        <v>41</v>
      </c>
      <c r="P148" s="163" t="s">
        <v>41</v>
      </c>
      <c r="Q148" s="171">
        <f>I148*G148</f>
        <v>153296.91002533367</v>
      </c>
      <c r="R148" s="161">
        <v>2021</v>
      </c>
      <c r="S148" s="165" t="s">
        <v>79</v>
      </c>
      <c r="U148" s="181"/>
      <c r="V148" s="169"/>
      <c r="W148" s="168"/>
      <c r="X148" s="168"/>
      <c r="Y148" s="168"/>
      <c r="Z148" s="168"/>
      <c r="AA148" s="168"/>
      <c r="AB148" s="168"/>
      <c r="AC148" s="169"/>
      <c r="AD148" s="188"/>
    </row>
    <row r="149" spans="3:30" ht="30" customHeight="1" outlineLevel="1" x14ac:dyDescent="0.25">
      <c r="C149" s="103" t="s">
        <v>201</v>
      </c>
      <c r="D149" s="319" t="s">
        <v>202</v>
      </c>
      <c r="E149" s="105">
        <v>1985</v>
      </c>
      <c r="F149" s="323" t="s">
        <v>39</v>
      </c>
      <c r="G149" s="203">
        <v>0</v>
      </c>
      <c r="H149" s="203" t="s">
        <v>87</v>
      </c>
      <c r="I149" s="203">
        <v>0</v>
      </c>
      <c r="J149" s="203">
        <v>0</v>
      </c>
      <c r="K149" s="265">
        <v>0</v>
      </c>
      <c r="L149" s="203">
        <v>0</v>
      </c>
      <c r="M149" s="203">
        <v>0</v>
      </c>
      <c r="N149" s="324">
        <v>0</v>
      </c>
      <c r="O149" s="324">
        <v>0</v>
      </c>
      <c r="P149" s="324">
        <v>0</v>
      </c>
      <c r="Q149" s="203">
        <v>0</v>
      </c>
      <c r="R149" s="105" t="s">
        <v>87</v>
      </c>
      <c r="S149" s="113" t="s">
        <v>203</v>
      </c>
      <c r="U149" s="299" t="s">
        <v>201</v>
      </c>
      <c r="V149" s="229" t="s">
        <v>140</v>
      </c>
      <c r="W149" s="230"/>
      <c r="X149" s="230"/>
      <c r="Y149" s="230"/>
      <c r="Z149" s="230"/>
      <c r="AA149" s="230"/>
      <c r="AB149" s="230"/>
      <c r="AC149" s="230"/>
      <c r="AD149" s="300"/>
    </row>
    <row r="150" spans="3:30" ht="30" customHeight="1" outlineLevel="1" x14ac:dyDescent="0.25">
      <c r="C150" s="114" t="s">
        <v>201</v>
      </c>
      <c r="D150" s="312" t="s">
        <v>190</v>
      </c>
      <c r="E150" s="116">
        <v>1985</v>
      </c>
      <c r="F150" s="187" t="s">
        <v>39</v>
      </c>
      <c r="G150" s="206">
        <v>0</v>
      </c>
      <c r="H150" s="206" t="s">
        <v>87</v>
      </c>
      <c r="I150" s="206">
        <v>0</v>
      </c>
      <c r="J150" s="206">
        <v>0</v>
      </c>
      <c r="K150" s="313">
        <v>0</v>
      </c>
      <c r="L150" s="206">
        <v>0</v>
      </c>
      <c r="M150" s="206">
        <v>0</v>
      </c>
      <c r="N150" s="314">
        <f t="shared" ref="N150:N151" si="16">+I150*G150</f>
        <v>0</v>
      </c>
      <c r="O150" s="314">
        <v>0</v>
      </c>
      <c r="P150" s="314">
        <v>0</v>
      </c>
      <c r="Q150" s="206">
        <v>0</v>
      </c>
      <c r="R150" s="116" t="s">
        <v>87</v>
      </c>
      <c r="S150" s="124" t="s">
        <v>203</v>
      </c>
      <c r="U150" s="301"/>
      <c r="V150" s="233"/>
      <c r="W150" s="234"/>
      <c r="X150" s="234"/>
      <c r="Y150" s="234"/>
      <c r="Z150" s="234"/>
      <c r="AA150" s="234"/>
      <c r="AB150" s="234"/>
      <c r="AC150" s="234"/>
      <c r="AD150" s="302"/>
    </row>
    <row r="151" spans="3:30" ht="30" customHeight="1" outlineLevel="1" x14ac:dyDescent="0.25">
      <c r="C151" s="114" t="s">
        <v>201</v>
      </c>
      <c r="D151" s="312" t="s">
        <v>191</v>
      </c>
      <c r="E151" s="116">
        <v>1985</v>
      </c>
      <c r="F151" s="187" t="s">
        <v>39</v>
      </c>
      <c r="G151" s="206">
        <v>0</v>
      </c>
      <c r="H151" s="206" t="s">
        <v>87</v>
      </c>
      <c r="I151" s="206">
        <v>0</v>
      </c>
      <c r="J151" s="206">
        <v>0</v>
      </c>
      <c r="K151" s="313">
        <v>0</v>
      </c>
      <c r="L151" s="206">
        <v>0</v>
      </c>
      <c r="M151" s="206">
        <v>0</v>
      </c>
      <c r="N151" s="314">
        <f t="shared" si="16"/>
        <v>0</v>
      </c>
      <c r="O151" s="314">
        <v>0</v>
      </c>
      <c r="P151" s="314">
        <v>0</v>
      </c>
      <c r="Q151" s="206">
        <v>0</v>
      </c>
      <c r="R151" s="116" t="s">
        <v>87</v>
      </c>
      <c r="S151" s="124" t="s">
        <v>203</v>
      </c>
      <c r="U151" s="301"/>
      <c r="V151" s="233"/>
      <c r="W151" s="234"/>
      <c r="X151" s="234"/>
      <c r="Y151" s="234"/>
      <c r="Z151" s="234"/>
      <c r="AA151" s="234"/>
      <c r="AB151" s="234"/>
      <c r="AC151" s="234"/>
      <c r="AD151" s="302"/>
    </row>
    <row r="152" spans="3:30" ht="30" customHeight="1" outlineLevel="1" thickBot="1" x14ac:dyDescent="0.3">
      <c r="C152" s="159" t="s">
        <v>201</v>
      </c>
      <c r="D152" s="325" t="s">
        <v>48</v>
      </c>
      <c r="E152" s="161">
        <v>1985</v>
      </c>
      <c r="F152" s="316" t="s">
        <v>39</v>
      </c>
      <c r="G152" s="162">
        <f>G149</f>
        <v>0</v>
      </c>
      <c r="H152" s="218" t="s">
        <v>87</v>
      </c>
      <c r="I152" s="261" t="e">
        <f>+J152/$S$2</f>
        <v>#DIV/0!</v>
      </c>
      <c r="J152" s="97" t="e">
        <f t="shared" ref="J152" si="17">+((95000^(0.364-(0.00000133*G152)))/(G152^(0.364-(0.00000133*95000))))*6500</f>
        <v>#DIV/0!</v>
      </c>
      <c r="K152" s="326">
        <v>0</v>
      </c>
      <c r="L152" s="326">
        <v>0</v>
      </c>
      <c r="M152" s="326">
        <v>0</v>
      </c>
      <c r="N152" s="326">
        <v>0</v>
      </c>
      <c r="O152" s="326">
        <v>0</v>
      </c>
      <c r="P152" s="326">
        <v>0</v>
      </c>
      <c r="Q152" s="326" t="e">
        <f>I152*G152</f>
        <v>#DIV/0!</v>
      </c>
      <c r="R152" s="161" t="s">
        <v>87</v>
      </c>
      <c r="S152" s="165" t="s">
        <v>203</v>
      </c>
      <c r="U152" s="305"/>
      <c r="V152" s="239"/>
      <c r="W152" s="240"/>
      <c r="X152" s="240"/>
      <c r="Y152" s="240"/>
      <c r="Z152" s="240"/>
      <c r="AA152" s="240"/>
      <c r="AB152" s="240"/>
      <c r="AC152" s="240"/>
      <c r="AD152" s="306"/>
    </row>
    <row r="153" spans="3:30" ht="30" customHeight="1" outlineLevel="1" x14ac:dyDescent="0.25">
      <c r="C153" s="103" t="s">
        <v>204</v>
      </c>
      <c r="D153" s="104" t="s">
        <v>205</v>
      </c>
      <c r="E153" s="105">
        <v>1983</v>
      </c>
      <c r="F153" s="105" t="s">
        <v>39</v>
      </c>
      <c r="G153" s="203">
        <v>77.010000000000005</v>
      </c>
      <c r="H153" s="203" t="s">
        <v>40</v>
      </c>
      <c r="I153" s="107">
        <v>1200</v>
      </c>
      <c r="J153" s="108">
        <f t="shared" si="7"/>
        <v>737820</v>
      </c>
      <c r="K153" s="109">
        <f>R153-E153</f>
        <v>38</v>
      </c>
      <c r="L153" s="105">
        <v>50</v>
      </c>
      <c r="M153" s="105">
        <v>30</v>
      </c>
      <c r="N153" s="111">
        <f>+I153*G153</f>
        <v>92412</v>
      </c>
      <c r="O153" s="111">
        <f>+N153/L153</f>
        <v>1848.24</v>
      </c>
      <c r="P153" s="111">
        <f>(N153/L153)*M153</f>
        <v>55447.199999999997</v>
      </c>
      <c r="Q153" s="105" t="s">
        <v>41</v>
      </c>
      <c r="R153" s="105">
        <v>2021</v>
      </c>
      <c r="S153" s="113" t="s">
        <v>66</v>
      </c>
      <c r="U153" s="176" t="s">
        <v>204</v>
      </c>
      <c r="V153" s="189">
        <v>32172</v>
      </c>
      <c r="W153" s="178">
        <v>344715.85</v>
      </c>
      <c r="X153" s="178">
        <v>0</v>
      </c>
      <c r="Y153" s="178">
        <v>0</v>
      </c>
      <c r="Z153" s="178">
        <v>152485.74</v>
      </c>
      <c r="AA153" s="178">
        <v>0</v>
      </c>
      <c r="AB153" s="178">
        <v>192230.11</v>
      </c>
      <c r="AC153" s="177" t="s">
        <v>206</v>
      </c>
      <c r="AD153" s="205">
        <v>900193</v>
      </c>
    </row>
    <row r="154" spans="3:30" ht="30" customHeight="1" outlineLevel="1" x14ac:dyDescent="0.25">
      <c r="C154" s="114" t="s">
        <v>204</v>
      </c>
      <c r="D154" s="115" t="s">
        <v>44</v>
      </c>
      <c r="E154" s="116">
        <v>1983</v>
      </c>
      <c r="F154" s="116" t="s">
        <v>39</v>
      </c>
      <c r="G154" s="206">
        <v>28.9</v>
      </c>
      <c r="H154" s="206" t="s">
        <v>40</v>
      </c>
      <c r="I154" s="118">
        <v>30.54</v>
      </c>
      <c r="J154" s="119">
        <f t="shared" si="7"/>
        <v>18777.519</v>
      </c>
      <c r="K154" s="120">
        <f>R154-E154</f>
        <v>38</v>
      </c>
      <c r="L154" s="116">
        <v>15</v>
      </c>
      <c r="M154" s="116">
        <v>5</v>
      </c>
      <c r="N154" s="122">
        <f>+I154*G154</f>
        <v>882.60599999999988</v>
      </c>
      <c r="O154" s="122">
        <f>+N154/L154</f>
        <v>58.840399999999995</v>
      </c>
      <c r="P154" s="122">
        <f>(N154/L154)*M154</f>
        <v>294.202</v>
      </c>
      <c r="Q154" s="116" t="s">
        <v>41</v>
      </c>
      <c r="R154" s="116">
        <v>2021</v>
      </c>
      <c r="S154" s="124" t="s">
        <v>66</v>
      </c>
      <c r="U154" s="180"/>
      <c r="V154" s="155"/>
      <c r="W154" s="156"/>
      <c r="X154" s="156"/>
      <c r="Y154" s="156"/>
      <c r="Z154" s="156"/>
      <c r="AA154" s="156"/>
      <c r="AB154" s="156"/>
      <c r="AC154" s="157"/>
      <c r="AD154" s="184"/>
    </row>
    <row r="155" spans="3:30" ht="30" customHeight="1" outlineLevel="1" x14ac:dyDescent="0.25">
      <c r="C155" s="114" t="s">
        <v>204</v>
      </c>
      <c r="D155" s="115" t="s">
        <v>46</v>
      </c>
      <c r="E155" s="116">
        <v>1983</v>
      </c>
      <c r="F155" s="116" t="s">
        <v>39</v>
      </c>
      <c r="G155" s="206">
        <v>93.55</v>
      </c>
      <c r="H155" s="206" t="s">
        <v>40</v>
      </c>
      <c r="I155" s="118">
        <v>3.4</v>
      </c>
      <c r="J155" s="119">
        <f t="shared" si="7"/>
        <v>2090.4900000000002</v>
      </c>
      <c r="K155" s="120">
        <f>R155-E155</f>
        <v>38</v>
      </c>
      <c r="L155" s="116">
        <v>10</v>
      </c>
      <c r="M155" s="116">
        <v>5</v>
      </c>
      <c r="N155" s="122">
        <f>+I155*G155</f>
        <v>318.07</v>
      </c>
      <c r="O155" s="122">
        <f>+N155/L155</f>
        <v>31.806999999999999</v>
      </c>
      <c r="P155" s="122">
        <f>(N155/L155)*M155</f>
        <v>159.035</v>
      </c>
      <c r="Q155" s="116" t="s">
        <v>41</v>
      </c>
      <c r="R155" s="116">
        <v>2021</v>
      </c>
      <c r="S155" s="124" t="s">
        <v>66</v>
      </c>
      <c r="U155" s="180"/>
      <c r="V155" s="155"/>
      <c r="W155" s="156"/>
      <c r="X155" s="156"/>
      <c r="Y155" s="156"/>
      <c r="Z155" s="156"/>
      <c r="AA155" s="156"/>
      <c r="AB155" s="156"/>
      <c r="AC155" s="157"/>
      <c r="AD155" s="184"/>
    </row>
    <row r="156" spans="3:30" ht="30" customHeight="1" outlineLevel="1" thickBot="1" x14ac:dyDescent="0.3">
      <c r="C156" s="159" t="s">
        <v>204</v>
      </c>
      <c r="D156" s="160" t="s">
        <v>48</v>
      </c>
      <c r="E156" s="161">
        <v>1983</v>
      </c>
      <c r="F156" s="161" t="s">
        <v>39</v>
      </c>
      <c r="G156" s="162">
        <f>G153</f>
        <v>77.010000000000005</v>
      </c>
      <c r="H156" s="218" t="s">
        <v>40</v>
      </c>
      <c r="I156" s="261">
        <f>+J156/$S$2</f>
        <v>243.88652899680582</v>
      </c>
      <c r="J156" s="97">
        <f t="shared" ref="J156" si="18">+((95000^(0.364-(0.00000133*G156)))/(G156^(0.364-(0.00000133*95000))))*6500</f>
        <v>149953.63235368606</v>
      </c>
      <c r="K156" s="163" t="s">
        <v>41</v>
      </c>
      <c r="L156" s="163" t="s">
        <v>41</v>
      </c>
      <c r="M156" s="163" t="s">
        <v>41</v>
      </c>
      <c r="N156" s="163" t="s">
        <v>41</v>
      </c>
      <c r="O156" s="163" t="s">
        <v>41</v>
      </c>
      <c r="P156" s="163" t="s">
        <v>41</v>
      </c>
      <c r="Q156" s="171">
        <f>I156*G156</f>
        <v>18781.701598044019</v>
      </c>
      <c r="R156" s="161">
        <v>2021</v>
      </c>
      <c r="S156" s="165" t="s">
        <v>66</v>
      </c>
      <c r="U156" s="181"/>
      <c r="V156" s="167"/>
      <c r="W156" s="168"/>
      <c r="X156" s="168"/>
      <c r="Y156" s="168"/>
      <c r="Z156" s="168"/>
      <c r="AA156" s="168"/>
      <c r="AB156" s="168"/>
      <c r="AC156" s="169"/>
      <c r="AD156" s="188"/>
    </row>
    <row r="157" spans="3:30" ht="30" customHeight="1" outlineLevel="1" x14ac:dyDescent="0.25">
      <c r="C157" s="103" t="s">
        <v>207</v>
      </c>
      <c r="D157" s="104" t="s">
        <v>208</v>
      </c>
      <c r="E157" s="105">
        <v>2014</v>
      </c>
      <c r="F157" s="105" t="s">
        <v>39</v>
      </c>
      <c r="G157" s="203">
        <v>10.39</v>
      </c>
      <c r="H157" s="203" t="s">
        <v>40</v>
      </c>
      <c r="I157" s="107">
        <v>800</v>
      </c>
      <c r="J157" s="108">
        <f t="shared" si="7"/>
        <v>491880</v>
      </c>
      <c r="K157" s="109">
        <f>R157-E157</f>
        <v>7</v>
      </c>
      <c r="L157" s="105">
        <v>50</v>
      </c>
      <c r="M157" s="105">
        <v>45</v>
      </c>
      <c r="N157" s="111">
        <f>+I157*G157</f>
        <v>8312</v>
      </c>
      <c r="O157" s="111">
        <f>+N157/L157</f>
        <v>166.24</v>
      </c>
      <c r="P157" s="111">
        <f>(N157/L157)*M157</f>
        <v>7480.8</v>
      </c>
      <c r="Q157" s="105" t="s">
        <v>41</v>
      </c>
      <c r="R157" s="105">
        <v>2021</v>
      </c>
      <c r="S157" s="113" t="s">
        <v>79</v>
      </c>
      <c r="U157" s="299" t="s">
        <v>207</v>
      </c>
      <c r="V157" s="229" t="s">
        <v>140</v>
      </c>
      <c r="W157" s="230"/>
      <c r="X157" s="230"/>
      <c r="Y157" s="230"/>
      <c r="Z157" s="230"/>
      <c r="AA157" s="230"/>
      <c r="AB157" s="230"/>
      <c r="AC157" s="230"/>
      <c r="AD157" s="300"/>
    </row>
    <row r="158" spans="3:30" ht="30" customHeight="1" outlineLevel="1" x14ac:dyDescent="0.25">
      <c r="C158" s="114" t="s">
        <v>207</v>
      </c>
      <c r="D158" s="115" t="s">
        <v>44</v>
      </c>
      <c r="E158" s="116">
        <v>2014</v>
      </c>
      <c r="F158" s="116" t="s">
        <v>39</v>
      </c>
      <c r="G158" s="206">
        <v>4.3600000000000003</v>
      </c>
      <c r="H158" s="206" t="s">
        <v>40</v>
      </c>
      <c r="I158" s="118">
        <v>30.54</v>
      </c>
      <c r="J158" s="119">
        <f t="shared" si="7"/>
        <v>18777.519</v>
      </c>
      <c r="K158" s="120">
        <f>R158-E158</f>
        <v>7</v>
      </c>
      <c r="L158" s="116">
        <v>15</v>
      </c>
      <c r="M158" s="116">
        <v>11</v>
      </c>
      <c r="N158" s="122">
        <f>+I158*G158</f>
        <v>133.15440000000001</v>
      </c>
      <c r="O158" s="122">
        <f>+N158/L158</f>
        <v>8.8769600000000004</v>
      </c>
      <c r="P158" s="122">
        <f>(N158/L158)*M158</f>
        <v>97.646560000000008</v>
      </c>
      <c r="Q158" s="116" t="s">
        <v>41</v>
      </c>
      <c r="R158" s="116">
        <v>2021</v>
      </c>
      <c r="S158" s="124" t="s">
        <v>79</v>
      </c>
      <c r="U158" s="301"/>
      <c r="V158" s="233"/>
      <c r="W158" s="234"/>
      <c r="X158" s="234"/>
      <c r="Y158" s="234"/>
      <c r="Z158" s="234"/>
      <c r="AA158" s="234"/>
      <c r="AB158" s="234"/>
      <c r="AC158" s="234"/>
      <c r="AD158" s="302"/>
    </row>
    <row r="159" spans="3:30" ht="30" customHeight="1" outlineLevel="1" x14ac:dyDescent="0.25">
      <c r="C159" s="114" t="s">
        <v>207</v>
      </c>
      <c r="D159" s="115" t="s">
        <v>46</v>
      </c>
      <c r="E159" s="116">
        <v>2014</v>
      </c>
      <c r="F159" s="116" t="s">
        <v>39</v>
      </c>
      <c r="G159" s="206">
        <v>43.77</v>
      </c>
      <c r="H159" s="206" t="s">
        <v>40</v>
      </c>
      <c r="I159" s="118">
        <v>3.4</v>
      </c>
      <c r="J159" s="119">
        <f t="shared" si="7"/>
        <v>2090.4900000000002</v>
      </c>
      <c r="K159" s="120">
        <f>R159-E159</f>
        <v>7</v>
      </c>
      <c r="L159" s="116">
        <v>10</v>
      </c>
      <c r="M159" s="116">
        <v>7</v>
      </c>
      <c r="N159" s="122">
        <f>+I159*G159</f>
        <v>148.81800000000001</v>
      </c>
      <c r="O159" s="122">
        <f>+N159/L159</f>
        <v>14.881800000000002</v>
      </c>
      <c r="P159" s="122">
        <f>(N159/L159)*M159</f>
        <v>104.17260000000002</v>
      </c>
      <c r="Q159" s="116" t="s">
        <v>41</v>
      </c>
      <c r="R159" s="116">
        <v>2021</v>
      </c>
      <c r="S159" s="124" t="s">
        <v>79</v>
      </c>
      <c r="U159" s="301"/>
      <c r="V159" s="233"/>
      <c r="W159" s="234"/>
      <c r="X159" s="234"/>
      <c r="Y159" s="234"/>
      <c r="Z159" s="234"/>
      <c r="AA159" s="234"/>
      <c r="AB159" s="234"/>
      <c r="AC159" s="234"/>
      <c r="AD159" s="302"/>
    </row>
    <row r="160" spans="3:30" ht="30" customHeight="1" outlineLevel="1" thickBot="1" x14ac:dyDescent="0.3">
      <c r="C160" s="159" t="s">
        <v>207</v>
      </c>
      <c r="D160" s="160" t="s">
        <v>48</v>
      </c>
      <c r="E160" s="161">
        <v>2014</v>
      </c>
      <c r="F160" s="161" t="s">
        <v>39</v>
      </c>
      <c r="G160" s="162">
        <f>G157</f>
        <v>10.39</v>
      </c>
      <c r="H160" s="218" t="s">
        <v>40</v>
      </c>
      <c r="I160" s="261">
        <f>+J160/$S$2</f>
        <v>392.97787603811696</v>
      </c>
      <c r="J160" s="97">
        <f t="shared" ref="J160" si="19">+((95000^(0.364-(0.00000133*G160)))/(G160^(0.364-(0.00000133*95000))))*6500</f>
        <v>241622.44708203623</v>
      </c>
      <c r="K160" s="163" t="s">
        <v>41</v>
      </c>
      <c r="L160" s="163" t="s">
        <v>41</v>
      </c>
      <c r="M160" s="163" t="s">
        <v>41</v>
      </c>
      <c r="N160" s="163" t="s">
        <v>41</v>
      </c>
      <c r="O160" s="163" t="s">
        <v>41</v>
      </c>
      <c r="P160" s="163" t="s">
        <v>41</v>
      </c>
      <c r="Q160" s="171">
        <f>I160*G160</f>
        <v>4083.0401320360356</v>
      </c>
      <c r="R160" s="161">
        <v>2021</v>
      </c>
      <c r="S160" s="165" t="s">
        <v>79</v>
      </c>
      <c r="U160" s="305"/>
      <c r="V160" s="239"/>
      <c r="W160" s="240"/>
      <c r="X160" s="240"/>
      <c r="Y160" s="240"/>
      <c r="Z160" s="240"/>
      <c r="AA160" s="240"/>
      <c r="AB160" s="240"/>
      <c r="AC160" s="240"/>
      <c r="AD160" s="306"/>
    </row>
    <row r="161" spans="2:30" ht="30" customHeight="1" outlineLevel="1" x14ac:dyDescent="0.25">
      <c r="C161" s="103" t="s">
        <v>209</v>
      </c>
      <c r="D161" s="104" t="s">
        <v>210</v>
      </c>
      <c r="E161" s="105">
        <v>2010</v>
      </c>
      <c r="F161" s="105" t="s">
        <v>39</v>
      </c>
      <c r="G161" s="203">
        <v>10.62</v>
      </c>
      <c r="H161" s="203" t="s">
        <v>40</v>
      </c>
      <c r="I161" s="107">
        <v>800</v>
      </c>
      <c r="J161" s="108">
        <f t="shared" si="7"/>
        <v>491880</v>
      </c>
      <c r="K161" s="109">
        <f>R161-E161</f>
        <v>11</v>
      </c>
      <c r="L161" s="105">
        <v>50</v>
      </c>
      <c r="M161" s="105">
        <v>40</v>
      </c>
      <c r="N161" s="111">
        <f>+I161*G161</f>
        <v>8496</v>
      </c>
      <c r="O161" s="111">
        <f>+N161/L161</f>
        <v>169.92</v>
      </c>
      <c r="P161" s="111">
        <f>(N161/L161)*M161</f>
        <v>6796.7999999999993</v>
      </c>
      <c r="Q161" s="105" t="s">
        <v>41</v>
      </c>
      <c r="R161" s="105">
        <v>2021</v>
      </c>
      <c r="S161" s="113" t="s">
        <v>79</v>
      </c>
      <c r="U161" s="299" t="s">
        <v>209</v>
      </c>
      <c r="V161" s="229" t="s">
        <v>140</v>
      </c>
      <c r="W161" s="230"/>
      <c r="X161" s="230"/>
      <c r="Y161" s="230"/>
      <c r="Z161" s="230"/>
      <c r="AA161" s="230"/>
      <c r="AB161" s="230"/>
      <c r="AC161" s="230"/>
      <c r="AD161" s="300"/>
    </row>
    <row r="162" spans="2:30" ht="30" customHeight="1" outlineLevel="1" x14ac:dyDescent="0.25">
      <c r="C162" s="114" t="s">
        <v>209</v>
      </c>
      <c r="D162" s="115" t="s">
        <v>44</v>
      </c>
      <c r="E162" s="116">
        <v>2010</v>
      </c>
      <c r="F162" s="116" t="s">
        <v>39</v>
      </c>
      <c r="G162" s="206">
        <v>4.3600000000000003</v>
      </c>
      <c r="H162" s="206" t="s">
        <v>40</v>
      </c>
      <c r="I162" s="118">
        <v>30.54</v>
      </c>
      <c r="J162" s="119">
        <f t="shared" si="7"/>
        <v>18777.519</v>
      </c>
      <c r="K162" s="120">
        <f>R162-E162</f>
        <v>11</v>
      </c>
      <c r="L162" s="116">
        <v>15</v>
      </c>
      <c r="M162" s="116">
        <v>10</v>
      </c>
      <c r="N162" s="122">
        <f>+I162*G162</f>
        <v>133.15440000000001</v>
      </c>
      <c r="O162" s="122">
        <f>+N162/L162</f>
        <v>8.8769600000000004</v>
      </c>
      <c r="P162" s="122">
        <f>(N162/L162)*M162</f>
        <v>88.769599999999997</v>
      </c>
      <c r="Q162" s="116" t="s">
        <v>41</v>
      </c>
      <c r="R162" s="116">
        <v>2021</v>
      </c>
      <c r="S162" s="124" t="s">
        <v>79</v>
      </c>
      <c r="U162" s="301"/>
      <c r="V162" s="233"/>
      <c r="W162" s="234"/>
      <c r="X162" s="234"/>
      <c r="Y162" s="234"/>
      <c r="Z162" s="234"/>
      <c r="AA162" s="234"/>
      <c r="AB162" s="234"/>
      <c r="AC162" s="234"/>
      <c r="AD162" s="302"/>
    </row>
    <row r="163" spans="2:30" ht="30" customHeight="1" outlineLevel="1" x14ac:dyDescent="0.25">
      <c r="C163" s="114" t="s">
        <v>209</v>
      </c>
      <c r="D163" s="115" t="s">
        <v>46</v>
      </c>
      <c r="E163" s="116">
        <v>2010</v>
      </c>
      <c r="F163" s="116" t="s">
        <v>39</v>
      </c>
      <c r="G163" s="206">
        <v>44.2</v>
      </c>
      <c r="H163" s="206" t="s">
        <v>40</v>
      </c>
      <c r="I163" s="118">
        <v>3.4</v>
      </c>
      <c r="J163" s="119">
        <f t="shared" si="7"/>
        <v>2090.4900000000002</v>
      </c>
      <c r="K163" s="120">
        <f>R163-E163</f>
        <v>11</v>
      </c>
      <c r="L163" s="116">
        <v>10</v>
      </c>
      <c r="M163" s="116">
        <v>6</v>
      </c>
      <c r="N163" s="122">
        <f>+I163*G163</f>
        <v>150.28</v>
      </c>
      <c r="O163" s="122">
        <f>+N163/L163</f>
        <v>15.028</v>
      </c>
      <c r="P163" s="122">
        <f>(N163/L163)*M163</f>
        <v>90.168000000000006</v>
      </c>
      <c r="Q163" s="116" t="s">
        <v>41</v>
      </c>
      <c r="R163" s="116">
        <v>2021</v>
      </c>
      <c r="S163" s="124" t="s">
        <v>79</v>
      </c>
      <c r="U163" s="301"/>
      <c r="V163" s="233"/>
      <c r="W163" s="234"/>
      <c r="X163" s="234"/>
      <c r="Y163" s="234"/>
      <c r="Z163" s="234"/>
      <c r="AA163" s="234"/>
      <c r="AB163" s="234"/>
      <c r="AC163" s="234"/>
      <c r="AD163" s="302"/>
    </row>
    <row r="164" spans="2:30" ht="30" customHeight="1" outlineLevel="1" thickBot="1" x14ac:dyDescent="0.3">
      <c r="C164" s="159" t="s">
        <v>209</v>
      </c>
      <c r="D164" s="160" t="s">
        <v>48</v>
      </c>
      <c r="E164" s="161">
        <v>2010</v>
      </c>
      <c r="F164" s="161" t="s">
        <v>39</v>
      </c>
      <c r="G164" s="162">
        <f>G161</f>
        <v>10.62</v>
      </c>
      <c r="H164" s="218" t="s">
        <v>40</v>
      </c>
      <c r="I164" s="261">
        <f>+J164/$S$2</f>
        <v>390.93699632357726</v>
      </c>
      <c r="J164" s="97">
        <f t="shared" ref="J164" si="20">+((95000^(0.364-(0.00000133*G164)))/(G164^(0.364-(0.00000133*95000))))*6500</f>
        <v>240367.6121895515</v>
      </c>
      <c r="K164" s="163" t="s">
        <v>41</v>
      </c>
      <c r="L164" s="163" t="s">
        <v>41</v>
      </c>
      <c r="M164" s="163" t="s">
        <v>41</v>
      </c>
      <c r="N164" s="163" t="s">
        <v>41</v>
      </c>
      <c r="O164" s="163" t="s">
        <v>41</v>
      </c>
      <c r="P164" s="163" t="s">
        <v>41</v>
      </c>
      <c r="Q164" s="171">
        <f>I164*G164</f>
        <v>4151.7509009563901</v>
      </c>
      <c r="R164" s="161">
        <v>2021</v>
      </c>
      <c r="S164" s="165" t="s">
        <v>79</v>
      </c>
      <c r="U164" s="305"/>
      <c r="V164" s="239"/>
      <c r="W164" s="240"/>
      <c r="X164" s="240"/>
      <c r="Y164" s="240"/>
      <c r="Z164" s="240"/>
      <c r="AA164" s="240"/>
      <c r="AB164" s="240"/>
      <c r="AC164" s="240"/>
      <c r="AD164" s="306"/>
    </row>
    <row r="165" spans="2:30" ht="30" customHeight="1" outlineLevel="1" x14ac:dyDescent="0.25">
      <c r="C165" s="103" t="s">
        <v>211</v>
      </c>
      <c r="D165" s="104" t="s">
        <v>212</v>
      </c>
      <c r="E165" s="105">
        <v>2010</v>
      </c>
      <c r="F165" s="105" t="s">
        <v>39</v>
      </c>
      <c r="G165" s="203">
        <v>83.808999999999997</v>
      </c>
      <c r="H165" s="203" t="s">
        <v>40</v>
      </c>
      <c r="I165" s="107">
        <f>J165/$S$2</f>
        <v>243961.9419207937</v>
      </c>
      <c r="J165" s="108">
        <v>149999999.99000001</v>
      </c>
      <c r="K165" s="109">
        <f>R165-E165</f>
        <v>11</v>
      </c>
      <c r="L165" s="105">
        <v>50</v>
      </c>
      <c r="M165" s="105">
        <v>40</v>
      </c>
      <c r="N165" s="111">
        <f>+I165*G165</f>
        <v>20446206.390439797</v>
      </c>
      <c r="O165" s="111">
        <f>+N165/L165</f>
        <v>408924.12780879595</v>
      </c>
      <c r="P165" s="111">
        <f>(N165/L165)*M165</f>
        <v>16356965.112351838</v>
      </c>
      <c r="Q165" s="105" t="s">
        <v>41</v>
      </c>
      <c r="R165" s="105">
        <v>2021</v>
      </c>
      <c r="S165" s="113" t="s">
        <v>79</v>
      </c>
      <c r="U165" s="299" t="s">
        <v>209</v>
      </c>
      <c r="V165" s="229" t="s">
        <v>140</v>
      </c>
      <c r="W165" s="230"/>
      <c r="X165" s="230"/>
      <c r="Y165" s="230"/>
      <c r="Z165" s="230"/>
      <c r="AA165" s="230"/>
      <c r="AB165" s="230"/>
      <c r="AC165" s="230"/>
      <c r="AD165" s="300"/>
    </row>
    <row r="166" spans="2:30" ht="30" customHeight="1" outlineLevel="1" x14ac:dyDescent="0.25">
      <c r="C166" s="114" t="str">
        <f>C165</f>
        <v>C-15</v>
      </c>
      <c r="D166" s="115" t="s">
        <v>44</v>
      </c>
      <c r="E166" s="116">
        <v>2010</v>
      </c>
      <c r="F166" s="116" t="s">
        <v>39</v>
      </c>
      <c r="G166" s="206">
        <v>35.590000000000003</v>
      </c>
      <c r="H166" s="206" t="s">
        <v>40</v>
      </c>
      <c r="I166" s="118">
        <v>30.54</v>
      </c>
      <c r="J166" s="119">
        <f t="shared" ref="J166:J167" si="21">I166*$S$2</f>
        <v>18777.519</v>
      </c>
      <c r="K166" s="120">
        <f>R166-E166</f>
        <v>11</v>
      </c>
      <c r="L166" s="116">
        <v>15</v>
      </c>
      <c r="M166" s="116">
        <v>10</v>
      </c>
      <c r="N166" s="122">
        <f>+I166*G166</f>
        <v>1086.9186</v>
      </c>
      <c r="O166" s="122">
        <f>+N166/L166</f>
        <v>72.461240000000004</v>
      </c>
      <c r="P166" s="122">
        <f>(N166/L166)*M166</f>
        <v>724.61239999999998</v>
      </c>
      <c r="Q166" s="116" t="s">
        <v>41</v>
      </c>
      <c r="R166" s="116">
        <v>2021</v>
      </c>
      <c r="S166" s="124" t="s">
        <v>79</v>
      </c>
      <c r="U166" s="301"/>
      <c r="V166" s="233"/>
      <c r="W166" s="234"/>
      <c r="X166" s="234"/>
      <c r="Y166" s="234"/>
      <c r="Z166" s="234"/>
      <c r="AA166" s="234"/>
      <c r="AB166" s="234"/>
      <c r="AC166" s="234"/>
      <c r="AD166" s="302"/>
    </row>
    <row r="167" spans="2:30" ht="30" customHeight="1" outlineLevel="1" x14ac:dyDescent="0.25">
      <c r="C167" s="114" t="str">
        <f>C165</f>
        <v>C-15</v>
      </c>
      <c r="D167" s="115" t="s">
        <v>46</v>
      </c>
      <c r="E167" s="116">
        <v>2010</v>
      </c>
      <c r="F167" s="116" t="s">
        <v>39</v>
      </c>
      <c r="G167" s="206">
        <v>77.471599999999995</v>
      </c>
      <c r="H167" s="206" t="s">
        <v>40</v>
      </c>
      <c r="I167" s="118">
        <v>3.4</v>
      </c>
      <c r="J167" s="119">
        <f t="shared" si="21"/>
        <v>2090.4900000000002</v>
      </c>
      <c r="K167" s="120">
        <f>R167-E167</f>
        <v>11</v>
      </c>
      <c r="L167" s="116">
        <v>10</v>
      </c>
      <c r="M167" s="116">
        <v>6</v>
      </c>
      <c r="N167" s="122">
        <f>+I167*G167</f>
        <v>263.40343999999999</v>
      </c>
      <c r="O167" s="122">
        <f>+N167/L167</f>
        <v>26.340343999999998</v>
      </c>
      <c r="P167" s="122">
        <f>(N167/L167)*M167</f>
        <v>158.04206399999998</v>
      </c>
      <c r="Q167" s="116" t="s">
        <v>41</v>
      </c>
      <c r="R167" s="116">
        <v>2021</v>
      </c>
      <c r="S167" s="124" t="s">
        <v>79</v>
      </c>
      <c r="U167" s="301"/>
      <c r="V167" s="233"/>
      <c r="W167" s="234"/>
      <c r="X167" s="234"/>
      <c r="Y167" s="234"/>
      <c r="Z167" s="234"/>
      <c r="AA167" s="234"/>
      <c r="AB167" s="234"/>
      <c r="AC167" s="234"/>
      <c r="AD167" s="302"/>
    </row>
    <row r="168" spans="2:30" ht="30" customHeight="1" outlineLevel="1" thickBot="1" x14ac:dyDescent="0.3">
      <c r="B168" s="1">
        <v>15</v>
      </c>
      <c r="C168" s="159" t="str">
        <f>C165</f>
        <v>C-15</v>
      </c>
      <c r="D168" s="160" t="s">
        <v>48</v>
      </c>
      <c r="E168" s="161">
        <v>2010</v>
      </c>
      <c r="F168" s="161" t="s">
        <v>39</v>
      </c>
      <c r="G168" s="162">
        <v>83.808999999999997</v>
      </c>
      <c r="H168" s="218" t="s">
        <v>40</v>
      </c>
      <c r="I168" s="261">
        <f>+J168/$S$2</f>
        <v>239.00704351730326</v>
      </c>
      <c r="J168" s="97">
        <f t="shared" ref="J168" si="22">+((95000^(0.364-(0.00000133*G168)))/(G168^(0.364-(0.00000133*95000))))*6500</f>
        <v>146953.48070661392</v>
      </c>
      <c r="K168" s="163" t="s">
        <v>41</v>
      </c>
      <c r="L168" s="163" t="s">
        <v>41</v>
      </c>
      <c r="M168" s="163" t="s">
        <v>41</v>
      </c>
      <c r="N168" s="163" t="s">
        <v>41</v>
      </c>
      <c r="O168" s="163" t="s">
        <v>41</v>
      </c>
      <c r="P168" s="163" t="s">
        <v>41</v>
      </c>
      <c r="Q168" s="171">
        <f>I168*G168</f>
        <v>20030.941310141669</v>
      </c>
      <c r="R168" s="161">
        <v>2021</v>
      </c>
      <c r="S168" s="165" t="s">
        <v>79</v>
      </c>
      <c r="U168" s="305"/>
      <c r="V168" s="239"/>
      <c r="W168" s="240"/>
      <c r="X168" s="240"/>
      <c r="Y168" s="240"/>
      <c r="Z168" s="240"/>
      <c r="AA168" s="240"/>
      <c r="AB168" s="240"/>
      <c r="AC168" s="240"/>
      <c r="AD168" s="306"/>
    </row>
    <row r="169" spans="2:30" ht="16.5" hidden="1" thickBot="1" x14ac:dyDescent="0.3">
      <c r="C169" s="262"/>
      <c r="D169" s="263" t="s">
        <v>213</v>
      </c>
      <c r="E169" s="210"/>
      <c r="F169" s="210"/>
      <c r="G169" s="210"/>
      <c r="H169" s="210"/>
      <c r="I169" s="213"/>
      <c r="J169" s="210"/>
      <c r="K169" s="210"/>
      <c r="L169" s="210"/>
      <c r="M169" s="210"/>
      <c r="N169" s="210"/>
      <c r="O169" s="210"/>
      <c r="P169" s="210"/>
      <c r="Q169" s="210"/>
      <c r="R169" s="210"/>
      <c r="S169" s="214"/>
      <c r="U169" s="264" t="s">
        <v>213</v>
      </c>
      <c r="V169" s="327"/>
      <c r="W169" s="327"/>
      <c r="X169" s="327"/>
      <c r="Y169" s="327"/>
      <c r="Z169" s="328"/>
      <c r="AA169" s="328"/>
      <c r="AB169" s="328"/>
      <c r="AC169" s="327"/>
      <c r="AD169" s="327"/>
    </row>
    <row r="170" spans="2:30" ht="38.25" outlineLevel="1" x14ac:dyDescent="0.25">
      <c r="C170" s="103" t="s">
        <v>214</v>
      </c>
      <c r="D170" s="104" t="s">
        <v>215</v>
      </c>
      <c r="E170" s="105">
        <v>1979</v>
      </c>
      <c r="F170" s="105" t="s">
        <v>39</v>
      </c>
      <c r="G170" s="203">
        <f>G173+412.07+404</f>
        <v>1210.8499999999999</v>
      </c>
      <c r="H170" s="203" t="s">
        <v>40</v>
      </c>
      <c r="I170" s="107">
        <v>1500</v>
      </c>
      <c r="J170" s="108">
        <f t="shared" ref="J170:J232" si="23">I170*$S$2</f>
        <v>922275</v>
      </c>
      <c r="K170" s="109">
        <f>R170-E170</f>
        <v>42</v>
      </c>
      <c r="L170" s="105">
        <v>50</v>
      </c>
      <c r="M170" s="105">
        <v>30</v>
      </c>
      <c r="N170" s="111">
        <f>+I170*G170</f>
        <v>1816274.9999999998</v>
      </c>
      <c r="O170" s="111">
        <f>+N170/L170</f>
        <v>36325.499999999993</v>
      </c>
      <c r="P170" s="111">
        <f>(N170/L170)*M170</f>
        <v>1089764.9999999998</v>
      </c>
      <c r="Q170" s="105" t="s">
        <v>41</v>
      </c>
      <c r="R170" s="105">
        <v>2021</v>
      </c>
      <c r="S170" s="113" t="s">
        <v>52</v>
      </c>
      <c r="U170" s="176" t="s">
        <v>214</v>
      </c>
      <c r="V170" s="177" t="s">
        <v>158</v>
      </c>
      <c r="W170" s="178">
        <v>410699.39</v>
      </c>
      <c r="X170" s="178">
        <v>0</v>
      </c>
      <c r="Y170" s="178">
        <v>452893447.69999999</v>
      </c>
      <c r="Z170" s="178">
        <v>251222.74</v>
      </c>
      <c r="AA170" s="178">
        <v>197327725.66</v>
      </c>
      <c r="AB170" s="178">
        <v>255725198.68999997</v>
      </c>
      <c r="AC170" s="177" t="s">
        <v>216</v>
      </c>
      <c r="AD170" s="205">
        <v>900037</v>
      </c>
    </row>
    <row r="171" spans="2:30" ht="30" customHeight="1" outlineLevel="1" x14ac:dyDescent="0.25">
      <c r="C171" s="114" t="s">
        <v>214</v>
      </c>
      <c r="D171" s="115" t="s">
        <v>44</v>
      </c>
      <c r="E171" s="116">
        <v>1979</v>
      </c>
      <c r="F171" s="116" t="s">
        <v>39</v>
      </c>
      <c r="G171" s="206">
        <v>103.2</v>
      </c>
      <c r="H171" s="206" t="s">
        <v>40</v>
      </c>
      <c r="I171" s="118">
        <v>30.54</v>
      </c>
      <c r="J171" s="119">
        <f t="shared" si="23"/>
        <v>18777.519</v>
      </c>
      <c r="K171" s="120">
        <f>R171-E171</f>
        <v>42</v>
      </c>
      <c r="L171" s="116">
        <v>15</v>
      </c>
      <c r="M171" s="116">
        <v>5</v>
      </c>
      <c r="N171" s="122">
        <f>+I171*G171</f>
        <v>3151.7280000000001</v>
      </c>
      <c r="O171" s="122">
        <f>+N171/L171</f>
        <v>210.11520000000002</v>
      </c>
      <c r="P171" s="122">
        <f>(N171/L171)*M171</f>
        <v>1050.576</v>
      </c>
      <c r="Q171" s="116" t="s">
        <v>41</v>
      </c>
      <c r="R171" s="116">
        <v>2021</v>
      </c>
      <c r="S171" s="124" t="s">
        <v>52</v>
      </c>
      <c r="U171" s="180"/>
      <c r="V171" s="157"/>
      <c r="W171" s="156"/>
      <c r="X171" s="156"/>
      <c r="Y171" s="156"/>
      <c r="Z171" s="156"/>
      <c r="AA171" s="156"/>
      <c r="AB171" s="156"/>
      <c r="AC171" s="157"/>
      <c r="AD171" s="184"/>
    </row>
    <row r="172" spans="2:30" ht="30" customHeight="1" outlineLevel="1" x14ac:dyDescent="0.25">
      <c r="C172" s="114" t="s">
        <v>214</v>
      </c>
      <c r="D172" s="115" t="s">
        <v>46</v>
      </c>
      <c r="E172" s="116">
        <v>1979</v>
      </c>
      <c r="F172" s="116" t="s">
        <v>39</v>
      </c>
      <c r="G172" s="206">
        <v>212.6</v>
      </c>
      <c r="H172" s="206" t="s">
        <v>40</v>
      </c>
      <c r="I172" s="118">
        <v>3.4</v>
      </c>
      <c r="J172" s="119">
        <f t="shared" si="23"/>
        <v>2090.4900000000002</v>
      </c>
      <c r="K172" s="120">
        <f>R172-E172</f>
        <v>42</v>
      </c>
      <c r="L172" s="116">
        <v>10</v>
      </c>
      <c r="M172" s="116">
        <v>5</v>
      </c>
      <c r="N172" s="122">
        <f>+I172*G172</f>
        <v>722.83999999999992</v>
      </c>
      <c r="O172" s="122">
        <f>+N172/L172</f>
        <v>72.283999999999992</v>
      </c>
      <c r="P172" s="122">
        <f>(N172/L172)*M172</f>
        <v>361.41999999999996</v>
      </c>
      <c r="Q172" s="116" t="s">
        <v>41</v>
      </c>
      <c r="R172" s="116">
        <v>2021</v>
      </c>
      <c r="S172" s="124" t="s">
        <v>52</v>
      </c>
      <c r="U172" s="180"/>
      <c r="V172" s="157"/>
      <c r="W172" s="156"/>
      <c r="X172" s="156"/>
      <c r="Y172" s="156"/>
      <c r="Z172" s="156"/>
      <c r="AA172" s="156"/>
      <c r="AB172" s="156"/>
      <c r="AC172" s="157"/>
      <c r="AD172" s="184"/>
    </row>
    <row r="173" spans="2:30" ht="30" customHeight="1" outlineLevel="1" thickBot="1" x14ac:dyDescent="0.3">
      <c r="C173" s="131" t="s">
        <v>214</v>
      </c>
      <c r="D173" s="132" t="s">
        <v>48</v>
      </c>
      <c r="E173" s="133">
        <v>1979</v>
      </c>
      <c r="F173" s="133" t="s">
        <v>39</v>
      </c>
      <c r="G173" s="134">
        <v>394.78</v>
      </c>
      <c r="H173" s="317" t="s">
        <v>40</v>
      </c>
      <c r="I173" s="261">
        <f>+J173/$S$2</f>
        <v>164.58800508002028</v>
      </c>
      <c r="J173" s="97">
        <f t="shared" ref="J173" si="24">+((95000^(0.364-(0.00000133*G173)))/(G173^(0.364-(0.00000133*95000))))*6500</f>
        <v>101196.93492345048</v>
      </c>
      <c r="K173" s="135" t="s">
        <v>41</v>
      </c>
      <c r="L173" s="135" t="s">
        <v>41</v>
      </c>
      <c r="M173" s="135" t="s">
        <v>41</v>
      </c>
      <c r="N173" s="135" t="s">
        <v>41</v>
      </c>
      <c r="O173" s="135" t="s">
        <v>41</v>
      </c>
      <c r="P173" s="135" t="s">
        <v>41</v>
      </c>
      <c r="Q173" s="329">
        <f>I173*G173</f>
        <v>64976.052645490403</v>
      </c>
      <c r="R173" s="133">
        <v>2021</v>
      </c>
      <c r="S173" s="137" t="s">
        <v>52</v>
      </c>
      <c r="U173" s="180"/>
      <c r="V173" s="157"/>
      <c r="W173" s="156"/>
      <c r="X173" s="156"/>
      <c r="Y173" s="156"/>
      <c r="Z173" s="156"/>
      <c r="AA173" s="156"/>
      <c r="AB173" s="156"/>
      <c r="AC173" s="157"/>
      <c r="AD173" s="184"/>
    </row>
    <row r="174" spans="2:30" ht="30" customHeight="1" outlineLevel="1" x14ac:dyDescent="0.25">
      <c r="C174" s="138" t="s">
        <v>217</v>
      </c>
      <c r="D174" s="139" t="s">
        <v>218</v>
      </c>
      <c r="E174" s="140">
        <v>2012</v>
      </c>
      <c r="F174" s="140" t="s">
        <v>39</v>
      </c>
      <c r="G174" s="309">
        <v>6.41</v>
      </c>
      <c r="H174" s="309" t="s">
        <v>40</v>
      </c>
      <c r="I174" s="142">
        <v>7000</v>
      </c>
      <c r="J174" s="143">
        <f t="shared" si="23"/>
        <v>4303950</v>
      </c>
      <c r="K174" s="144">
        <f>R174-E174</f>
        <v>9</v>
      </c>
      <c r="L174" s="140">
        <v>50</v>
      </c>
      <c r="M174" s="140">
        <v>42</v>
      </c>
      <c r="N174" s="146">
        <f>+I174*G174</f>
        <v>44870</v>
      </c>
      <c r="O174" s="146">
        <f>+N174/L174</f>
        <v>897.4</v>
      </c>
      <c r="P174" s="146">
        <f>(N174/L174)*M174</f>
        <v>37690.799999999996</v>
      </c>
      <c r="Q174" s="140" t="s">
        <v>41</v>
      </c>
      <c r="R174" s="140">
        <v>2021</v>
      </c>
      <c r="S174" s="148" t="s">
        <v>52</v>
      </c>
      <c r="U174" s="180"/>
      <c r="V174" s="157"/>
      <c r="W174" s="156"/>
      <c r="X174" s="156"/>
      <c r="Y174" s="156"/>
      <c r="Z174" s="156"/>
      <c r="AA174" s="156"/>
      <c r="AB174" s="156"/>
      <c r="AC174" s="157"/>
      <c r="AD174" s="184"/>
    </row>
    <row r="175" spans="2:30" ht="30" customHeight="1" outlineLevel="1" x14ac:dyDescent="0.25">
      <c r="C175" s="114" t="s">
        <v>217</v>
      </c>
      <c r="D175" s="115" t="s">
        <v>44</v>
      </c>
      <c r="E175" s="116">
        <v>2012</v>
      </c>
      <c r="F175" s="116" t="s">
        <v>39</v>
      </c>
      <c r="G175" s="206">
        <v>4.3899999999999997</v>
      </c>
      <c r="H175" s="206" t="s">
        <v>40</v>
      </c>
      <c r="I175" s="118">
        <v>30.54</v>
      </c>
      <c r="J175" s="119">
        <f t="shared" si="23"/>
        <v>18777.519</v>
      </c>
      <c r="K175" s="120">
        <f>R175-E175</f>
        <v>9</v>
      </c>
      <c r="L175" s="116">
        <v>15</v>
      </c>
      <c r="M175" s="116">
        <v>10</v>
      </c>
      <c r="N175" s="122">
        <f>+I175*G175</f>
        <v>134.07059999999998</v>
      </c>
      <c r="O175" s="122">
        <f>+N175/L175</f>
        <v>8.9380399999999991</v>
      </c>
      <c r="P175" s="122">
        <f>(N175/L175)*M175</f>
        <v>89.380399999999995</v>
      </c>
      <c r="Q175" s="116" t="s">
        <v>41</v>
      </c>
      <c r="R175" s="116">
        <v>2021</v>
      </c>
      <c r="S175" s="124" t="s">
        <v>52</v>
      </c>
      <c r="U175" s="180"/>
      <c r="V175" s="157"/>
      <c r="W175" s="156"/>
      <c r="X175" s="156"/>
      <c r="Y175" s="156"/>
      <c r="Z175" s="156"/>
      <c r="AA175" s="156"/>
      <c r="AB175" s="156"/>
      <c r="AC175" s="157"/>
      <c r="AD175" s="184"/>
    </row>
    <row r="176" spans="2:30" ht="30" customHeight="1" outlineLevel="1" x14ac:dyDescent="0.25">
      <c r="C176" s="114" t="s">
        <v>217</v>
      </c>
      <c r="D176" s="115" t="s">
        <v>86</v>
      </c>
      <c r="E176" s="116">
        <v>2012</v>
      </c>
      <c r="F176" s="116" t="s">
        <v>39</v>
      </c>
      <c r="G176" s="206">
        <v>0</v>
      </c>
      <c r="H176" s="206" t="s">
        <v>87</v>
      </c>
      <c r="I176" s="206">
        <v>0</v>
      </c>
      <c r="J176" s="206">
        <v>0</v>
      </c>
      <c r="K176" s="206">
        <v>0</v>
      </c>
      <c r="L176" s="206">
        <v>0</v>
      </c>
      <c r="M176" s="206">
        <v>0</v>
      </c>
      <c r="N176" s="206">
        <v>0</v>
      </c>
      <c r="O176" s="206">
        <v>0</v>
      </c>
      <c r="P176" s="206">
        <v>0</v>
      </c>
      <c r="Q176" s="206">
        <v>0</v>
      </c>
      <c r="R176" s="116" t="s">
        <v>87</v>
      </c>
      <c r="S176" s="124" t="s">
        <v>87</v>
      </c>
      <c r="U176" s="180"/>
      <c r="V176" s="157"/>
      <c r="W176" s="156"/>
      <c r="X176" s="156"/>
      <c r="Y176" s="156"/>
      <c r="Z176" s="156"/>
      <c r="AA176" s="156"/>
      <c r="AB176" s="156"/>
      <c r="AC176" s="157"/>
      <c r="AD176" s="184"/>
    </row>
    <row r="177" spans="3:30" ht="30" customHeight="1" outlineLevel="1" thickBot="1" x14ac:dyDescent="0.3">
      <c r="C177" s="159" t="s">
        <v>217</v>
      </c>
      <c r="D177" s="160" t="s">
        <v>48</v>
      </c>
      <c r="E177" s="161">
        <v>2012</v>
      </c>
      <c r="F177" s="161" t="s">
        <v>39</v>
      </c>
      <c r="G177" s="162">
        <f>G174</f>
        <v>6.41</v>
      </c>
      <c r="H177" s="218" t="s">
        <v>40</v>
      </c>
      <c r="I177" s="261">
        <f>+J177/$S$2</f>
        <v>440.80176449454285</v>
      </c>
      <c r="J177" s="97">
        <f t="shared" ref="J177" si="25">+((95000^(0.364-(0.00000133*G177)))/(G177^(0.364-(0.00000133*95000))))*6500</f>
        <v>271026.96489946969</v>
      </c>
      <c r="K177" s="163" t="s">
        <v>41</v>
      </c>
      <c r="L177" s="163" t="s">
        <v>41</v>
      </c>
      <c r="M177" s="163" t="s">
        <v>41</v>
      </c>
      <c r="N177" s="163" t="s">
        <v>41</v>
      </c>
      <c r="O177" s="163" t="s">
        <v>41</v>
      </c>
      <c r="P177" s="163" t="s">
        <v>41</v>
      </c>
      <c r="Q177" s="171">
        <f>I177*G177</f>
        <v>2825.5393104100199</v>
      </c>
      <c r="R177" s="161">
        <v>2021</v>
      </c>
      <c r="S177" s="165" t="s">
        <v>52</v>
      </c>
      <c r="U177" s="181"/>
      <c r="V177" s="169"/>
      <c r="W177" s="168"/>
      <c r="X177" s="168"/>
      <c r="Y177" s="168"/>
      <c r="Z177" s="168"/>
      <c r="AA177" s="168"/>
      <c r="AB177" s="168"/>
      <c r="AC177" s="169"/>
      <c r="AD177" s="188"/>
    </row>
    <row r="178" spans="3:30" ht="30" customHeight="1" outlineLevel="1" x14ac:dyDescent="0.25">
      <c r="C178" s="103" t="s">
        <v>219</v>
      </c>
      <c r="D178" s="104" t="s">
        <v>220</v>
      </c>
      <c r="E178" s="105">
        <v>1975</v>
      </c>
      <c r="F178" s="105" t="s">
        <v>39</v>
      </c>
      <c r="G178" s="203">
        <f>G181</f>
        <v>445.07</v>
      </c>
      <c r="H178" s="203" t="s">
        <v>40</v>
      </c>
      <c r="I178" s="107">
        <v>1200</v>
      </c>
      <c r="J178" s="108">
        <f t="shared" si="23"/>
        <v>737820</v>
      </c>
      <c r="K178" s="109">
        <f>R178-E178</f>
        <v>46</v>
      </c>
      <c r="L178" s="105">
        <v>50</v>
      </c>
      <c r="M178" s="105">
        <v>30</v>
      </c>
      <c r="N178" s="111">
        <f>+I178*G178</f>
        <v>534084</v>
      </c>
      <c r="O178" s="111">
        <f>+N178/L178</f>
        <v>10681.68</v>
      </c>
      <c r="P178" s="111">
        <f>(N178/L178)*M178</f>
        <v>320450.40000000002</v>
      </c>
      <c r="Q178" s="105" t="s">
        <v>41</v>
      </c>
      <c r="R178" s="105">
        <v>2021</v>
      </c>
      <c r="S178" s="113" t="s">
        <v>52</v>
      </c>
      <c r="U178" s="176" t="s">
        <v>219</v>
      </c>
      <c r="V178" s="177" t="s">
        <v>113</v>
      </c>
      <c r="W178" s="178">
        <v>275197.5</v>
      </c>
      <c r="X178" s="178">
        <v>0</v>
      </c>
      <c r="Y178" s="178">
        <v>26692485.050000001</v>
      </c>
      <c r="Z178" s="178">
        <v>275197.5</v>
      </c>
      <c r="AA178" s="178">
        <v>13361706.35</v>
      </c>
      <c r="AB178" s="178">
        <v>13330778.700000001</v>
      </c>
      <c r="AC178" s="177" t="s">
        <v>221</v>
      </c>
      <c r="AD178" s="205">
        <v>900008</v>
      </c>
    </row>
    <row r="179" spans="3:30" ht="30" customHeight="1" outlineLevel="1" x14ac:dyDescent="0.25">
      <c r="C179" s="114" t="s">
        <v>219</v>
      </c>
      <c r="D179" s="115" t="s">
        <v>44</v>
      </c>
      <c r="E179" s="116">
        <v>1975</v>
      </c>
      <c r="F179" s="116" t="s">
        <v>39</v>
      </c>
      <c r="G179" s="206">
        <v>101.01</v>
      </c>
      <c r="H179" s="206" t="s">
        <v>40</v>
      </c>
      <c r="I179" s="118">
        <v>30.54</v>
      </c>
      <c r="J179" s="119">
        <f t="shared" si="23"/>
        <v>18777.519</v>
      </c>
      <c r="K179" s="120">
        <f>R179-E179</f>
        <v>46</v>
      </c>
      <c r="L179" s="116">
        <v>15</v>
      </c>
      <c r="M179" s="116">
        <v>5</v>
      </c>
      <c r="N179" s="122">
        <f>+I179*G179</f>
        <v>3084.8454000000002</v>
      </c>
      <c r="O179" s="122">
        <f>+N179/L179</f>
        <v>205.65636000000001</v>
      </c>
      <c r="P179" s="122">
        <f>(N179/L179)*M179</f>
        <v>1028.2818</v>
      </c>
      <c r="Q179" s="116" t="s">
        <v>41</v>
      </c>
      <c r="R179" s="116">
        <v>2021</v>
      </c>
      <c r="S179" s="124" t="s">
        <v>52</v>
      </c>
      <c r="U179" s="180"/>
      <c r="V179" s="157"/>
      <c r="W179" s="156"/>
      <c r="X179" s="156"/>
      <c r="Y179" s="156"/>
      <c r="Z179" s="156"/>
      <c r="AA179" s="156"/>
      <c r="AB179" s="156"/>
      <c r="AC179" s="157"/>
      <c r="AD179" s="184"/>
    </row>
    <row r="180" spans="3:30" ht="30" customHeight="1" outlineLevel="1" x14ac:dyDescent="0.25">
      <c r="C180" s="114" t="s">
        <v>219</v>
      </c>
      <c r="D180" s="115" t="s">
        <v>46</v>
      </c>
      <c r="E180" s="116">
        <v>1975</v>
      </c>
      <c r="F180" s="116" t="s">
        <v>39</v>
      </c>
      <c r="G180" s="206">
        <v>210.59</v>
      </c>
      <c r="H180" s="206" t="s">
        <v>40</v>
      </c>
      <c r="I180" s="118">
        <v>3.4</v>
      </c>
      <c r="J180" s="119">
        <f t="shared" si="23"/>
        <v>2090.4900000000002</v>
      </c>
      <c r="K180" s="120">
        <f>R180-E180</f>
        <v>46</v>
      </c>
      <c r="L180" s="116">
        <v>10</v>
      </c>
      <c r="M180" s="116">
        <v>5</v>
      </c>
      <c r="N180" s="122">
        <f>+I180*G180</f>
        <v>716.00599999999997</v>
      </c>
      <c r="O180" s="122">
        <f>+N180/L180</f>
        <v>71.6006</v>
      </c>
      <c r="P180" s="122">
        <f>(N180/L180)*M180</f>
        <v>358.00299999999999</v>
      </c>
      <c r="Q180" s="116" t="s">
        <v>41</v>
      </c>
      <c r="R180" s="116">
        <v>2021</v>
      </c>
      <c r="S180" s="124" t="s">
        <v>52</v>
      </c>
      <c r="U180" s="180"/>
      <c r="V180" s="157"/>
      <c r="W180" s="156"/>
      <c r="X180" s="156"/>
      <c r="Y180" s="156"/>
      <c r="Z180" s="156"/>
      <c r="AA180" s="156"/>
      <c r="AB180" s="156"/>
      <c r="AC180" s="157"/>
      <c r="AD180" s="184"/>
    </row>
    <row r="181" spans="3:30" ht="30" customHeight="1" outlineLevel="1" thickBot="1" x14ac:dyDescent="0.3">
      <c r="C181" s="131" t="s">
        <v>219</v>
      </c>
      <c r="D181" s="132" t="s">
        <v>48</v>
      </c>
      <c r="E181" s="133">
        <v>1975</v>
      </c>
      <c r="F181" s="133" t="s">
        <v>39</v>
      </c>
      <c r="G181" s="134">
        <v>445.07</v>
      </c>
      <c r="H181" s="317" t="s">
        <v>40</v>
      </c>
      <c r="I181" s="261">
        <f>+J181/$S$2</f>
        <v>159.84168600378123</v>
      </c>
      <c r="J181" s="97">
        <f t="shared" ref="J181" si="26">+((95000^(0.364-(0.00000133*G181)))/(G181^(0.364-(0.00000133*95000))))*6500</f>
        <v>98278.660639424896</v>
      </c>
      <c r="K181" s="135" t="s">
        <v>41</v>
      </c>
      <c r="L181" s="135" t="s">
        <v>41</v>
      </c>
      <c r="M181" s="135" t="s">
        <v>41</v>
      </c>
      <c r="N181" s="135" t="s">
        <v>41</v>
      </c>
      <c r="O181" s="135" t="s">
        <v>41</v>
      </c>
      <c r="P181" s="135" t="s">
        <v>41</v>
      </c>
      <c r="Q181" s="329">
        <f>I181*G181</f>
        <v>71140.739189702916</v>
      </c>
      <c r="R181" s="133">
        <v>2021</v>
      </c>
      <c r="S181" s="137" t="s">
        <v>52</v>
      </c>
      <c r="U181" s="180"/>
      <c r="V181" s="157"/>
      <c r="W181" s="156"/>
      <c r="X181" s="156"/>
      <c r="Y181" s="156"/>
      <c r="Z181" s="156"/>
      <c r="AA181" s="156"/>
      <c r="AB181" s="156"/>
      <c r="AC181" s="157"/>
      <c r="AD181" s="184"/>
    </row>
    <row r="182" spans="3:30" ht="30" customHeight="1" outlineLevel="1" x14ac:dyDescent="0.25">
      <c r="C182" s="138" t="s">
        <v>222</v>
      </c>
      <c r="D182" s="139" t="s">
        <v>223</v>
      </c>
      <c r="E182" s="140">
        <v>2013</v>
      </c>
      <c r="F182" s="140" t="s">
        <v>39</v>
      </c>
      <c r="G182" s="309">
        <v>74.41</v>
      </c>
      <c r="H182" s="309" t="s">
        <v>40</v>
      </c>
      <c r="I182" s="142">
        <v>800</v>
      </c>
      <c r="J182" s="143">
        <f t="shared" si="23"/>
        <v>491880</v>
      </c>
      <c r="K182" s="144">
        <f>R182-E182</f>
        <v>8</v>
      </c>
      <c r="L182" s="140">
        <v>50</v>
      </c>
      <c r="M182" s="140">
        <v>43</v>
      </c>
      <c r="N182" s="146">
        <f>+I182*G182</f>
        <v>59528</v>
      </c>
      <c r="O182" s="146">
        <f>+N182/L182</f>
        <v>1190.56</v>
      </c>
      <c r="P182" s="146">
        <f>(N182/L182)*M182</f>
        <v>51194.079999999994</v>
      </c>
      <c r="Q182" s="140" t="s">
        <v>41</v>
      </c>
      <c r="R182" s="140">
        <v>2021</v>
      </c>
      <c r="S182" s="148" t="s">
        <v>52</v>
      </c>
      <c r="U182" s="180"/>
      <c r="V182" s="157"/>
      <c r="W182" s="156"/>
      <c r="X182" s="156"/>
      <c r="Y182" s="156"/>
      <c r="Z182" s="156"/>
      <c r="AA182" s="156"/>
      <c r="AB182" s="156"/>
      <c r="AC182" s="157"/>
      <c r="AD182" s="184"/>
    </row>
    <row r="183" spans="3:30" ht="30" customHeight="1" outlineLevel="1" x14ac:dyDescent="0.25">
      <c r="C183" s="114" t="s">
        <v>222</v>
      </c>
      <c r="D183" s="115" t="s">
        <v>44</v>
      </c>
      <c r="E183" s="116">
        <v>2013</v>
      </c>
      <c r="F183" s="116" t="s">
        <v>39</v>
      </c>
      <c r="G183" s="206">
        <v>49.14</v>
      </c>
      <c r="H183" s="206" t="s">
        <v>40</v>
      </c>
      <c r="I183" s="118">
        <v>30.54</v>
      </c>
      <c r="J183" s="119">
        <f t="shared" si="23"/>
        <v>18777.519</v>
      </c>
      <c r="K183" s="120">
        <f>R183-E183</f>
        <v>8</v>
      </c>
      <c r="L183" s="116">
        <v>15</v>
      </c>
      <c r="M183" s="116">
        <v>11</v>
      </c>
      <c r="N183" s="122">
        <f>+I183*G183</f>
        <v>1500.7356</v>
      </c>
      <c r="O183" s="122">
        <f>+N183/L183</f>
        <v>100.04904000000001</v>
      </c>
      <c r="P183" s="122">
        <f>(N183/L183)*M183</f>
        <v>1100.53944</v>
      </c>
      <c r="Q183" s="116" t="s">
        <v>41</v>
      </c>
      <c r="R183" s="116">
        <v>2021</v>
      </c>
      <c r="S183" s="124" t="s">
        <v>52</v>
      </c>
      <c r="U183" s="180"/>
      <c r="V183" s="157"/>
      <c r="W183" s="156"/>
      <c r="X183" s="156"/>
      <c r="Y183" s="156"/>
      <c r="Z183" s="156"/>
      <c r="AA183" s="156"/>
      <c r="AB183" s="156"/>
      <c r="AC183" s="157"/>
      <c r="AD183" s="184"/>
    </row>
    <row r="184" spans="3:30" ht="30" customHeight="1" outlineLevel="1" x14ac:dyDescent="0.25">
      <c r="C184" s="114" t="s">
        <v>222</v>
      </c>
      <c r="D184" s="115" t="s">
        <v>46</v>
      </c>
      <c r="E184" s="116">
        <v>2013</v>
      </c>
      <c r="F184" s="116" t="s">
        <v>39</v>
      </c>
      <c r="G184" s="206">
        <v>90.28</v>
      </c>
      <c r="H184" s="206" t="s">
        <v>40</v>
      </c>
      <c r="I184" s="118">
        <v>3.4</v>
      </c>
      <c r="J184" s="119">
        <f t="shared" si="23"/>
        <v>2090.4900000000002</v>
      </c>
      <c r="K184" s="120">
        <f>R184-E184</f>
        <v>8</v>
      </c>
      <c r="L184" s="116">
        <v>10</v>
      </c>
      <c r="M184" s="116">
        <v>7</v>
      </c>
      <c r="N184" s="122">
        <f>+I184*G184</f>
        <v>306.952</v>
      </c>
      <c r="O184" s="122">
        <f>+N184/L184</f>
        <v>30.6952</v>
      </c>
      <c r="P184" s="122">
        <f>(N184/L184)*M184</f>
        <v>214.8664</v>
      </c>
      <c r="Q184" s="116" t="s">
        <v>41</v>
      </c>
      <c r="R184" s="116">
        <v>2021</v>
      </c>
      <c r="S184" s="124" t="s">
        <v>52</v>
      </c>
      <c r="U184" s="180"/>
      <c r="V184" s="157"/>
      <c r="W184" s="156"/>
      <c r="X184" s="156"/>
      <c r="Y184" s="156"/>
      <c r="Z184" s="156"/>
      <c r="AA184" s="156"/>
      <c r="AB184" s="156"/>
      <c r="AC184" s="157"/>
      <c r="AD184" s="184"/>
    </row>
    <row r="185" spans="3:30" ht="30" customHeight="1" outlineLevel="1" thickBot="1" x14ac:dyDescent="0.3">
      <c r="C185" s="159" t="s">
        <v>222</v>
      </c>
      <c r="D185" s="160" t="s">
        <v>48</v>
      </c>
      <c r="E185" s="161">
        <v>2013</v>
      </c>
      <c r="F185" s="161" t="s">
        <v>39</v>
      </c>
      <c r="G185" s="162">
        <f>G182</f>
        <v>74.41</v>
      </c>
      <c r="H185" s="218" t="s">
        <v>40</v>
      </c>
      <c r="I185" s="261">
        <f>+J185/$S$2</f>
        <v>245.89504089448053</v>
      </c>
      <c r="J185" s="97">
        <f t="shared" ref="J185" si="27">+((95000^(0.364-(0.00000133*G185)))/(G185^(0.364-(0.00000133*95000))))*6500</f>
        <v>151188.56589397136</v>
      </c>
      <c r="K185" s="163" t="s">
        <v>41</v>
      </c>
      <c r="L185" s="163" t="s">
        <v>41</v>
      </c>
      <c r="M185" s="163" t="s">
        <v>41</v>
      </c>
      <c r="N185" s="163" t="s">
        <v>41</v>
      </c>
      <c r="O185" s="163" t="s">
        <v>41</v>
      </c>
      <c r="P185" s="163" t="s">
        <v>41</v>
      </c>
      <c r="Q185" s="171">
        <f>I185*G185</f>
        <v>18297.049992958295</v>
      </c>
      <c r="R185" s="161">
        <v>2021</v>
      </c>
      <c r="S185" s="165" t="s">
        <v>52</v>
      </c>
      <c r="U185" s="181"/>
      <c r="V185" s="169"/>
      <c r="W185" s="168"/>
      <c r="X185" s="168"/>
      <c r="Y185" s="168"/>
      <c r="Z185" s="168"/>
      <c r="AA185" s="168"/>
      <c r="AB185" s="168"/>
      <c r="AC185" s="169"/>
      <c r="AD185" s="188"/>
    </row>
    <row r="186" spans="3:30" ht="30" customHeight="1" outlineLevel="1" x14ac:dyDescent="0.25">
      <c r="C186" s="103" t="s">
        <v>224</v>
      </c>
      <c r="D186" s="104" t="s">
        <v>225</v>
      </c>
      <c r="E186" s="105">
        <v>2015</v>
      </c>
      <c r="F186" s="105" t="s">
        <v>39</v>
      </c>
      <c r="G186" s="203">
        <f>G189+663.39+627.35+627.2</f>
        <v>2567.37</v>
      </c>
      <c r="H186" s="203" t="s">
        <v>40</v>
      </c>
      <c r="I186" s="107">
        <v>1050</v>
      </c>
      <c r="J186" s="108">
        <f t="shared" si="23"/>
        <v>645592.5</v>
      </c>
      <c r="K186" s="109">
        <f>R186-E186</f>
        <v>6</v>
      </c>
      <c r="L186" s="105">
        <v>50</v>
      </c>
      <c r="M186" s="105">
        <v>45</v>
      </c>
      <c r="N186" s="111">
        <f>+I186*G186</f>
        <v>2695738.5</v>
      </c>
      <c r="O186" s="111">
        <f>+N186/L186</f>
        <v>53914.77</v>
      </c>
      <c r="P186" s="111">
        <f>(N186/L186)*M186</f>
        <v>2426164.65</v>
      </c>
      <c r="Q186" s="105" t="s">
        <v>41</v>
      </c>
      <c r="R186" s="105">
        <v>2021</v>
      </c>
      <c r="S186" s="113" t="s">
        <v>52</v>
      </c>
      <c r="T186" s="219" t="s">
        <v>162</v>
      </c>
      <c r="U186" s="176" t="s">
        <v>224</v>
      </c>
      <c r="V186" s="178" t="s">
        <v>226</v>
      </c>
      <c r="W186" s="178">
        <v>1261608256.5</v>
      </c>
      <c r="X186" s="178">
        <v>0</v>
      </c>
      <c r="Y186" s="178">
        <v>350623904.19999999</v>
      </c>
      <c r="Z186" s="178">
        <v>63080412.859999999</v>
      </c>
      <c r="AA186" s="178">
        <v>8895751.9499999993</v>
      </c>
      <c r="AB186" s="178">
        <v>1540255995.8900001</v>
      </c>
      <c r="AC186" s="177" t="s">
        <v>227</v>
      </c>
      <c r="AD186" s="205">
        <v>900397</v>
      </c>
    </row>
    <row r="187" spans="3:30" ht="30" customHeight="1" outlineLevel="1" x14ac:dyDescent="0.25">
      <c r="C187" s="114" t="s">
        <v>224</v>
      </c>
      <c r="D187" s="115" t="s">
        <v>44</v>
      </c>
      <c r="E187" s="116">
        <v>2015</v>
      </c>
      <c r="F187" s="116" t="s">
        <v>39</v>
      </c>
      <c r="G187" s="206">
        <v>155.51</v>
      </c>
      <c r="H187" s="206" t="s">
        <v>40</v>
      </c>
      <c r="I187" s="118">
        <v>30.54</v>
      </c>
      <c r="J187" s="119">
        <f t="shared" si="23"/>
        <v>18777.519</v>
      </c>
      <c r="K187" s="120">
        <f>R187-E187</f>
        <v>6</v>
      </c>
      <c r="L187" s="116">
        <v>15</v>
      </c>
      <c r="M187" s="116">
        <v>12</v>
      </c>
      <c r="N187" s="122">
        <f>+I187*G187</f>
        <v>4749.2753999999995</v>
      </c>
      <c r="O187" s="122">
        <f>+N187/L187</f>
        <v>316.61836</v>
      </c>
      <c r="P187" s="122">
        <f>(N187/L187)*M187</f>
        <v>3799.4203200000002</v>
      </c>
      <c r="Q187" s="116" t="s">
        <v>41</v>
      </c>
      <c r="R187" s="116">
        <v>2021</v>
      </c>
      <c r="S187" s="124" t="s">
        <v>52</v>
      </c>
      <c r="T187" s="219" t="s">
        <v>162</v>
      </c>
      <c r="U187" s="180"/>
      <c r="V187" s="156"/>
      <c r="W187" s="156"/>
      <c r="X187" s="156"/>
      <c r="Y187" s="156"/>
      <c r="Z187" s="156"/>
      <c r="AA187" s="156"/>
      <c r="AB187" s="156"/>
      <c r="AC187" s="157"/>
      <c r="AD187" s="184"/>
    </row>
    <row r="188" spans="3:30" ht="30" customHeight="1" outlineLevel="1" x14ac:dyDescent="0.25">
      <c r="C188" s="114" t="s">
        <v>224</v>
      </c>
      <c r="D188" s="115" t="s">
        <v>46</v>
      </c>
      <c r="E188" s="116">
        <v>2015</v>
      </c>
      <c r="F188" s="116" t="s">
        <v>39</v>
      </c>
      <c r="G188" s="206">
        <v>314.60000000000002</v>
      </c>
      <c r="H188" s="206" t="s">
        <v>40</v>
      </c>
      <c r="I188" s="118">
        <v>3.4</v>
      </c>
      <c r="J188" s="119">
        <f t="shared" si="23"/>
        <v>2090.4900000000002</v>
      </c>
      <c r="K188" s="120">
        <f>R188-E188</f>
        <v>6</v>
      </c>
      <c r="L188" s="116">
        <v>10</v>
      </c>
      <c r="M188" s="116">
        <v>8</v>
      </c>
      <c r="N188" s="122">
        <f>+I188*G188</f>
        <v>1069.6400000000001</v>
      </c>
      <c r="O188" s="122">
        <f>+N188/L188</f>
        <v>106.96400000000001</v>
      </c>
      <c r="P188" s="122">
        <f>(N188/L188)*M188</f>
        <v>855.7120000000001</v>
      </c>
      <c r="Q188" s="116" t="s">
        <v>41</v>
      </c>
      <c r="R188" s="116">
        <v>2021</v>
      </c>
      <c r="S188" s="124" t="s">
        <v>52</v>
      </c>
      <c r="T188" s="219" t="s">
        <v>162</v>
      </c>
      <c r="U188" s="180"/>
      <c r="V188" s="156"/>
      <c r="W188" s="156"/>
      <c r="X188" s="156"/>
      <c r="Y188" s="156"/>
      <c r="Z188" s="156"/>
      <c r="AA188" s="156"/>
      <c r="AB188" s="156"/>
      <c r="AC188" s="157"/>
      <c r="AD188" s="184"/>
    </row>
    <row r="189" spans="3:30" ht="30" customHeight="1" outlineLevel="1" thickBot="1" x14ac:dyDescent="0.3">
      <c r="C189" s="159" t="s">
        <v>224</v>
      </c>
      <c r="D189" s="160" t="s">
        <v>48</v>
      </c>
      <c r="E189" s="161">
        <v>2015</v>
      </c>
      <c r="F189" s="161" t="s">
        <v>39</v>
      </c>
      <c r="G189" s="162">
        <v>649.42999999999995</v>
      </c>
      <c r="H189" s="218" t="s">
        <v>40</v>
      </c>
      <c r="I189" s="261">
        <f>+J189/$S$2</f>
        <v>145.65915659858177</v>
      </c>
      <c r="J189" s="97">
        <f t="shared" ref="J189" si="28">+((95000^(0.364-(0.00000133*G189)))/(G189^(0.364-(0.00000133*95000))))*6500</f>
        <v>89558.532434638008</v>
      </c>
      <c r="K189" s="163" t="s">
        <v>41</v>
      </c>
      <c r="L189" s="163" t="s">
        <v>41</v>
      </c>
      <c r="M189" s="163" t="s">
        <v>41</v>
      </c>
      <c r="N189" s="163" t="s">
        <v>41</v>
      </c>
      <c r="O189" s="163" t="s">
        <v>41</v>
      </c>
      <c r="P189" s="163" t="s">
        <v>41</v>
      </c>
      <c r="Q189" s="171">
        <f>I189*G189</f>
        <v>94595.426069816953</v>
      </c>
      <c r="R189" s="161">
        <v>2021</v>
      </c>
      <c r="S189" s="165" t="s">
        <v>52</v>
      </c>
      <c r="T189" s="219" t="s">
        <v>162</v>
      </c>
      <c r="U189" s="181"/>
      <c r="V189" s="168"/>
      <c r="W189" s="168"/>
      <c r="X189" s="168"/>
      <c r="Y189" s="168"/>
      <c r="Z189" s="168"/>
      <c r="AA189" s="168"/>
      <c r="AB189" s="168"/>
      <c r="AC189" s="169"/>
      <c r="AD189" s="188"/>
    </row>
    <row r="190" spans="3:30" ht="30" customHeight="1" outlineLevel="1" x14ac:dyDescent="0.25">
      <c r="C190" s="103" t="s">
        <v>228</v>
      </c>
      <c r="D190" s="104" t="s">
        <v>229</v>
      </c>
      <c r="E190" s="105">
        <v>1978</v>
      </c>
      <c r="F190" s="105" t="s">
        <v>39</v>
      </c>
      <c r="G190" s="203">
        <f>G193+621.49</f>
        <v>1461.77</v>
      </c>
      <c r="H190" s="203" t="s">
        <v>40</v>
      </c>
      <c r="I190" s="107">
        <v>1300</v>
      </c>
      <c r="J190" s="108">
        <f t="shared" si="23"/>
        <v>799305</v>
      </c>
      <c r="K190" s="109">
        <f>R190-E190</f>
        <v>43</v>
      </c>
      <c r="L190" s="105">
        <v>50</v>
      </c>
      <c r="M190" s="105">
        <v>30</v>
      </c>
      <c r="N190" s="111">
        <f>+I190*G190</f>
        <v>1900301</v>
      </c>
      <c r="O190" s="111">
        <f>+N190/L190</f>
        <v>38006.019999999997</v>
      </c>
      <c r="P190" s="111">
        <f>(N190/L190)*M190</f>
        <v>1140180.5999999999</v>
      </c>
      <c r="Q190" s="105" t="s">
        <v>41</v>
      </c>
      <c r="R190" s="105">
        <v>2021</v>
      </c>
      <c r="S190" s="113" t="s">
        <v>79</v>
      </c>
      <c r="T190" s="219" t="s">
        <v>230</v>
      </c>
      <c r="U190" s="176" t="s">
        <v>228</v>
      </c>
      <c r="V190" s="177" t="s">
        <v>231</v>
      </c>
      <c r="W190" s="178">
        <v>672286.9</v>
      </c>
      <c r="X190" s="178">
        <v>0</v>
      </c>
      <c r="Y190" s="178">
        <v>76128169.239999995</v>
      </c>
      <c r="Z190" s="178">
        <v>625092.82999999996</v>
      </c>
      <c r="AA190" s="178">
        <v>30366823.739999998</v>
      </c>
      <c r="AB190" s="178">
        <v>45808539.570000008</v>
      </c>
      <c r="AC190" s="177" t="s">
        <v>232</v>
      </c>
      <c r="AD190" s="205">
        <v>900031</v>
      </c>
    </row>
    <row r="191" spans="3:30" ht="30" customHeight="1" outlineLevel="1" x14ac:dyDescent="0.25">
      <c r="C191" s="114" t="s">
        <v>228</v>
      </c>
      <c r="D191" s="115" t="s">
        <v>44</v>
      </c>
      <c r="E191" s="116">
        <v>1978</v>
      </c>
      <c r="F191" s="116" t="s">
        <v>39</v>
      </c>
      <c r="G191" s="206">
        <v>122.33</v>
      </c>
      <c r="H191" s="206" t="s">
        <v>40</v>
      </c>
      <c r="I191" s="118">
        <v>30.54</v>
      </c>
      <c r="J191" s="119">
        <f t="shared" si="23"/>
        <v>18777.519</v>
      </c>
      <c r="K191" s="120">
        <f>R191-E191</f>
        <v>43</v>
      </c>
      <c r="L191" s="116">
        <v>15</v>
      </c>
      <c r="M191" s="116">
        <v>5</v>
      </c>
      <c r="N191" s="122">
        <f>+I191*G191</f>
        <v>3735.9582</v>
      </c>
      <c r="O191" s="122">
        <f>+N191/L191</f>
        <v>249.06388000000001</v>
      </c>
      <c r="P191" s="122">
        <f>(N191/L191)*M191</f>
        <v>1245.3194000000001</v>
      </c>
      <c r="Q191" s="116" t="s">
        <v>41</v>
      </c>
      <c r="R191" s="116">
        <v>2021</v>
      </c>
      <c r="S191" s="124" t="s">
        <v>79</v>
      </c>
      <c r="T191" s="219" t="s">
        <v>230</v>
      </c>
      <c r="U191" s="330"/>
      <c r="V191" s="331"/>
      <c r="W191" s="332"/>
      <c r="X191" s="332"/>
      <c r="Y191" s="332"/>
      <c r="Z191" s="332"/>
      <c r="AA191" s="332"/>
      <c r="AB191" s="332"/>
      <c r="AC191" s="331"/>
      <c r="AD191" s="333"/>
    </row>
    <row r="192" spans="3:30" ht="30" customHeight="1" outlineLevel="1" x14ac:dyDescent="0.25">
      <c r="C192" s="114" t="s">
        <v>228</v>
      </c>
      <c r="D192" s="115" t="s">
        <v>46</v>
      </c>
      <c r="E192" s="116">
        <v>1978</v>
      </c>
      <c r="F192" s="116" t="s">
        <v>39</v>
      </c>
      <c r="G192" s="206">
        <v>252.66</v>
      </c>
      <c r="H192" s="206" t="s">
        <v>40</v>
      </c>
      <c r="I192" s="118">
        <v>3.4</v>
      </c>
      <c r="J192" s="119">
        <f t="shared" si="23"/>
        <v>2090.4900000000002</v>
      </c>
      <c r="K192" s="120">
        <f>R192-E192</f>
        <v>43</v>
      </c>
      <c r="L192" s="116">
        <v>10</v>
      </c>
      <c r="M192" s="116">
        <v>5</v>
      </c>
      <c r="N192" s="122">
        <f>+I192*G192</f>
        <v>859.04399999999998</v>
      </c>
      <c r="O192" s="122">
        <f>+N192/L192</f>
        <v>85.904399999999995</v>
      </c>
      <c r="P192" s="122">
        <f>(N192/L192)*M192</f>
        <v>429.52199999999999</v>
      </c>
      <c r="Q192" s="116" t="s">
        <v>41</v>
      </c>
      <c r="R192" s="116">
        <v>2021</v>
      </c>
      <c r="S192" s="124" t="s">
        <v>79</v>
      </c>
      <c r="T192" s="219" t="s">
        <v>230</v>
      </c>
      <c r="U192" s="226" t="s">
        <v>228</v>
      </c>
      <c r="V192" s="152" t="s">
        <v>231</v>
      </c>
      <c r="W192" s="151">
        <v>301471.34999999998</v>
      </c>
      <c r="X192" s="151">
        <v>0</v>
      </c>
      <c r="Y192" s="151">
        <v>6742100</v>
      </c>
      <c r="Z192" s="151">
        <v>280307.64</v>
      </c>
      <c r="AA192" s="151">
        <v>2926071.27</v>
      </c>
      <c r="AB192" s="151">
        <v>3837192.44</v>
      </c>
      <c r="AC192" s="152" t="s">
        <v>233</v>
      </c>
      <c r="AD192" s="227">
        <v>900032</v>
      </c>
    </row>
    <row r="193" spans="3:30" ht="30" customHeight="1" outlineLevel="1" thickBot="1" x14ac:dyDescent="0.3">
      <c r="C193" s="92" t="s">
        <v>228</v>
      </c>
      <c r="D193" s="236" t="s">
        <v>48</v>
      </c>
      <c r="E193" s="94">
        <v>1978</v>
      </c>
      <c r="F193" s="94" t="s">
        <v>39</v>
      </c>
      <c r="G193" s="95">
        <v>840.28</v>
      </c>
      <c r="H193" s="224" t="s">
        <v>40</v>
      </c>
      <c r="I193" s="261">
        <f>+J193/$S$2</f>
        <v>136.61023396165643</v>
      </c>
      <c r="J193" s="97">
        <f t="shared" ref="J193" si="29">+((95000^(0.364-(0.00000133*G193)))/(G193^(0.364-(0.00000133*95000))))*6500</f>
        <v>83994.80235132447</v>
      </c>
      <c r="K193" s="98" t="s">
        <v>41</v>
      </c>
      <c r="L193" s="98" t="s">
        <v>41</v>
      </c>
      <c r="M193" s="98" t="s">
        <v>41</v>
      </c>
      <c r="N193" s="98" t="s">
        <v>41</v>
      </c>
      <c r="O193" s="98" t="s">
        <v>41</v>
      </c>
      <c r="P193" s="98" t="s">
        <v>41</v>
      </c>
      <c r="Q193" s="101">
        <f>I193*G193</f>
        <v>114790.84739330066</v>
      </c>
      <c r="R193" s="94">
        <v>2021</v>
      </c>
      <c r="S193" s="102" t="s">
        <v>79</v>
      </c>
      <c r="T193" s="219" t="s">
        <v>230</v>
      </c>
      <c r="U193" s="181"/>
      <c r="V193" s="169"/>
      <c r="W193" s="168"/>
      <c r="X193" s="168"/>
      <c r="Y193" s="168"/>
      <c r="Z193" s="168"/>
      <c r="AA193" s="168"/>
      <c r="AB193" s="168"/>
      <c r="AC193" s="169"/>
      <c r="AD193" s="188"/>
    </row>
    <row r="194" spans="3:30" ht="30" customHeight="1" outlineLevel="1" x14ac:dyDescent="0.25">
      <c r="C194" s="103" t="s">
        <v>234</v>
      </c>
      <c r="D194" s="334" t="s">
        <v>235</v>
      </c>
      <c r="E194" s="105">
        <v>1982</v>
      </c>
      <c r="F194" s="323" t="s">
        <v>39</v>
      </c>
      <c r="G194" s="203">
        <f>G197+41.79</f>
        <v>361.76000000000005</v>
      </c>
      <c r="H194" s="203" t="s">
        <v>40</v>
      </c>
      <c r="I194" s="107">
        <v>750</v>
      </c>
      <c r="J194" s="108">
        <f t="shared" si="23"/>
        <v>461137.5</v>
      </c>
      <c r="K194" s="109">
        <f>R194-E194</f>
        <v>39</v>
      </c>
      <c r="L194" s="109">
        <v>50</v>
      </c>
      <c r="M194" s="109">
        <v>30</v>
      </c>
      <c r="N194" s="111">
        <f t="shared" ref="N194:N195" si="30">+I194*G194</f>
        <v>271320.00000000006</v>
      </c>
      <c r="O194" s="111">
        <f t="shared" ref="O194:O195" si="31">+N194/L194</f>
        <v>5426.4000000000015</v>
      </c>
      <c r="P194" s="111">
        <f t="shared" ref="P194:P195" si="32">(N194/L194)*M194</f>
        <v>162792.00000000006</v>
      </c>
      <c r="Q194" s="335" t="s">
        <v>41</v>
      </c>
      <c r="R194" s="105">
        <v>2021</v>
      </c>
      <c r="S194" s="113" t="s">
        <v>236</v>
      </c>
      <c r="U194" s="176" t="s">
        <v>234</v>
      </c>
      <c r="V194" s="177" t="s">
        <v>237</v>
      </c>
      <c r="W194" s="178">
        <v>619839.99</v>
      </c>
      <c r="X194" s="178">
        <v>0</v>
      </c>
      <c r="Y194" s="178">
        <v>17760398.68</v>
      </c>
      <c r="Z194" s="178">
        <v>474177.65</v>
      </c>
      <c r="AA194" s="178">
        <v>3677027.15</v>
      </c>
      <c r="AB194" s="178">
        <v>14229033.869999999</v>
      </c>
      <c r="AC194" s="177" t="s">
        <v>238</v>
      </c>
      <c r="AD194" s="205">
        <v>900113</v>
      </c>
    </row>
    <row r="195" spans="3:30" ht="30" customHeight="1" outlineLevel="1" x14ac:dyDescent="0.25">
      <c r="C195" s="114" t="s">
        <v>234</v>
      </c>
      <c r="D195" s="336" t="s">
        <v>44</v>
      </c>
      <c r="E195" s="116">
        <v>1982</v>
      </c>
      <c r="F195" s="187" t="s">
        <v>39</v>
      </c>
      <c r="G195" s="206">
        <v>77.709999999999994</v>
      </c>
      <c r="H195" s="206" t="s">
        <v>40</v>
      </c>
      <c r="I195" s="118">
        <v>30.54</v>
      </c>
      <c r="J195" s="119">
        <f t="shared" si="23"/>
        <v>18777.519</v>
      </c>
      <c r="K195" s="120">
        <f>R195-E195</f>
        <v>39</v>
      </c>
      <c r="L195" s="120">
        <v>15</v>
      </c>
      <c r="M195" s="120">
        <v>5</v>
      </c>
      <c r="N195" s="122">
        <f t="shared" si="30"/>
        <v>2373.2633999999998</v>
      </c>
      <c r="O195" s="122">
        <f t="shared" si="31"/>
        <v>158.21755999999999</v>
      </c>
      <c r="P195" s="122">
        <f t="shared" si="32"/>
        <v>791.08780000000002</v>
      </c>
      <c r="Q195" s="337" t="s">
        <v>41</v>
      </c>
      <c r="R195" s="116">
        <v>2021</v>
      </c>
      <c r="S195" s="124" t="s">
        <v>236</v>
      </c>
      <c r="U195" s="180"/>
      <c r="V195" s="157"/>
      <c r="W195" s="156"/>
      <c r="X195" s="156"/>
      <c r="Y195" s="156"/>
      <c r="Z195" s="156"/>
      <c r="AA195" s="156"/>
      <c r="AB195" s="156"/>
      <c r="AC195" s="157"/>
      <c r="AD195" s="184"/>
    </row>
    <row r="196" spans="3:30" ht="30" customHeight="1" outlineLevel="1" x14ac:dyDescent="0.25">
      <c r="C196" s="114" t="s">
        <v>234</v>
      </c>
      <c r="D196" s="336" t="s">
        <v>86</v>
      </c>
      <c r="E196" s="116">
        <v>1982</v>
      </c>
      <c r="F196" s="187" t="s">
        <v>39</v>
      </c>
      <c r="G196" s="206">
        <v>0</v>
      </c>
      <c r="H196" s="206" t="s">
        <v>87</v>
      </c>
      <c r="I196" s="206">
        <v>0</v>
      </c>
      <c r="J196" s="206">
        <v>0</v>
      </c>
      <c r="K196" s="313">
        <v>0</v>
      </c>
      <c r="L196" s="313">
        <v>0</v>
      </c>
      <c r="M196" s="313">
        <v>0</v>
      </c>
      <c r="N196" s="314">
        <v>0</v>
      </c>
      <c r="O196" s="314">
        <v>0</v>
      </c>
      <c r="P196" s="314">
        <v>0</v>
      </c>
      <c r="Q196" s="313">
        <v>0</v>
      </c>
      <c r="R196" s="116" t="s">
        <v>87</v>
      </c>
      <c r="S196" s="124" t="s">
        <v>87</v>
      </c>
      <c r="U196" s="180"/>
      <c r="V196" s="157"/>
      <c r="W196" s="156"/>
      <c r="X196" s="156"/>
      <c r="Y196" s="156"/>
      <c r="Z196" s="156"/>
      <c r="AA196" s="156"/>
      <c r="AB196" s="156"/>
      <c r="AC196" s="157"/>
      <c r="AD196" s="184"/>
    </row>
    <row r="197" spans="3:30" ht="30" customHeight="1" outlineLevel="1" thickBot="1" x14ac:dyDescent="0.3">
      <c r="C197" s="159" t="s">
        <v>234</v>
      </c>
      <c r="D197" s="338" t="s">
        <v>48</v>
      </c>
      <c r="E197" s="161">
        <v>1982</v>
      </c>
      <c r="F197" s="339" t="s">
        <v>39</v>
      </c>
      <c r="G197" s="162">
        <v>319.97000000000003</v>
      </c>
      <c r="H197" s="218" t="s">
        <v>40</v>
      </c>
      <c r="I197" s="261">
        <f>+J197/$S$2</f>
        <v>173.21202343788141</v>
      </c>
      <c r="J197" s="208">
        <f t="shared" ref="J197" si="33">+((95000^(0.364-(0.00000133*G197)))/(G197^(0.364-(0.00000133*95000))))*6500</f>
        <v>106499.41261078139</v>
      </c>
      <c r="K197" s="163" t="s">
        <v>41</v>
      </c>
      <c r="L197" s="163" t="s">
        <v>41</v>
      </c>
      <c r="M197" s="163" t="s">
        <v>41</v>
      </c>
      <c r="N197" s="163" t="s">
        <v>41</v>
      </c>
      <c r="O197" s="163" t="s">
        <v>41</v>
      </c>
      <c r="P197" s="163" t="s">
        <v>41</v>
      </c>
      <c r="Q197" s="171">
        <f>I197*G197</f>
        <v>55422.651139418922</v>
      </c>
      <c r="R197" s="161">
        <v>2021</v>
      </c>
      <c r="S197" s="165" t="s">
        <v>236</v>
      </c>
      <c r="U197" s="181"/>
      <c r="V197" s="169"/>
      <c r="W197" s="168"/>
      <c r="X197" s="168"/>
      <c r="Y197" s="168"/>
      <c r="Z197" s="168"/>
      <c r="AA197" s="168"/>
      <c r="AB197" s="168"/>
      <c r="AC197" s="169"/>
      <c r="AD197" s="188"/>
    </row>
    <row r="198" spans="3:30" ht="30" customHeight="1" outlineLevel="1" x14ac:dyDescent="0.25">
      <c r="C198" s="252" t="s">
        <v>239</v>
      </c>
      <c r="D198" s="253" t="s">
        <v>240</v>
      </c>
      <c r="E198" s="254">
        <v>1980</v>
      </c>
      <c r="F198" s="254" t="s">
        <v>39</v>
      </c>
      <c r="G198" s="255">
        <v>72.569999999999993</v>
      </c>
      <c r="H198" s="255" t="s">
        <v>40</v>
      </c>
      <c r="I198" s="256">
        <v>2500</v>
      </c>
      <c r="J198" s="257">
        <f t="shared" si="23"/>
        <v>1537125</v>
      </c>
      <c r="K198" s="258">
        <f>R198-E198</f>
        <v>41</v>
      </c>
      <c r="L198" s="254">
        <v>50</v>
      </c>
      <c r="M198" s="254">
        <v>30</v>
      </c>
      <c r="N198" s="259">
        <f>+I198*G198</f>
        <v>181424.99999999997</v>
      </c>
      <c r="O198" s="259">
        <f>+N198/L198</f>
        <v>3628.4999999999995</v>
      </c>
      <c r="P198" s="259">
        <f>(N198/L198)*M198</f>
        <v>108854.99999999999</v>
      </c>
      <c r="Q198" s="254" t="s">
        <v>41</v>
      </c>
      <c r="R198" s="254">
        <v>2021</v>
      </c>
      <c r="S198" s="340" t="s">
        <v>79</v>
      </c>
      <c r="T198" s="219" t="s">
        <v>162</v>
      </c>
      <c r="U198" s="341" t="s">
        <v>239</v>
      </c>
      <c r="V198" s="342" t="s">
        <v>241</v>
      </c>
      <c r="W198" s="343">
        <v>162326.71</v>
      </c>
      <c r="X198" s="343">
        <v>0</v>
      </c>
      <c r="Y198" s="343">
        <v>0</v>
      </c>
      <c r="Z198" s="343">
        <v>94419.92</v>
      </c>
      <c r="AA198" s="343">
        <v>0</v>
      </c>
      <c r="AB198" s="343">
        <v>67906.789999999994</v>
      </c>
      <c r="AC198" s="342" t="s">
        <v>242</v>
      </c>
      <c r="AD198" s="344">
        <v>900301</v>
      </c>
    </row>
    <row r="199" spans="3:30" ht="30" customHeight="1" outlineLevel="1" x14ac:dyDescent="0.25">
      <c r="C199" s="114" t="s">
        <v>239</v>
      </c>
      <c r="D199" s="115" t="s">
        <v>44</v>
      </c>
      <c r="E199" s="116">
        <v>1980</v>
      </c>
      <c r="F199" s="116" t="s">
        <v>39</v>
      </c>
      <c r="G199" s="206">
        <v>38.6</v>
      </c>
      <c r="H199" s="206" t="s">
        <v>40</v>
      </c>
      <c r="I199" s="118">
        <v>30.54</v>
      </c>
      <c r="J199" s="119">
        <f t="shared" si="23"/>
        <v>18777.519</v>
      </c>
      <c r="K199" s="120">
        <f>R199-E199</f>
        <v>41</v>
      </c>
      <c r="L199" s="116">
        <v>15</v>
      </c>
      <c r="M199" s="116">
        <v>5</v>
      </c>
      <c r="N199" s="122">
        <f>+I199*G199</f>
        <v>1178.8440000000001</v>
      </c>
      <c r="O199" s="122">
        <f>+N199/L199</f>
        <v>78.589600000000004</v>
      </c>
      <c r="P199" s="122">
        <f>(N199/L199)*M199</f>
        <v>392.94800000000004</v>
      </c>
      <c r="Q199" s="116" t="s">
        <v>41</v>
      </c>
      <c r="R199" s="116">
        <v>2021</v>
      </c>
      <c r="S199" s="124" t="s">
        <v>79</v>
      </c>
      <c r="T199" s="219" t="s">
        <v>162</v>
      </c>
      <c r="U199" s="345"/>
      <c r="V199" s="346"/>
      <c r="W199" s="347"/>
      <c r="X199" s="347"/>
      <c r="Y199" s="347"/>
      <c r="Z199" s="347"/>
      <c r="AA199" s="347"/>
      <c r="AB199" s="347"/>
      <c r="AC199" s="346"/>
      <c r="AD199" s="348"/>
    </row>
    <row r="200" spans="3:30" ht="30" customHeight="1" outlineLevel="1" x14ac:dyDescent="0.25">
      <c r="C200" s="114" t="s">
        <v>239</v>
      </c>
      <c r="D200" s="115" t="s">
        <v>86</v>
      </c>
      <c r="E200" s="116">
        <v>1980</v>
      </c>
      <c r="F200" s="116" t="s">
        <v>39</v>
      </c>
      <c r="G200" s="206">
        <v>0</v>
      </c>
      <c r="H200" s="206" t="s">
        <v>87</v>
      </c>
      <c r="I200" s="206">
        <v>0</v>
      </c>
      <c r="J200" s="206">
        <v>0</v>
      </c>
      <c r="K200" s="206">
        <v>0</v>
      </c>
      <c r="L200" s="206">
        <v>0</v>
      </c>
      <c r="M200" s="206">
        <v>0</v>
      </c>
      <c r="N200" s="206">
        <v>0</v>
      </c>
      <c r="O200" s="206">
        <v>0</v>
      </c>
      <c r="P200" s="206">
        <v>0</v>
      </c>
      <c r="Q200" s="206">
        <v>0</v>
      </c>
      <c r="R200" s="116" t="s">
        <v>87</v>
      </c>
      <c r="S200" s="124" t="s">
        <v>87</v>
      </c>
      <c r="T200" s="219" t="s">
        <v>162</v>
      </c>
      <c r="U200" s="345" t="s">
        <v>239</v>
      </c>
      <c r="V200" s="349">
        <v>29889</v>
      </c>
      <c r="W200" s="347">
        <v>149166.34</v>
      </c>
      <c r="X200" s="347">
        <v>0</v>
      </c>
      <c r="Y200" s="347">
        <v>0</v>
      </c>
      <c r="Z200" s="347">
        <v>114112.05</v>
      </c>
      <c r="AA200" s="347">
        <v>0</v>
      </c>
      <c r="AB200" s="347">
        <v>35054.289999999994</v>
      </c>
      <c r="AC200" s="346" t="s">
        <v>243</v>
      </c>
      <c r="AD200" s="348">
        <v>900114</v>
      </c>
    </row>
    <row r="201" spans="3:30" ht="30" customHeight="1" outlineLevel="1" thickBot="1" x14ac:dyDescent="0.3">
      <c r="C201" s="159" t="s">
        <v>239</v>
      </c>
      <c r="D201" s="160" t="s">
        <v>48</v>
      </c>
      <c r="E201" s="161">
        <v>1980</v>
      </c>
      <c r="F201" s="161" t="s">
        <v>39</v>
      </c>
      <c r="G201" s="162">
        <f>G198</f>
        <v>72.569999999999993</v>
      </c>
      <c r="H201" s="218" t="s">
        <v>40</v>
      </c>
      <c r="I201" s="261">
        <f>+J201/$S$2</f>
        <v>247.36952826806686</v>
      </c>
      <c r="J201" s="97">
        <f t="shared" ref="J201" si="34">+((95000^(0.364-(0.00000133*G201)))/(G201^(0.364-(0.00000133*95000))))*6500</f>
        <v>152095.15445562091</v>
      </c>
      <c r="K201" s="163" t="s">
        <v>41</v>
      </c>
      <c r="L201" s="163" t="s">
        <v>41</v>
      </c>
      <c r="M201" s="163" t="s">
        <v>41</v>
      </c>
      <c r="N201" s="163" t="s">
        <v>41</v>
      </c>
      <c r="O201" s="163" t="s">
        <v>41</v>
      </c>
      <c r="P201" s="163" t="s">
        <v>41</v>
      </c>
      <c r="Q201" s="171">
        <f>I201*G201</f>
        <v>17951.606666413609</v>
      </c>
      <c r="R201" s="161">
        <v>2021</v>
      </c>
      <c r="S201" s="165" t="s">
        <v>79</v>
      </c>
      <c r="T201" s="219" t="s">
        <v>162</v>
      </c>
      <c r="U201" s="350"/>
      <c r="V201" s="351"/>
      <c r="W201" s="352"/>
      <c r="X201" s="352"/>
      <c r="Y201" s="352"/>
      <c r="Z201" s="352"/>
      <c r="AA201" s="352"/>
      <c r="AB201" s="352"/>
      <c r="AC201" s="353"/>
      <c r="AD201" s="354"/>
    </row>
    <row r="202" spans="3:30" ht="30" customHeight="1" outlineLevel="1" x14ac:dyDescent="0.25">
      <c r="C202" s="103" t="s">
        <v>244</v>
      </c>
      <c r="D202" s="104" t="s">
        <v>245</v>
      </c>
      <c r="E202" s="105">
        <v>1975</v>
      </c>
      <c r="F202" s="105" t="s">
        <v>39</v>
      </c>
      <c r="G202" s="203">
        <v>589.42999999999995</v>
      </c>
      <c r="H202" s="203" t="s">
        <v>40</v>
      </c>
      <c r="I202" s="107">
        <v>1500</v>
      </c>
      <c r="J202" s="108">
        <f t="shared" si="23"/>
        <v>922275</v>
      </c>
      <c r="K202" s="109">
        <f>R202-E202</f>
        <v>46</v>
      </c>
      <c r="L202" s="105">
        <v>50</v>
      </c>
      <c r="M202" s="105">
        <v>30</v>
      </c>
      <c r="N202" s="111">
        <f>+I202*G202</f>
        <v>884144.99999999988</v>
      </c>
      <c r="O202" s="111">
        <f>+N202/L202</f>
        <v>17682.899999999998</v>
      </c>
      <c r="P202" s="111">
        <f>(N202/L202)*M202</f>
        <v>530486.99999999988</v>
      </c>
      <c r="Q202" s="105" t="s">
        <v>41</v>
      </c>
      <c r="R202" s="105">
        <v>2021</v>
      </c>
      <c r="S202" s="113" t="s">
        <v>52</v>
      </c>
      <c r="T202" s="219" t="s">
        <v>246</v>
      </c>
      <c r="U202" s="176" t="s">
        <v>244</v>
      </c>
      <c r="V202" s="177" t="s">
        <v>241</v>
      </c>
      <c r="W202" s="178">
        <v>212071.18</v>
      </c>
      <c r="X202" s="178">
        <v>0</v>
      </c>
      <c r="Y202" s="178">
        <v>105179181.39</v>
      </c>
      <c r="Z202" s="178">
        <v>123354.6</v>
      </c>
      <c r="AA202" s="178">
        <v>20876573.370000001</v>
      </c>
      <c r="AB202" s="178">
        <v>84391324.600000009</v>
      </c>
      <c r="AC202" s="177" t="s">
        <v>247</v>
      </c>
      <c r="AD202" s="205">
        <v>900309</v>
      </c>
    </row>
    <row r="203" spans="3:30" ht="30" customHeight="1" outlineLevel="1" x14ac:dyDescent="0.25">
      <c r="C203" s="114" t="s">
        <v>244</v>
      </c>
      <c r="D203" s="115" t="s">
        <v>44</v>
      </c>
      <c r="E203" s="116">
        <v>1975</v>
      </c>
      <c r="F203" s="116" t="s">
        <v>39</v>
      </c>
      <c r="G203" s="206">
        <v>133.51</v>
      </c>
      <c r="H203" s="206" t="s">
        <v>40</v>
      </c>
      <c r="I203" s="118">
        <v>30.54</v>
      </c>
      <c r="J203" s="119">
        <f t="shared" si="23"/>
        <v>18777.519</v>
      </c>
      <c r="K203" s="120">
        <f>R203-E203</f>
        <v>46</v>
      </c>
      <c r="L203" s="116">
        <v>15</v>
      </c>
      <c r="M203" s="116">
        <v>5</v>
      </c>
      <c r="N203" s="122">
        <f>+I203*G203</f>
        <v>4077.3953999999994</v>
      </c>
      <c r="O203" s="122">
        <f>+N203/L203</f>
        <v>271.82635999999997</v>
      </c>
      <c r="P203" s="122">
        <f>(N203/L203)*M203</f>
        <v>1359.1317999999999</v>
      </c>
      <c r="Q203" s="116" t="s">
        <v>41</v>
      </c>
      <c r="R203" s="116">
        <v>2021</v>
      </c>
      <c r="S203" s="124" t="s">
        <v>52</v>
      </c>
      <c r="T203" s="219" t="s">
        <v>246</v>
      </c>
      <c r="U203" s="180"/>
      <c r="V203" s="157"/>
      <c r="W203" s="156"/>
      <c r="X203" s="156"/>
      <c r="Y203" s="156"/>
      <c r="Z203" s="156"/>
      <c r="AA203" s="156"/>
      <c r="AB203" s="156"/>
      <c r="AC203" s="157"/>
      <c r="AD203" s="184"/>
    </row>
    <row r="204" spans="3:30" ht="30" customHeight="1" outlineLevel="1" x14ac:dyDescent="0.25">
      <c r="C204" s="114" t="s">
        <v>244</v>
      </c>
      <c r="D204" s="115" t="s">
        <v>46</v>
      </c>
      <c r="E204" s="116">
        <v>1975</v>
      </c>
      <c r="F204" s="116" t="s">
        <v>39</v>
      </c>
      <c r="G204" s="206">
        <v>274.85000000000002</v>
      </c>
      <c r="H204" s="206" t="s">
        <v>40</v>
      </c>
      <c r="I204" s="118">
        <v>3.4</v>
      </c>
      <c r="J204" s="119">
        <f t="shared" si="23"/>
        <v>2090.4900000000002</v>
      </c>
      <c r="K204" s="120">
        <f>R204-E204</f>
        <v>46</v>
      </c>
      <c r="L204" s="116">
        <v>10</v>
      </c>
      <c r="M204" s="116">
        <v>5</v>
      </c>
      <c r="N204" s="122">
        <f>+I204*G204</f>
        <v>934.49</v>
      </c>
      <c r="O204" s="122">
        <f>+N204/L204</f>
        <v>93.448999999999998</v>
      </c>
      <c r="P204" s="122">
        <f>(N204/L204)*M204</f>
        <v>467.245</v>
      </c>
      <c r="Q204" s="116" t="s">
        <v>41</v>
      </c>
      <c r="R204" s="116">
        <v>2021</v>
      </c>
      <c r="S204" s="124" t="s">
        <v>52</v>
      </c>
      <c r="T204" s="219" t="s">
        <v>246</v>
      </c>
      <c r="U204" s="180"/>
      <c r="V204" s="157"/>
      <c r="W204" s="156"/>
      <c r="X204" s="156"/>
      <c r="Y204" s="156"/>
      <c r="Z204" s="156"/>
      <c r="AA204" s="156"/>
      <c r="AB204" s="156"/>
      <c r="AC204" s="157"/>
      <c r="AD204" s="184"/>
    </row>
    <row r="205" spans="3:30" ht="30" customHeight="1" outlineLevel="1" thickBot="1" x14ac:dyDescent="0.3">
      <c r="C205" s="159" t="s">
        <v>244</v>
      </c>
      <c r="D205" s="160" t="s">
        <v>48</v>
      </c>
      <c r="E205" s="161">
        <v>1975</v>
      </c>
      <c r="F205" s="161" t="s">
        <v>39</v>
      </c>
      <c r="G205" s="162">
        <f>G202</f>
        <v>589.42999999999995</v>
      </c>
      <c r="H205" s="218" t="s">
        <v>40</v>
      </c>
      <c r="I205" s="261">
        <f>+J205/$S$2</f>
        <v>149.19013418339054</v>
      </c>
      <c r="J205" s="97">
        <f t="shared" ref="J205" si="35">+((95000^(0.364-(0.00000133*G205)))/(G205^(0.364-(0.00000133*95000))))*6500</f>
        <v>91729.554002657678</v>
      </c>
      <c r="K205" s="163" t="s">
        <v>41</v>
      </c>
      <c r="L205" s="163" t="s">
        <v>41</v>
      </c>
      <c r="M205" s="163" t="s">
        <v>41</v>
      </c>
      <c r="N205" s="163" t="s">
        <v>41</v>
      </c>
      <c r="O205" s="163" t="s">
        <v>41</v>
      </c>
      <c r="P205" s="163" t="s">
        <v>41</v>
      </c>
      <c r="Q205" s="171">
        <f>I205*G205</f>
        <v>87937.140791715879</v>
      </c>
      <c r="R205" s="161">
        <v>2021</v>
      </c>
      <c r="S205" s="165" t="s">
        <v>52</v>
      </c>
      <c r="T205" s="219" t="s">
        <v>246</v>
      </c>
      <c r="U205" s="181"/>
      <c r="V205" s="169"/>
      <c r="W205" s="168"/>
      <c r="X205" s="168"/>
      <c r="Y205" s="168"/>
      <c r="Z205" s="168"/>
      <c r="AA205" s="168"/>
      <c r="AB205" s="168"/>
      <c r="AC205" s="169"/>
      <c r="AD205" s="188"/>
    </row>
    <row r="206" spans="3:30" ht="30" customHeight="1" outlineLevel="1" x14ac:dyDescent="0.25">
      <c r="C206" s="103" t="s">
        <v>248</v>
      </c>
      <c r="D206" s="104" t="s">
        <v>249</v>
      </c>
      <c r="E206" s="105">
        <v>1975</v>
      </c>
      <c r="F206" s="105" t="s">
        <v>39</v>
      </c>
      <c r="G206" s="203">
        <v>827.77</v>
      </c>
      <c r="H206" s="203" t="s">
        <v>40</v>
      </c>
      <c r="I206" s="107">
        <v>800</v>
      </c>
      <c r="J206" s="108">
        <f t="shared" si="23"/>
        <v>491880</v>
      </c>
      <c r="K206" s="109">
        <f>R206-E206</f>
        <v>46</v>
      </c>
      <c r="L206" s="105">
        <v>50</v>
      </c>
      <c r="M206" s="105">
        <v>30</v>
      </c>
      <c r="N206" s="111">
        <f>+I206*G206</f>
        <v>662216</v>
      </c>
      <c r="O206" s="111">
        <f>+N206/L206</f>
        <v>13244.32</v>
      </c>
      <c r="P206" s="111">
        <f>(N206/L206)*M206</f>
        <v>397329.6</v>
      </c>
      <c r="Q206" s="105" t="s">
        <v>41</v>
      </c>
      <c r="R206" s="105">
        <v>2021</v>
      </c>
      <c r="S206" s="113" t="s">
        <v>250</v>
      </c>
      <c r="T206" s="219" t="s">
        <v>246</v>
      </c>
      <c r="U206" s="220" t="s">
        <v>248</v>
      </c>
      <c r="V206" s="72" t="s">
        <v>251</v>
      </c>
      <c r="W206" s="73">
        <v>272532</v>
      </c>
      <c r="X206" s="73">
        <v>0</v>
      </c>
      <c r="Y206" s="73">
        <v>1294554.9099999999</v>
      </c>
      <c r="Z206" s="73">
        <v>272532</v>
      </c>
      <c r="AA206" s="73">
        <v>493293.47</v>
      </c>
      <c r="AB206" s="73">
        <v>801261.44</v>
      </c>
      <c r="AC206" s="74" t="s">
        <v>252</v>
      </c>
      <c r="AD206" s="221">
        <v>900044</v>
      </c>
    </row>
    <row r="207" spans="3:30" ht="30" customHeight="1" outlineLevel="1" x14ac:dyDescent="0.25">
      <c r="C207" s="114" t="s">
        <v>248</v>
      </c>
      <c r="D207" s="115" t="s">
        <v>44</v>
      </c>
      <c r="E207" s="116">
        <v>1975</v>
      </c>
      <c r="F207" s="116" t="s">
        <v>39</v>
      </c>
      <c r="G207" s="206">
        <v>167.61</v>
      </c>
      <c r="H207" s="206" t="s">
        <v>40</v>
      </c>
      <c r="I207" s="118">
        <v>30.54</v>
      </c>
      <c r="J207" s="119">
        <f t="shared" si="23"/>
        <v>18777.519</v>
      </c>
      <c r="K207" s="120">
        <f>R207-E207</f>
        <v>46</v>
      </c>
      <c r="L207" s="116">
        <v>15</v>
      </c>
      <c r="M207" s="116">
        <v>5</v>
      </c>
      <c r="N207" s="122">
        <f>+I207*G207</f>
        <v>5118.8094000000001</v>
      </c>
      <c r="O207" s="122">
        <f>+N207/L207</f>
        <v>341.25396000000001</v>
      </c>
      <c r="P207" s="122">
        <f>(N207/L207)*M207</f>
        <v>1706.2698</v>
      </c>
      <c r="Q207" s="116" t="s">
        <v>41</v>
      </c>
      <c r="R207" s="116">
        <v>2021</v>
      </c>
      <c r="S207" s="124" t="s">
        <v>250</v>
      </c>
      <c r="T207" s="219" t="s">
        <v>246</v>
      </c>
      <c r="U207" s="87" t="s">
        <v>248</v>
      </c>
      <c r="V207" s="88">
        <v>28520</v>
      </c>
      <c r="W207" s="89">
        <v>136266</v>
      </c>
      <c r="X207" s="89">
        <v>0</v>
      </c>
      <c r="Y207" s="89">
        <v>0</v>
      </c>
      <c r="Z207" s="89">
        <v>136266</v>
      </c>
      <c r="AA207" s="89">
        <v>0</v>
      </c>
      <c r="AB207" s="89">
        <v>0</v>
      </c>
      <c r="AC207" s="90" t="s">
        <v>252</v>
      </c>
      <c r="AD207" s="223">
        <v>900045</v>
      </c>
    </row>
    <row r="208" spans="3:30" ht="30" customHeight="1" outlineLevel="1" x14ac:dyDescent="0.25">
      <c r="C208" s="114" t="s">
        <v>248</v>
      </c>
      <c r="D208" s="115" t="s">
        <v>46</v>
      </c>
      <c r="E208" s="116">
        <v>1975</v>
      </c>
      <c r="F208" s="116" t="s">
        <v>39</v>
      </c>
      <c r="G208" s="206">
        <v>342.22</v>
      </c>
      <c r="H208" s="206" t="s">
        <v>40</v>
      </c>
      <c r="I208" s="118">
        <v>3.4</v>
      </c>
      <c r="J208" s="119">
        <f t="shared" si="23"/>
        <v>2090.4900000000002</v>
      </c>
      <c r="K208" s="120">
        <f>R208-E208</f>
        <v>46</v>
      </c>
      <c r="L208" s="116">
        <v>10</v>
      </c>
      <c r="M208" s="116">
        <v>5</v>
      </c>
      <c r="N208" s="122">
        <f>+I208*G208</f>
        <v>1163.548</v>
      </c>
      <c r="O208" s="122">
        <f>+N208/L208</f>
        <v>116.3548</v>
      </c>
      <c r="P208" s="122">
        <f>(N208/L208)*M208</f>
        <v>581.774</v>
      </c>
      <c r="Q208" s="116" t="s">
        <v>41</v>
      </c>
      <c r="R208" s="116">
        <v>2021</v>
      </c>
      <c r="S208" s="124" t="s">
        <v>250</v>
      </c>
      <c r="T208" s="219" t="s">
        <v>246</v>
      </c>
      <c r="U208" s="87" t="s">
        <v>248</v>
      </c>
      <c r="V208" s="88">
        <v>28520</v>
      </c>
      <c r="W208" s="89">
        <v>102199.5</v>
      </c>
      <c r="X208" s="89">
        <v>0</v>
      </c>
      <c r="Y208" s="89">
        <v>0</v>
      </c>
      <c r="Z208" s="89">
        <v>102199.5</v>
      </c>
      <c r="AA208" s="89">
        <v>0</v>
      </c>
      <c r="AB208" s="89">
        <v>0</v>
      </c>
      <c r="AC208" s="90" t="s">
        <v>252</v>
      </c>
      <c r="AD208" s="223">
        <v>900047</v>
      </c>
    </row>
    <row r="209" spans="3:30" ht="30" customHeight="1" outlineLevel="1" thickBot="1" x14ac:dyDescent="0.3">
      <c r="C209" s="159" t="s">
        <v>248</v>
      </c>
      <c r="D209" s="160" t="s">
        <v>48</v>
      </c>
      <c r="E209" s="161">
        <v>1975</v>
      </c>
      <c r="F209" s="161" t="s">
        <v>39</v>
      </c>
      <c r="G209" s="162">
        <f>G206</f>
        <v>827.77</v>
      </c>
      <c r="H209" s="218" t="s">
        <v>40</v>
      </c>
      <c r="I209" s="261">
        <f>+J209/$S$2</f>
        <v>137.124226203511</v>
      </c>
      <c r="J209" s="97">
        <f t="shared" ref="J209" si="36">+((95000^(0.364-(0.00000133*G209)))/(G209^(0.364-(0.00000133*95000))))*6500</f>
        <v>84310.830481228739</v>
      </c>
      <c r="K209" s="163" t="s">
        <v>41</v>
      </c>
      <c r="L209" s="163" t="s">
        <v>41</v>
      </c>
      <c r="M209" s="163" t="s">
        <v>41</v>
      </c>
      <c r="N209" s="163" t="s">
        <v>41</v>
      </c>
      <c r="O209" s="163" t="s">
        <v>41</v>
      </c>
      <c r="P209" s="163" t="s">
        <v>41</v>
      </c>
      <c r="Q209" s="171">
        <f>I209*G209</f>
        <v>113507.32072448031</v>
      </c>
      <c r="R209" s="161">
        <v>2021</v>
      </c>
      <c r="S209" s="165" t="s">
        <v>250</v>
      </c>
      <c r="T209" s="219" t="s">
        <v>246</v>
      </c>
      <c r="U209" s="288" t="s">
        <v>248</v>
      </c>
      <c r="V209" s="289">
        <v>28520</v>
      </c>
      <c r="W209" s="174">
        <v>68133.009999999995</v>
      </c>
      <c r="X209" s="174">
        <v>0</v>
      </c>
      <c r="Y209" s="174">
        <v>0</v>
      </c>
      <c r="Z209" s="174">
        <v>68133.009999999995</v>
      </c>
      <c r="AA209" s="174">
        <v>0</v>
      </c>
      <c r="AB209" s="174">
        <v>0</v>
      </c>
      <c r="AC209" s="173" t="s">
        <v>252</v>
      </c>
      <c r="AD209" s="290">
        <v>900048</v>
      </c>
    </row>
    <row r="210" spans="3:30" ht="30" customHeight="1" outlineLevel="1" x14ac:dyDescent="0.25">
      <c r="C210" s="103" t="s">
        <v>253</v>
      </c>
      <c r="D210" s="104" t="s">
        <v>254</v>
      </c>
      <c r="E210" s="105">
        <v>1981</v>
      </c>
      <c r="F210" s="105" t="s">
        <v>39</v>
      </c>
      <c r="G210" s="203">
        <v>381.73</v>
      </c>
      <c r="H210" s="203" t="s">
        <v>40</v>
      </c>
      <c r="I210" s="107">
        <v>800</v>
      </c>
      <c r="J210" s="108">
        <f t="shared" si="23"/>
        <v>491880</v>
      </c>
      <c r="K210" s="109">
        <f>R210-E210</f>
        <v>40</v>
      </c>
      <c r="L210" s="105">
        <v>50</v>
      </c>
      <c r="M210" s="105">
        <v>30</v>
      </c>
      <c r="N210" s="111">
        <f>+I210*G210</f>
        <v>305384</v>
      </c>
      <c r="O210" s="111">
        <f>+N210/L210</f>
        <v>6107.68</v>
      </c>
      <c r="P210" s="111">
        <f>(N210/L210)*M210</f>
        <v>183230.40000000002</v>
      </c>
      <c r="Q210" s="105" t="s">
        <v>41</v>
      </c>
      <c r="R210" s="105">
        <v>2021</v>
      </c>
      <c r="S210" s="113" t="s">
        <v>250</v>
      </c>
      <c r="T210" s="219" t="s">
        <v>246</v>
      </c>
      <c r="U210" s="176" t="s">
        <v>253</v>
      </c>
      <c r="V210" s="177" t="s">
        <v>172</v>
      </c>
      <c r="W210" s="178">
        <v>674775.97</v>
      </c>
      <c r="X210" s="178">
        <v>0</v>
      </c>
      <c r="Y210" s="178">
        <v>5718202.8200000003</v>
      </c>
      <c r="Z210" s="178">
        <v>674775.97</v>
      </c>
      <c r="AA210" s="178">
        <v>916018.28</v>
      </c>
      <c r="AB210" s="178">
        <v>4802184.54</v>
      </c>
      <c r="AC210" s="177" t="s">
        <v>255</v>
      </c>
      <c r="AD210" s="205">
        <v>900245</v>
      </c>
    </row>
    <row r="211" spans="3:30" ht="30" customHeight="1" outlineLevel="1" x14ac:dyDescent="0.25">
      <c r="C211" s="114" t="s">
        <v>253</v>
      </c>
      <c r="D211" s="115" t="s">
        <v>44</v>
      </c>
      <c r="E211" s="116">
        <v>1981</v>
      </c>
      <c r="F211" s="116" t="s">
        <v>39</v>
      </c>
      <c r="G211" s="206">
        <v>114.41</v>
      </c>
      <c r="H211" s="206" t="s">
        <v>40</v>
      </c>
      <c r="I211" s="118">
        <v>30.54</v>
      </c>
      <c r="J211" s="119">
        <f t="shared" si="23"/>
        <v>18777.519</v>
      </c>
      <c r="K211" s="120">
        <f>R211-E211</f>
        <v>40</v>
      </c>
      <c r="L211" s="116">
        <v>15</v>
      </c>
      <c r="M211" s="116">
        <v>5</v>
      </c>
      <c r="N211" s="122">
        <f>+I211*G211</f>
        <v>3494.0813999999996</v>
      </c>
      <c r="O211" s="122">
        <f>+N211/L211</f>
        <v>232.93875999999997</v>
      </c>
      <c r="P211" s="122">
        <f>(N211/L211)*M211</f>
        <v>1164.6937999999998</v>
      </c>
      <c r="Q211" s="116" t="s">
        <v>41</v>
      </c>
      <c r="R211" s="116">
        <v>2021</v>
      </c>
      <c r="S211" s="124" t="s">
        <v>250</v>
      </c>
      <c r="T211" s="219" t="s">
        <v>246</v>
      </c>
      <c r="U211" s="330"/>
      <c r="V211" s="331"/>
      <c r="W211" s="332"/>
      <c r="X211" s="332"/>
      <c r="Y211" s="332"/>
      <c r="Z211" s="332"/>
      <c r="AA211" s="332"/>
      <c r="AB211" s="332"/>
      <c r="AC211" s="331"/>
      <c r="AD211" s="333"/>
    </row>
    <row r="212" spans="3:30" ht="30" customHeight="1" outlineLevel="1" x14ac:dyDescent="0.25">
      <c r="C212" s="114" t="s">
        <v>253</v>
      </c>
      <c r="D212" s="115" t="s">
        <v>86</v>
      </c>
      <c r="E212" s="116">
        <v>1981</v>
      </c>
      <c r="F212" s="116" t="s">
        <v>39</v>
      </c>
      <c r="G212" s="206">
        <v>0</v>
      </c>
      <c r="H212" s="206" t="s">
        <v>87</v>
      </c>
      <c r="I212" s="206">
        <v>0</v>
      </c>
      <c r="J212" s="206">
        <v>0</v>
      </c>
      <c r="K212" s="206">
        <v>0</v>
      </c>
      <c r="L212" s="206">
        <v>0</v>
      </c>
      <c r="M212" s="206">
        <v>0</v>
      </c>
      <c r="N212" s="206">
        <v>0</v>
      </c>
      <c r="O212" s="206">
        <v>0</v>
      </c>
      <c r="P212" s="206">
        <v>0</v>
      </c>
      <c r="Q212" s="206">
        <v>0</v>
      </c>
      <c r="R212" s="116" t="s">
        <v>87</v>
      </c>
      <c r="S212" s="124" t="s">
        <v>87</v>
      </c>
      <c r="T212" s="219" t="s">
        <v>246</v>
      </c>
      <c r="U212" s="226" t="s">
        <v>253</v>
      </c>
      <c r="V212" s="152" t="s">
        <v>256</v>
      </c>
      <c r="W212" s="151">
        <v>30069669</v>
      </c>
      <c r="X212" s="151">
        <v>0</v>
      </c>
      <c r="Y212" s="151">
        <v>2500000</v>
      </c>
      <c r="Z212" s="151">
        <v>4510450.3499999996</v>
      </c>
      <c r="AA212" s="151">
        <v>177595.49</v>
      </c>
      <c r="AB212" s="151">
        <v>27881623.16</v>
      </c>
      <c r="AC212" s="152" t="s">
        <v>257</v>
      </c>
      <c r="AD212" s="227">
        <v>900349</v>
      </c>
    </row>
    <row r="213" spans="3:30" ht="30" customHeight="1" outlineLevel="1" thickBot="1" x14ac:dyDescent="0.3">
      <c r="C213" s="159" t="s">
        <v>253</v>
      </c>
      <c r="D213" s="160" t="s">
        <v>48</v>
      </c>
      <c r="E213" s="161">
        <v>1981</v>
      </c>
      <c r="F213" s="161" t="s">
        <v>39</v>
      </c>
      <c r="G213" s="162">
        <f>G210</f>
        <v>381.73</v>
      </c>
      <c r="H213" s="218" t="s">
        <v>40</v>
      </c>
      <c r="I213" s="261">
        <f>+J213/$S$2</f>
        <v>165.94111120773675</v>
      </c>
      <c r="J213" s="97">
        <f t="shared" ref="J213" si="37">+((95000^(0.364-(0.00000133*G213)))/(G213^(0.364-(0.00000133*95000))))*6500</f>
        <v>102028.89222607695</v>
      </c>
      <c r="K213" s="163" t="s">
        <v>41</v>
      </c>
      <c r="L213" s="163" t="s">
        <v>41</v>
      </c>
      <c r="M213" s="163" t="s">
        <v>41</v>
      </c>
      <c r="N213" s="163" t="s">
        <v>41</v>
      </c>
      <c r="O213" s="163" t="s">
        <v>41</v>
      </c>
      <c r="P213" s="163" t="s">
        <v>41</v>
      </c>
      <c r="Q213" s="171">
        <f>I213*G213</f>
        <v>63344.700381329356</v>
      </c>
      <c r="R213" s="161">
        <v>2021</v>
      </c>
      <c r="S213" s="165" t="s">
        <v>250</v>
      </c>
      <c r="T213" s="219" t="s">
        <v>246</v>
      </c>
      <c r="U213" s="181"/>
      <c r="V213" s="169"/>
      <c r="W213" s="168"/>
      <c r="X213" s="168"/>
      <c r="Y213" s="168"/>
      <c r="Z213" s="168"/>
      <c r="AA213" s="168"/>
      <c r="AB213" s="168"/>
      <c r="AC213" s="169"/>
      <c r="AD213" s="188"/>
    </row>
    <row r="214" spans="3:30" ht="30" customHeight="1" outlineLevel="1" x14ac:dyDescent="0.25">
      <c r="C214" s="103" t="s">
        <v>258</v>
      </c>
      <c r="D214" s="104" t="s">
        <v>259</v>
      </c>
      <c r="E214" s="105">
        <v>1980</v>
      </c>
      <c r="F214" s="105" t="s">
        <v>39</v>
      </c>
      <c r="G214" s="203">
        <v>1637.4</v>
      </c>
      <c r="H214" s="203" t="s">
        <v>40</v>
      </c>
      <c r="I214" s="107">
        <v>1600</v>
      </c>
      <c r="J214" s="108">
        <f t="shared" si="23"/>
        <v>983760</v>
      </c>
      <c r="K214" s="109">
        <f>R214-E214</f>
        <v>41</v>
      </c>
      <c r="L214" s="105">
        <v>50</v>
      </c>
      <c r="M214" s="105">
        <v>30</v>
      </c>
      <c r="N214" s="111">
        <f>+I214*G214</f>
        <v>2619840</v>
      </c>
      <c r="O214" s="111">
        <f>+N214/L214</f>
        <v>52396.800000000003</v>
      </c>
      <c r="P214" s="111">
        <f>(N214/L214)*M214</f>
        <v>1571904</v>
      </c>
      <c r="Q214" s="105" t="s">
        <v>41</v>
      </c>
      <c r="R214" s="105">
        <v>2021</v>
      </c>
      <c r="S214" s="113" t="s">
        <v>52</v>
      </c>
      <c r="U214" s="176" t="s">
        <v>258</v>
      </c>
      <c r="V214" s="177" t="s">
        <v>113</v>
      </c>
      <c r="W214" s="178">
        <v>477506.43</v>
      </c>
      <c r="X214" s="178">
        <v>0</v>
      </c>
      <c r="Y214" s="178">
        <v>577144486.34000003</v>
      </c>
      <c r="Z214" s="178">
        <v>326614.40000000002</v>
      </c>
      <c r="AA214" s="178">
        <v>236888842.74000001</v>
      </c>
      <c r="AB214" s="178">
        <v>340406535.63</v>
      </c>
      <c r="AC214" s="177" t="s">
        <v>260</v>
      </c>
      <c r="AD214" s="205">
        <v>900009</v>
      </c>
    </row>
    <row r="215" spans="3:30" ht="30" customHeight="1" outlineLevel="1" x14ac:dyDescent="0.25">
      <c r="C215" s="114" t="s">
        <v>258</v>
      </c>
      <c r="D215" s="115" t="s">
        <v>44</v>
      </c>
      <c r="E215" s="116">
        <v>1980</v>
      </c>
      <c r="F215" s="116" t="s">
        <v>39</v>
      </c>
      <c r="G215" s="206">
        <v>447</v>
      </c>
      <c r="H215" s="206" t="s">
        <v>40</v>
      </c>
      <c r="I215" s="118">
        <v>30.54</v>
      </c>
      <c r="J215" s="119">
        <f t="shared" si="23"/>
        <v>18777.519</v>
      </c>
      <c r="K215" s="120">
        <f>R215-E215</f>
        <v>41</v>
      </c>
      <c r="L215" s="116">
        <v>15</v>
      </c>
      <c r="M215" s="116">
        <v>5</v>
      </c>
      <c r="N215" s="122">
        <f>+I215*G215</f>
        <v>13651.38</v>
      </c>
      <c r="O215" s="122">
        <f>+N215/L215</f>
        <v>910.09199999999998</v>
      </c>
      <c r="P215" s="122">
        <f>(N215/L215)*M215</f>
        <v>4550.46</v>
      </c>
      <c r="Q215" s="116" t="s">
        <v>41</v>
      </c>
      <c r="R215" s="116">
        <v>2021</v>
      </c>
      <c r="S215" s="124" t="s">
        <v>52</v>
      </c>
      <c r="U215" s="180"/>
      <c r="V215" s="157"/>
      <c r="W215" s="156"/>
      <c r="X215" s="156"/>
      <c r="Y215" s="156"/>
      <c r="Z215" s="156"/>
      <c r="AA215" s="156"/>
      <c r="AB215" s="156"/>
      <c r="AC215" s="157"/>
      <c r="AD215" s="184"/>
    </row>
    <row r="216" spans="3:30" ht="30" customHeight="1" outlineLevel="1" x14ac:dyDescent="0.25">
      <c r="C216" s="114" t="s">
        <v>258</v>
      </c>
      <c r="D216" s="115" t="s">
        <v>46</v>
      </c>
      <c r="E216" s="116">
        <v>1980</v>
      </c>
      <c r="F216" s="116" t="s">
        <v>39</v>
      </c>
      <c r="G216" s="206">
        <v>163</v>
      </c>
      <c r="H216" s="206" t="s">
        <v>40</v>
      </c>
      <c r="I216" s="118">
        <v>3.4</v>
      </c>
      <c r="J216" s="119">
        <f t="shared" si="23"/>
        <v>2090.4900000000002</v>
      </c>
      <c r="K216" s="120">
        <f>R216-E216</f>
        <v>41</v>
      </c>
      <c r="L216" s="116">
        <v>10</v>
      </c>
      <c r="M216" s="116">
        <v>5</v>
      </c>
      <c r="N216" s="122">
        <f>+I216*G216</f>
        <v>554.19999999999993</v>
      </c>
      <c r="O216" s="122">
        <f>+N216/L216</f>
        <v>55.419999999999995</v>
      </c>
      <c r="P216" s="122">
        <f>(N216/L216)*M216</f>
        <v>277.09999999999997</v>
      </c>
      <c r="Q216" s="116" t="s">
        <v>41</v>
      </c>
      <c r="R216" s="116">
        <v>2021</v>
      </c>
      <c r="S216" s="124" t="s">
        <v>52</v>
      </c>
      <c r="U216" s="180"/>
      <c r="V216" s="157"/>
      <c r="W216" s="156"/>
      <c r="X216" s="156"/>
      <c r="Y216" s="156"/>
      <c r="Z216" s="156"/>
      <c r="AA216" s="156"/>
      <c r="AB216" s="156"/>
      <c r="AC216" s="157"/>
      <c r="AD216" s="184"/>
    </row>
    <row r="217" spans="3:30" ht="30" customHeight="1" outlineLevel="1" thickBot="1" x14ac:dyDescent="0.3">
      <c r="C217" s="131" t="s">
        <v>258</v>
      </c>
      <c r="D217" s="132" t="s">
        <v>48</v>
      </c>
      <c r="E217" s="133">
        <v>1980</v>
      </c>
      <c r="F217" s="133" t="s">
        <v>39</v>
      </c>
      <c r="G217" s="134">
        <f>+G214/2</f>
        <v>818.7</v>
      </c>
      <c r="H217" s="317" t="s">
        <v>40</v>
      </c>
      <c r="I217" s="261">
        <f>+J217/$S$2</f>
        <v>137.50274439940932</v>
      </c>
      <c r="J217" s="97">
        <f t="shared" ref="J217" si="38">+((95000^(0.364-(0.00000133*G217)))/(G217^(0.364-(0.00000133*95000))))*6500</f>
        <v>84543.562393976827</v>
      </c>
      <c r="K217" s="135" t="s">
        <v>41</v>
      </c>
      <c r="L217" s="135" t="s">
        <v>41</v>
      </c>
      <c r="M217" s="135" t="s">
        <v>41</v>
      </c>
      <c r="N217" s="135" t="s">
        <v>41</v>
      </c>
      <c r="O217" s="135" t="s">
        <v>41</v>
      </c>
      <c r="P217" s="135" t="s">
        <v>41</v>
      </c>
      <c r="Q217" s="329">
        <f>I217*G217</f>
        <v>112573.49683979643</v>
      </c>
      <c r="R217" s="133">
        <v>2021</v>
      </c>
      <c r="S217" s="137" t="s">
        <v>52</v>
      </c>
      <c r="U217" s="180"/>
      <c r="V217" s="157"/>
      <c r="W217" s="156"/>
      <c r="X217" s="156"/>
      <c r="Y217" s="156"/>
      <c r="Z217" s="156"/>
      <c r="AA217" s="156"/>
      <c r="AB217" s="156"/>
      <c r="AC217" s="157"/>
      <c r="AD217" s="184"/>
    </row>
    <row r="218" spans="3:30" ht="30" customHeight="1" outlineLevel="1" x14ac:dyDescent="0.25">
      <c r="C218" s="138" t="s">
        <v>261</v>
      </c>
      <c r="D218" s="139" t="s">
        <v>262</v>
      </c>
      <c r="E218" s="140">
        <v>2013</v>
      </c>
      <c r="F218" s="140" t="s">
        <v>39</v>
      </c>
      <c r="G218" s="309">
        <v>826</v>
      </c>
      <c r="H218" s="309" t="s">
        <v>40</v>
      </c>
      <c r="I218" s="142">
        <v>900</v>
      </c>
      <c r="J218" s="143">
        <f t="shared" si="23"/>
        <v>553365</v>
      </c>
      <c r="K218" s="309">
        <f>2019-E218</f>
        <v>6</v>
      </c>
      <c r="L218" s="140">
        <v>50</v>
      </c>
      <c r="M218" s="140">
        <v>42</v>
      </c>
      <c r="N218" s="146">
        <f>+I218*G218</f>
        <v>743400</v>
      </c>
      <c r="O218" s="146">
        <f>+N218/L218</f>
        <v>14868</v>
      </c>
      <c r="P218" s="146">
        <f>(N218/L218)*M218</f>
        <v>624456</v>
      </c>
      <c r="Q218" s="140" t="s">
        <v>41</v>
      </c>
      <c r="R218" s="140">
        <v>2021</v>
      </c>
      <c r="S218" s="148" t="s">
        <v>52</v>
      </c>
      <c r="U218" s="180"/>
      <c r="V218" s="157"/>
      <c r="W218" s="156"/>
      <c r="X218" s="156"/>
      <c r="Y218" s="156"/>
      <c r="Z218" s="156"/>
      <c r="AA218" s="156"/>
      <c r="AB218" s="156"/>
      <c r="AC218" s="157"/>
      <c r="AD218" s="184"/>
    </row>
    <row r="219" spans="3:30" ht="30" customHeight="1" outlineLevel="1" x14ac:dyDescent="0.25">
      <c r="C219" s="114" t="s">
        <v>261</v>
      </c>
      <c r="D219" s="115" t="s">
        <v>165</v>
      </c>
      <c r="E219" s="116">
        <v>2013</v>
      </c>
      <c r="F219" s="116" t="s">
        <v>39</v>
      </c>
      <c r="G219" s="206">
        <v>0</v>
      </c>
      <c r="H219" s="206" t="s">
        <v>87</v>
      </c>
      <c r="I219" s="206">
        <v>0</v>
      </c>
      <c r="J219" s="206">
        <v>0</v>
      </c>
      <c r="K219" s="206">
        <v>0</v>
      </c>
      <c r="L219" s="206">
        <v>0</v>
      </c>
      <c r="M219" s="206">
        <v>0</v>
      </c>
      <c r="N219" s="206">
        <v>0</v>
      </c>
      <c r="O219" s="206">
        <v>0</v>
      </c>
      <c r="P219" s="206">
        <v>0</v>
      </c>
      <c r="Q219" s="206">
        <v>0</v>
      </c>
      <c r="R219" s="116" t="s">
        <v>87</v>
      </c>
      <c r="S219" s="124" t="s">
        <v>87</v>
      </c>
      <c r="U219" s="180"/>
      <c r="V219" s="157"/>
      <c r="W219" s="156"/>
      <c r="X219" s="156"/>
      <c r="Y219" s="156"/>
      <c r="Z219" s="156"/>
      <c r="AA219" s="156"/>
      <c r="AB219" s="156"/>
      <c r="AC219" s="157"/>
      <c r="AD219" s="184"/>
    </row>
    <row r="220" spans="3:30" ht="30" customHeight="1" outlineLevel="1" x14ac:dyDescent="0.25">
      <c r="C220" s="114" t="s">
        <v>261</v>
      </c>
      <c r="D220" s="115" t="s">
        <v>86</v>
      </c>
      <c r="E220" s="116">
        <v>2013</v>
      </c>
      <c r="F220" s="116" t="s">
        <v>39</v>
      </c>
      <c r="G220" s="206">
        <v>0</v>
      </c>
      <c r="H220" s="206" t="s">
        <v>87</v>
      </c>
      <c r="I220" s="206">
        <v>0</v>
      </c>
      <c r="J220" s="206">
        <v>0</v>
      </c>
      <c r="K220" s="206">
        <v>0</v>
      </c>
      <c r="L220" s="206">
        <v>0</v>
      </c>
      <c r="M220" s="206">
        <v>0</v>
      </c>
      <c r="N220" s="206">
        <v>0</v>
      </c>
      <c r="O220" s="206">
        <v>0</v>
      </c>
      <c r="P220" s="206">
        <v>0</v>
      </c>
      <c r="Q220" s="206">
        <v>0</v>
      </c>
      <c r="R220" s="116" t="s">
        <v>87</v>
      </c>
      <c r="S220" s="124" t="s">
        <v>87</v>
      </c>
      <c r="U220" s="180"/>
      <c r="V220" s="157"/>
      <c r="W220" s="156"/>
      <c r="X220" s="156"/>
      <c r="Y220" s="156"/>
      <c r="Z220" s="156"/>
      <c r="AA220" s="156"/>
      <c r="AB220" s="156"/>
      <c r="AC220" s="157"/>
      <c r="AD220" s="184"/>
    </row>
    <row r="221" spans="3:30" ht="30" customHeight="1" outlineLevel="1" thickBot="1" x14ac:dyDescent="0.3">
      <c r="C221" s="159" t="s">
        <v>261</v>
      </c>
      <c r="D221" s="160" t="s">
        <v>263</v>
      </c>
      <c r="E221" s="161">
        <v>2013</v>
      </c>
      <c r="F221" s="161" t="s">
        <v>39</v>
      </c>
      <c r="G221" s="162">
        <v>0</v>
      </c>
      <c r="H221" s="218" t="s">
        <v>87</v>
      </c>
      <c r="I221" s="218">
        <v>0</v>
      </c>
      <c r="J221" s="218">
        <v>0</v>
      </c>
      <c r="K221" s="218">
        <v>0</v>
      </c>
      <c r="L221" s="218">
        <v>0</v>
      </c>
      <c r="M221" s="218">
        <v>0</v>
      </c>
      <c r="N221" s="218">
        <v>0</v>
      </c>
      <c r="O221" s="218">
        <v>0</v>
      </c>
      <c r="P221" s="218">
        <v>0</v>
      </c>
      <c r="Q221" s="218">
        <v>0</v>
      </c>
      <c r="R221" s="161" t="s">
        <v>87</v>
      </c>
      <c r="S221" s="165" t="s">
        <v>87</v>
      </c>
      <c r="U221" s="181"/>
      <c r="V221" s="169"/>
      <c r="W221" s="168"/>
      <c r="X221" s="168"/>
      <c r="Y221" s="168"/>
      <c r="Z221" s="168"/>
      <c r="AA221" s="168"/>
      <c r="AB221" s="168"/>
      <c r="AC221" s="169"/>
      <c r="AD221" s="188"/>
    </row>
    <row r="222" spans="3:30" ht="30" customHeight="1" outlineLevel="1" x14ac:dyDescent="0.25">
      <c r="C222" s="103" t="s">
        <v>264</v>
      </c>
      <c r="D222" s="104" t="s">
        <v>265</v>
      </c>
      <c r="E222" s="105">
        <v>1980</v>
      </c>
      <c r="F222" s="105" t="s">
        <v>39</v>
      </c>
      <c r="G222" s="203">
        <v>598.63</v>
      </c>
      <c r="H222" s="203" t="s">
        <v>40</v>
      </c>
      <c r="I222" s="107">
        <v>1000</v>
      </c>
      <c r="J222" s="108">
        <f t="shared" si="23"/>
        <v>614850</v>
      </c>
      <c r="K222" s="109">
        <f>R222-E222</f>
        <v>41</v>
      </c>
      <c r="L222" s="105">
        <v>50</v>
      </c>
      <c r="M222" s="105">
        <v>30</v>
      </c>
      <c r="N222" s="111">
        <f>+I222*G222</f>
        <v>598630</v>
      </c>
      <c r="O222" s="111">
        <f>+N222/L222</f>
        <v>11972.6</v>
      </c>
      <c r="P222" s="111">
        <f>(N222/L222)*M222</f>
        <v>359178</v>
      </c>
      <c r="Q222" s="105" t="s">
        <v>41</v>
      </c>
      <c r="R222" s="105">
        <v>2021</v>
      </c>
      <c r="S222" s="113" t="s">
        <v>52</v>
      </c>
      <c r="U222" s="176" t="s">
        <v>264</v>
      </c>
      <c r="V222" s="189">
        <v>28245</v>
      </c>
      <c r="W222" s="178">
        <v>1373042.97</v>
      </c>
      <c r="X222" s="178">
        <v>0</v>
      </c>
      <c r="Y222" s="178">
        <v>0</v>
      </c>
      <c r="Z222" s="178">
        <v>839883.2</v>
      </c>
      <c r="AA222" s="178">
        <v>0</v>
      </c>
      <c r="AB222" s="178">
        <v>533159.77</v>
      </c>
      <c r="AC222" s="177" t="s">
        <v>266</v>
      </c>
      <c r="AD222" s="205">
        <v>900038</v>
      </c>
    </row>
    <row r="223" spans="3:30" ht="30" customHeight="1" outlineLevel="1" x14ac:dyDescent="0.25">
      <c r="C223" s="114" t="s">
        <v>264</v>
      </c>
      <c r="D223" s="115" t="s">
        <v>44</v>
      </c>
      <c r="E223" s="116">
        <v>1980</v>
      </c>
      <c r="F223" s="116" t="s">
        <v>39</v>
      </c>
      <c r="G223" s="206">
        <v>116.72</v>
      </c>
      <c r="H223" s="206" t="s">
        <v>40</v>
      </c>
      <c r="I223" s="118">
        <v>30.54</v>
      </c>
      <c r="J223" s="119">
        <f t="shared" si="23"/>
        <v>18777.519</v>
      </c>
      <c r="K223" s="120">
        <f>R223-E223</f>
        <v>41</v>
      </c>
      <c r="L223" s="116">
        <v>15</v>
      </c>
      <c r="M223" s="116">
        <v>5</v>
      </c>
      <c r="N223" s="122">
        <f>+I223*G223</f>
        <v>3564.6288</v>
      </c>
      <c r="O223" s="122">
        <f>+N223/L223</f>
        <v>237.64192</v>
      </c>
      <c r="P223" s="122">
        <f>(N223/L223)*M223</f>
        <v>1188.2095999999999</v>
      </c>
      <c r="Q223" s="116" t="s">
        <v>41</v>
      </c>
      <c r="R223" s="116">
        <v>2021</v>
      </c>
      <c r="S223" s="124" t="s">
        <v>52</v>
      </c>
      <c r="U223" s="330"/>
      <c r="V223" s="355"/>
      <c r="W223" s="332"/>
      <c r="X223" s="332"/>
      <c r="Y223" s="332"/>
      <c r="Z223" s="332"/>
      <c r="AA223" s="332"/>
      <c r="AB223" s="332"/>
      <c r="AC223" s="331"/>
      <c r="AD223" s="333"/>
    </row>
    <row r="224" spans="3:30" ht="30" customHeight="1" outlineLevel="1" x14ac:dyDescent="0.25">
      <c r="C224" s="114" t="s">
        <v>264</v>
      </c>
      <c r="D224" s="115" t="s">
        <v>46</v>
      </c>
      <c r="E224" s="116">
        <v>1980</v>
      </c>
      <c r="F224" s="116" t="s">
        <v>39</v>
      </c>
      <c r="G224" s="206">
        <v>237.48</v>
      </c>
      <c r="H224" s="206" t="s">
        <v>40</v>
      </c>
      <c r="I224" s="118">
        <v>3.4</v>
      </c>
      <c r="J224" s="119">
        <f t="shared" si="23"/>
        <v>2090.4900000000002</v>
      </c>
      <c r="K224" s="120">
        <f>R224-E224</f>
        <v>41</v>
      </c>
      <c r="L224" s="116">
        <v>10</v>
      </c>
      <c r="M224" s="116">
        <v>5</v>
      </c>
      <c r="N224" s="122">
        <f>+I224*G224</f>
        <v>807.4319999999999</v>
      </c>
      <c r="O224" s="122">
        <f>+N224/L224</f>
        <v>80.743199999999987</v>
      </c>
      <c r="P224" s="122">
        <f>(N224/L224)*M224</f>
        <v>403.71599999999995</v>
      </c>
      <c r="Q224" s="116" t="s">
        <v>41</v>
      </c>
      <c r="R224" s="116">
        <v>2021</v>
      </c>
      <c r="S224" s="124" t="s">
        <v>52</v>
      </c>
      <c r="U224" s="226" t="s">
        <v>264</v>
      </c>
      <c r="V224" s="150">
        <v>28245</v>
      </c>
      <c r="W224" s="151">
        <v>1373042.97</v>
      </c>
      <c r="X224" s="151">
        <v>0</v>
      </c>
      <c r="Y224" s="151">
        <v>23727038.989999998</v>
      </c>
      <c r="Z224" s="151">
        <v>1173951.74</v>
      </c>
      <c r="AA224" s="151">
        <v>4556105.71</v>
      </c>
      <c r="AB224" s="151">
        <v>19370024.509999998</v>
      </c>
      <c r="AC224" s="152" t="s">
        <v>266</v>
      </c>
      <c r="AD224" s="227">
        <v>900039</v>
      </c>
    </row>
    <row r="225" spans="2:30" ht="30" customHeight="1" outlineLevel="1" thickBot="1" x14ac:dyDescent="0.3">
      <c r="C225" s="159" t="s">
        <v>264</v>
      </c>
      <c r="D225" s="160" t="s">
        <v>48</v>
      </c>
      <c r="E225" s="161">
        <v>1980</v>
      </c>
      <c r="F225" s="161" t="s">
        <v>39</v>
      </c>
      <c r="G225" s="162">
        <f>G222</f>
        <v>598.63</v>
      </c>
      <c r="H225" s="218" t="s">
        <v>40</v>
      </c>
      <c r="I225" s="261">
        <f>+J225/$S$2</f>
        <v>148.62118026334704</v>
      </c>
      <c r="J225" s="97">
        <f t="shared" ref="J225" si="39">+((95000^(0.364-(0.00000133*G225)))/(G225^(0.364-(0.00000133*95000))))*6500</f>
        <v>91379.732684918927</v>
      </c>
      <c r="K225" s="163" t="s">
        <v>41</v>
      </c>
      <c r="L225" s="163" t="s">
        <v>41</v>
      </c>
      <c r="M225" s="163" t="s">
        <v>41</v>
      </c>
      <c r="N225" s="163" t="s">
        <v>41</v>
      </c>
      <c r="O225" s="163" t="s">
        <v>41</v>
      </c>
      <c r="P225" s="163" t="s">
        <v>41</v>
      </c>
      <c r="Q225" s="171">
        <f>I225*G225</f>
        <v>88969.097141047445</v>
      </c>
      <c r="R225" s="161">
        <v>2021</v>
      </c>
      <c r="S225" s="165" t="s">
        <v>52</v>
      </c>
      <c r="U225" s="181"/>
      <c r="V225" s="167"/>
      <c r="W225" s="168"/>
      <c r="X225" s="168"/>
      <c r="Y225" s="168"/>
      <c r="Z225" s="168"/>
      <c r="AA225" s="168"/>
      <c r="AB225" s="168"/>
      <c r="AC225" s="169"/>
      <c r="AD225" s="188"/>
    </row>
    <row r="226" spans="2:30" ht="30" customHeight="1" outlineLevel="1" x14ac:dyDescent="0.25">
      <c r="C226" s="103" t="s">
        <v>267</v>
      </c>
      <c r="D226" s="104" t="s">
        <v>268</v>
      </c>
      <c r="E226" s="105">
        <v>2017</v>
      </c>
      <c r="F226" s="105" t="s">
        <v>39</v>
      </c>
      <c r="G226" s="203">
        <v>246.24</v>
      </c>
      <c r="H226" s="203" t="s">
        <v>40</v>
      </c>
      <c r="I226" s="107">
        <v>260</v>
      </c>
      <c r="J226" s="108">
        <f t="shared" si="23"/>
        <v>159861</v>
      </c>
      <c r="K226" s="109">
        <f>R226-E226</f>
        <v>4</v>
      </c>
      <c r="L226" s="105">
        <v>50</v>
      </c>
      <c r="M226" s="105">
        <v>47</v>
      </c>
      <c r="N226" s="111">
        <f>+I226*G226</f>
        <v>64022.400000000001</v>
      </c>
      <c r="O226" s="111">
        <f>+N226/L226</f>
        <v>1280.4480000000001</v>
      </c>
      <c r="P226" s="111">
        <f>(N226/L226)*M226</f>
        <v>60181.056000000004</v>
      </c>
      <c r="Q226" s="105" t="s">
        <v>41</v>
      </c>
      <c r="R226" s="105">
        <v>2021</v>
      </c>
      <c r="S226" s="113" t="s">
        <v>79</v>
      </c>
      <c r="T226" s="219" t="s">
        <v>269</v>
      </c>
      <c r="U226" s="176" t="s">
        <v>267</v>
      </c>
      <c r="V226" s="189">
        <v>43236</v>
      </c>
      <c r="W226" s="178">
        <v>195000000</v>
      </c>
      <c r="X226" s="178">
        <v>0</v>
      </c>
      <c r="Y226" s="178">
        <v>0</v>
      </c>
      <c r="Z226" s="178">
        <v>6500000</v>
      </c>
      <c r="AA226" s="178">
        <v>0</v>
      </c>
      <c r="AB226" s="178">
        <v>188500000</v>
      </c>
      <c r="AC226" s="177" t="s">
        <v>270</v>
      </c>
      <c r="AD226" s="205">
        <v>900390</v>
      </c>
    </row>
    <row r="227" spans="2:30" ht="30" customHeight="1" outlineLevel="1" x14ac:dyDescent="0.25">
      <c r="C227" s="114" t="s">
        <v>267</v>
      </c>
      <c r="D227" s="115" t="s">
        <v>44</v>
      </c>
      <c r="E227" s="116">
        <v>2017</v>
      </c>
      <c r="F227" s="116" t="s">
        <v>39</v>
      </c>
      <c r="G227" s="206">
        <v>102.17</v>
      </c>
      <c r="H227" s="206" t="s">
        <v>40</v>
      </c>
      <c r="I227" s="118">
        <v>30.54</v>
      </c>
      <c r="J227" s="119">
        <f t="shared" si="23"/>
        <v>18777.519</v>
      </c>
      <c r="K227" s="120">
        <f>R227-E227</f>
        <v>4</v>
      </c>
      <c r="L227" s="116">
        <v>15</v>
      </c>
      <c r="M227" s="116">
        <v>12</v>
      </c>
      <c r="N227" s="122">
        <f>+I227*G227</f>
        <v>3120.2718</v>
      </c>
      <c r="O227" s="122">
        <f>+N227/L227</f>
        <v>208.01812000000001</v>
      </c>
      <c r="P227" s="122">
        <f>(N227/L227)*M227</f>
        <v>2496.2174400000004</v>
      </c>
      <c r="Q227" s="116" t="s">
        <v>41</v>
      </c>
      <c r="R227" s="116">
        <v>2021</v>
      </c>
      <c r="S227" s="124" t="s">
        <v>79</v>
      </c>
      <c r="T227" s="219" t="s">
        <v>269</v>
      </c>
      <c r="U227" s="180"/>
      <c r="V227" s="155"/>
      <c r="W227" s="156"/>
      <c r="X227" s="156"/>
      <c r="Y227" s="156"/>
      <c r="Z227" s="156"/>
      <c r="AA227" s="156"/>
      <c r="AB227" s="156"/>
      <c r="AC227" s="157"/>
      <c r="AD227" s="184"/>
    </row>
    <row r="228" spans="2:30" ht="30" customHeight="1" outlineLevel="1" x14ac:dyDescent="0.25">
      <c r="C228" s="114" t="s">
        <v>267</v>
      </c>
      <c r="D228" s="115" t="s">
        <v>86</v>
      </c>
      <c r="E228" s="116">
        <v>2017</v>
      </c>
      <c r="F228" s="116" t="s">
        <v>39</v>
      </c>
      <c r="G228" s="206">
        <v>0</v>
      </c>
      <c r="H228" s="206" t="s">
        <v>87</v>
      </c>
      <c r="I228" s="206">
        <v>0</v>
      </c>
      <c r="J228" s="206">
        <v>0</v>
      </c>
      <c r="K228" s="206">
        <v>0</v>
      </c>
      <c r="L228" s="206">
        <v>0</v>
      </c>
      <c r="M228" s="206">
        <v>0</v>
      </c>
      <c r="N228" s="206">
        <v>0</v>
      </c>
      <c r="O228" s="206">
        <v>0</v>
      </c>
      <c r="P228" s="206">
        <v>0</v>
      </c>
      <c r="Q228" s="206">
        <v>0</v>
      </c>
      <c r="R228" s="116" t="s">
        <v>87</v>
      </c>
      <c r="S228" s="124" t="s">
        <v>87</v>
      </c>
      <c r="T228" s="219" t="s">
        <v>269</v>
      </c>
      <c r="U228" s="180"/>
      <c r="V228" s="155"/>
      <c r="W228" s="156"/>
      <c r="X228" s="156"/>
      <c r="Y228" s="156"/>
      <c r="Z228" s="156"/>
      <c r="AA228" s="156"/>
      <c r="AB228" s="156"/>
      <c r="AC228" s="157"/>
      <c r="AD228" s="184"/>
    </row>
    <row r="229" spans="2:30" ht="30" customHeight="1" outlineLevel="1" thickBot="1" x14ac:dyDescent="0.3">
      <c r="C229" s="159" t="s">
        <v>267</v>
      </c>
      <c r="D229" s="160" t="s">
        <v>48</v>
      </c>
      <c r="E229" s="161">
        <v>2017</v>
      </c>
      <c r="F229" s="161" t="s">
        <v>39</v>
      </c>
      <c r="G229" s="162">
        <f>G226</f>
        <v>246.24</v>
      </c>
      <c r="H229" s="218" t="s">
        <v>40</v>
      </c>
      <c r="I229" s="261">
        <f>+J229/$S$2</f>
        <v>184.5436045984388</v>
      </c>
      <c r="J229" s="97">
        <f t="shared" ref="J229" si="40">+((95000^(0.364-(0.00000133*G229)))/(G229^(0.364-(0.00000133*95000))))*6500</f>
        <v>113466.6352873501</v>
      </c>
      <c r="K229" s="163" t="s">
        <v>41</v>
      </c>
      <c r="L229" s="163" t="s">
        <v>41</v>
      </c>
      <c r="M229" s="163" t="s">
        <v>41</v>
      </c>
      <c r="N229" s="163" t="s">
        <v>41</v>
      </c>
      <c r="O229" s="163" t="s">
        <v>41</v>
      </c>
      <c r="P229" s="163" t="s">
        <v>41</v>
      </c>
      <c r="Q229" s="171">
        <f>I229*G229</f>
        <v>45442.017196319575</v>
      </c>
      <c r="R229" s="161">
        <v>2021</v>
      </c>
      <c r="S229" s="165" t="s">
        <v>79</v>
      </c>
      <c r="T229" s="219" t="s">
        <v>269</v>
      </c>
      <c r="U229" s="181"/>
      <c r="V229" s="167"/>
      <c r="W229" s="168"/>
      <c r="X229" s="168"/>
      <c r="Y229" s="168"/>
      <c r="Z229" s="168"/>
      <c r="AA229" s="168"/>
      <c r="AB229" s="168"/>
      <c r="AC229" s="169"/>
      <c r="AD229" s="188"/>
    </row>
    <row r="230" spans="2:30" ht="30" customHeight="1" outlineLevel="1" x14ac:dyDescent="0.25">
      <c r="C230" s="103" t="s">
        <v>271</v>
      </c>
      <c r="D230" s="104" t="s">
        <v>272</v>
      </c>
      <c r="E230" s="105">
        <v>2016</v>
      </c>
      <c r="F230" s="105" t="s">
        <v>39</v>
      </c>
      <c r="G230" s="203">
        <v>2688</v>
      </c>
      <c r="H230" s="203" t="s">
        <v>40</v>
      </c>
      <c r="I230" s="107">
        <v>165</v>
      </c>
      <c r="J230" s="108">
        <f t="shared" si="23"/>
        <v>101450.25</v>
      </c>
      <c r="K230" s="109">
        <f>R230-E230</f>
        <v>5</v>
      </c>
      <c r="L230" s="105">
        <v>50</v>
      </c>
      <c r="M230" s="105">
        <v>46</v>
      </c>
      <c r="N230" s="111">
        <f>+I230*G230</f>
        <v>443520</v>
      </c>
      <c r="O230" s="111">
        <f>+N230/L230</f>
        <v>8870.4</v>
      </c>
      <c r="P230" s="111">
        <f>(N230/L230)*M230</f>
        <v>408038.39999999997</v>
      </c>
      <c r="Q230" s="105" t="s">
        <v>41</v>
      </c>
      <c r="R230" s="105">
        <v>2021</v>
      </c>
      <c r="S230" s="113" t="s">
        <v>79</v>
      </c>
      <c r="T230" s="219" t="s">
        <v>162</v>
      </c>
      <c r="U230" s="299" t="s">
        <v>271</v>
      </c>
      <c r="V230" s="229" t="s">
        <v>140</v>
      </c>
      <c r="W230" s="230"/>
      <c r="X230" s="230"/>
      <c r="Y230" s="230"/>
      <c r="Z230" s="230"/>
      <c r="AA230" s="230"/>
      <c r="AB230" s="230"/>
      <c r="AC230" s="230"/>
      <c r="AD230" s="300"/>
    </row>
    <row r="231" spans="2:30" ht="30" customHeight="1" outlineLevel="1" x14ac:dyDescent="0.25">
      <c r="C231" s="114" t="s">
        <v>271</v>
      </c>
      <c r="D231" s="115" t="s">
        <v>44</v>
      </c>
      <c r="E231" s="116">
        <v>2016</v>
      </c>
      <c r="F231" s="116" t="s">
        <v>39</v>
      </c>
      <c r="G231" s="206">
        <v>14.25</v>
      </c>
      <c r="H231" s="206" t="s">
        <v>40</v>
      </c>
      <c r="I231" s="118">
        <v>30.54</v>
      </c>
      <c r="J231" s="119">
        <f t="shared" si="23"/>
        <v>18777.519</v>
      </c>
      <c r="K231" s="120">
        <f>R231-E231</f>
        <v>5</v>
      </c>
      <c r="L231" s="116">
        <v>15</v>
      </c>
      <c r="M231" s="116">
        <v>12</v>
      </c>
      <c r="N231" s="122">
        <f>+I231*G231</f>
        <v>435.19499999999999</v>
      </c>
      <c r="O231" s="122">
        <f>+N231/L231</f>
        <v>29.012999999999998</v>
      </c>
      <c r="P231" s="122">
        <f>(N231/L231)*M231</f>
        <v>348.15599999999995</v>
      </c>
      <c r="Q231" s="116" t="s">
        <v>41</v>
      </c>
      <c r="R231" s="116">
        <v>2021</v>
      </c>
      <c r="S231" s="124" t="s">
        <v>79</v>
      </c>
      <c r="T231" s="219" t="s">
        <v>162</v>
      </c>
      <c r="U231" s="301"/>
      <c r="V231" s="233"/>
      <c r="W231" s="234"/>
      <c r="X231" s="234"/>
      <c r="Y231" s="234"/>
      <c r="Z231" s="234"/>
      <c r="AA231" s="234"/>
      <c r="AB231" s="234"/>
      <c r="AC231" s="234"/>
      <c r="AD231" s="302"/>
    </row>
    <row r="232" spans="2:30" ht="30" customHeight="1" outlineLevel="1" x14ac:dyDescent="0.25">
      <c r="C232" s="114" t="s">
        <v>271</v>
      </c>
      <c r="D232" s="115" t="s">
        <v>273</v>
      </c>
      <c r="E232" s="116">
        <v>2016</v>
      </c>
      <c r="F232" s="116" t="s">
        <v>39</v>
      </c>
      <c r="G232" s="206">
        <v>10</v>
      </c>
      <c r="H232" s="206" t="s">
        <v>40</v>
      </c>
      <c r="I232" s="118">
        <v>3.4</v>
      </c>
      <c r="J232" s="119">
        <f t="shared" si="23"/>
        <v>2090.4900000000002</v>
      </c>
      <c r="K232" s="120">
        <f>R232-E232</f>
        <v>5</v>
      </c>
      <c r="L232" s="116">
        <v>5</v>
      </c>
      <c r="M232" s="116">
        <v>8</v>
      </c>
      <c r="N232" s="122">
        <f>+I232*G232</f>
        <v>34</v>
      </c>
      <c r="O232" s="122">
        <f>+N232/L232</f>
        <v>6.8</v>
      </c>
      <c r="P232" s="122">
        <f>(N232/L232)*M232</f>
        <v>54.4</v>
      </c>
      <c r="Q232" s="116" t="s">
        <v>41</v>
      </c>
      <c r="R232" s="116">
        <v>2021</v>
      </c>
      <c r="S232" s="124" t="s">
        <v>79</v>
      </c>
      <c r="T232" s="219" t="s">
        <v>162</v>
      </c>
      <c r="U232" s="301"/>
      <c r="V232" s="233"/>
      <c r="W232" s="234"/>
      <c r="X232" s="234"/>
      <c r="Y232" s="234"/>
      <c r="Z232" s="234"/>
      <c r="AA232" s="234"/>
      <c r="AB232" s="234"/>
      <c r="AC232" s="234"/>
      <c r="AD232" s="302"/>
    </row>
    <row r="233" spans="2:30" ht="30" customHeight="1" outlineLevel="1" thickBot="1" x14ac:dyDescent="0.3">
      <c r="B233" s="1">
        <v>13</v>
      </c>
      <c r="C233" s="159" t="s">
        <v>271</v>
      </c>
      <c r="D233" s="160" t="s">
        <v>48</v>
      </c>
      <c r="E233" s="161">
        <v>2016</v>
      </c>
      <c r="F233" s="161" t="s">
        <v>39</v>
      </c>
      <c r="G233" s="162">
        <f>G230</f>
        <v>2688</v>
      </c>
      <c r="H233" s="218" t="s">
        <v>40</v>
      </c>
      <c r="I233" s="261">
        <f>+J233/$S$2</f>
        <v>100.74793328707902</v>
      </c>
      <c r="J233" s="208">
        <f t="shared" ref="J233" si="41">+((95000^(0.364-(0.00000133*G233)))/(G233^(0.364-(0.00000133*95000))))*6500</f>
        <v>61944.866781560537</v>
      </c>
      <c r="K233" s="218" t="s">
        <v>41</v>
      </c>
      <c r="L233" s="218" t="s">
        <v>41</v>
      </c>
      <c r="M233" s="218" t="s">
        <v>41</v>
      </c>
      <c r="N233" s="218" t="s">
        <v>41</v>
      </c>
      <c r="O233" s="218" t="s">
        <v>41</v>
      </c>
      <c r="P233" s="218" t="s">
        <v>41</v>
      </c>
      <c r="Q233" s="171">
        <f>I233*G233</f>
        <v>270810.44467566843</v>
      </c>
      <c r="R233" s="161">
        <v>2021</v>
      </c>
      <c r="S233" s="165" t="s">
        <v>79</v>
      </c>
      <c r="T233" s="219" t="s">
        <v>162</v>
      </c>
      <c r="U233" s="305"/>
      <c r="V233" s="239"/>
      <c r="W233" s="240"/>
      <c r="X233" s="240"/>
      <c r="Y233" s="240"/>
      <c r="Z233" s="240"/>
      <c r="AA233" s="240"/>
      <c r="AB233" s="240"/>
      <c r="AC233" s="240"/>
      <c r="AD233" s="306"/>
    </row>
    <row r="234" spans="2:30" ht="16.5" hidden="1" thickBot="1" x14ac:dyDescent="0.3">
      <c r="C234" s="262"/>
      <c r="D234" s="263" t="s">
        <v>274</v>
      </c>
      <c r="E234" s="210"/>
      <c r="F234" s="210"/>
      <c r="G234" s="210"/>
      <c r="H234" s="210"/>
      <c r="I234" s="213"/>
      <c r="J234" s="210"/>
      <c r="K234" s="210"/>
      <c r="L234" s="210"/>
      <c r="M234" s="210"/>
      <c r="N234" s="210"/>
      <c r="O234" s="210"/>
      <c r="P234" s="210"/>
      <c r="Q234" s="210"/>
      <c r="R234" s="210"/>
      <c r="S234" s="214"/>
      <c r="U234" s="356" t="s">
        <v>274</v>
      </c>
      <c r="V234" s="357"/>
      <c r="W234" s="357"/>
      <c r="X234" s="357"/>
      <c r="Y234" s="357"/>
      <c r="Z234" s="358"/>
      <c r="AA234" s="358"/>
      <c r="AB234" s="358"/>
      <c r="AC234" s="357"/>
      <c r="AD234" s="357"/>
    </row>
    <row r="235" spans="2:30" ht="30" customHeight="1" outlineLevel="1" x14ac:dyDescent="0.25">
      <c r="C235" s="103" t="s">
        <v>275</v>
      </c>
      <c r="D235" s="104" t="s">
        <v>276</v>
      </c>
      <c r="E235" s="105">
        <v>1976</v>
      </c>
      <c r="F235" s="105" t="s">
        <v>39</v>
      </c>
      <c r="G235" s="203">
        <v>969.08</v>
      </c>
      <c r="H235" s="203" t="s">
        <v>40</v>
      </c>
      <c r="I235" s="107">
        <f>340000/614.85</f>
        <v>552.98040172399772</v>
      </c>
      <c r="J235" s="108">
        <f t="shared" ref="J235:J305" si="42">I235*$S$2</f>
        <v>340000</v>
      </c>
      <c r="K235" s="109">
        <f>R235-E235</f>
        <v>45</v>
      </c>
      <c r="L235" s="105">
        <v>50</v>
      </c>
      <c r="M235" s="105">
        <v>30</v>
      </c>
      <c r="N235" s="111">
        <f>+I235*G235</f>
        <v>535882.2477026917</v>
      </c>
      <c r="O235" s="111">
        <f>+N235/L235</f>
        <v>10717.644954053834</v>
      </c>
      <c r="P235" s="111">
        <f>(N235/L235)*M235</f>
        <v>321529.34862161503</v>
      </c>
      <c r="Q235" s="105" t="s">
        <v>41</v>
      </c>
      <c r="R235" s="105">
        <v>2021</v>
      </c>
      <c r="S235" s="113" t="s">
        <v>277</v>
      </c>
      <c r="U235" s="152" t="s">
        <v>275</v>
      </c>
      <c r="V235" s="152" t="s">
        <v>136</v>
      </c>
      <c r="W235" s="151">
        <v>1190418.94</v>
      </c>
      <c r="X235" s="151">
        <v>0</v>
      </c>
      <c r="Y235" s="151">
        <v>195884036.69999999</v>
      </c>
      <c r="Z235" s="151">
        <v>999716.99</v>
      </c>
      <c r="AA235" s="151">
        <v>8951451.8000000007</v>
      </c>
      <c r="AB235" s="151">
        <v>187123286.84999996</v>
      </c>
      <c r="AC235" s="152" t="s">
        <v>278</v>
      </c>
      <c r="AD235" s="152">
        <v>900020</v>
      </c>
    </row>
    <row r="236" spans="2:30" ht="30" customHeight="1" outlineLevel="1" x14ac:dyDescent="0.25">
      <c r="C236" s="114" t="s">
        <v>275</v>
      </c>
      <c r="D236" s="115" t="s">
        <v>44</v>
      </c>
      <c r="E236" s="116">
        <v>1976</v>
      </c>
      <c r="F236" s="116" t="s">
        <v>39</v>
      </c>
      <c r="G236" s="206">
        <v>180.62</v>
      </c>
      <c r="H236" s="206" t="s">
        <v>40</v>
      </c>
      <c r="I236" s="118">
        <v>30.54</v>
      </c>
      <c r="J236" s="119">
        <f t="shared" si="42"/>
        <v>18777.519</v>
      </c>
      <c r="K236" s="120">
        <f>R236-E236</f>
        <v>45</v>
      </c>
      <c r="L236" s="116">
        <v>15</v>
      </c>
      <c r="M236" s="116">
        <v>5</v>
      </c>
      <c r="N236" s="122">
        <f>+I236*G236</f>
        <v>5516.1347999999998</v>
      </c>
      <c r="O236" s="122">
        <f>+N236/L236</f>
        <v>367.74232000000001</v>
      </c>
      <c r="P236" s="122">
        <f>(N236/L236)*M236</f>
        <v>1838.7116000000001</v>
      </c>
      <c r="Q236" s="116" t="s">
        <v>41</v>
      </c>
      <c r="R236" s="116">
        <v>2021</v>
      </c>
      <c r="S236" s="124" t="s">
        <v>277</v>
      </c>
      <c r="U236" s="331"/>
      <c r="V236" s="331"/>
      <c r="W236" s="332"/>
      <c r="X236" s="332"/>
      <c r="Y236" s="332"/>
      <c r="Z236" s="332"/>
      <c r="AA236" s="332"/>
      <c r="AB236" s="332"/>
      <c r="AC236" s="331"/>
      <c r="AD236" s="331"/>
    </row>
    <row r="237" spans="2:30" ht="30" customHeight="1" outlineLevel="1" x14ac:dyDescent="0.25">
      <c r="C237" s="114" t="s">
        <v>275</v>
      </c>
      <c r="D237" s="115" t="s">
        <v>46</v>
      </c>
      <c r="E237" s="116">
        <v>1976</v>
      </c>
      <c r="F237" s="116" t="s">
        <v>39</v>
      </c>
      <c r="G237" s="206">
        <v>353.26</v>
      </c>
      <c r="H237" s="206" t="s">
        <v>40</v>
      </c>
      <c r="I237" s="118">
        <v>3.4</v>
      </c>
      <c r="J237" s="119">
        <f t="shared" si="42"/>
        <v>2090.4900000000002</v>
      </c>
      <c r="K237" s="120">
        <f>R237-E237</f>
        <v>45</v>
      </c>
      <c r="L237" s="116">
        <v>10</v>
      </c>
      <c r="M237" s="116">
        <v>5</v>
      </c>
      <c r="N237" s="122">
        <f>+I237*G237</f>
        <v>1201.0839999999998</v>
      </c>
      <c r="O237" s="122">
        <f>+N237/L237</f>
        <v>120.10839999999999</v>
      </c>
      <c r="P237" s="122">
        <f>(N237/L237)*M237</f>
        <v>600.54199999999992</v>
      </c>
      <c r="Q237" s="116" t="s">
        <v>41</v>
      </c>
      <c r="R237" s="116">
        <v>2021</v>
      </c>
      <c r="S237" s="124" t="s">
        <v>277</v>
      </c>
      <c r="U237" s="152" t="s">
        <v>275</v>
      </c>
      <c r="V237" s="150">
        <v>31016</v>
      </c>
      <c r="W237" s="151">
        <v>94588.1</v>
      </c>
      <c r="X237" s="151">
        <v>0</v>
      </c>
      <c r="Y237" s="151">
        <v>0</v>
      </c>
      <c r="Z237" s="151">
        <v>93722.1</v>
      </c>
      <c r="AA237" s="151">
        <v>0</v>
      </c>
      <c r="AB237" s="151">
        <v>866</v>
      </c>
      <c r="AC237" s="152" t="s">
        <v>279</v>
      </c>
      <c r="AD237" s="152">
        <v>900126</v>
      </c>
    </row>
    <row r="238" spans="2:30" ht="30" customHeight="1" outlineLevel="1" thickBot="1" x14ac:dyDescent="0.3">
      <c r="C238" s="159" t="s">
        <v>275</v>
      </c>
      <c r="D238" s="160" t="s">
        <v>48</v>
      </c>
      <c r="E238" s="161">
        <v>1976</v>
      </c>
      <c r="F238" s="161" t="s">
        <v>39</v>
      </c>
      <c r="G238" s="162">
        <f>G235</f>
        <v>969.08</v>
      </c>
      <c r="H238" s="218" t="s">
        <v>40</v>
      </c>
      <c r="I238" s="261">
        <f>+J238/$S$2</f>
        <v>131.79882390716486</v>
      </c>
      <c r="J238" s="97">
        <f t="shared" ref="J238" si="43">+((95000^(0.364-(0.00000133*G238)))/(G238^(0.364-(0.00000133*95000))))*6500</f>
        <v>81036.50687932031</v>
      </c>
      <c r="K238" s="163" t="s">
        <v>41</v>
      </c>
      <c r="L238" s="163" t="s">
        <v>41</v>
      </c>
      <c r="M238" s="163" t="s">
        <v>41</v>
      </c>
      <c r="N238" s="163" t="s">
        <v>41</v>
      </c>
      <c r="O238" s="163" t="s">
        <v>41</v>
      </c>
      <c r="P238" s="163" t="s">
        <v>41</v>
      </c>
      <c r="Q238" s="171">
        <f>I238*G238</f>
        <v>127723.60427195532</v>
      </c>
      <c r="R238" s="161">
        <v>2021</v>
      </c>
      <c r="S238" s="165" t="s">
        <v>277</v>
      </c>
      <c r="U238" s="331"/>
      <c r="V238" s="355"/>
      <c r="W238" s="332"/>
      <c r="X238" s="332"/>
      <c r="Y238" s="332"/>
      <c r="Z238" s="332"/>
      <c r="AA238" s="332"/>
      <c r="AB238" s="332"/>
      <c r="AC238" s="331"/>
      <c r="AD238" s="331"/>
    </row>
    <row r="239" spans="2:30" ht="30" customHeight="1" outlineLevel="1" x14ac:dyDescent="0.25">
      <c r="C239" s="103" t="s">
        <v>280</v>
      </c>
      <c r="D239" s="104" t="s">
        <v>281</v>
      </c>
      <c r="E239" s="105">
        <v>1985</v>
      </c>
      <c r="F239" s="105" t="s">
        <v>39</v>
      </c>
      <c r="G239" s="203">
        <v>1378.78</v>
      </c>
      <c r="H239" s="203" t="s">
        <v>40</v>
      </c>
      <c r="I239" s="107">
        <v>500</v>
      </c>
      <c r="J239" s="108">
        <f t="shared" si="42"/>
        <v>307425</v>
      </c>
      <c r="K239" s="109">
        <f>R239-E239</f>
        <v>36</v>
      </c>
      <c r="L239" s="105">
        <v>50</v>
      </c>
      <c r="M239" s="105">
        <v>35</v>
      </c>
      <c r="N239" s="111">
        <f>+I239*G239</f>
        <v>689390</v>
      </c>
      <c r="O239" s="111">
        <f>+N239/L239</f>
        <v>13787.8</v>
      </c>
      <c r="P239" s="111">
        <f>(N239/L239)*M239</f>
        <v>482573</v>
      </c>
      <c r="Q239" s="105" t="s">
        <v>41</v>
      </c>
      <c r="R239" s="105">
        <v>2021</v>
      </c>
      <c r="S239" s="113" t="s">
        <v>277</v>
      </c>
      <c r="U239" s="152" t="s">
        <v>280</v>
      </c>
      <c r="V239" s="152" t="s">
        <v>282</v>
      </c>
      <c r="W239" s="151">
        <v>7043487.4100000001</v>
      </c>
      <c r="X239" s="151">
        <v>0</v>
      </c>
      <c r="Y239" s="151">
        <v>140199496.78</v>
      </c>
      <c r="Z239" s="151">
        <v>6702708.9299999997</v>
      </c>
      <c r="AA239" s="151">
        <v>3543807.85</v>
      </c>
      <c r="AB239" s="151">
        <v>136996467.41</v>
      </c>
      <c r="AC239" s="152" t="s">
        <v>283</v>
      </c>
      <c r="AD239" s="152">
        <v>900127</v>
      </c>
    </row>
    <row r="240" spans="2:30" ht="30" customHeight="1" outlineLevel="1" x14ac:dyDescent="0.25">
      <c r="C240" s="114" t="s">
        <v>280</v>
      </c>
      <c r="D240" s="115" t="s">
        <v>44</v>
      </c>
      <c r="E240" s="116">
        <v>1985</v>
      </c>
      <c r="F240" s="116" t="s">
        <v>39</v>
      </c>
      <c r="G240" s="206">
        <v>230.31</v>
      </c>
      <c r="H240" s="206" t="s">
        <v>40</v>
      </c>
      <c r="I240" s="118">
        <v>30.54</v>
      </c>
      <c r="J240" s="119">
        <f t="shared" si="42"/>
        <v>18777.519</v>
      </c>
      <c r="K240" s="120">
        <f>R240-E240</f>
        <v>36</v>
      </c>
      <c r="L240" s="116">
        <v>15</v>
      </c>
      <c r="M240" s="116">
        <v>5</v>
      </c>
      <c r="N240" s="122">
        <f>+I240*G240</f>
        <v>7033.6674000000003</v>
      </c>
      <c r="O240" s="122">
        <f>+N240/L240</f>
        <v>468.91116</v>
      </c>
      <c r="P240" s="122">
        <f>(N240/L240)*M240</f>
        <v>2344.5558000000001</v>
      </c>
      <c r="Q240" s="116" t="s">
        <v>41</v>
      </c>
      <c r="R240" s="116">
        <v>2021</v>
      </c>
      <c r="S240" s="124" t="s">
        <v>277</v>
      </c>
      <c r="U240" s="331"/>
      <c r="V240" s="331"/>
      <c r="W240" s="332"/>
      <c r="X240" s="332"/>
      <c r="Y240" s="332"/>
      <c r="Z240" s="332"/>
      <c r="AA240" s="332"/>
      <c r="AB240" s="332"/>
      <c r="AC240" s="331"/>
      <c r="AD240" s="331"/>
    </row>
    <row r="241" spans="3:30" ht="30" customHeight="1" outlineLevel="1" x14ac:dyDescent="0.25">
      <c r="C241" s="114" t="s">
        <v>280</v>
      </c>
      <c r="D241" s="115" t="s">
        <v>46</v>
      </c>
      <c r="E241" s="116">
        <v>1985</v>
      </c>
      <c r="F241" s="116" t="s">
        <v>39</v>
      </c>
      <c r="G241" s="206">
        <v>426.82</v>
      </c>
      <c r="H241" s="206" t="s">
        <v>40</v>
      </c>
      <c r="I241" s="118">
        <v>3.4</v>
      </c>
      <c r="J241" s="119">
        <f t="shared" si="42"/>
        <v>2090.4900000000002</v>
      </c>
      <c r="K241" s="120">
        <f>R241-E241</f>
        <v>36</v>
      </c>
      <c r="L241" s="116">
        <v>10</v>
      </c>
      <c r="M241" s="116">
        <v>5</v>
      </c>
      <c r="N241" s="122">
        <f>+I241*G241</f>
        <v>1451.1879999999999</v>
      </c>
      <c r="O241" s="122">
        <f>+N241/L241</f>
        <v>145.11879999999999</v>
      </c>
      <c r="P241" s="122">
        <f>(N241/L241)*M241</f>
        <v>725.59399999999994</v>
      </c>
      <c r="Q241" s="116" t="s">
        <v>41</v>
      </c>
      <c r="R241" s="116">
        <v>2021</v>
      </c>
      <c r="S241" s="124" t="s">
        <v>277</v>
      </c>
      <c r="U241" s="152" t="s">
        <v>280</v>
      </c>
      <c r="V241" s="150">
        <v>32719</v>
      </c>
      <c r="W241" s="151">
        <v>3052006.35</v>
      </c>
      <c r="X241" s="151">
        <v>0</v>
      </c>
      <c r="Y241" s="151">
        <v>0</v>
      </c>
      <c r="Z241" s="151">
        <v>1861723.87</v>
      </c>
      <c r="AA241" s="151">
        <v>0</v>
      </c>
      <c r="AB241" s="151">
        <v>1190282.48</v>
      </c>
      <c r="AC241" s="152" t="s">
        <v>284</v>
      </c>
      <c r="AD241" s="152">
        <v>900232</v>
      </c>
    </row>
    <row r="242" spans="3:30" ht="30" customHeight="1" outlineLevel="1" thickBot="1" x14ac:dyDescent="0.3">
      <c r="C242" s="159" t="s">
        <v>280</v>
      </c>
      <c r="D242" s="160" t="s">
        <v>48</v>
      </c>
      <c r="E242" s="161">
        <v>1985</v>
      </c>
      <c r="F242" s="161" t="s">
        <v>39</v>
      </c>
      <c r="G242" s="162">
        <f>G239</f>
        <v>1378.78</v>
      </c>
      <c r="H242" s="218" t="s">
        <v>40</v>
      </c>
      <c r="I242" s="261">
        <f>+J242/$S$2</f>
        <v>120.44993049164765</v>
      </c>
      <c r="J242" s="97">
        <f t="shared" ref="J242" si="44">+((95000^(0.364-(0.00000133*G242)))/(G242^(0.364-(0.00000133*95000))))*6500</f>
        <v>74058.639762789564</v>
      </c>
      <c r="K242" s="163" t="s">
        <v>41</v>
      </c>
      <c r="L242" s="163" t="s">
        <v>41</v>
      </c>
      <c r="M242" s="163" t="s">
        <v>41</v>
      </c>
      <c r="N242" s="163" t="s">
        <v>41</v>
      </c>
      <c r="O242" s="163" t="s">
        <v>41</v>
      </c>
      <c r="P242" s="163" t="s">
        <v>41</v>
      </c>
      <c r="Q242" s="171">
        <f>I242*G242</f>
        <v>166073.95516327393</v>
      </c>
      <c r="R242" s="161">
        <v>2021</v>
      </c>
      <c r="S242" s="165" t="s">
        <v>277</v>
      </c>
      <c r="U242" s="331"/>
      <c r="V242" s="355"/>
      <c r="W242" s="332"/>
      <c r="X242" s="332"/>
      <c r="Y242" s="332"/>
      <c r="Z242" s="332"/>
      <c r="AA242" s="332"/>
      <c r="AB242" s="332"/>
      <c r="AC242" s="331"/>
      <c r="AD242" s="331"/>
    </row>
    <row r="243" spans="3:30" ht="30" customHeight="1" outlineLevel="1" x14ac:dyDescent="0.25">
      <c r="C243" s="103" t="s">
        <v>285</v>
      </c>
      <c r="D243" s="104" t="s">
        <v>286</v>
      </c>
      <c r="E243" s="105">
        <v>1985</v>
      </c>
      <c r="F243" s="105" t="s">
        <v>39</v>
      </c>
      <c r="G243" s="203">
        <v>230.34</v>
      </c>
      <c r="H243" s="203" t="s">
        <v>40</v>
      </c>
      <c r="I243" s="107">
        <v>600</v>
      </c>
      <c r="J243" s="108">
        <f t="shared" si="42"/>
        <v>368910</v>
      </c>
      <c r="K243" s="109">
        <f>R243-E243</f>
        <v>36</v>
      </c>
      <c r="L243" s="105">
        <v>50</v>
      </c>
      <c r="M243" s="105">
        <v>35</v>
      </c>
      <c r="N243" s="111">
        <f>+I243*G243</f>
        <v>138204</v>
      </c>
      <c r="O243" s="111">
        <f>+N243/L243</f>
        <v>2764.08</v>
      </c>
      <c r="P243" s="111">
        <f>(N243/L243)*M243</f>
        <v>96742.8</v>
      </c>
      <c r="Q243" s="105" t="s">
        <v>41</v>
      </c>
      <c r="R243" s="105">
        <v>2021</v>
      </c>
      <c r="S243" s="113" t="s">
        <v>277</v>
      </c>
      <c r="U243" s="359" t="s">
        <v>285</v>
      </c>
      <c r="V243" s="360" t="s">
        <v>140</v>
      </c>
      <c r="W243" s="361"/>
      <c r="X243" s="361"/>
      <c r="Y243" s="361"/>
      <c r="Z243" s="361"/>
      <c r="AA243" s="361"/>
      <c r="AB243" s="361"/>
      <c r="AC243" s="361"/>
      <c r="AD243" s="362"/>
    </row>
    <row r="244" spans="3:30" ht="30" customHeight="1" outlineLevel="1" x14ac:dyDescent="0.25">
      <c r="C244" s="114" t="s">
        <v>285</v>
      </c>
      <c r="D244" s="115" t="s">
        <v>44</v>
      </c>
      <c r="E244" s="116">
        <v>1985</v>
      </c>
      <c r="F244" s="116" t="s">
        <v>39</v>
      </c>
      <c r="G244" s="206">
        <v>67.83</v>
      </c>
      <c r="H244" s="206" t="s">
        <v>40</v>
      </c>
      <c r="I244" s="118">
        <v>30.54</v>
      </c>
      <c r="J244" s="119">
        <f t="shared" si="42"/>
        <v>18777.519</v>
      </c>
      <c r="K244" s="120">
        <f>R244-E244</f>
        <v>36</v>
      </c>
      <c r="L244" s="116">
        <v>15</v>
      </c>
      <c r="M244" s="116">
        <v>5</v>
      </c>
      <c r="N244" s="122">
        <f>+I244*G244</f>
        <v>2071.5281999999997</v>
      </c>
      <c r="O244" s="122">
        <f>+N244/L244</f>
        <v>138.10187999999999</v>
      </c>
      <c r="P244" s="122">
        <f>(N244/L244)*M244</f>
        <v>690.50939999999991</v>
      </c>
      <c r="Q244" s="116" t="s">
        <v>41</v>
      </c>
      <c r="R244" s="116">
        <v>2021</v>
      </c>
      <c r="S244" s="124" t="s">
        <v>277</v>
      </c>
      <c r="U244" s="232"/>
      <c r="V244" s="233"/>
      <c r="W244" s="234"/>
      <c r="X244" s="234"/>
      <c r="Y244" s="234"/>
      <c r="Z244" s="234"/>
      <c r="AA244" s="234"/>
      <c r="AB244" s="234"/>
      <c r="AC244" s="234"/>
      <c r="AD244" s="235"/>
    </row>
    <row r="245" spans="3:30" ht="30" customHeight="1" outlineLevel="1" x14ac:dyDescent="0.25">
      <c r="C245" s="114" t="s">
        <v>285</v>
      </c>
      <c r="D245" s="115" t="s">
        <v>86</v>
      </c>
      <c r="E245" s="116">
        <v>1985</v>
      </c>
      <c r="F245" s="116" t="s">
        <v>39</v>
      </c>
      <c r="G245" s="206">
        <v>0</v>
      </c>
      <c r="H245" s="206" t="s">
        <v>87</v>
      </c>
      <c r="I245" s="206">
        <v>0</v>
      </c>
      <c r="J245" s="206">
        <v>0</v>
      </c>
      <c r="K245" s="313">
        <v>0</v>
      </c>
      <c r="L245" s="206">
        <v>0</v>
      </c>
      <c r="M245" s="206">
        <v>0</v>
      </c>
      <c r="N245" s="314">
        <v>0</v>
      </c>
      <c r="O245" s="314">
        <v>0</v>
      </c>
      <c r="P245" s="314">
        <v>0</v>
      </c>
      <c r="Q245" s="206">
        <v>0</v>
      </c>
      <c r="R245" s="116" t="s">
        <v>87</v>
      </c>
      <c r="S245" s="124" t="s">
        <v>87</v>
      </c>
      <c r="U245" s="232"/>
      <c r="V245" s="233"/>
      <c r="W245" s="234"/>
      <c r="X245" s="234"/>
      <c r="Y245" s="234"/>
      <c r="Z245" s="234"/>
      <c r="AA245" s="234"/>
      <c r="AB245" s="234"/>
      <c r="AC245" s="234"/>
      <c r="AD245" s="235"/>
    </row>
    <row r="246" spans="3:30" ht="30" customHeight="1" outlineLevel="1" thickBot="1" x14ac:dyDescent="0.3">
      <c r="C246" s="159" t="s">
        <v>285</v>
      </c>
      <c r="D246" s="160" t="s">
        <v>48</v>
      </c>
      <c r="E246" s="161">
        <v>1985</v>
      </c>
      <c r="F246" s="161" t="s">
        <v>39</v>
      </c>
      <c r="G246" s="162">
        <f>G243</f>
        <v>230.34</v>
      </c>
      <c r="H246" s="218" t="s">
        <v>40</v>
      </c>
      <c r="I246" s="261">
        <f>+J246/$S$2</f>
        <v>187.53984641997891</v>
      </c>
      <c r="J246" s="97">
        <f t="shared" ref="J246" si="45">+((95000^(0.364-(0.00000133*G246)))/(G246^(0.364-(0.00000133*95000))))*6500</f>
        <v>115308.87457132404</v>
      </c>
      <c r="K246" s="163" t="s">
        <v>41</v>
      </c>
      <c r="L246" s="163" t="s">
        <v>41</v>
      </c>
      <c r="M246" s="163" t="s">
        <v>41</v>
      </c>
      <c r="N246" s="163" t="s">
        <v>41</v>
      </c>
      <c r="O246" s="163" t="s">
        <v>41</v>
      </c>
      <c r="P246" s="163" t="s">
        <v>41</v>
      </c>
      <c r="Q246" s="171">
        <f>I246*G246</f>
        <v>43197.928224377945</v>
      </c>
      <c r="R246" s="161">
        <v>2021</v>
      </c>
      <c r="S246" s="165" t="s">
        <v>277</v>
      </c>
      <c r="U246" s="232"/>
      <c r="V246" s="233"/>
      <c r="W246" s="234"/>
      <c r="X246" s="234"/>
      <c r="Y246" s="234"/>
      <c r="Z246" s="234"/>
      <c r="AA246" s="234"/>
      <c r="AB246" s="234"/>
      <c r="AC246" s="234"/>
      <c r="AD246" s="235"/>
    </row>
    <row r="247" spans="3:30" ht="30" customHeight="1" outlineLevel="1" x14ac:dyDescent="0.25">
      <c r="C247" s="103" t="s">
        <v>287</v>
      </c>
      <c r="D247" s="104" t="s">
        <v>288</v>
      </c>
      <c r="E247" s="105">
        <v>1985</v>
      </c>
      <c r="F247" s="105" t="s">
        <v>39</v>
      </c>
      <c r="G247" s="203">
        <v>15822.62</v>
      </c>
      <c r="H247" s="203" t="s">
        <v>40</v>
      </c>
      <c r="I247" s="107">
        <f>+J247/$S$2</f>
        <v>170.77335935594047</v>
      </c>
      <c r="J247" s="108">
        <v>105000</v>
      </c>
      <c r="K247" s="109">
        <f>R247-E247</f>
        <v>36</v>
      </c>
      <c r="L247" s="105">
        <v>40</v>
      </c>
      <c r="M247" s="105">
        <v>35</v>
      </c>
      <c r="N247" s="111">
        <f>+I247*G247</f>
        <v>2702081.9712124909</v>
      </c>
      <c r="O247" s="111">
        <f>+N247/L247</f>
        <v>67552.049280312276</v>
      </c>
      <c r="P247" s="111">
        <f>(N247/L247)*M247</f>
        <v>2364321.7248109295</v>
      </c>
      <c r="Q247" s="105" t="s">
        <v>41</v>
      </c>
      <c r="R247" s="105">
        <v>2021</v>
      </c>
      <c r="S247" s="113" t="s">
        <v>277</v>
      </c>
      <c r="U247" s="220" t="s">
        <v>287</v>
      </c>
      <c r="V247" s="74" t="s">
        <v>289</v>
      </c>
      <c r="W247" s="73">
        <v>1440006.43</v>
      </c>
      <c r="X247" s="73">
        <v>0</v>
      </c>
      <c r="Y247" s="73">
        <v>37627070.32</v>
      </c>
      <c r="Z247" s="73">
        <v>1065604.55</v>
      </c>
      <c r="AA247" s="73">
        <v>5394562.8700000001</v>
      </c>
      <c r="AB247" s="73">
        <v>32606909.330000002</v>
      </c>
      <c r="AC247" s="74" t="s">
        <v>290</v>
      </c>
      <c r="AD247" s="221">
        <v>900121</v>
      </c>
    </row>
    <row r="248" spans="3:30" ht="30" customHeight="1" outlineLevel="1" x14ac:dyDescent="0.25">
      <c r="C248" s="363" t="s">
        <v>287</v>
      </c>
      <c r="D248" s="364" t="s">
        <v>44</v>
      </c>
      <c r="E248" s="365">
        <v>1985</v>
      </c>
      <c r="F248" s="365" t="s">
        <v>39</v>
      </c>
      <c r="G248" s="366">
        <v>507.5</v>
      </c>
      <c r="H248" s="366" t="s">
        <v>40</v>
      </c>
      <c r="I248" s="367">
        <v>30.54</v>
      </c>
      <c r="J248" s="368">
        <f>I248*$S$2</f>
        <v>18777.519</v>
      </c>
      <c r="K248" s="369">
        <f>R248-E248</f>
        <v>36</v>
      </c>
      <c r="L248" s="365">
        <v>15</v>
      </c>
      <c r="M248" s="365">
        <v>5</v>
      </c>
      <c r="N248" s="370">
        <f>+I248*G248</f>
        <v>15499.05</v>
      </c>
      <c r="O248" s="370">
        <f>+N248/L248</f>
        <v>1033.27</v>
      </c>
      <c r="P248" s="370">
        <f>(N248/L248)*M248</f>
        <v>5166.3500000000004</v>
      </c>
      <c r="Q248" s="365" t="s">
        <v>41</v>
      </c>
      <c r="R248" s="365">
        <v>2021</v>
      </c>
      <c r="S248" s="371" t="s">
        <v>277</v>
      </c>
      <c r="U248" s="372"/>
      <c r="V248" s="373">
        <v>33573</v>
      </c>
      <c r="W248" s="374">
        <v>345000</v>
      </c>
      <c r="X248" s="374">
        <v>52749173.439999998</v>
      </c>
      <c r="Y248" s="374">
        <v>0</v>
      </c>
      <c r="Z248" s="374">
        <v>194350</v>
      </c>
      <c r="AA248" s="374">
        <v>1811902.37</v>
      </c>
      <c r="AB248" s="374">
        <v>51087921.07</v>
      </c>
      <c r="AC248" s="90" t="s">
        <v>291</v>
      </c>
      <c r="AD248" s="375">
        <v>900291</v>
      </c>
    </row>
    <row r="249" spans="3:30" ht="30" customHeight="1" outlineLevel="1" x14ac:dyDescent="0.25">
      <c r="C249" s="376"/>
      <c r="D249" s="377"/>
      <c r="E249" s="378"/>
      <c r="F249" s="378"/>
      <c r="G249" s="379"/>
      <c r="H249" s="379"/>
      <c r="I249" s="380"/>
      <c r="J249" s="381"/>
      <c r="K249" s="382"/>
      <c r="L249" s="378"/>
      <c r="M249" s="378"/>
      <c r="N249" s="383"/>
      <c r="O249" s="383"/>
      <c r="P249" s="383"/>
      <c r="Q249" s="378"/>
      <c r="R249" s="378"/>
      <c r="S249" s="384"/>
      <c r="U249" s="87" t="s">
        <v>287</v>
      </c>
      <c r="V249" s="90" t="s">
        <v>241</v>
      </c>
      <c r="W249" s="89">
        <v>100000</v>
      </c>
      <c r="X249" s="89">
        <v>0</v>
      </c>
      <c r="Y249" s="89">
        <v>180428462.72999999</v>
      </c>
      <c r="Z249" s="89">
        <v>58166.81</v>
      </c>
      <c r="AA249" s="89">
        <v>8557747.5099999998</v>
      </c>
      <c r="AB249" s="89">
        <v>171912548.41</v>
      </c>
      <c r="AC249" s="90" t="s">
        <v>292</v>
      </c>
      <c r="AD249" s="223">
        <v>900302</v>
      </c>
    </row>
    <row r="250" spans="3:30" ht="30" customHeight="1" outlineLevel="1" x14ac:dyDescent="0.25">
      <c r="C250" s="114" t="s">
        <v>287</v>
      </c>
      <c r="D250" s="115" t="s">
        <v>46</v>
      </c>
      <c r="E250" s="116">
        <v>1985</v>
      </c>
      <c r="F250" s="116" t="s">
        <v>39</v>
      </c>
      <c r="G250" s="206">
        <v>1019.38</v>
      </c>
      <c r="H250" s="206" t="s">
        <v>40</v>
      </c>
      <c r="I250" s="118">
        <v>3.4</v>
      </c>
      <c r="J250" s="119">
        <f t="shared" si="42"/>
        <v>2090.4900000000002</v>
      </c>
      <c r="K250" s="120">
        <f>R250-E250</f>
        <v>36</v>
      </c>
      <c r="L250" s="116">
        <v>10</v>
      </c>
      <c r="M250" s="116">
        <v>5</v>
      </c>
      <c r="N250" s="122">
        <f>+I250*G250</f>
        <v>3465.8919999999998</v>
      </c>
      <c r="O250" s="122">
        <f>+N250/L250</f>
        <v>346.58920000000001</v>
      </c>
      <c r="P250" s="122">
        <f>(N250/L250)*M250</f>
        <v>1732.9459999999999</v>
      </c>
      <c r="Q250" s="116" t="s">
        <v>41</v>
      </c>
      <c r="R250" s="116">
        <v>2021</v>
      </c>
      <c r="S250" s="124" t="s">
        <v>277</v>
      </c>
      <c r="U250" s="226" t="s">
        <v>287</v>
      </c>
      <c r="V250" s="150">
        <v>37226</v>
      </c>
      <c r="W250" s="151">
        <v>9027099.9499999993</v>
      </c>
      <c r="X250" s="151">
        <v>0</v>
      </c>
      <c r="Y250" s="151">
        <v>182705785.86000001</v>
      </c>
      <c r="Z250" s="151">
        <v>7716603.3399999999</v>
      </c>
      <c r="AA250" s="151">
        <v>27890632.609999999</v>
      </c>
      <c r="AB250" s="151">
        <v>156125649.86000001</v>
      </c>
      <c r="AC250" s="152" t="s">
        <v>293</v>
      </c>
      <c r="AD250" s="227">
        <v>900286</v>
      </c>
    </row>
    <row r="251" spans="3:30" ht="30" customHeight="1" outlineLevel="1" thickBot="1" x14ac:dyDescent="0.3">
      <c r="C251" s="159" t="s">
        <v>287</v>
      </c>
      <c r="D251" s="160" t="s">
        <v>48</v>
      </c>
      <c r="E251" s="161">
        <v>1985</v>
      </c>
      <c r="F251" s="161" t="s">
        <v>39</v>
      </c>
      <c r="G251" s="162">
        <f>G247</f>
        <v>15822.62</v>
      </c>
      <c r="H251" s="218" t="s">
        <v>40</v>
      </c>
      <c r="I251" s="261">
        <f>+J251/$S$2</f>
        <v>54.115967043824789</v>
      </c>
      <c r="J251" s="97">
        <f t="shared" ref="J251" si="46">+((95000^(0.364-(0.00000133*G251)))/(G251^(0.364-(0.00000133*95000))))*6500</f>
        <v>33273.202336895672</v>
      </c>
      <c r="K251" s="163" t="s">
        <v>41</v>
      </c>
      <c r="L251" s="163" t="s">
        <v>41</v>
      </c>
      <c r="M251" s="163" t="s">
        <v>41</v>
      </c>
      <c r="N251" s="163" t="s">
        <v>41</v>
      </c>
      <c r="O251" s="163" t="s">
        <v>41</v>
      </c>
      <c r="P251" s="163" t="s">
        <v>41</v>
      </c>
      <c r="Q251" s="171">
        <f>I251*G251</f>
        <v>856256.38246696303</v>
      </c>
      <c r="R251" s="161">
        <v>2021</v>
      </c>
      <c r="S251" s="165" t="s">
        <v>277</v>
      </c>
      <c r="U251" s="181"/>
      <c r="V251" s="167"/>
      <c r="W251" s="168"/>
      <c r="X251" s="168"/>
      <c r="Y251" s="168"/>
      <c r="Z251" s="168"/>
      <c r="AA251" s="168"/>
      <c r="AB251" s="168"/>
      <c r="AC251" s="169"/>
      <c r="AD251" s="188"/>
    </row>
    <row r="252" spans="3:30" ht="30" customHeight="1" outlineLevel="1" x14ac:dyDescent="0.25">
      <c r="C252" s="103" t="s">
        <v>294</v>
      </c>
      <c r="D252" s="104" t="s">
        <v>295</v>
      </c>
      <c r="E252" s="105">
        <v>1985</v>
      </c>
      <c r="F252" s="105" t="s">
        <v>39</v>
      </c>
      <c r="G252" s="203">
        <v>19202.89</v>
      </c>
      <c r="H252" s="203" t="s">
        <v>40</v>
      </c>
      <c r="I252" s="107">
        <v>5</v>
      </c>
      <c r="J252" s="108">
        <f t="shared" si="42"/>
        <v>3074.25</v>
      </c>
      <c r="K252" s="109">
        <f>R252-E252</f>
        <v>36</v>
      </c>
      <c r="L252" s="105">
        <v>40</v>
      </c>
      <c r="M252" s="105">
        <v>35</v>
      </c>
      <c r="N252" s="111">
        <f>+I252*G252</f>
        <v>96014.45</v>
      </c>
      <c r="O252" s="111">
        <f>+N252/L252</f>
        <v>2400.3612499999999</v>
      </c>
      <c r="P252" s="111">
        <f>(N252/L252)*M252</f>
        <v>84012.643750000003</v>
      </c>
      <c r="Q252" s="105" t="s">
        <v>41</v>
      </c>
      <c r="R252" s="105">
        <v>2021</v>
      </c>
      <c r="S252" s="113" t="s">
        <v>277</v>
      </c>
      <c r="U252" s="176" t="s">
        <v>294</v>
      </c>
      <c r="V252" s="177" t="s">
        <v>84</v>
      </c>
      <c r="W252" s="178">
        <v>1201695.03</v>
      </c>
      <c r="X252" s="178">
        <v>0</v>
      </c>
      <c r="Y252" s="178">
        <v>0</v>
      </c>
      <c r="Z252" s="178">
        <v>1073042.69</v>
      </c>
      <c r="AA252" s="178">
        <v>0</v>
      </c>
      <c r="AB252" s="178">
        <v>128652.34000000008</v>
      </c>
      <c r="AC252" s="177" t="s">
        <v>296</v>
      </c>
      <c r="AD252" s="205">
        <v>900212</v>
      </c>
    </row>
    <row r="253" spans="3:30" ht="30" customHeight="1" outlineLevel="1" x14ac:dyDescent="0.25">
      <c r="C253" s="114" t="s">
        <v>294</v>
      </c>
      <c r="D253" s="115" t="s">
        <v>44</v>
      </c>
      <c r="E253" s="116">
        <v>1985</v>
      </c>
      <c r="F253" s="116" t="s">
        <v>39</v>
      </c>
      <c r="G253" s="206">
        <v>0</v>
      </c>
      <c r="H253" s="206" t="s">
        <v>40</v>
      </c>
      <c r="I253" s="118">
        <v>30.54</v>
      </c>
      <c r="J253" s="119">
        <f t="shared" si="42"/>
        <v>18777.519</v>
      </c>
      <c r="K253" s="120">
        <f>R253-E253</f>
        <v>36</v>
      </c>
      <c r="L253" s="116">
        <v>15</v>
      </c>
      <c r="M253" s="116">
        <v>5</v>
      </c>
      <c r="N253" s="122">
        <f>+I253*G253</f>
        <v>0</v>
      </c>
      <c r="O253" s="122">
        <f>+N253/L253</f>
        <v>0</v>
      </c>
      <c r="P253" s="122">
        <f>(N253/L253)*M253</f>
        <v>0</v>
      </c>
      <c r="Q253" s="116" t="s">
        <v>41</v>
      </c>
      <c r="R253" s="116">
        <v>2021</v>
      </c>
      <c r="S253" s="124" t="s">
        <v>277</v>
      </c>
      <c r="U253" s="330"/>
      <c r="V253" s="331"/>
      <c r="W253" s="332"/>
      <c r="X253" s="332"/>
      <c r="Y253" s="332"/>
      <c r="Z253" s="332"/>
      <c r="AA253" s="332"/>
      <c r="AB253" s="332"/>
      <c r="AC253" s="331"/>
      <c r="AD253" s="333"/>
    </row>
    <row r="254" spans="3:30" ht="30" customHeight="1" outlineLevel="1" x14ac:dyDescent="0.25">
      <c r="C254" s="114" t="s">
        <v>294</v>
      </c>
      <c r="D254" s="115" t="s">
        <v>46</v>
      </c>
      <c r="E254" s="116">
        <v>1985</v>
      </c>
      <c r="F254" s="116" t="s">
        <v>39</v>
      </c>
      <c r="G254" s="206">
        <v>4411.92</v>
      </c>
      <c r="H254" s="206" t="s">
        <v>40</v>
      </c>
      <c r="I254" s="118">
        <v>3.4</v>
      </c>
      <c r="J254" s="119">
        <f t="shared" si="42"/>
        <v>2090.4900000000002</v>
      </c>
      <c r="K254" s="120">
        <f>R254-E254</f>
        <v>36</v>
      </c>
      <c r="L254" s="116">
        <v>10</v>
      </c>
      <c r="M254" s="116">
        <v>5</v>
      </c>
      <c r="N254" s="122">
        <f>+I254*G254</f>
        <v>15000.528</v>
      </c>
      <c r="O254" s="122">
        <f>+N254/L254</f>
        <v>1500.0527999999999</v>
      </c>
      <c r="P254" s="122">
        <f>(N254/L254)*M254</f>
        <v>7500.2639999999992</v>
      </c>
      <c r="Q254" s="116" t="s">
        <v>41</v>
      </c>
      <c r="R254" s="116">
        <v>2021</v>
      </c>
      <c r="S254" s="124" t="s">
        <v>277</v>
      </c>
      <c r="U254" s="226" t="s">
        <v>294</v>
      </c>
      <c r="V254" s="152" t="s">
        <v>297</v>
      </c>
      <c r="W254" s="151">
        <v>2884699.62</v>
      </c>
      <c r="X254" s="151">
        <v>0</v>
      </c>
      <c r="Y254" s="151">
        <v>6938186</v>
      </c>
      <c r="Z254" s="151">
        <v>1620239.49</v>
      </c>
      <c r="AA254" s="151">
        <v>1303578.3899999999</v>
      </c>
      <c r="AB254" s="151">
        <v>6899067.7400000012</v>
      </c>
      <c r="AC254" s="152" t="s">
        <v>298</v>
      </c>
      <c r="AD254" s="227">
        <v>900289</v>
      </c>
    </row>
    <row r="255" spans="3:30" ht="30" customHeight="1" outlineLevel="1" thickBot="1" x14ac:dyDescent="0.3">
      <c r="C255" s="159" t="s">
        <v>294</v>
      </c>
      <c r="D255" s="160" t="s">
        <v>48</v>
      </c>
      <c r="E255" s="161">
        <v>1985</v>
      </c>
      <c r="F255" s="161" t="s">
        <v>39</v>
      </c>
      <c r="G255" s="162">
        <f>G252</f>
        <v>19202.89</v>
      </c>
      <c r="H255" s="218" t="s">
        <v>40</v>
      </c>
      <c r="I255" s="261">
        <f>+J255/$S$2</f>
        <v>49.086630070347141</v>
      </c>
      <c r="J255" s="97">
        <f t="shared" ref="J255" si="47">+((95000^(0.364-(0.00000133*G255)))/(G255^(0.364-(0.00000133*95000))))*6500</f>
        <v>30180.91449875294</v>
      </c>
      <c r="K255" s="163" t="s">
        <v>41</v>
      </c>
      <c r="L255" s="163" t="s">
        <v>41</v>
      </c>
      <c r="M255" s="163" t="s">
        <v>41</v>
      </c>
      <c r="N255" s="163" t="s">
        <v>41</v>
      </c>
      <c r="O255" s="163" t="s">
        <v>41</v>
      </c>
      <c r="P255" s="163" t="s">
        <v>41</v>
      </c>
      <c r="Q255" s="171">
        <f>I255*G255</f>
        <v>942605.1577115684</v>
      </c>
      <c r="R255" s="161">
        <v>2021</v>
      </c>
      <c r="S255" s="165" t="s">
        <v>277</v>
      </c>
      <c r="U255" s="181"/>
      <c r="V255" s="169"/>
      <c r="W255" s="168"/>
      <c r="X255" s="168"/>
      <c r="Y255" s="168"/>
      <c r="Z255" s="168"/>
      <c r="AA255" s="168"/>
      <c r="AB255" s="168"/>
      <c r="AC255" s="169"/>
      <c r="AD255" s="188"/>
    </row>
    <row r="256" spans="3:30" ht="30" customHeight="1" outlineLevel="1" x14ac:dyDescent="0.25">
      <c r="C256" s="103" t="s">
        <v>299</v>
      </c>
      <c r="D256" s="104" t="s">
        <v>300</v>
      </c>
      <c r="E256" s="105">
        <v>2014</v>
      </c>
      <c r="F256" s="105" t="s">
        <v>39</v>
      </c>
      <c r="G256" s="203">
        <v>439.88</v>
      </c>
      <c r="H256" s="203" t="s">
        <v>40</v>
      </c>
      <c r="I256" s="107">
        <v>605</v>
      </c>
      <c r="J256" s="108">
        <f t="shared" si="42"/>
        <v>371984.25</v>
      </c>
      <c r="K256" s="109">
        <f>R256-E256</f>
        <v>7</v>
      </c>
      <c r="L256" s="105">
        <v>50</v>
      </c>
      <c r="M256" s="105">
        <v>44</v>
      </c>
      <c r="N256" s="111">
        <f>+I256*G256</f>
        <v>266127.40000000002</v>
      </c>
      <c r="O256" s="111">
        <f>+N256/L256</f>
        <v>5322.5480000000007</v>
      </c>
      <c r="P256" s="111">
        <f>(N256/L256)*M256</f>
        <v>234192.11200000002</v>
      </c>
      <c r="Q256" s="105" t="s">
        <v>41</v>
      </c>
      <c r="R256" s="105">
        <v>2021</v>
      </c>
      <c r="S256" s="113" t="s">
        <v>79</v>
      </c>
      <c r="U256" s="176" t="s">
        <v>299</v>
      </c>
      <c r="V256" s="189">
        <v>42118</v>
      </c>
      <c r="W256" s="178">
        <v>143571747.55000001</v>
      </c>
      <c r="X256" s="178">
        <v>0</v>
      </c>
      <c r="Y256" s="178">
        <v>148517035.52000001</v>
      </c>
      <c r="Z256" s="178">
        <v>13639316.210000001</v>
      </c>
      <c r="AA256" s="178">
        <v>12440902.109999999</v>
      </c>
      <c r="AB256" s="178">
        <v>266008564.75000006</v>
      </c>
      <c r="AC256" s="177" t="s">
        <v>301</v>
      </c>
      <c r="AD256" s="205">
        <v>900363</v>
      </c>
    </row>
    <row r="257" spans="3:30" ht="30" customHeight="1" outlineLevel="1" x14ac:dyDescent="0.25">
      <c r="C257" s="114" t="s">
        <v>299</v>
      </c>
      <c r="D257" s="115" t="s">
        <v>44</v>
      </c>
      <c r="E257" s="116">
        <v>2014</v>
      </c>
      <c r="F257" s="116" t="s">
        <v>39</v>
      </c>
      <c r="G257" s="206">
        <v>86.16</v>
      </c>
      <c r="H257" s="206" t="s">
        <v>40</v>
      </c>
      <c r="I257" s="118">
        <v>30.54</v>
      </c>
      <c r="J257" s="119">
        <f t="shared" si="42"/>
        <v>18777.519</v>
      </c>
      <c r="K257" s="120">
        <f>R257-E257</f>
        <v>7</v>
      </c>
      <c r="L257" s="116">
        <v>15</v>
      </c>
      <c r="M257" s="116">
        <v>11</v>
      </c>
      <c r="N257" s="122">
        <f>+I257*G257</f>
        <v>2631.3263999999999</v>
      </c>
      <c r="O257" s="122">
        <f>+N257/L257</f>
        <v>175.42176000000001</v>
      </c>
      <c r="P257" s="122">
        <f>(N257/L257)*M257</f>
        <v>1929.6393600000001</v>
      </c>
      <c r="Q257" s="116" t="s">
        <v>41</v>
      </c>
      <c r="R257" s="116">
        <v>2021</v>
      </c>
      <c r="S257" s="124" t="str">
        <f>+S256</f>
        <v>SERVICIOS GENERALES</v>
      </c>
      <c r="U257" s="180"/>
      <c r="V257" s="155"/>
      <c r="W257" s="156"/>
      <c r="X257" s="156"/>
      <c r="Y257" s="156"/>
      <c r="Z257" s="156"/>
      <c r="AA257" s="156"/>
      <c r="AB257" s="156"/>
      <c r="AC257" s="157"/>
      <c r="AD257" s="184"/>
    </row>
    <row r="258" spans="3:30" ht="30" customHeight="1" outlineLevel="1" x14ac:dyDescent="0.25">
      <c r="C258" s="114" t="s">
        <v>299</v>
      </c>
      <c r="D258" s="115" t="s">
        <v>46</v>
      </c>
      <c r="E258" s="116">
        <v>2014</v>
      </c>
      <c r="F258" s="116" t="s">
        <v>39</v>
      </c>
      <c r="G258" s="206">
        <v>191.92</v>
      </c>
      <c r="H258" s="206" t="s">
        <v>40</v>
      </c>
      <c r="I258" s="118">
        <v>3.4</v>
      </c>
      <c r="J258" s="119">
        <f t="shared" si="42"/>
        <v>2090.4900000000002</v>
      </c>
      <c r="K258" s="120">
        <f>R258-E258</f>
        <v>7</v>
      </c>
      <c r="L258" s="116">
        <v>10</v>
      </c>
      <c r="M258" s="116">
        <v>7</v>
      </c>
      <c r="N258" s="122">
        <f>+I258*G258</f>
        <v>652.52799999999991</v>
      </c>
      <c r="O258" s="122">
        <f>+N258/L258</f>
        <v>65.252799999999993</v>
      </c>
      <c r="P258" s="122">
        <f>(N258/L258)*M258</f>
        <v>456.76959999999997</v>
      </c>
      <c r="Q258" s="116" t="s">
        <v>41</v>
      </c>
      <c r="R258" s="116">
        <v>2021</v>
      </c>
      <c r="S258" s="124" t="str">
        <f>+S257</f>
        <v>SERVICIOS GENERALES</v>
      </c>
      <c r="U258" s="180"/>
      <c r="V258" s="155"/>
      <c r="W258" s="156"/>
      <c r="X258" s="156"/>
      <c r="Y258" s="156"/>
      <c r="Z258" s="156"/>
      <c r="AA258" s="156"/>
      <c r="AB258" s="156"/>
      <c r="AC258" s="157"/>
      <c r="AD258" s="184"/>
    </row>
    <row r="259" spans="3:30" ht="30" customHeight="1" outlineLevel="1" thickBot="1" x14ac:dyDescent="0.3">
      <c r="C259" s="159" t="s">
        <v>299</v>
      </c>
      <c r="D259" s="160" t="s">
        <v>48</v>
      </c>
      <c r="E259" s="161">
        <v>2014</v>
      </c>
      <c r="F259" s="161" t="s">
        <v>39</v>
      </c>
      <c r="G259" s="162">
        <f>G256</f>
        <v>439.88</v>
      </c>
      <c r="H259" s="218" t="s">
        <v>40</v>
      </c>
      <c r="I259" s="261">
        <f>+J259/$S$2</f>
        <v>160.3005548790278</v>
      </c>
      <c r="J259" s="97">
        <f t="shared" ref="J259" si="48">+((95000^(0.364-(0.00000133*G259)))/(G259^(0.364-(0.00000133*95000))))*6500</f>
        <v>98560.796167370252</v>
      </c>
      <c r="K259" s="163" t="s">
        <v>41</v>
      </c>
      <c r="L259" s="163" t="s">
        <v>41</v>
      </c>
      <c r="M259" s="163" t="s">
        <v>41</v>
      </c>
      <c r="N259" s="163" t="s">
        <v>41</v>
      </c>
      <c r="O259" s="163" t="s">
        <v>41</v>
      </c>
      <c r="P259" s="163" t="s">
        <v>41</v>
      </c>
      <c r="Q259" s="171">
        <f>I259*G259</f>
        <v>70513.008080186744</v>
      </c>
      <c r="R259" s="161">
        <v>2021</v>
      </c>
      <c r="S259" s="165" t="str">
        <f>+S258</f>
        <v>SERVICIOS GENERALES</v>
      </c>
      <c r="U259" s="181"/>
      <c r="V259" s="167"/>
      <c r="W259" s="168"/>
      <c r="X259" s="168"/>
      <c r="Y259" s="168"/>
      <c r="Z259" s="168"/>
      <c r="AA259" s="168"/>
      <c r="AB259" s="168"/>
      <c r="AC259" s="169"/>
      <c r="AD259" s="188"/>
    </row>
    <row r="260" spans="3:30" ht="30" customHeight="1" outlineLevel="1" x14ac:dyDescent="0.25">
      <c r="C260" s="103" t="s">
        <v>302</v>
      </c>
      <c r="D260" s="104" t="s">
        <v>303</v>
      </c>
      <c r="E260" s="105">
        <v>2013</v>
      </c>
      <c r="F260" s="105" t="s">
        <v>39</v>
      </c>
      <c r="G260" s="203">
        <f>889.75+112.68</f>
        <v>1002.4300000000001</v>
      </c>
      <c r="H260" s="203" t="s">
        <v>40</v>
      </c>
      <c r="I260" s="107">
        <v>1950</v>
      </c>
      <c r="J260" s="108">
        <f t="shared" si="42"/>
        <v>1198957.5</v>
      </c>
      <c r="K260" s="109">
        <f>R260-E260</f>
        <v>8</v>
      </c>
      <c r="L260" s="105">
        <v>50</v>
      </c>
      <c r="M260" s="105">
        <v>43</v>
      </c>
      <c r="N260" s="111">
        <f>+I260*G260</f>
        <v>1954738.5000000002</v>
      </c>
      <c r="O260" s="111">
        <f>+N260/L260</f>
        <v>39094.770000000004</v>
      </c>
      <c r="P260" s="111">
        <f>(N260/L260)*M260</f>
        <v>1681075.11</v>
      </c>
      <c r="Q260" s="105" t="s">
        <v>41</v>
      </c>
      <c r="R260" s="105">
        <v>2021</v>
      </c>
      <c r="S260" s="113" t="s">
        <v>277</v>
      </c>
      <c r="U260" s="176" t="s">
        <v>302</v>
      </c>
      <c r="V260" s="177" t="s">
        <v>304</v>
      </c>
      <c r="W260" s="178">
        <v>930066242.79999995</v>
      </c>
      <c r="X260" s="178">
        <v>0</v>
      </c>
      <c r="Y260" s="178">
        <v>142931340.56999999</v>
      </c>
      <c r="Z260" s="178">
        <v>113158059.37</v>
      </c>
      <c r="AA260" s="178">
        <v>12529625.279999999</v>
      </c>
      <c r="AB260" s="178">
        <v>947309898.71999991</v>
      </c>
      <c r="AC260" s="177" t="s">
        <v>305</v>
      </c>
      <c r="AD260" s="205">
        <v>900357</v>
      </c>
    </row>
    <row r="261" spans="3:30" ht="30" customHeight="1" outlineLevel="1" x14ac:dyDescent="0.25">
      <c r="C261" s="114" t="s">
        <v>302</v>
      </c>
      <c r="D261" s="115" t="s">
        <v>44</v>
      </c>
      <c r="E261" s="116">
        <v>2013</v>
      </c>
      <c r="F261" s="116" t="s">
        <v>39</v>
      </c>
      <c r="G261" s="206">
        <v>51.49</v>
      </c>
      <c r="H261" s="206" t="s">
        <v>40</v>
      </c>
      <c r="I261" s="118">
        <v>30.54</v>
      </c>
      <c r="J261" s="119">
        <f t="shared" si="42"/>
        <v>18777.519</v>
      </c>
      <c r="K261" s="120">
        <f>R261-E261</f>
        <v>8</v>
      </c>
      <c r="L261" s="116">
        <v>15</v>
      </c>
      <c r="M261" s="116">
        <v>11</v>
      </c>
      <c r="N261" s="122">
        <f>+I261*G261</f>
        <v>1572.5046</v>
      </c>
      <c r="O261" s="122">
        <f>+N261/L261</f>
        <v>104.83364</v>
      </c>
      <c r="P261" s="122">
        <f>(N261/L261)*M261</f>
        <v>1153.17004</v>
      </c>
      <c r="Q261" s="116" t="s">
        <v>41</v>
      </c>
      <c r="R261" s="116">
        <v>2021</v>
      </c>
      <c r="S261" s="124" t="s">
        <v>277</v>
      </c>
      <c r="U261" s="180"/>
      <c r="V261" s="157"/>
      <c r="W261" s="156"/>
      <c r="X261" s="156"/>
      <c r="Y261" s="156"/>
      <c r="Z261" s="156"/>
      <c r="AA261" s="156"/>
      <c r="AB261" s="156"/>
      <c r="AC261" s="157"/>
      <c r="AD261" s="184"/>
    </row>
    <row r="262" spans="3:30" ht="30" customHeight="1" outlineLevel="1" x14ac:dyDescent="0.25">
      <c r="C262" s="114" t="s">
        <v>302</v>
      </c>
      <c r="D262" s="115" t="s">
        <v>46</v>
      </c>
      <c r="E262" s="116">
        <v>2013</v>
      </c>
      <c r="F262" s="116" t="s">
        <v>39</v>
      </c>
      <c r="G262" s="206">
        <v>222.08</v>
      </c>
      <c r="H262" s="206" t="s">
        <v>40</v>
      </c>
      <c r="I262" s="118">
        <v>3.4</v>
      </c>
      <c r="J262" s="119">
        <f t="shared" si="42"/>
        <v>2090.4900000000002</v>
      </c>
      <c r="K262" s="120">
        <f>R262-E262</f>
        <v>8</v>
      </c>
      <c r="L262" s="116">
        <v>10</v>
      </c>
      <c r="M262" s="116">
        <v>7</v>
      </c>
      <c r="N262" s="122">
        <f>+I262*G262</f>
        <v>755.072</v>
      </c>
      <c r="O262" s="122">
        <f>+N262/L262</f>
        <v>75.507199999999997</v>
      </c>
      <c r="P262" s="122">
        <f>(N262/L262)*M262</f>
        <v>528.55039999999997</v>
      </c>
      <c r="Q262" s="116" t="s">
        <v>41</v>
      </c>
      <c r="R262" s="116">
        <v>2021</v>
      </c>
      <c r="S262" s="124" t="s">
        <v>277</v>
      </c>
      <c r="U262" s="180"/>
      <c r="V262" s="157"/>
      <c r="W262" s="156"/>
      <c r="X262" s="156"/>
      <c r="Y262" s="156"/>
      <c r="Z262" s="156"/>
      <c r="AA262" s="156"/>
      <c r="AB262" s="156"/>
      <c r="AC262" s="157"/>
      <c r="AD262" s="184"/>
    </row>
    <row r="263" spans="3:30" ht="30" customHeight="1" outlineLevel="1" thickBot="1" x14ac:dyDescent="0.3">
      <c r="C263" s="159" t="s">
        <v>302</v>
      </c>
      <c r="D263" s="160" t="s">
        <v>48</v>
      </c>
      <c r="E263" s="161">
        <v>2013</v>
      </c>
      <c r="F263" s="161" t="s">
        <v>39</v>
      </c>
      <c r="G263" s="162">
        <v>889.75</v>
      </c>
      <c r="H263" s="218" t="s">
        <v>40</v>
      </c>
      <c r="I263" s="261">
        <f>+J263/$S$2</f>
        <v>134.66401408741856</v>
      </c>
      <c r="J263" s="97">
        <f t="shared" ref="J263" si="49">+((95000^(0.364-(0.00000133*G263)))/(G263^(0.364-(0.00000133*95000))))*6500</f>
        <v>82798.169061649314</v>
      </c>
      <c r="K263" s="163" t="s">
        <v>41</v>
      </c>
      <c r="L263" s="163" t="s">
        <v>41</v>
      </c>
      <c r="M263" s="163" t="s">
        <v>41</v>
      </c>
      <c r="N263" s="163" t="s">
        <v>41</v>
      </c>
      <c r="O263" s="163" t="s">
        <v>41</v>
      </c>
      <c r="P263" s="163" t="s">
        <v>41</v>
      </c>
      <c r="Q263" s="171">
        <f>I263*G263</f>
        <v>119817.30653428067</v>
      </c>
      <c r="R263" s="161">
        <v>2021</v>
      </c>
      <c r="S263" s="165" t="s">
        <v>277</v>
      </c>
      <c r="U263" s="181"/>
      <c r="V263" s="169"/>
      <c r="W263" s="168"/>
      <c r="X263" s="168"/>
      <c r="Y263" s="168"/>
      <c r="Z263" s="168"/>
      <c r="AA263" s="168"/>
      <c r="AB263" s="168"/>
      <c r="AC263" s="169"/>
      <c r="AD263" s="188"/>
    </row>
    <row r="264" spans="3:30" ht="30" customHeight="1" outlineLevel="1" x14ac:dyDescent="0.25">
      <c r="C264" s="103" t="s">
        <v>306</v>
      </c>
      <c r="D264" s="104" t="s">
        <v>307</v>
      </c>
      <c r="E264" s="105">
        <v>1985</v>
      </c>
      <c r="F264" s="105" t="s">
        <v>39</v>
      </c>
      <c r="G264" s="203">
        <v>1557.64</v>
      </c>
      <c r="H264" s="203" t="s">
        <v>40</v>
      </c>
      <c r="I264" s="107">
        <f>70000/614.85</f>
        <v>113.84890623729365</v>
      </c>
      <c r="J264" s="108">
        <f t="shared" si="42"/>
        <v>70000</v>
      </c>
      <c r="K264" s="109">
        <f>R264-E264</f>
        <v>36</v>
      </c>
      <c r="L264" s="105">
        <v>40</v>
      </c>
      <c r="M264" s="105">
        <v>30</v>
      </c>
      <c r="N264" s="111">
        <f>+I264*G264</f>
        <v>177335.61031145809</v>
      </c>
      <c r="O264" s="111">
        <f>+N264/L264</f>
        <v>4433.3902577864519</v>
      </c>
      <c r="P264" s="111">
        <f>(N264/L264)*M264</f>
        <v>133001.70773359356</v>
      </c>
      <c r="Q264" s="105" t="s">
        <v>41</v>
      </c>
      <c r="R264" s="105">
        <v>2021</v>
      </c>
      <c r="S264" s="113" t="s">
        <v>277</v>
      </c>
      <c r="U264" s="176" t="s">
        <v>306</v>
      </c>
      <c r="V264" s="177" t="s">
        <v>297</v>
      </c>
      <c r="W264" s="178">
        <v>4163756.4</v>
      </c>
      <c r="X264" s="178">
        <v>0</v>
      </c>
      <c r="Y264" s="178">
        <v>0</v>
      </c>
      <c r="Z264" s="178">
        <v>2338642.96</v>
      </c>
      <c r="AA264" s="178">
        <v>0</v>
      </c>
      <c r="AB264" s="178">
        <v>1825113.44</v>
      </c>
      <c r="AC264" s="177" t="s">
        <v>308</v>
      </c>
      <c r="AD264" s="205">
        <v>900290</v>
      </c>
    </row>
    <row r="265" spans="3:30" ht="30" customHeight="1" outlineLevel="1" x14ac:dyDescent="0.25">
      <c r="C265" s="114" t="s">
        <v>306</v>
      </c>
      <c r="D265" s="115" t="s">
        <v>44</v>
      </c>
      <c r="E265" s="116">
        <v>1985</v>
      </c>
      <c r="F265" s="116" t="s">
        <v>39</v>
      </c>
      <c r="G265" s="206">
        <v>237.27</v>
      </c>
      <c r="H265" s="206" t="s">
        <v>40</v>
      </c>
      <c r="I265" s="118">
        <v>30.54</v>
      </c>
      <c r="J265" s="119">
        <f t="shared" si="42"/>
        <v>18777.519</v>
      </c>
      <c r="K265" s="120">
        <f>R265-E265</f>
        <v>36</v>
      </c>
      <c r="L265" s="116">
        <v>15</v>
      </c>
      <c r="M265" s="116">
        <v>5</v>
      </c>
      <c r="N265" s="122">
        <f>+I265*G265</f>
        <v>7246.2258000000002</v>
      </c>
      <c r="O265" s="122">
        <f>+N265/L265</f>
        <v>483.08172000000002</v>
      </c>
      <c r="P265" s="122">
        <f>(N265/L265)*M265</f>
        <v>2415.4086000000002</v>
      </c>
      <c r="Q265" s="116" t="s">
        <v>41</v>
      </c>
      <c r="R265" s="116">
        <v>2021</v>
      </c>
      <c r="S265" s="124" t="s">
        <v>277</v>
      </c>
      <c r="U265" s="180"/>
      <c r="V265" s="157"/>
      <c r="W265" s="156"/>
      <c r="X265" s="156"/>
      <c r="Y265" s="156"/>
      <c r="Z265" s="156"/>
      <c r="AA265" s="156"/>
      <c r="AB265" s="156"/>
      <c r="AC265" s="157"/>
      <c r="AD265" s="184"/>
    </row>
    <row r="266" spans="3:30" ht="30" customHeight="1" outlineLevel="1" x14ac:dyDescent="0.25">
      <c r="C266" s="114" t="s">
        <v>306</v>
      </c>
      <c r="D266" s="115" t="s">
        <v>46</v>
      </c>
      <c r="E266" s="116">
        <v>1985</v>
      </c>
      <c r="F266" s="116" t="s">
        <v>39</v>
      </c>
      <c r="G266" s="206">
        <v>453.95</v>
      </c>
      <c r="H266" s="206" t="s">
        <v>40</v>
      </c>
      <c r="I266" s="118">
        <v>3.4</v>
      </c>
      <c r="J266" s="119">
        <f t="shared" si="42"/>
        <v>2090.4900000000002</v>
      </c>
      <c r="K266" s="120">
        <f>R266-E266</f>
        <v>36</v>
      </c>
      <c r="L266" s="116">
        <v>10</v>
      </c>
      <c r="M266" s="116">
        <v>5</v>
      </c>
      <c r="N266" s="122">
        <f>+I266*G266</f>
        <v>1543.4299999999998</v>
      </c>
      <c r="O266" s="122">
        <f>+N266/L266</f>
        <v>154.34299999999999</v>
      </c>
      <c r="P266" s="122">
        <f>(N266/L266)*M266</f>
        <v>771.71499999999992</v>
      </c>
      <c r="Q266" s="116" t="s">
        <v>41</v>
      </c>
      <c r="R266" s="116">
        <v>2021</v>
      </c>
      <c r="S266" s="124" t="s">
        <v>277</v>
      </c>
      <c r="U266" s="180"/>
      <c r="V266" s="157"/>
      <c r="W266" s="156"/>
      <c r="X266" s="156"/>
      <c r="Y266" s="156"/>
      <c r="Z266" s="156"/>
      <c r="AA266" s="156"/>
      <c r="AB266" s="156"/>
      <c r="AC266" s="157"/>
      <c r="AD266" s="184"/>
    </row>
    <row r="267" spans="3:30" ht="30" customHeight="1" outlineLevel="1" thickBot="1" x14ac:dyDescent="0.3">
      <c r="C267" s="159" t="s">
        <v>306</v>
      </c>
      <c r="D267" s="160" t="s">
        <v>48</v>
      </c>
      <c r="E267" s="161">
        <v>1985</v>
      </c>
      <c r="F267" s="161" t="s">
        <v>39</v>
      </c>
      <c r="G267" s="162">
        <f>G264</f>
        <v>1557.64</v>
      </c>
      <c r="H267" s="218" t="s">
        <v>40</v>
      </c>
      <c r="I267" s="261">
        <f>+J267/$S$2</f>
        <v>116.68999211472273</v>
      </c>
      <c r="J267" s="97">
        <f t="shared" ref="J267" si="50">+((95000^(0.364-(0.00000133*G267)))/(G267^(0.364-(0.00000133*95000))))*6500</f>
        <v>71746.841651737268</v>
      </c>
      <c r="K267" s="163" t="s">
        <v>41</v>
      </c>
      <c r="L267" s="163" t="s">
        <v>41</v>
      </c>
      <c r="M267" s="163" t="s">
        <v>41</v>
      </c>
      <c r="N267" s="163" t="s">
        <v>41</v>
      </c>
      <c r="O267" s="163" t="s">
        <v>41</v>
      </c>
      <c r="P267" s="163" t="s">
        <v>41</v>
      </c>
      <c r="Q267" s="171">
        <f>I267*G267</f>
        <v>181760.99931757673</v>
      </c>
      <c r="R267" s="161">
        <v>2021</v>
      </c>
      <c r="S267" s="165" t="s">
        <v>277</v>
      </c>
      <c r="U267" s="181"/>
      <c r="V267" s="169"/>
      <c r="W267" s="168"/>
      <c r="X267" s="168"/>
      <c r="Y267" s="168"/>
      <c r="Z267" s="168"/>
      <c r="AA267" s="168"/>
      <c r="AB267" s="168"/>
      <c r="AC267" s="169"/>
      <c r="AD267" s="188"/>
    </row>
    <row r="268" spans="3:30" ht="30" customHeight="1" outlineLevel="1" x14ac:dyDescent="0.25">
      <c r="C268" s="103" t="s">
        <v>309</v>
      </c>
      <c r="D268" s="104" t="s">
        <v>310</v>
      </c>
      <c r="E268" s="105">
        <v>2014</v>
      </c>
      <c r="F268" s="105" t="s">
        <v>39</v>
      </c>
      <c r="G268" s="203">
        <v>2349</v>
      </c>
      <c r="H268" s="203" t="s">
        <v>40</v>
      </c>
      <c r="I268" s="107">
        <f>45000/614.85</f>
        <v>73.188582581117345</v>
      </c>
      <c r="J268" s="108">
        <f t="shared" si="42"/>
        <v>45000</v>
      </c>
      <c r="K268" s="109">
        <f>R268-E268</f>
        <v>7</v>
      </c>
      <c r="L268" s="105">
        <v>40</v>
      </c>
      <c r="M268" s="105">
        <v>34</v>
      </c>
      <c r="N268" s="111">
        <f>+I268*G268</f>
        <v>171919.98048304464</v>
      </c>
      <c r="O268" s="111">
        <f>+N268/L268</f>
        <v>4297.9995120761159</v>
      </c>
      <c r="P268" s="111">
        <f>(N268/L268)*M268</f>
        <v>146131.98341058794</v>
      </c>
      <c r="Q268" s="105" t="s">
        <v>41</v>
      </c>
      <c r="R268" s="105">
        <v>2021</v>
      </c>
      <c r="S268" s="113" t="s">
        <v>277</v>
      </c>
      <c r="U268" s="299" t="s">
        <v>309</v>
      </c>
      <c r="V268" s="385" t="s">
        <v>140</v>
      </c>
      <c r="W268" s="193"/>
      <c r="X268" s="193"/>
      <c r="Y268" s="193"/>
      <c r="Z268" s="193"/>
      <c r="AA268" s="193"/>
      <c r="AB268" s="193"/>
      <c r="AC268" s="193"/>
      <c r="AD268" s="194"/>
    </row>
    <row r="269" spans="3:30" ht="30" customHeight="1" outlineLevel="1" x14ac:dyDescent="0.25">
      <c r="C269" s="114" t="s">
        <v>309</v>
      </c>
      <c r="D269" s="115" t="s">
        <v>165</v>
      </c>
      <c r="E269" s="116">
        <v>2014</v>
      </c>
      <c r="F269" s="116" t="s">
        <v>39</v>
      </c>
      <c r="G269" s="206">
        <v>0</v>
      </c>
      <c r="H269" s="206" t="s">
        <v>87</v>
      </c>
      <c r="I269" s="206">
        <v>0</v>
      </c>
      <c r="J269" s="206">
        <v>0</v>
      </c>
      <c r="K269" s="313">
        <v>0</v>
      </c>
      <c r="L269" s="206">
        <v>0</v>
      </c>
      <c r="M269" s="206">
        <v>0</v>
      </c>
      <c r="N269" s="314">
        <v>0</v>
      </c>
      <c r="O269" s="314">
        <v>0</v>
      </c>
      <c r="P269" s="314">
        <v>0</v>
      </c>
      <c r="Q269" s="206">
        <v>0</v>
      </c>
      <c r="R269" s="116" t="s">
        <v>87</v>
      </c>
      <c r="S269" s="124" t="s">
        <v>87</v>
      </c>
      <c r="U269" s="301"/>
      <c r="V269" s="386"/>
      <c r="W269" s="196"/>
      <c r="X269" s="196"/>
      <c r="Y269" s="196"/>
      <c r="Z269" s="196"/>
      <c r="AA269" s="196"/>
      <c r="AB269" s="196"/>
      <c r="AC269" s="196"/>
      <c r="AD269" s="197"/>
    </row>
    <row r="270" spans="3:30" ht="30" customHeight="1" outlineLevel="1" x14ac:dyDescent="0.25">
      <c r="C270" s="114" t="s">
        <v>309</v>
      </c>
      <c r="D270" s="115" t="s">
        <v>46</v>
      </c>
      <c r="E270" s="116">
        <v>2014</v>
      </c>
      <c r="F270" s="116" t="s">
        <v>39</v>
      </c>
      <c r="G270" s="206">
        <v>472</v>
      </c>
      <c r="H270" s="206" t="s">
        <v>40</v>
      </c>
      <c r="I270" s="118">
        <v>3.4</v>
      </c>
      <c r="J270" s="119">
        <f t="shared" si="42"/>
        <v>2090.4900000000002</v>
      </c>
      <c r="K270" s="120">
        <f>R270-E270</f>
        <v>7</v>
      </c>
      <c r="L270" s="116">
        <v>10</v>
      </c>
      <c r="M270" s="116">
        <v>7</v>
      </c>
      <c r="N270" s="122">
        <f>+I270*G270</f>
        <v>1604.8</v>
      </c>
      <c r="O270" s="122">
        <f>+N270/L270</f>
        <v>160.47999999999999</v>
      </c>
      <c r="P270" s="122">
        <f>(N270/L270)*M270</f>
        <v>1123.3599999999999</v>
      </c>
      <c r="Q270" s="116" t="s">
        <v>41</v>
      </c>
      <c r="R270" s="116">
        <v>2021</v>
      </c>
      <c r="S270" s="124" t="s">
        <v>277</v>
      </c>
      <c r="U270" s="301"/>
      <c r="V270" s="386"/>
      <c r="W270" s="196"/>
      <c r="X270" s="196"/>
      <c r="Y270" s="196"/>
      <c r="Z270" s="196"/>
      <c r="AA270" s="196"/>
      <c r="AB270" s="196"/>
      <c r="AC270" s="196"/>
      <c r="AD270" s="197"/>
    </row>
    <row r="271" spans="3:30" ht="30" customHeight="1" outlineLevel="1" thickBot="1" x14ac:dyDescent="0.3">
      <c r="C271" s="159" t="s">
        <v>309</v>
      </c>
      <c r="D271" s="160" t="s">
        <v>48</v>
      </c>
      <c r="E271" s="161">
        <v>2014</v>
      </c>
      <c r="F271" s="161" t="s">
        <v>39</v>
      </c>
      <c r="G271" s="162">
        <f>G268</f>
        <v>2349</v>
      </c>
      <c r="H271" s="218" t="s">
        <v>40</v>
      </c>
      <c r="I271" s="261">
        <f>+J271/$S$2</f>
        <v>104.56683615329716</v>
      </c>
      <c r="J271" s="97">
        <f t="shared" ref="J271" si="51">+((95000^(0.364-(0.00000133*G271)))/(G271^(0.364-(0.00000133*95000))))*6500</f>
        <v>64292.919208854764</v>
      </c>
      <c r="K271" s="163" t="s">
        <v>41</v>
      </c>
      <c r="L271" s="163" t="s">
        <v>41</v>
      </c>
      <c r="M271" s="163" t="s">
        <v>41</v>
      </c>
      <c r="N271" s="163" t="s">
        <v>41</v>
      </c>
      <c r="O271" s="163" t="s">
        <v>41</v>
      </c>
      <c r="P271" s="163" t="s">
        <v>41</v>
      </c>
      <c r="Q271" s="171">
        <f>I271*G271</f>
        <v>245627.49812409503</v>
      </c>
      <c r="R271" s="161">
        <v>2021</v>
      </c>
      <c r="S271" s="165" t="s">
        <v>277</v>
      </c>
      <c r="U271" s="301"/>
      <c r="V271" s="386"/>
      <c r="W271" s="196"/>
      <c r="X271" s="196"/>
      <c r="Y271" s="196"/>
      <c r="Z271" s="196"/>
      <c r="AA271" s="196"/>
      <c r="AB271" s="196"/>
      <c r="AC271" s="196"/>
      <c r="AD271" s="197"/>
    </row>
    <row r="272" spans="3:30" ht="30" customHeight="1" outlineLevel="1" x14ac:dyDescent="0.25">
      <c r="C272" s="103" t="s">
        <v>311</v>
      </c>
      <c r="D272" s="104" t="s">
        <v>312</v>
      </c>
      <c r="E272" s="105">
        <v>2012</v>
      </c>
      <c r="F272" s="105" t="s">
        <v>39</v>
      </c>
      <c r="G272" s="203">
        <v>479.43</v>
      </c>
      <c r="H272" s="203" t="s">
        <v>40</v>
      </c>
      <c r="I272" s="107">
        <f>40000/614.85</f>
        <v>65.056517849882084</v>
      </c>
      <c r="J272" s="108">
        <f t="shared" si="42"/>
        <v>40000</v>
      </c>
      <c r="K272" s="109">
        <f>R272-E272</f>
        <v>9</v>
      </c>
      <c r="L272" s="105">
        <v>20</v>
      </c>
      <c r="M272" s="105">
        <v>16</v>
      </c>
      <c r="N272" s="111">
        <f>+I272*G272</f>
        <v>31190.046352768968</v>
      </c>
      <c r="O272" s="111">
        <f>+N272/L272</f>
        <v>1559.5023176384484</v>
      </c>
      <c r="P272" s="111">
        <f>(N272/L272)*M272</f>
        <v>24952.037082215174</v>
      </c>
      <c r="Q272" s="105" t="s">
        <v>41</v>
      </c>
      <c r="R272" s="105">
        <v>2021</v>
      </c>
      <c r="S272" s="113" t="s">
        <v>277</v>
      </c>
      <c r="U272" s="387" t="s">
        <v>313</v>
      </c>
      <c r="V272" s="388">
        <v>40035</v>
      </c>
      <c r="W272" s="389">
        <v>3622350</v>
      </c>
      <c r="X272" s="389">
        <v>0</v>
      </c>
      <c r="Y272" s="389">
        <v>0</v>
      </c>
      <c r="Z272" s="389">
        <v>760693.5</v>
      </c>
      <c r="AA272" s="389">
        <v>0</v>
      </c>
      <c r="AB272" s="389">
        <v>2861656.5</v>
      </c>
      <c r="AC272" s="390" t="s">
        <v>314</v>
      </c>
      <c r="AD272" s="391">
        <v>900325</v>
      </c>
    </row>
    <row r="273" spans="3:30" ht="30" customHeight="1" outlineLevel="1" x14ac:dyDescent="0.25">
      <c r="C273" s="252"/>
      <c r="D273" s="253"/>
      <c r="E273" s="254"/>
      <c r="F273" s="254"/>
      <c r="G273" s="255"/>
      <c r="H273" s="255"/>
      <c r="I273" s="256"/>
      <c r="J273" s="257"/>
      <c r="K273" s="258"/>
      <c r="L273" s="254"/>
      <c r="M273" s="254"/>
      <c r="N273" s="259"/>
      <c r="O273" s="259"/>
      <c r="P273" s="259"/>
      <c r="Q273" s="254"/>
      <c r="R273" s="254"/>
      <c r="S273" s="340"/>
      <c r="U273" s="392" t="s">
        <v>315</v>
      </c>
      <c r="V273" s="393">
        <v>42829</v>
      </c>
      <c r="W273" s="394">
        <v>9504000</v>
      </c>
      <c r="X273" s="394">
        <v>0</v>
      </c>
      <c r="Y273" s="394">
        <v>5186201.33</v>
      </c>
      <c r="Z273" s="394">
        <v>522720</v>
      </c>
      <c r="AA273" s="394">
        <v>285241.08</v>
      </c>
      <c r="AB273" s="394">
        <v>13882240.25</v>
      </c>
      <c r="AC273" s="395" t="s">
        <v>316</v>
      </c>
      <c r="AD273" s="396">
        <v>900371</v>
      </c>
    </row>
    <row r="274" spans="3:30" ht="30" customHeight="1" outlineLevel="1" x14ac:dyDescent="0.25">
      <c r="C274" s="114" t="s">
        <v>311</v>
      </c>
      <c r="D274" s="115" t="s">
        <v>165</v>
      </c>
      <c r="E274" s="116">
        <v>2012</v>
      </c>
      <c r="F274" s="116" t="s">
        <v>39</v>
      </c>
      <c r="G274" s="206">
        <v>0</v>
      </c>
      <c r="H274" s="206" t="s">
        <v>87</v>
      </c>
      <c r="I274" s="206">
        <v>0</v>
      </c>
      <c r="J274" s="206">
        <v>0</v>
      </c>
      <c r="K274" s="313">
        <v>0</v>
      </c>
      <c r="L274" s="206">
        <v>0</v>
      </c>
      <c r="M274" s="206">
        <v>0</v>
      </c>
      <c r="N274" s="314">
        <v>0</v>
      </c>
      <c r="O274" s="314">
        <v>0</v>
      </c>
      <c r="P274" s="314">
        <v>0</v>
      </c>
      <c r="Q274" s="206">
        <v>0</v>
      </c>
      <c r="R274" s="116">
        <v>2021</v>
      </c>
      <c r="S274" s="124" t="s">
        <v>277</v>
      </c>
      <c r="U274" s="392"/>
      <c r="V274" s="393"/>
      <c r="W274" s="394"/>
      <c r="X274" s="394"/>
      <c r="Y274" s="394"/>
      <c r="Z274" s="394"/>
      <c r="AA274" s="394"/>
      <c r="AB274" s="394"/>
      <c r="AC274" s="395"/>
      <c r="AD274" s="396"/>
    </row>
    <row r="275" spans="3:30" ht="30" customHeight="1" outlineLevel="1" x14ac:dyDescent="0.25">
      <c r="C275" s="114" t="s">
        <v>311</v>
      </c>
      <c r="D275" s="115" t="s">
        <v>46</v>
      </c>
      <c r="E275" s="116">
        <v>2012</v>
      </c>
      <c r="F275" s="116" t="s">
        <v>39</v>
      </c>
      <c r="G275" s="206">
        <v>194.07</v>
      </c>
      <c r="H275" s="206" t="s">
        <v>40</v>
      </c>
      <c r="I275" s="118">
        <v>3.4</v>
      </c>
      <c r="J275" s="119">
        <f>I275*$S$2</f>
        <v>2090.4900000000002</v>
      </c>
      <c r="K275" s="120">
        <f>R275-E275</f>
        <v>9</v>
      </c>
      <c r="L275" s="116">
        <v>10</v>
      </c>
      <c r="M275" s="116">
        <v>5</v>
      </c>
      <c r="N275" s="122">
        <f>+I275*G275</f>
        <v>659.83799999999997</v>
      </c>
      <c r="O275" s="122">
        <f>+N275/L275</f>
        <v>65.983800000000002</v>
      </c>
      <c r="P275" s="122">
        <f>(N275/L275)*M275</f>
        <v>329.91899999999998</v>
      </c>
      <c r="Q275" s="116" t="s">
        <v>41</v>
      </c>
      <c r="R275" s="116">
        <v>2021</v>
      </c>
      <c r="S275" s="124" t="s">
        <v>277</v>
      </c>
      <c r="U275" s="392"/>
      <c r="V275" s="393"/>
      <c r="W275" s="394"/>
      <c r="X275" s="394"/>
      <c r="Y275" s="394"/>
      <c r="Z275" s="394"/>
      <c r="AA275" s="394"/>
      <c r="AB275" s="394"/>
      <c r="AC275" s="395"/>
      <c r="AD275" s="396"/>
    </row>
    <row r="276" spans="3:30" ht="30" customHeight="1" outlineLevel="1" thickBot="1" x14ac:dyDescent="0.3">
      <c r="C276" s="159" t="s">
        <v>311</v>
      </c>
      <c r="D276" s="160" t="s">
        <v>48</v>
      </c>
      <c r="E276" s="161">
        <v>2012</v>
      </c>
      <c r="F276" s="161" t="s">
        <v>39</v>
      </c>
      <c r="G276" s="162">
        <f>G272</f>
        <v>479.43</v>
      </c>
      <c r="H276" s="218" t="s">
        <v>40</v>
      </c>
      <c r="I276" s="261">
        <f>+J276/$S$2</f>
        <v>156.95936071942882</v>
      </c>
      <c r="J276" s="97">
        <f t="shared" ref="J276" si="52">+((95000^(0.364-(0.00000133*G276)))/(G276^(0.364-(0.00000133*95000))))*6500</f>
        <v>96506.462938340803</v>
      </c>
      <c r="K276" s="163" t="s">
        <v>41</v>
      </c>
      <c r="L276" s="163" t="s">
        <v>41</v>
      </c>
      <c r="M276" s="163" t="s">
        <v>41</v>
      </c>
      <c r="N276" s="163" t="s">
        <v>41</v>
      </c>
      <c r="O276" s="163" t="s">
        <v>41</v>
      </c>
      <c r="P276" s="163" t="s">
        <v>41</v>
      </c>
      <c r="Q276" s="171">
        <f>I276*G276</f>
        <v>75251.026309715759</v>
      </c>
      <c r="R276" s="161">
        <v>2021</v>
      </c>
      <c r="S276" s="165" t="s">
        <v>277</v>
      </c>
      <c r="T276" s="1" t="s">
        <v>6</v>
      </c>
      <c r="U276" s="392"/>
      <c r="V276" s="393"/>
      <c r="W276" s="394"/>
      <c r="X276" s="394"/>
      <c r="Y276" s="394"/>
      <c r="Z276" s="394"/>
      <c r="AA276" s="394"/>
      <c r="AB276" s="394"/>
      <c r="AC276" s="395"/>
      <c r="AD276" s="396"/>
    </row>
    <row r="277" spans="3:30" ht="30" customHeight="1" outlineLevel="1" x14ac:dyDescent="0.25">
      <c r="C277" s="103" t="s">
        <v>317</v>
      </c>
      <c r="D277" s="104" t="s">
        <v>318</v>
      </c>
      <c r="E277" s="105">
        <v>2010</v>
      </c>
      <c r="F277" s="105" t="s">
        <v>39</v>
      </c>
      <c r="G277" s="203">
        <v>457.55</v>
      </c>
      <c r="H277" s="203" t="s">
        <v>40</v>
      </c>
      <c r="I277" s="107">
        <v>75</v>
      </c>
      <c r="J277" s="108">
        <f t="shared" si="42"/>
        <v>46113.75</v>
      </c>
      <c r="K277" s="109">
        <f>R277-E277</f>
        <v>11</v>
      </c>
      <c r="L277" s="105">
        <v>40</v>
      </c>
      <c r="M277" s="105">
        <v>30</v>
      </c>
      <c r="N277" s="111">
        <f>+I277*G277</f>
        <v>34316.25</v>
      </c>
      <c r="O277" s="111">
        <f>+N277/L277</f>
        <v>857.90625</v>
      </c>
      <c r="P277" s="111">
        <f>(N277/L277)*M277</f>
        <v>25737.1875</v>
      </c>
      <c r="Q277" s="105" t="s">
        <v>41</v>
      </c>
      <c r="R277" s="105">
        <v>2021</v>
      </c>
      <c r="S277" s="113" t="s">
        <v>277</v>
      </c>
      <c r="U277" s="392"/>
      <c r="V277" s="393"/>
      <c r="W277" s="394"/>
      <c r="X277" s="394"/>
      <c r="Y277" s="394"/>
      <c r="Z277" s="394"/>
      <c r="AA277" s="394"/>
      <c r="AB277" s="394"/>
      <c r="AC277" s="395"/>
      <c r="AD277" s="396"/>
    </row>
    <row r="278" spans="3:30" ht="30" customHeight="1" outlineLevel="1" x14ac:dyDescent="0.25">
      <c r="C278" s="114" t="s">
        <v>317</v>
      </c>
      <c r="D278" s="115" t="s">
        <v>165</v>
      </c>
      <c r="E278" s="116">
        <v>2010</v>
      </c>
      <c r="F278" s="116" t="s">
        <v>39</v>
      </c>
      <c r="G278" s="206">
        <v>0</v>
      </c>
      <c r="H278" s="206" t="s">
        <v>87</v>
      </c>
      <c r="I278" s="206">
        <v>0</v>
      </c>
      <c r="J278" s="206">
        <v>0</v>
      </c>
      <c r="K278" s="313">
        <v>0</v>
      </c>
      <c r="L278" s="206">
        <v>0</v>
      </c>
      <c r="M278" s="206">
        <v>0</v>
      </c>
      <c r="N278" s="314">
        <v>0</v>
      </c>
      <c r="O278" s="314">
        <v>0</v>
      </c>
      <c r="P278" s="314">
        <v>0</v>
      </c>
      <c r="Q278" s="206">
        <v>0</v>
      </c>
      <c r="R278" s="116" t="s">
        <v>87</v>
      </c>
      <c r="S278" s="124" t="s">
        <v>87</v>
      </c>
      <c r="U278" s="392"/>
      <c r="V278" s="393"/>
      <c r="W278" s="394"/>
      <c r="X278" s="394"/>
      <c r="Y278" s="394"/>
      <c r="Z278" s="394"/>
      <c r="AA278" s="394"/>
      <c r="AB278" s="394"/>
      <c r="AC278" s="395"/>
      <c r="AD278" s="396"/>
    </row>
    <row r="279" spans="3:30" ht="30" customHeight="1" outlineLevel="1" x14ac:dyDescent="0.25">
      <c r="C279" s="114" t="s">
        <v>317</v>
      </c>
      <c r="D279" s="115" t="s">
        <v>46</v>
      </c>
      <c r="E279" s="116">
        <v>2010</v>
      </c>
      <c r="F279" s="116" t="s">
        <v>39</v>
      </c>
      <c r="G279" s="206">
        <v>203.9</v>
      </c>
      <c r="H279" s="206" t="s">
        <v>40</v>
      </c>
      <c r="I279" s="118">
        <v>3.4</v>
      </c>
      <c r="J279" s="119">
        <f t="shared" si="42"/>
        <v>2090.4900000000002</v>
      </c>
      <c r="K279" s="120">
        <f>R279-E279</f>
        <v>11</v>
      </c>
      <c r="L279" s="116">
        <v>10</v>
      </c>
      <c r="M279" s="116">
        <v>7</v>
      </c>
      <c r="N279" s="122">
        <f>+I279*G279</f>
        <v>693.26</v>
      </c>
      <c r="O279" s="122">
        <f>+N279/L279</f>
        <v>69.325999999999993</v>
      </c>
      <c r="P279" s="122">
        <f>(N279/L279)*M279</f>
        <v>485.28199999999993</v>
      </c>
      <c r="Q279" s="116" t="s">
        <v>41</v>
      </c>
      <c r="R279" s="116">
        <v>2021</v>
      </c>
      <c r="S279" s="124" t="s">
        <v>277</v>
      </c>
      <c r="U279" s="392"/>
      <c r="V279" s="393"/>
      <c r="W279" s="394"/>
      <c r="X279" s="394"/>
      <c r="Y279" s="394"/>
      <c r="Z279" s="394"/>
      <c r="AA279" s="394"/>
      <c r="AB279" s="394"/>
      <c r="AC279" s="395"/>
      <c r="AD279" s="396"/>
    </row>
    <row r="280" spans="3:30" ht="30" customHeight="1" outlineLevel="1" thickBot="1" x14ac:dyDescent="0.3">
      <c r="C280" s="159" t="s">
        <v>317</v>
      </c>
      <c r="D280" s="160" t="s">
        <v>48</v>
      </c>
      <c r="E280" s="161">
        <v>2010</v>
      </c>
      <c r="F280" s="161" t="s">
        <v>39</v>
      </c>
      <c r="G280" s="162">
        <f>G277</f>
        <v>457.55</v>
      </c>
      <c r="H280" s="218" t="s">
        <v>40</v>
      </c>
      <c r="I280" s="261">
        <f>+J280/$S$2</f>
        <v>158.76442560747924</v>
      </c>
      <c r="J280" s="97">
        <f t="shared" ref="J280" si="53">+((95000^(0.364-(0.00000133*G280)))/(G280^(0.364-(0.00000133*95000))))*6500</f>
        <v>97616.307084758606</v>
      </c>
      <c r="K280" s="163" t="s">
        <v>41</v>
      </c>
      <c r="L280" s="163" t="s">
        <v>41</v>
      </c>
      <c r="M280" s="163" t="s">
        <v>41</v>
      </c>
      <c r="N280" s="163" t="s">
        <v>41</v>
      </c>
      <c r="O280" s="163" t="s">
        <v>41</v>
      </c>
      <c r="P280" s="163" t="s">
        <v>41</v>
      </c>
      <c r="Q280" s="171">
        <f>I280*G280</f>
        <v>72642.662936702123</v>
      </c>
      <c r="R280" s="161">
        <v>2021</v>
      </c>
      <c r="S280" s="165" t="s">
        <v>277</v>
      </c>
      <c r="T280" s="1" t="s">
        <v>6</v>
      </c>
      <c r="U280" s="397"/>
      <c r="V280" s="398"/>
      <c r="W280" s="399"/>
      <c r="X280" s="399"/>
      <c r="Y280" s="399"/>
      <c r="Z280" s="399"/>
      <c r="AA280" s="399"/>
      <c r="AB280" s="399"/>
      <c r="AC280" s="400"/>
      <c r="AD280" s="401"/>
    </row>
    <row r="281" spans="3:30" ht="30" customHeight="1" outlineLevel="1" x14ac:dyDescent="0.25">
      <c r="C281" s="103" t="s">
        <v>319</v>
      </c>
      <c r="D281" s="104" t="s">
        <v>320</v>
      </c>
      <c r="E281" s="105">
        <v>1985</v>
      </c>
      <c r="F281" s="105" t="s">
        <v>39</v>
      </c>
      <c r="G281" s="203">
        <v>16.59</v>
      </c>
      <c r="H281" s="203" t="s">
        <v>40</v>
      </c>
      <c r="I281" s="107">
        <v>400</v>
      </c>
      <c r="J281" s="108">
        <f t="shared" si="42"/>
        <v>245940</v>
      </c>
      <c r="K281" s="109">
        <f>R281-E281</f>
        <v>36</v>
      </c>
      <c r="L281" s="105">
        <v>50</v>
      </c>
      <c r="M281" s="105">
        <v>30</v>
      </c>
      <c r="N281" s="111">
        <f>+I281*G281</f>
        <v>6636</v>
      </c>
      <c r="O281" s="111">
        <f>+N281/L281</f>
        <v>132.72</v>
      </c>
      <c r="P281" s="111">
        <f>(N281/L281)*M281</f>
        <v>3981.6</v>
      </c>
      <c r="Q281" s="105" t="s">
        <v>41</v>
      </c>
      <c r="R281" s="105">
        <v>2021</v>
      </c>
      <c r="S281" s="113" t="s">
        <v>162</v>
      </c>
      <c r="U281" s="301" t="s">
        <v>319</v>
      </c>
      <c r="V281" s="232" t="s">
        <v>140</v>
      </c>
      <c r="W281" s="232"/>
      <c r="X281" s="232"/>
      <c r="Y281" s="232"/>
      <c r="Z281" s="232"/>
      <c r="AA281" s="232"/>
      <c r="AB281" s="232"/>
      <c r="AC281" s="232"/>
      <c r="AD281" s="402"/>
    </row>
    <row r="282" spans="3:30" ht="30" customHeight="1" outlineLevel="1" x14ac:dyDescent="0.25">
      <c r="C282" s="114" t="s">
        <v>319</v>
      </c>
      <c r="D282" s="115" t="s">
        <v>165</v>
      </c>
      <c r="E282" s="116">
        <v>1985</v>
      </c>
      <c r="F282" s="116" t="s">
        <v>39</v>
      </c>
      <c r="G282" s="206">
        <v>0</v>
      </c>
      <c r="H282" s="206" t="s">
        <v>87</v>
      </c>
      <c r="I282" s="206">
        <v>0</v>
      </c>
      <c r="J282" s="206">
        <v>0</v>
      </c>
      <c r="K282" s="313">
        <v>0</v>
      </c>
      <c r="L282" s="206">
        <v>0</v>
      </c>
      <c r="M282" s="206">
        <v>0</v>
      </c>
      <c r="N282" s="314">
        <v>0</v>
      </c>
      <c r="O282" s="314">
        <v>0</v>
      </c>
      <c r="P282" s="314">
        <v>0</v>
      </c>
      <c r="Q282" s="206">
        <v>0</v>
      </c>
      <c r="R282" s="116" t="s">
        <v>87</v>
      </c>
      <c r="S282" s="124" t="s">
        <v>87</v>
      </c>
      <c r="U282" s="301"/>
      <c r="V282" s="232"/>
      <c r="W282" s="232"/>
      <c r="X282" s="232"/>
      <c r="Y282" s="232"/>
      <c r="Z282" s="232"/>
      <c r="AA282" s="232"/>
      <c r="AB282" s="232"/>
      <c r="AC282" s="232"/>
      <c r="AD282" s="402"/>
    </row>
    <row r="283" spans="3:30" ht="30" customHeight="1" outlineLevel="1" x14ac:dyDescent="0.25">
      <c r="C283" s="114" t="s">
        <v>319</v>
      </c>
      <c r="D283" s="115" t="s">
        <v>46</v>
      </c>
      <c r="E283" s="116">
        <v>1985</v>
      </c>
      <c r="F283" s="116" t="s">
        <v>39</v>
      </c>
      <c r="G283" s="206">
        <v>20.53</v>
      </c>
      <c r="H283" s="206" t="s">
        <v>40</v>
      </c>
      <c r="I283" s="118">
        <v>3.4</v>
      </c>
      <c r="J283" s="119">
        <f>I283*$S$2</f>
        <v>2090.4900000000002</v>
      </c>
      <c r="K283" s="120">
        <f>R283-E283</f>
        <v>36</v>
      </c>
      <c r="L283" s="116">
        <v>10</v>
      </c>
      <c r="M283" s="116">
        <v>5</v>
      </c>
      <c r="N283" s="122">
        <f>+I283*G283</f>
        <v>69.802000000000007</v>
      </c>
      <c r="O283" s="122">
        <f>+N283/L283</f>
        <v>6.9802000000000008</v>
      </c>
      <c r="P283" s="122">
        <f>(N283/L283)*M283</f>
        <v>34.901000000000003</v>
      </c>
      <c r="Q283" s="116" t="s">
        <v>41</v>
      </c>
      <c r="R283" s="116">
        <v>2021</v>
      </c>
      <c r="S283" s="124" t="s">
        <v>277</v>
      </c>
      <c r="U283" s="301"/>
      <c r="V283" s="232"/>
      <c r="W283" s="232"/>
      <c r="X283" s="232"/>
      <c r="Y283" s="232"/>
      <c r="Z283" s="232"/>
      <c r="AA283" s="232"/>
      <c r="AB283" s="232"/>
      <c r="AC283" s="232"/>
      <c r="AD283" s="402"/>
    </row>
    <row r="284" spans="3:30" ht="30" customHeight="1" outlineLevel="1" thickBot="1" x14ac:dyDescent="0.3">
      <c r="C284" s="159" t="s">
        <v>319</v>
      </c>
      <c r="D284" s="160" t="s">
        <v>48</v>
      </c>
      <c r="E284" s="161">
        <v>1985</v>
      </c>
      <c r="F284" s="161" t="s">
        <v>39</v>
      </c>
      <c r="G284" s="162">
        <f>G281</f>
        <v>16.59</v>
      </c>
      <c r="H284" s="218" t="s">
        <v>40</v>
      </c>
      <c r="I284" s="261">
        <f>+J284/$S$2</f>
        <v>351.58411588205382</v>
      </c>
      <c r="J284" s="97">
        <f t="shared" ref="J284" si="54">+((95000^(0.364-(0.00000133*G284)))/(G284^(0.364-(0.00000133*95000))))*6500</f>
        <v>216171.49365008081</v>
      </c>
      <c r="K284" s="163" t="s">
        <v>41</v>
      </c>
      <c r="L284" s="163" t="s">
        <v>41</v>
      </c>
      <c r="M284" s="163" t="s">
        <v>41</v>
      </c>
      <c r="N284" s="163" t="s">
        <v>41</v>
      </c>
      <c r="O284" s="163" t="s">
        <v>41</v>
      </c>
      <c r="P284" s="163" t="s">
        <v>41</v>
      </c>
      <c r="Q284" s="171">
        <f>I284*G284</f>
        <v>5832.7804824832729</v>
      </c>
      <c r="R284" s="161">
        <v>2021</v>
      </c>
      <c r="S284" s="165" t="s">
        <v>277</v>
      </c>
      <c r="U284" s="305"/>
      <c r="V284" s="238"/>
      <c r="W284" s="238"/>
      <c r="X284" s="238"/>
      <c r="Y284" s="238"/>
      <c r="Z284" s="238"/>
      <c r="AA284" s="238"/>
      <c r="AB284" s="238"/>
      <c r="AC284" s="238"/>
      <c r="AD284" s="403"/>
    </row>
    <row r="285" spans="3:30" ht="30" customHeight="1" outlineLevel="1" x14ac:dyDescent="0.25">
      <c r="C285" s="103" t="s">
        <v>321</v>
      </c>
      <c r="D285" s="104" t="s">
        <v>322</v>
      </c>
      <c r="E285" s="105">
        <v>2005</v>
      </c>
      <c r="F285" s="105" t="s">
        <v>39</v>
      </c>
      <c r="G285" s="203">
        <v>50.1</v>
      </c>
      <c r="H285" s="203" t="s">
        <v>40</v>
      </c>
      <c r="I285" s="107">
        <v>145</v>
      </c>
      <c r="J285" s="108">
        <f t="shared" si="42"/>
        <v>89153.25</v>
      </c>
      <c r="K285" s="109">
        <f>R285-E285</f>
        <v>16</v>
      </c>
      <c r="L285" s="105">
        <v>50</v>
      </c>
      <c r="M285" s="105">
        <v>35</v>
      </c>
      <c r="N285" s="111">
        <f>+I285*G285</f>
        <v>7264.5</v>
      </c>
      <c r="O285" s="111">
        <f>+N285/L285</f>
        <v>145.29</v>
      </c>
      <c r="P285" s="111">
        <f>(N285/L285)*M285</f>
        <v>5085.1499999999996</v>
      </c>
      <c r="Q285" s="105" t="s">
        <v>41</v>
      </c>
      <c r="R285" s="105">
        <v>2021</v>
      </c>
      <c r="S285" s="113" t="s">
        <v>277</v>
      </c>
      <c r="U285" s="299" t="s">
        <v>321</v>
      </c>
      <c r="V285" s="228" t="s">
        <v>140</v>
      </c>
      <c r="W285" s="228"/>
      <c r="X285" s="228"/>
      <c r="Y285" s="228"/>
      <c r="Z285" s="228"/>
      <c r="AA285" s="228"/>
      <c r="AB285" s="228"/>
      <c r="AC285" s="228"/>
      <c r="AD285" s="404"/>
    </row>
    <row r="286" spans="3:30" ht="30" customHeight="1" outlineLevel="1" x14ac:dyDescent="0.25">
      <c r="C286" s="114" t="s">
        <v>321</v>
      </c>
      <c r="D286" s="115" t="s">
        <v>44</v>
      </c>
      <c r="E286" s="116">
        <v>2005</v>
      </c>
      <c r="F286" s="116" t="s">
        <v>39</v>
      </c>
      <c r="G286" s="206">
        <v>36.51</v>
      </c>
      <c r="H286" s="206" t="s">
        <v>40</v>
      </c>
      <c r="I286" s="118">
        <v>30.54</v>
      </c>
      <c r="J286" s="119">
        <f t="shared" si="42"/>
        <v>18777.519</v>
      </c>
      <c r="K286" s="120">
        <f>R286-E286</f>
        <v>16</v>
      </c>
      <c r="L286" s="116">
        <v>15</v>
      </c>
      <c r="M286" s="116">
        <v>10</v>
      </c>
      <c r="N286" s="122">
        <f>+I286*G286</f>
        <v>1115.0154</v>
      </c>
      <c r="O286" s="122">
        <f>+N286/L286</f>
        <v>74.334360000000004</v>
      </c>
      <c r="P286" s="122">
        <f>(N286/L286)*M286</f>
        <v>743.34360000000004</v>
      </c>
      <c r="Q286" s="116" t="s">
        <v>41</v>
      </c>
      <c r="R286" s="116">
        <v>2021</v>
      </c>
      <c r="S286" s="124" t="s">
        <v>277</v>
      </c>
      <c r="U286" s="301"/>
      <c r="V286" s="232"/>
      <c r="W286" s="232"/>
      <c r="X286" s="232"/>
      <c r="Y286" s="232"/>
      <c r="Z286" s="232"/>
      <c r="AA286" s="232"/>
      <c r="AB286" s="232"/>
      <c r="AC286" s="232"/>
      <c r="AD286" s="402"/>
    </row>
    <row r="287" spans="3:30" ht="30" customHeight="1" outlineLevel="1" x14ac:dyDescent="0.25">
      <c r="C287" s="114" t="s">
        <v>321</v>
      </c>
      <c r="D287" s="115" t="s">
        <v>46</v>
      </c>
      <c r="E287" s="116">
        <v>2005</v>
      </c>
      <c r="F287" s="116" t="s">
        <v>39</v>
      </c>
      <c r="G287" s="206">
        <v>81.03</v>
      </c>
      <c r="H287" s="206" t="s">
        <v>40</v>
      </c>
      <c r="I287" s="118">
        <v>3.4</v>
      </c>
      <c r="J287" s="119">
        <f t="shared" si="42"/>
        <v>2090.4900000000002</v>
      </c>
      <c r="K287" s="120">
        <f>R287-E287</f>
        <v>16</v>
      </c>
      <c r="L287" s="116">
        <v>10</v>
      </c>
      <c r="M287" s="116">
        <v>6</v>
      </c>
      <c r="N287" s="122">
        <f>+I287*G287</f>
        <v>275.50200000000001</v>
      </c>
      <c r="O287" s="122">
        <f>+N287/L287</f>
        <v>27.5502</v>
      </c>
      <c r="P287" s="122">
        <f>(N287/L287)*M287</f>
        <v>165.30119999999999</v>
      </c>
      <c r="Q287" s="116" t="s">
        <v>41</v>
      </c>
      <c r="R287" s="116">
        <v>2021</v>
      </c>
      <c r="S287" s="124" t="s">
        <v>277</v>
      </c>
      <c r="U287" s="301"/>
      <c r="V287" s="232"/>
      <c r="W287" s="232"/>
      <c r="X287" s="232"/>
      <c r="Y287" s="232"/>
      <c r="Z287" s="232"/>
      <c r="AA287" s="232"/>
      <c r="AB287" s="232"/>
      <c r="AC287" s="232"/>
      <c r="AD287" s="402"/>
    </row>
    <row r="288" spans="3:30" ht="30" customHeight="1" outlineLevel="1" thickBot="1" x14ac:dyDescent="0.3">
      <c r="C288" s="159" t="s">
        <v>321</v>
      </c>
      <c r="D288" s="160" t="s">
        <v>48</v>
      </c>
      <c r="E288" s="161">
        <v>2005</v>
      </c>
      <c r="F288" s="161" t="s">
        <v>39</v>
      </c>
      <c r="G288" s="162">
        <f>G285</f>
        <v>50.1</v>
      </c>
      <c r="H288" s="218" t="s">
        <v>40</v>
      </c>
      <c r="I288" s="261">
        <f>+J288/$S$2</f>
        <v>270.23242305999304</v>
      </c>
      <c r="J288" s="97">
        <f t="shared" ref="J288" si="55">+((95000^(0.364-(0.00000133*G288)))/(G288^(0.364-(0.00000133*95000))))*6500</f>
        <v>166152.40531843674</v>
      </c>
      <c r="K288" s="163" t="s">
        <v>41</v>
      </c>
      <c r="L288" s="163" t="s">
        <v>41</v>
      </c>
      <c r="M288" s="163" t="s">
        <v>41</v>
      </c>
      <c r="N288" s="163" t="s">
        <v>41</v>
      </c>
      <c r="O288" s="163" t="s">
        <v>41</v>
      </c>
      <c r="P288" s="163" t="s">
        <v>41</v>
      </c>
      <c r="Q288" s="171">
        <f>I288*G288</f>
        <v>13538.644395305651</v>
      </c>
      <c r="R288" s="161">
        <v>2021</v>
      </c>
      <c r="S288" s="165" t="s">
        <v>277</v>
      </c>
      <c r="U288" s="305"/>
      <c r="V288" s="238"/>
      <c r="W288" s="238"/>
      <c r="X288" s="238"/>
      <c r="Y288" s="238"/>
      <c r="Z288" s="238"/>
      <c r="AA288" s="238"/>
      <c r="AB288" s="238"/>
      <c r="AC288" s="238"/>
      <c r="AD288" s="403"/>
    </row>
    <row r="289" spans="3:30" ht="30" customHeight="1" outlineLevel="1" x14ac:dyDescent="0.25">
      <c r="C289" s="103" t="s">
        <v>323</v>
      </c>
      <c r="D289" s="104" t="s">
        <v>324</v>
      </c>
      <c r="E289" s="105">
        <v>2017</v>
      </c>
      <c r="F289" s="105" t="s">
        <v>39</v>
      </c>
      <c r="G289" s="203">
        <v>130.38999999999999</v>
      </c>
      <c r="H289" s="203" t="s">
        <v>40</v>
      </c>
      <c r="I289" s="107">
        <v>750</v>
      </c>
      <c r="J289" s="108">
        <f t="shared" si="42"/>
        <v>461137.5</v>
      </c>
      <c r="K289" s="109">
        <f>R289-E289</f>
        <v>4</v>
      </c>
      <c r="L289" s="105">
        <v>50</v>
      </c>
      <c r="M289" s="105">
        <v>47</v>
      </c>
      <c r="N289" s="111">
        <f>+I289*G289</f>
        <v>97792.499999999985</v>
      </c>
      <c r="O289" s="111">
        <f>+N289/L289</f>
        <v>1955.8499999999997</v>
      </c>
      <c r="P289" s="111">
        <f>(N289/L289)*M289</f>
        <v>91924.949999999983</v>
      </c>
      <c r="Q289" s="105" t="s">
        <v>41</v>
      </c>
      <c r="R289" s="105">
        <v>2021</v>
      </c>
      <c r="S289" s="113" t="s">
        <v>277</v>
      </c>
      <c r="U289" s="299" t="s">
        <v>323</v>
      </c>
      <c r="V289" s="228" t="s">
        <v>140</v>
      </c>
      <c r="W289" s="228"/>
      <c r="X289" s="228"/>
      <c r="Y289" s="228"/>
      <c r="Z289" s="228"/>
      <c r="AA289" s="228"/>
      <c r="AB289" s="228"/>
      <c r="AC289" s="228"/>
      <c r="AD289" s="404"/>
    </row>
    <row r="290" spans="3:30" ht="30" customHeight="1" outlineLevel="1" x14ac:dyDescent="0.25">
      <c r="C290" s="114" t="s">
        <v>323</v>
      </c>
      <c r="D290" s="115" t="s">
        <v>44</v>
      </c>
      <c r="E290" s="116">
        <v>2017</v>
      </c>
      <c r="F290" s="116" t="s">
        <v>39</v>
      </c>
      <c r="G290" s="206">
        <v>54.05</v>
      </c>
      <c r="H290" s="206" t="s">
        <v>40</v>
      </c>
      <c r="I290" s="118">
        <v>30.54</v>
      </c>
      <c r="J290" s="119">
        <f t="shared" si="42"/>
        <v>18777.519</v>
      </c>
      <c r="K290" s="120">
        <f>R290-E290</f>
        <v>4</v>
      </c>
      <c r="L290" s="116">
        <v>15</v>
      </c>
      <c r="M290" s="116">
        <v>12</v>
      </c>
      <c r="N290" s="122">
        <f>+I290*G290</f>
        <v>1650.6869999999999</v>
      </c>
      <c r="O290" s="122">
        <f>+N290/L290</f>
        <v>110.0458</v>
      </c>
      <c r="P290" s="122">
        <f>(N290/L290)*M290</f>
        <v>1320.5496000000001</v>
      </c>
      <c r="Q290" s="116" t="s">
        <v>41</v>
      </c>
      <c r="R290" s="116">
        <v>2021</v>
      </c>
      <c r="S290" s="124" t="s">
        <v>277</v>
      </c>
      <c r="U290" s="301"/>
      <c r="V290" s="232"/>
      <c r="W290" s="232"/>
      <c r="X290" s="232"/>
      <c r="Y290" s="232"/>
      <c r="Z290" s="232"/>
      <c r="AA290" s="232"/>
      <c r="AB290" s="232"/>
      <c r="AC290" s="232"/>
      <c r="AD290" s="402"/>
    </row>
    <row r="291" spans="3:30" ht="30" customHeight="1" outlineLevel="1" x14ac:dyDescent="0.25">
      <c r="C291" s="114" t="s">
        <v>323</v>
      </c>
      <c r="D291" s="115" t="s">
        <v>46</v>
      </c>
      <c r="E291" s="116">
        <v>2017</v>
      </c>
      <c r="F291" s="116" t="s">
        <v>39</v>
      </c>
      <c r="G291" s="206">
        <v>116.11</v>
      </c>
      <c r="H291" s="206" t="s">
        <v>40</v>
      </c>
      <c r="I291" s="118">
        <v>3.4</v>
      </c>
      <c r="J291" s="119">
        <f t="shared" si="42"/>
        <v>2090.4900000000002</v>
      </c>
      <c r="K291" s="120">
        <f>R291-E291</f>
        <v>4</v>
      </c>
      <c r="L291" s="116">
        <v>10</v>
      </c>
      <c r="M291" s="116">
        <v>7</v>
      </c>
      <c r="N291" s="122">
        <f>+I291*G291</f>
        <v>394.774</v>
      </c>
      <c r="O291" s="122">
        <f>+N291/L291</f>
        <v>39.477400000000003</v>
      </c>
      <c r="P291" s="122">
        <f>(N291/L291)*M291</f>
        <v>276.34180000000003</v>
      </c>
      <c r="Q291" s="116" t="s">
        <v>41</v>
      </c>
      <c r="R291" s="116">
        <v>2021</v>
      </c>
      <c r="S291" s="124" t="s">
        <v>277</v>
      </c>
      <c r="U291" s="301"/>
      <c r="V291" s="232"/>
      <c r="W291" s="232"/>
      <c r="X291" s="232"/>
      <c r="Y291" s="232"/>
      <c r="Z291" s="232"/>
      <c r="AA291" s="232"/>
      <c r="AB291" s="232"/>
      <c r="AC291" s="232"/>
      <c r="AD291" s="402"/>
    </row>
    <row r="292" spans="3:30" ht="30" customHeight="1" outlineLevel="1" thickBot="1" x14ac:dyDescent="0.3">
      <c r="C292" s="159" t="s">
        <v>323</v>
      </c>
      <c r="D292" s="160" t="s">
        <v>48</v>
      </c>
      <c r="E292" s="161">
        <v>2017</v>
      </c>
      <c r="F292" s="161" t="s">
        <v>39</v>
      </c>
      <c r="G292" s="162">
        <f>G289</f>
        <v>130.38999999999999</v>
      </c>
      <c r="H292" s="218" t="s">
        <v>40</v>
      </c>
      <c r="I292" s="261">
        <f>+J292/$S$2</f>
        <v>215.02281185418403</v>
      </c>
      <c r="J292" s="97">
        <f t="shared" ref="J292" si="56">+((95000^(0.364-(0.00000133*G292)))/(G292^(0.364-(0.00000133*95000))))*6500</f>
        <v>132206.77586854505</v>
      </c>
      <c r="K292" s="163" t="s">
        <v>41</v>
      </c>
      <c r="L292" s="163" t="s">
        <v>41</v>
      </c>
      <c r="M292" s="163" t="s">
        <v>41</v>
      </c>
      <c r="N292" s="163" t="s">
        <v>41</v>
      </c>
      <c r="O292" s="163" t="s">
        <v>41</v>
      </c>
      <c r="P292" s="163" t="s">
        <v>41</v>
      </c>
      <c r="Q292" s="171">
        <f>I292*G292</f>
        <v>28036.824437667052</v>
      </c>
      <c r="R292" s="161">
        <v>2021</v>
      </c>
      <c r="S292" s="165" t="s">
        <v>277</v>
      </c>
      <c r="U292" s="305"/>
      <c r="V292" s="238"/>
      <c r="W292" s="238"/>
      <c r="X292" s="238"/>
      <c r="Y292" s="238"/>
      <c r="Z292" s="238"/>
      <c r="AA292" s="238"/>
      <c r="AB292" s="238"/>
      <c r="AC292" s="238"/>
      <c r="AD292" s="403"/>
    </row>
    <row r="293" spans="3:30" ht="30" customHeight="1" outlineLevel="1" x14ac:dyDescent="0.25">
      <c r="C293" s="103" t="s">
        <v>325</v>
      </c>
      <c r="D293" s="104" t="s">
        <v>326</v>
      </c>
      <c r="E293" s="105">
        <v>2017</v>
      </c>
      <c r="F293" s="105" t="s">
        <v>39</v>
      </c>
      <c r="G293" s="203">
        <v>606.65</v>
      </c>
      <c r="H293" s="203" t="s">
        <v>40</v>
      </c>
      <c r="I293" s="107">
        <v>100</v>
      </c>
      <c r="J293" s="108">
        <f t="shared" si="42"/>
        <v>61485</v>
      </c>
      <c r="K293" s="109">
        <f>R293-E293</f>
        <v>4</v>
      </c>
      <c r="L293" s="105">
        <v>50</v>
      </c>
      <c r="M293" s="105">
        <v>47</v>
      </c>
      <c r="N293" s="111">
        <f>+I293*G293</f>
        <v>60665</v>
      </c>
      <c r="O293" s="111">
        <f>+N293/L293</f>
        <v>1213.3</v>
      </c>
      <c r="P293" s="111">
        <f>(N293/L293)*M293</f>
        <v>57025.1</v>
      </c>
      <c r="Q293" s="105" t="s">
        <v>41</v>
      </c>
      <c r="R293" s="105">
        <v>2021</v>
      </c>
      <c r="S293" s="113" t="str">
        <f>+S297</f>
        <v>SERVICIOS GENERALES</v>
      </c>
      <c r="U293" s="405" t="s">
        <v>325</v>
      </c>
      <c r="V293" s="228" t="s">
        <v>140</v>
      </c>
      <c r="W293" s="228"/>
      <c r="X293" s="228"/>
      <c r="Y293" s="228"/>
      <c r="Z293" s="228"/>
      <c r="AA293" s="228"/>
      <c r="AB293" s="228"/>
      <c r="AC293" s="228"/>
      <c r="AD293" s="404"/>
    </row>
    <row r="294" spans="3:30" ht="30" customHeight="1" outlineLevel="1" x14ac:dyDescent="0.25">
      <c r="C294" s="114" t="s">
        <v>325</v>
      </c>
      <c r="D294" s="115" t="s">
        <v>165</v>
      </c>
      <c r="E294" s="116">
        <v>2017</v>
      </c>
      <c r="F294" s="116" t="s">
        <v>39</v>
      </c>
      <c r="G294" s="206">
        <v>0</v>
      </c>
      <c r="H294" s="206" t="s">
        <v>87</v>
      </c>
      <c r="I294" s="206">
        <v>0</v>
      </c>
      <c r="J294" s="206">
        <v>0</v>
      </c>
      <c r="K294" s="313">
        <v>0</v>
      </c>
      <c r="L294" s="206">
        <v>0</v>
      </c>
      <c r="M294" s="206">
        <v>0</v>
      </c>
      <c r="N294" s="314">
        <v>0</v>
      </c>
      <c r="O294" s="314">
        <v>0</v>
      </c>
      <c r="P294" s="314">
        <v>0</v>
      </c>
      <c r="Q294" s="206">
        <v>0</v>
      </c>
      <c r="R294" s="116" t="s">
        <v>87</v>
      </c>
      <c r="S294" s="124" t="s">
        <v>87</v>
      </c>
      <c r="U294" s="406"/>
      <c r="V294" s="232"/>
      <c r="W294" s="232"/>
      <c r="X294" s="232"/>
      <c r="Y294" s="232"/>
      <c r="Z294" s="232"/>
      <c r="AA294" s="232"/>
      <c r="AB294" s="232"/>
      <c r="AC294" s="232"/>
      <c r="AD294" s="402"/>
    </row>
    <row r="295" spans="3:30" ht="30" customHeight="1" outlineLevel="1" x14ac:dyDescent="0.25">
      <c r="C295" s="114" t="s">
        <v>325</v>
      </c>
      <c r="D295" s="115" t="s">
        <v>46</v>
      </c>
      <c r="E295" s="116">
        <v>2017</v>
      </c>
      <c r="F295" s="116" t="s">
        <v>39</v>
      </c>
      <c r="G295" s="206">
        <v>676.32</v>
      </c>
      <c r="H295" s="206" t="s">
        <v>40</v>
      </c>
      <c r="I295" s="118">
        <v>3.4</v>
      </c>
      <c r="J295" s="119">
        <f t="shared" si="42"/>
        <v>2090.4900000000002</v>
      </c>
      <c r="K295" s="120">
        <f>R295-E295</f>
        <v>4</v>
      </c>
      <c r="L295" s="116">
        <v>10</v>
      </c>
      <c r="M295" s="116">
        <v>7</v>
      </c>
      <c r="N295" s="122">
        <f>+I295*G295</f>
        <v>2299.4880000000003</v>
      </c>
      <c r="O295" s="122">
        <f>+N295/L295</f>
        <v>229.94880000000003</v>
      </c>
      <c r="P295" s="122">
        <f>(N295/L295)*M295</f>
        <v>1609.6416000000002</v>
      </c>
      <c r="Q295" s="116" t="s">
        <v>41</v>
      </c>
      <c r="R295" s="116">
        <v>2021</v>
      </c>
      <c r="S295" s="124" t="str">
        <f>+S293</f>
        <v>SERVICIOS GENERALES</v>
      </c>
      <c r="U295" s="406"/>
      <c r="V295" s="232"/>
      <c r="W295" s="232"/>
      <c r="X295" s="232"/>
      <c r="Y295" s="232"/>
      <c r="Z295" s="232"/>
      <c r="AA295" s="232"/>
      <c r="AB295" s="232"/>
      <c r="AC295" s="232"/>
      <c r="AD295" s="402"/>
    </row>
    <row r="296" spans="3:30" ht="30" customHeight="1" outlineLevel="1" thickBot="1" x14ac:dyDescent="0.3">
      <c r="C296" s="159" t="s">
        <v>325</v>
      </c>
      <c r="D296" s="160" t="s">
        <v>48</v>
      </c>
      <c r="E296" s="161">
        <v>2017</v>
      </c>
      <c r="F296" s="161" t="s">
        <v>39</v>
      </c>
      <c r="G296" s="162">
        <f>G293</f>
        <v>606.65</v>
      </c>
      <c r="H296" s="218" t="s">
        <v>40</v>
      </c>
      <c r="I296" s="261">
        <f>+J296/$S$2</f>
        <v>148.13376428139779</v>
      </c>
      <c r="J296" s="97">
        <f t="shared" ref="J296" si="57">+((95000^(0.364-(0.00000133*G296)))/(G296^(0.364-(0.00000133*95000))))*6500</f>
        <v>91080.044968417438</v>
      </c>
      <c r="K296" s="163" t="s">
        <v>41</v>
      </c>
      <c r="L296" s="163" t="s">
        <v>41</v>
      </c>
      <c r="M296" s="163" t="s">
        <v>41</v>
      </c>
      <c r="N296" s="163" t="s">
        <v>41</v>
      </c>
      <c r="O296" s="163" t="s">
        <v>41</v>
      </c>
      <c r="P296" s="163" t="s">
        <v>41</v>
      </c>
      <c r="Q296" s="171">
        <f>I296*G296</f>
        <v>89865.348101309966</v>
      </c>
      <c r="R296" s="161">
        <v>2021</v>
      </c>
      <c r="S296" s="165" t="str">
        <f>+S295</f>
        <v>SERVICIOS GENERALES</v>
      </c>
      <c r="U296" s="407"/>
      <c r="V296" s="238"/>
      <c r="W296" s="238"/>
      <c r="X296" s="238"/>
      <c r="Y296" s="238"/>
      <c r="Z296" s="238"/>
      <c r="AA296" s="238"/>
      <c r="AB296" s="238"/>
      <c r="AC296" s="238"/>
      <c r="AD296" s="403"/>
    </row>
    <row r="297" spans="3:30" ht="30" customHeight="1" outlineLevel="1" x14ac:dyDescent="0.25">
      <c r="C297" s="103" t="s">
        <v>327</v>
      </c>
      <c r="D297" s="104" t="s">
        <v>328</v>
      </c>
      <c r="E297" s="105">
        <v>2018</v>
      </c>
      <c r="F297" s="105" t="s">
        <v>39</v>
      </c>
      <c r="G297" s="203">
        <v>2004.03</v>
      </c>
      <c r="H297" s="203" t="s">
        <v>40</v>
      </c>
      <c r="I297" s="107">
        <v>438.53</v>
      </c>
      <c r="J297" s="108">
        <f t="shared" si="42"/>
        <v>269630.17050000001</v>
      </c>
      <c r="K297" s="109">
        <f>R297-E297</f>
        <v>3</v>
      </c>
      <c r="L297" s="105">
        <v>50</v>
      </c>
      <c r="M297" s="105">
        <v>48</v>
      </c>
      <c r="N297" s="111">
        <f>+I297*G297</f>
        <v>878827.27589999989</v>
      </c>
      <c r="O297" s="111">
        <f>+N297/L297</f>
        <v>17576.545517999999</v>
      </c>
      <c r="P297" s="111">
        <f>(N297/L297)*M297</f>
        <v>843674.18486399995</v>
      </c>
      <c r="Q297" s="105" t="s">
        <v>41</v>
      </c>
      <c r="R297" s="105">
        <v>2021</v>
      </c>
      <c r="S297" s="113" t="s">
        <v>79</v>
      </c>
      <c r="U297" s="176" t="s">
        <v>327</v>
      </c>
      <c r="V297" s="189">
        <v>43411</v>
      </c>
      <c r="W297" s="178">
        <v>393826563.86000001</v>
      </c>
      <c r="X297" s="178">
        <v>0</v>
      </c>
      <c r="Y297" s="178">
        <v>8853638.2699999996</v>
      </c>
      <c r="Z297" s="178">
        <v>9189286.4299999997</v>
      </c>
      <c r="AA297" s="178">
        <v>15082.86</v>
      </c>
      <c r="AB297" s="178">
        <v>393475832.83999997</v>
      </c>
      <c r="AC297" s="177" t="s">
        <v>329</v>
      </c>
      <c r="AD297" s="205">
        <v>900416</v>
      </c>
    </row>
    <row r="298" spans="3:30" ht="30" customHeight="1" outlineLevel="1" x14ac:dyDescent="0.25">
      <c r="C298" s="114" t="s">
        <v>327</v>
      </c>
      <c r="D298" s="115" t="s">
        <v>330</v>
      </c>
      <c r="E298" s="116">
        <v>2018</v>
      </c>
      <c r="F298" s="116" t="s">
        <v>39</v>
      </c>
      <c r="G298" s="206">
        <v>388.72</v>
      </c>
      <c r="H298" s="206" t="s">
        <v>40</v>
      </c>
      <c r="I298" s="118">
        <v>30.54</v>
      </c>
      <c r="J298" s="119">
        <f t="shared" si="42"/>
        <v>18777.519</v>
      </c>
      <c r="K298" s="120">
        <f>R298-E298</f>
        <v>3</v>
      </c>
      <c r="L298" s="116">
        <v>15</v>
      </c>
      <c r="M298" s="116">
        <v>13</v>
      </c>
      <c r="N298" s="122">
        <f>+I298*G298</f>
        <v>11871.5088</v>
      </c>
      <c r="O298" s="122">
        <f>+N298/L298</f>
        <v>791.43391999999994</v>
      </c>
      <c r="P298" s="122">
        <f>(N298/L298)*M298</f>
        <v>10288.640959999999</v>
      </c>
      <c r="Q298" s="116" t="s">
        <v>41</v>
      </c>
      <c r="R298" s="116">
        <v>2021</v>
      </c>
      <c r="S298" s="124" t="str">
        <f>+S297</f>
        <v>SERVICIOS GENERALES</v>
      </c>
      <c r="U298" s="180"/>
      <c r="V298" s="155"/>
      <c r="W298" s="156"/>
      <c r="X298" s="156"/>
      <c r="Y298" s="156"/>
      <c r="Z298" s="156"/>
      <c r="AA298" s="156"/>
      <c r="AB298" s="156"/>
      <c r="AC298" s="157"/>
      <c r="AD298" s="184"/>
    </row>
    <row r="299" spans="3:30" ht="30" customHeight="1" outlineLevel="1" x14ac:dyDescent="0.25">
      <c r="C299" s="114" t="s">
        <v>327</v>
      </c>
      <c r="D299" s="115" t="s">
        <v>46</v>
      </c>
      <c r="E299" s="116">
        <v>2018</v>
      </c>
      <c r="F299" s="116" t="s">
        <v>39</v>
      </c>
      <c r="G299" s="206">
        <v>782.93</v>
      </c>
      <c r="H299" s="206" t="s">
        <v>40</v>
      </c>
      <c r="I299" s="118">
        <v>3.4</v>
      </c>
      <c r="J299" s="119">
        <f t="shared" si="42"/>
        <v>2090.4900000000002</v>
      </c>
      <c r="K299" s="120">
        <f>R299-E299</f>
        <v>3</v>
      </c>
      <c r="L299" s="116">
        <v>10</v>
      </c>
      <c r="M299" s="116">
        <v>8</v>
      </c>
      <c r="N299" s="122">
        <f>+I299*G299</f>
        <v>2661.9619999999995</v>
      </c>
      <c r="O299" s="122">
        <f>+N299/L299</f>
        <v>266.19619999999998</v>
      </c>
      <c r="P299" s="122">
        <f>(N299/L299)*M299</f>
        <v>2129.5695999999998</v>
      </c>
      <c r="Q299" s="116" t="s">
        <v>41</v>
      </c>
      <c r="R299" s="116">
        <v>2021</v>
      </c>
      <c r="S299" s="124" t="str">
        <f>+S298</f>
        <v>SERVICIOS GENERALES</v>
      </c>
      <c r="U299" s="180"/>
      <c r="V299" s="155"/>
      <c r="W299" s="156"/>
      <c r="X299" s="156"/>
      <c r="Y299" s="156"/>
      <c r="Z299" s="156"/>
      <c r="AA299" s="156"/>
      <c r="AB299" s="156"/>
      <c r="AC299" s="157"/>
      <c r="AD299" s="184"/>
    </row>
    <row r="300" spans="3:30" ht="30" customHeight="1" outlineLevel="1" thickBot="1" x14ac:dyDescent="0.3">
      <c r="C300" s="159" t="s">
        <v>327</v>
      </c>
      <c r="D300" s="160" t="s">
        <v>48</v>
      </c>
      <c r="E300" s="161">
        <v>2018</v>
      </c>
      <c r="F300" s="161" t="s">
        <v>39</v>
      </c>
      <c r="G300" s="162">
        <f>G297</f>
        <v>2004.03</v>
      </c>
      <c r="H300" s="218" t="s">
        <v>40</v>
      </c>
      <c r="I300" s="261">
        <f>+J300/$S$2</f>
        <v>109.16178011830679</v>
      </c>
      <c r="J300" s="97">
        <f t="shared" ref="J300" si="58">+((95000^(0.364-(0.00000133*G300)))/(G300^(0.364-(0.00000133*95000))))*6500</f>
        <v>67118.120505740939</v>
      </c>
      <c r="K300" s="163" t="s">
        <v>41</v>
      </c>
      <c r="L300" s="163" t="s">
        <v>41</v>
      </c>
      <c r="M300" s="163" t="s">
        <v>41</v>
      </c>
      <c r="N300" s="163" t="s">
        <v>41</v>
      </c>
      <c r="O300" s="163" t="s">
        <v>41</v>
      </c>
      <c r="P300" s="163" t="s">
        <v>41</v>
      </c>
      <c r="Q300" s="171">
        <f>I300*G300</f>
        <v>218763.48221049036</v>
      </c>
      <c r="R300" s="161">
        <v>2021</v>
      </c>
      <c r="S300" s="165" t="str">
        <f>+S299</f>
        <v>SERVICIOS GENERALES</v>
      </c>
      <c r="U300" s="181"/>
      <c r="V300" s="167"/>
      <c r="W300" s="168"/>
      <c r="X300" s="168"/>
      <c r="Y300" s="168"/>
      <c r="Z300" s="168"/>
      <c r="AA300" s="168"/>
      <c r="AB300" s="168"/>
      <c r="AC300" s="169"/>
      <c r="AD300" s="188"/>
    </row>
    <row r="301" spans="3:30" ht="30" customHeight="1" outlineLevel="1" x14ac:dyDescent="0.25">
      <c r="C301" s="103" t="s">
        <v>331</v>
      </c>
      <c r="D301" s="104" t="s">
        <v>332</v>
      </c>
      <c r="E301" s="105">
        <v>2013</v>
      </c>
      <c r="F301" s="105" t="s">
        <v>39</v>
      </c>
      <c r="G301" s="203">
        <v>1500</v>
      </c>
      <c r="H301" s="203" t="s">
        <v>40</v>
      </c>
      <c r="I301" s="107">
        <v>460</v>
      </c>
      <c r="J301" s="108">
        <f t="shared" si="42"/>
        <v>282831</v>
      </c>
      <c r="K301" s="109">
        <f>R301-E301</f>
        <v>8</v>
      </c>
      <c r="L301" s="105">
        <v>40</v>
      </c>
      <c r="M301" s="105">
        <v>33</v>
      </c>
      <c r="N301" s="111">
        <f>+I301*G301</f>
        <v>690000</v>
      </c>
      <c r="O301" s="111">
        <f>+N301/L301</f>
        <v>17250</v>
      </c>
      <c r="P301" s="111">
        <f>(N301/L301)*M301</f>
        <v>569250</v>
      </c>
      <c r="Q301" s="105" t="s">
        <v>41</v>
      </c>
      <c r="R301" s="105">
        <v>2021</v>
      </c>
      <c r="S301" s="113" t="s">
        <v>79</v>
      </c>
      <c r="U301" s="299" t="s">
        <v>331</v>
      </c>
      <c r="V301" s="408" t="s">
        <v>333</v>
      </c>
      <c r="W301" s="409"/>
      <c r="X301" s="409"/>
      <c r="Y301" s="409"/>
      <c r="Z301" s="409"/>
      <c r="AA301" s="409"/>
      <c r="AB301" s="409"/>
      <c r="AC301" s="409"/>
      <c r="AD301" s="410"/>
    </row>
    <row r="302" spans="3:30" ht="30" customHeight="1" outlineLevel="1" x14ac:dyDescent="0.25">
      <c r="C302" s="114" t="s">
        <v>331</v>
      </c>
      <c r="D302" s="115" t="s">
        <v>44</v>
      </c>
      <c r="E302" s="116">
        <v>2013</v>
      </c>
      <c r="F302" s="116" t="s">
        <v>39</v>
      </c>
      <c r="G302" s="206">
        <v>270</v>
      </c>
      <c r="H302" s="206" t="s">
        <v>40</v>
      </c>
      <c r="I302" s="118">
        <v>30.54</v>
      </c>
      <c r="J302" s="119">
        <f t="shared" si="42"/>
        <v>18777.519</v>
      </c>
      <c r="K302" s="120">
        <f>R302-E302</f>
        <v>8</v>
      </c>
      <c r="L302" s="116">
        <v>15</v>
      </c>
      <c r="M302" s="116">
        <v>11</v>
      </c>
      <c r="N302" s="122">
        <f>+I302*G302</f>
        <v>8245.7999999999993</v>
      </c>
      <c r="O302" s="122">
        <f>+N302/L302</f>
        <v>549.71999999999991</v>
      </c>
      <c r="P302" s="122">
        <f>(N302/L302)*M302</f>
        <v>6046.9199999999992</v>
      </c>
      <c r="Q302" s="116" t="s">
        <v>41</v>
      </c>
      <c r="R302" s="116">
        <v>2021</v>
      </c>
      <c r="S302" s="124" t="str">
        <f>+S301</f>
        <v>SERVICIOS GENERALES</v>
      </c>
      <c r="U302" s="301"/>
      <c r="V302" s="411"/>
      <c r="W302" s="412"/>
      <c r="X302" s="412"/>
      <c r="Y302" s="412"/>
      <c r="Z302" s="412"/>
      <c r="AA302" s="412"/>
      <c r="AB302" s="412"/>
      <c r="AC302" s="412"/>
      <c r="AD302" s="413"/>
    </row>
    <row r="303" spans="3:30" ht="30" customHeight="1" outlineLevel="1" x14ac:dyDescent="0.25">
      <c r="C303" s="114" t="s">
        <v>331</v>
      </c>
      <c r="D303" s="115" t="s">
        <v>46</v>
      </c>
      <c r="E303" s="116">
        <v>2013</v>
      </c>
      <c r="F303" s="116" t="s">
        <v>39</v>
      </c>
      <c r="G303" s="206">
        <v>136.5</v>
      </c>
      <c r="H303" s="206" t="s">
        <v>40</v>
      </c>
      <c r="I303" s="118">
        <v>3.4</v>
      </c>
      <c r="J303" s="119">
        <f t="shared" si="42"/>
        <v>2090.4900000000002</v>
      </c>
      <c r="K303" s="120">
        <f>R303-E303</f>
        <v>8</v>
      </c>
      <c r="L303" s="116">
        <v>10</v>
      </c>
      <c r="M303" s="116">
        <v>7</v>
      </c>
      <c r="N303" s="122">
        <f>+I303*G303</f>
        <v>464.09999999999997</v>
      </c>
      <c r="O303" s="122">
        <f>+N303/L303</f>
        <v>46.41</v>
      </c>
      <c r="P303" s="122">
        <f>(N303/L303)*M303</f>
        <v>324.87</v>
      </c>
      <c r="Q303" s="116" t="s">
        <v>41</v>
      </c>
      <c r="R303" s="116">
        <v>2021</v>
      </c>
      <c r="S303" s="124" t="str">
        <f>+S302</f>
        <v>SERVICIOS GENERALES</v>
      </c>
      <c r="U303" s="301"/>
      <c r="V303" s="411"/>
      <c r="W303" s="412"/>
      <c r="X303" s="412"/>
      <c r="Y303" s="412"/>
      <c r="Z303" s="412"/>
      <c r="AA303" s="412"/>
      <c r="AB303" s="412"/>
      <c r="AC303" s="412"/>
      <c r="AD303" s="413"/>
    </row>
    <row r="304" spans="3:30" ht="30" customHeight="1" outlineLevel="1" thickBot="1" x14ac:dyDescent="0.3">
      <c r="C304" s="159" t="s">
        <v>331</v>
      </c>
      <c r="D304" s="160" t="s">
        <v>48</v>
      </c>
      <c r="E304" s="161">
        <v>2013</v>
      </c>
      <c r="F304" s="161" t="s">
        <v>39</v>
      </c>
      <c r="G304" s="162">
        <f>G301</f>
        <v>1500</v>
      </c>
      <c r="H304" s="218" t="s">
        <v>40</v>
      </c>
      <c r="I304" s="261">
        <f>+J304/$S$2</f>
        <v>117.84385072420888</v>
      </c>
      <c r="J304" s="97">
        <f t="shared" ref="J304" si="59">+((95000^(0.364-(0.00000133*G304)))/(G304^(0.364-(0.00000133*95000))))*6500</f>
        <v>72456.291617779832</v>
      </c>
      <c r="K304" s="163" t="s">
        <v>41</v>
      </c>
      <c r="L304" s="163" t="s">
        <v>41</v>
      </c>
      <c r="M304" s="163" t="s">
        <v>41</v>
      </c>
      <c r="N304" s="163" t="s">
        <v>41</v>
      </c>
      <c r="O304" s="163" t="s">
        <v>41</v>
      </c>
      <c r="P304" s="163" t="s">
        <v>41</v>
      </c>
      <c r="Q304" s="171">
        <f>I304*G304</f>
        <v>176765.77608631333</v>
      </c>
      <c r="R304" s="161">
        <v>2021</v>
      </c>
      <c r="S304" s="165" t="str">
        <f>+S303</f>
        <v>SERVICIOS GENERALES</v>
      </c>
      <c r="U304" s="305"/>
      <c r="V304" s="414"/>
      <c r="W304" s="415"/>
      <c r="X304" s="415"/>
      <c r="Y304" s="415"/>
      <c r="Z304" s="415"/>
      <c r="AA304" s="415"/>
      <c r="AB304" s="415"/>
      <c r="AC304" s="415"/>
      <c r="AD304" s="416"/>
    </row>
    <row r="305" spans="2:30" ht="30" customHeight="1" outlineLevel="1" x14ac:dyDescent="0.25">
      <c r="C305" s="103" t="s">
        <v>334</v>
      </c>
      <c r="D305" s="104" t="s">
        <v>335</v>
      </c>
      <c r="E305" s="105">
        <v>2014</v>
      </c>
      <c r="F305" s="105" t="s">
        <v>39</v>
      </c>
      <c r="G305" s="203">
        <v>4712</v>
      </c>
      <c r="H305" s="203" t="s">
        <v>40</v>
      </c>
      <c r="I305" s="107">
        <v>45.63</v>
      </c>
      <c r="J305" s="108">
        <f t="shared" si="42"/>
        <v>28055.605500000001</v>
      </c>
      <c r="K305" s="109">
        <f>R305-E305</f>
        <v>7</v>
      </c>
      <c r="L305" s="105">
        <v>40</v>
      </c>
      <c r="M305" s="105">
        <v>34</v>
      </c>
      <c r="N305" s="111">
        <f>+I305*G305</f>
        <v>215008.56</v>
      </c>
      <c r="O305" s="111">
        <f>+N305/L305</f>
        <v>5375.2139999999999</v>
      </c>
      <c r="P305" s="111">
        <f>(N305/L305)*M305</f>
        <v>182757.27600000001</v>
      </c>
      <c r="Q305" s="105" t="s">
        <v>41</v>
      </c>
      <c r="R305" s="105">
        <v>2021</v>
      </c>
      <c r="S305" s="113" t="s">
        <v>79</v>
      </c>
      <c r="U305" s="299" t="s">
        <v>334</v>
      </c>
      <c r="V305" s="408" t="s">
        <v>333</v>
      </c>
      <c r="W305" s="409"/>
      <c r="X305" s="409"/>
      <c r="Y305" s="409"/>
      <c r="Z305" s="409"/>
      <c r="AA305" s="409"/>
      <c r="AB305" s="409"/>
      <c r="AC305" s="409"/>
      <c r="AD305" s="410"/>
    </row>
    <row r="306" spans="2:30" ht="30" customHeight="1" outlineLevel="1" x14ac:dyDescent="0.25">
      <c r="C306" s="114" t="s">
        <v>334</v>
      </c>
      <c r="D306" s="115" t="s">
        <v>44</v>
      </c>
      <c r="E306" s="116">
        <v>2014</v>
      </c>
      <c r="F306" s="116" t="s">
        <v>39</v>
      </c>
      <c r="G306" s="206">
        <v>942</v>
      </c>
      <c r="H306" s="206" t="s">
        <v>40</v>
      </c>
      <c r="I306" s="118">
        <v>30.54</v>
      </c>
      <c r="J306" s="119">
        <f>I306*$S$2</f>
        <v>18777.519</v>
      </c>
      <c r="K306" s="120">
        <f>R306-E306</f>
        <v>7</v>
      </c>
      <c r="L306" s="116">
        <v>15</v>
      </c>
      <c r="M306" s="116">
        <v>11</v>
      </c>
      <c r="N306" s="122">
        <f>+I306*G306</f>
        <v>28768.68</v>
      </c>
      <c r="O306" s="122">
        <f>+N306/L306</f>
        <v>1917.912</v>
      </c>
      <c r="P306" s="122">
        <f>(N306/L306)*M306</f>
        <v>21097.031999999999</v>
      </c>
      <c r="Q306" s="116" t="s">
        <v>41</v>
      </c>
      <c r="R306" s="116">
        <v>2021</v>
      </c>
      <c r="S306" s="124" t="str">
        <f>+S305</f>
        <v>SERVICIOS GENERALES</v>
      </c>
      <c r="U306" s="301"/>
      <c r="V306" s="411"/>
      <c r="W306" s="412"/>
      <c r="X306" s="412"/>
      <c r="Y306" s="412"/>
      <c r="Z306" s="412"/>
      <c r="AA306" s="412"/>
      <c r="AB306" s="412"/>
      <c r="AC306" s="412"/>
      <c r="AD306" s="413"/>
    </row>
    <row r="307" spans="2:30" ht="30" customHeight="1" outlineLevel="1" x14ac:dyDescent="0.25">
      <c r="C307" s="114" t="s">
        <v>334</v>
      </c>
      <c r="D307" s="115" t="s">
        <v>46</v>
      </c>
      <c r="E307" s="116">
        <v>2014</v>
      </c>
      <c r="F307" s="116" t="s">
        <v>39</v>
      </c>
      <c r="G307" s="206">
        <v>750</v>
      </c>
      <c r="H307" s="206" t="s">
        <v>40</v>
      </c>
      <c r="I307" s="118">
        <v>3.4</v>
      </c>
      <c r="J307" s="119">
        <f>I307*$S$2</f>
        <v>2090.4900000000002</v>
      </c>
      <c r="K307" s="120">
        <f>R307-E307</f>
        <v>7</v>
      </c>
      <c r="L307" s="116">
        <v>10</v>
      </c>
      <c r="M307" s="116">
        <v>7</v>
      </c>
      <c r="N307" s="122">
        <f>+I307*G307</f>
        <v>2550</v>
      </c>
      <c r="O307" s="122">
        <f>+N307/L307</f>
        <v>255</v>
      </c>
      <c r="P307" s="122">
        <f>(N307/L307)*M307</f>
        <v>1785</v>
      </c>
      <c r="Q307" s="116" t="s">
        <v>41</v>
      </c>
      <c r="R307" s="116">
        <v>2021</v>
      </c>
      <c r="S307" s="124" t="str">
        <f>+S306</f>
        <v>SERVICIOS GENERALES</v>
      </c>
      <c r="U307" s="301"/>
      <c r="V307" s="411"/>
      <c r="W307" s="412"/>
      <c r="X307" s="412"/>
      <c r="Y307" s="412"/>
      <c r="Z307" s="412"/>
      <c r="AA307" s="412"/>
      <c r="AB307" s="412"/>
      <c r="AC307" s="412"/>
      <c r="AD307" s="413"/>
    </row>
    <row r="308" spans="2:30" ht="30" customHeight="1" outlineLevel="1" thickBot="1" x14ac:dyDescent="0.3">
      <c r="C308" s="159" t="s">
        <v>334</v>
      </c>
      <c r="D308" s="160" t="s">
        <v>48</v>
      </c>
      <c r="E308" s="161">
        <v>2014</v>
      </c>
      <c r="F308" s="161" t="s">
        <v>39</v>
      </c>
      <c r="G308" s="162">
        <f>G305</f>
        <v>4712</v>
      </c>
      <c r="H308" s="218" t="s">
        <v>40</v>
      </c>
      <c r="I308" s="261">
        <f>+J308/$S$2</f>
        <v>85.487603325417126</v>
      </c>
      <c r="J308" s="97">
        <f t="shared" ref="J308" si="60">+((95000^(0.364-(0.00000133*G308)))/(G308^(0.364-(0.00000133*95000))))*6500</f>
        <v>52562.052904632721</v>
      </c>
      <c r="K308" s="163" t="s">
        <v>41</v>
      </c>
      <c r="L308" s="163" t="s">
        <v>41</v>
      </c>
      <c r="M308" s="163" t="s">
        <v>41</v>
      </c>
      <c r="N308" s="163" t="s">
        <v>41</v>
      </c>
      <c r="O308" s="163" t="s">
        <v>41</v>
      </c>
      <c r="P308" s="163" t="s">
        <v>41</v>
      </c>
      <c r="Q308" s="171">
        <f>I308*G308</f>
        <v>402817.58686936548</v>
      </c>
      <c r="R308" s="161">
        <v>2021</v>
      </c>
      <c r="S308" s="165" t="str">
        <f>+S307</f>
        <v>SERVICIOS GENERALES</v>
      </c>
      <c r="U308" s="305"/>
      <c r="V308" s="414"/>
      <c r="W308" s="415"/>
      <c r="X308" s="415"/>
      <c r="Y308" s="415"/>
      <c r="Z308" s="415"/>
      <c r="AA308" s="415"/>
      <c r="AB308" s="415"/>
      <c r="AC308" s="415"/>
      <c r="AD308" s="416"/>
    </row>
    <row r="309" spans="2:30" ht="30" customHeight="1" outlineLevel="1" x14ac:dyDescent="0.25">
      <c r="C309" s="103" t="s">
        <v>336</v>
      </c>
      <c r="D309" s="104" t="s">
        <v>337</v>
      </c>
      <c r="E309" s="105"/>
      <c r="F309" s="105" t="s">
        <v>39</v>
      </c>
      <c r="G309" s="203">
        <v>28.63</v>
      </c>
      <c r="H309" s="203" t="s">
        <v>40</v>
      </c>
      <c r="I309" s="107">
        <v>750</v>
      </c>
      <c r="J309" s="108">
        <f t="shared" ref="J309:J311" si="61">I309*$S$2</f>
        <v>461137.5</v>
      </c>
      <c r="K309" s="109">
        <f>R309-E309</f>
        <v>2021</v>
      </c>
      <c r="L309" s="105">
        <v>50</v>
      </c>
      <c r="M309" s="105">
        <v>47</v>
      </c>
      <c r="N309" s="111">
        <f>+I309*G309</f>
        <v>21472.5</v>
      </c>
      <c r="O309" s="111">
        <f>+N309/L309</f>
        <v>429.45</v>
      </c>
      <c r="P309" s="111">
        <f>(N309/L309)*M309</f>
        <v>20184.149999999998</v>
      </c>
      <c r="Q309" s="105" t="s">
        <v>41</v>
      </c>
      <c r="R309" s="105">
        <v>2021</v>
      </c>
      <c r="S309" s="113" t="s">
        <v>277</v>
      </c>
      <c r="U309" s="299" t="s">
        <v>323</v>
      </c>
      <c r="V309" s="228" t="s">
        <v>140</v>
      </c>
      <c r="W309" s="228"/>
      <c r="X309" s="228"/>
      <c r="Y309" s="228"/>
      <c r="Z309" s="228"/>
      <c r="AA309" s="228"/>
      <c r="AB309" s="228"/>
      <c r="AC309" s="228"/>
      <c r="AD309" s="404"/>
    </row>
    <row r="310" spans="2:30" ht="30" customHeight="1" outlineLevel="1" x14ac:dyDescent="0.25">
      <c r="C310" s="114" t="s">
        <v>336</v>
      </c>
      <c r="D310" s="115" t="s">
        <v>44</v>
      </c>
      <c r="E310" s="116"/>
      <c r="F310" s="116" t="s">
        <v>39</v>
      </c>
      <c r="G310" s="206">
        <v>23.63</v>
      </c>
      <c r="H310" s="206" t="s">
        <v>40</v>
      </c>
      <c r="I310" s="118">
        <v>30.54</v>
      </c>
      <c r="J310" s="119">
        <f t="shared" si="61"/>
        <v>18777.519</v>
      </c>
      <c r="K310" s="120">
        <f>R310-E310</f>
        <v>2021</v>
      </c>
      <c r="L310" s="116">
        <v>15</v>
      </c>
      <c r="M310" s="116">
        <v>12</v>
      </c>
      <c r="N310" s="122">
        <f>+I310*G310</f>
        <v>721.66019999999992</v>
      </c>
      <c r="O310" s="122">
        <f>+N310/L310</f>
        <v>48.110679999999995</v>
      </c>
      <c r="P310" s="122">
        <f>(N310/L310)*M310</f>
        <v>577.32815999999991</v>
      </c>
      <c r="Q310" s="116" t="s">
        <v>41</v>
      </c>
      <c r="R310" s="116">
        <v>2021</v>
      </c>
      <c r="S310" s="124" t="s">
        <v>277</v>
      </c>
      <c r="U310" s="301"/>
      <c r="V310" s="232"/>
      <c r="W310" s="232"/>
      <c r="X310" s="232"/>
      <c r="Y310" s="232"/>
      <c r="Z310" s="232"/>
      <c r="AA310" s="232"/>
      <c r="AB310" s="232"/>
      <c r="AC310" s="232"/>
      <c r="AD310" s="402"/>
    </row>
    <row r="311" spans="2:30" ht="30" customHeight="1" outlineLevel="1" x14ac:dyDescent="0.25">
      <c r="C311" s="114" t="s">
        <v>336</v>
      </c>
      <c r="D311" s="115" t="s">
        <v>46</v>
      </c>
      <c r="E311" s="116"/>
      <c r="F311" s="116" t="s">
        <v>39</v>
      </c>
      <c r="G311" s="206">
        <v>59.27</v>
      </c>
      <c r="H311" s="206" t="s">
        <v>40</v>
      </c>
      <c r="I311" s="118">
        <v>3.4</v>
      </c>
      <c r="J311" s="119">
        <f t="shared" si="61"/>
        <v>2090.4900000000002</v>
      </c>
      <c r="K311" s="120">
        <f>R311-E311</f>
        <v>2021</v>
      </c>
      <c r="L311" s="116">
        <v>10</v>
      </c>
      <c r="M311" s="116">
        <v>7</v>
      </c>
      <c r="N311" s="122">
        <f>+I311*G311</f>
        <v>201.518</v>
      </c>
      <c r="O311" s="122">
        <f>+N311/L311</f>
        <v>20.151800000000001</v>
      </c>
      <c r="P311" s="122">
        <f>(N311/L311)*M311</f>
        <v>141.0626</v>
      </c>
      <c r="Q311" s="116" t="s">
        <v>41</v>
      </c>
      <c r="R311" s="116">
        <v>2021</v>
      </c>
      <c r="S311" s="124" t="s">
        <v>277</v>
      </c>
      <c r="U311" s="301"/>
      <c r="V311" s="232"/>
      <c r="W311" s="232"/>
      <c r="X311" s="232"/>
      <c r="Y311" s="232"/>
      <c r="Z311" s="232"/>
      <c r="AA311" s="232"/>
      <c r="AB311" s="232"/>
      <c r="AC311" s="232"/>
      <c r="AD311" s="402"/>
    </row>
    <row r="312" spans="2:30" ht="30" customHeight="1" outlineLevel="1" thickBot="1" x14ac:dyDescent="0.3">
      <c r="B312" s="1">
        <v>21</v>
      </c>
      <c r="C312" s="159" t="s">
        <v>336</v>
      </c>
      <c r="D312" s="160" t="s">
        <v>48</v>
      </c>
      <c r="E312" s="161"/>
      <c r="F312" s="161" t="s">
        <v>39</v>
      </c>
      <c r="G312" s="162">
        <f>G309</f>
        <v>28.63</v>
      </c>
      <c r="H312" s="218" t="s">
        <v>40</v>
      </c>
      <c r="I312" s="261">
        <f>+J312/$S$2</f>
        <v>308.7681082476787</v>
      </c>
      <c r="J312" s="208">
        <f t="shared" ref="J312" si="62">+((95000^(0.364-(0.00000133*G312)))/(G312^(0.364-(0.00000133*95000))))*6500</f>
        <v>189846.07135608525</v>
      </c>
      <c r="K312" s="163" t="s">
        <v>41</v>
      </c>
      <c r="L312" s="163" t="s">
        <v>41</v>
      </c>
      <c r="M312" s="163" t="s">
        <v>41</v>
      </c>
      <c r="N312" s="163" t="s">
        <v>41</v>
      </c>
      <c r="O312" s="163" t="s">
        <v>41</v>
      </c>
      <c r="P312" s="163" t="s">
        <v>41</v>
      </c>
      <c r="Q312" s="171">
        <f>I312*G312</f>
        <v>8840.0309391310402</v>
      </c>
      <c r="R312" s="161">
        <v>2021</v>
      </c>
      <c r="S312" s="165" t="s">
        <v>277</v>
      </c>
      <c r="U312" s="305"/>
      <c r="V312" s="238"/>
      <c r="W312" s="238"/>
      <c r="X312" s="238"/>
      <c r="Y312" s="238"/>
      <c r="Z312" s="238"/>
      <c r="AA312" s="238"/>
      <c r="AB312" s="238"/>
      <c r="AC312" s="238"/>
      <c r="AD312" s="403"/>
    </row>
    <row r="313" spans="2:30" ht="16.5" hidden="1" thickBot="1" x14ac:dyDescent="0.3">
      <c r="C313" s="262"/>
      <c r="D313" s="417" t="s">
        <v>338</v>
      </c>
      <c r="E313" s="210"/>
      <c r="F313" s="210"/>
      <c r="G313" s="210"/>
      <c r="H313" s="210"/>
      <c r="I313" s="213"/>
      <c r="J313" s="210"/>
      <c r="K313" s="210"/>
      <c r="L313" s="210"/>
      <c r="M313" s="210"/>
      <c r="N313" s="210"/>
      <c r="O313" s="210"/>
      <c r="P313" s="210"/>
      <c r="Q313" s="210"/>
      <c r="R313" s="210"/>
      <c r="S313" s="214"/>
      <c r="U313" s="264" t="s">
        <v>338</v>
      </c>
      <c r="V313" s="264"/>
      <c r="W313" s="216"/>
      <c r="X313" s="216"/>
      <c r="Y313" s="216"/>
      <c r="Z313" s="217"/>
      <c r="AA313" s="217"/>
      <c r="AB313" s="217"/>
      <c r="AC313" s="216"/>
      <c r="AD313" s="216"/>
    </row>
    <row r="314" spans="2:30" ht="30" customHeight="1" outlineLevel="1" x14ac:dyDescent="0.25">
      <c r="C314" s="103" t="s">
        <v>339</v>
      </c>
      <c r="D314" s="104" t="s">
        <v>340</v>
      </c>
      <c r="E314" s="105">
        <v>1981</v>
      </c>
      <c r="F314" s="105" t="s">
        <v>39</v>
      </c>
      <c r="G314" s="203">
        <f>G317+912.17</f>
        <v>1824.34</v>
      </c>
      <c r="H314" s="203" t="s">
        <v>40</v>
      </c>
      <c r="I314" s="107">
        <v>1200</v>
      </c>
      <c r="J314" s="108">
        <f t="shared" ref="J314:J352" si="63">I314*$S$2</f>
        <v>737820</v>
      </c>
      <c r="K314" s="109">
        <f>R314-E314</f>
        <v>40</v>
      </c>
      <c r="L314" s="105">
        <v>50</v>
      </c>
      <c r="M314" s="105">
        <v>30</v>
      </c>
      <c r="N314" s="111">
        <f>+I314*G314</f>
        <v>2189208</v>
      </c>
      <c r="O314" s="111">
        <f>+N314/L314</f>
        <v>43784.160000000003</v>
      </c>
      <c r="P314" s="111">
        <f>(N314/L314)*M314</f>
        <v>1313524.8</v>
      </c>
      <c r="Q314" s="105" t="s">
        <v>41</v>
      </c>
      <c r="R314" s="105">
        <v>2021</v>
      </c>
      <c r="S314" s="113" t="s">
        <v>66</v>
      </c>
      <c r="U314" s="220" t="s">
        <v>339</v>
      </c>
      <c r="V314" s="73" t="s">
        <v>58</v>
      </c>
      <c r="W314" s="73">
        <v>2519613.7799999998</v>
      </c>
      <c r="X314" s="73">
        <v>0</v>
      </c>
      <c r="Y314" s="73">
        <v>71970634.219999999</v>
      </c>
      <c r="Z314" s="73">
        <v>1311409.43</v>
      </c>
      <c r="AA314" s="73">
        <v>15146674.560000001</v>
      </c>
      <c r="AB314" s="73">
        <v>58032164.00999999</v>
      </c>
      <c r="AC314" s="74" t="s">
        <v>341</v>
      </c>
      <c r="AD314" s="221">
        <v>900105</v>
      </c>
    </row>
    <row r="315" spans="2:30" ht="30" customHeight="1" outlineLevel="1" x14ac:dyDescent="0.25">
      <c r="C315" s="114" t="str">
        <f>C314</f>
        <v>F-1</v>
      </c>
      <c r="D315" s="115" t="s">
        <v>44</v>
      </c>
      <c r="E315" s="116">
        <v>1981</v>
      </c>
      <c r="F315" s="116" t="s">
        <v>39</v>
      </c>
      <c r="G315" s="206">
        <v>166.6</v>
      </c>
      <c r="H315" s="206" t="s">
        <v>40</v>
      </c>
      <c r="I315" s="118">
        <v>30.54</v>
      </c>
      <c r="J315" s="119">
        <f t="shared" si="63"/>
        <v>18777.519</v>
      </c>
      <c r="K315" s="120">
        <f>R315-E315</f>
        <v>40</v>
      </c>
      <c r="L315" s="116">
        <v>15</v>
      </c>
      <c r="M315" s="116">
        <v>5</v>
      </c>
      <c r="N315" s="122">
        <f>+I315*G315</f>
        <v>5087.9639999999999</v>
      </c>
      <c r="O315" s="122">
        <f>+N315/L315</f>
        <v>339.19760000000002</v>
      </c>
      <c r="P315" s="122">
        <f>(N315/L315)*M315</f>
        <v>1695.9880000000001</v>
      </c>
      <c r="Q315" s="116" t="s">
        <v>41</v>
      </c>
      <c r="R315" s="116">
        <v>2021</v>
      </c>
      <c r="S315" s="124" t="s">
        <v>66</v>
      </c>
      <c r="U315" s="87" t="s">
        <v>339</v>
      </c>
      <c r="V315" s="88">
        <v>29828</v>
      </c>
      <c r="W315" s="89">
        <v>1997952.57</v>
      </c>
      <c r="X315" s="89">
        <v>0</v>
      </c>
      <c r="Y315" s="89">
        <v>0</v>
      </c>
      <c r="Z315" s="89">
        <v>1535093.34</v>
      </c>
      <c r="AA315" s="89">
        <v>0</v>
      </c>
      <c r="AB315" s="89">
        <v>462859.23</v>
      </c>
      <c r="AC315" s="90" t="s">
        <v>342</v>
      </c>
      <c r="AD315" s="223">
        <v>900094</v>
      </c>
    </row>
    <row r="316" spans="2:30" ht="30" customHeight="1" outlineLevel="1" x14ac:dyDescent="0.25">
      <c r="C316" s="114" t="str">
        <f>C314</f>
        <v>F-1</v>
      </c>
      <c r="D316" s="115" t="s">
        <v>46</v>
      </c>
      <c r="E316" s="116">
        <v>1981</v>
      </c>
      <c r="F316" s="116" t="s">
        <v>39</v>
      </c>
      <c r="G316" s="206">
        <v>341.2</v>
      </c>
      <c r="H316" s="206" t="s">
        <v>40</v>
      </c>
      <c r="I316" s="118">
        <v>3.4</v>
      </c>
      <c r="J316" s="119">
        <f t="shared" si="63"/>
        <v>2090.4900000000002</v>
      </c>
      <c r="K316" s="120">
        <f>R316-E316</f>
        <v>40</v>
      </c>
      <c r="L316" s="116">
        <v>10</v>
      </c>
      <c r="M316" s="116">
        <v>5</v>
      </c>
      <c r="N316" s="122">
        <f>+I316*G316</f>
        <v>1160.08</v>
      </c>
      <c r="O316" s="122">
        <f>+N316/L316</f>
        <v>116.008</v>
      </c>
      <c r="P316" s="122">
        <f>(N316/L316)*M316</f>
        <v>580.04</v>
      </c>
      <c r="Q316" s="116" t="s">
        <v>41</v>
      </c>
      <c r="R316" s="116">
        <v>2021</v>
      </c>
      <c r="S316" s="124" t="s">
        <v>66</v>
      </c>
      <c r="U316" s="226" t="s">
        <v>339</v>
      </c>
      <c r="V316" s="150">
        <v>29828</v>
      </c>
      <c r="W316" s="151">
        <v>1971391.14</v>
      </c>
      <c r="X316" s="151">
        <v>0</v>
      </c>
      <c r="Y316" s="151">
        <v>0</v>
      </c>
      <c r="Z316" s="151">
        <v>1514685.27</v>
      </c>
      <c r="AA316" s="151">
        <v>0</v>
      </c>
      <c r="AB316" s="151">
        <v>456705.86999999988</v>
      </c>
      <c r="AC316" s="152" t="s">
        <v>343</v>
      </c>
      <c r="AD316" s="227">
        <v>900095</v>
      </c>
    </row>
    <row r="317" spans="2:30" ht="30" customHeight="1" outlineLevel="1" thickBot="1" x14ac:dyDescent="0.3">
      <c r="C317" s="159" t="str">
        <f>C314</f>
        <v>F-1</v>
      </c>
      <c r="D317" s="160" t="s">
        <v>48</v>
      </c>
      <c r="E317" s="161">
        <v>1981</v>
      </c>
      <c r="F317" s="161" t="s">
        <v>39</v>
      </c>
      <c r="G317" s="162">
        <v>912.17</v>
      </c>
      <c r="H317" s="218" t="s">
        <v>40</v>
      </c>
      <c r="I317" s="261">
        <f>+J317/$S$2</f>
        <v>133.82420012212799</v>
      </c>
      <c r="J317" s="97">
        <f t="shared" ref="J317" si="64">+((95000^(0.364-(0.00000133*G317)))/(G317^(0.364-(0.00000133*95000))))*6500</f>
        <v>82281.809445090403</v>
      </c>
      <c r="K317" s="163" t="s">
        <v>41</v>
      </c>
      <c r="L317" s="163" t="s">
        <v>41</v>
      </c>
      <c r="M317" s="163" t="s">
        <v>41</v>
      </c>
      <c r="N317" s="163" t="s">
        <v>41</v>
      </c>
      <c r="O317" s="163" t="s">
        <v>41</v>
      </c>
      <c r="P317" s="163" t="s">
        <v>41</v>
      </c>
      <c r="Q317" s="171">
        <f>I317*G317</f>
        <v>122070.42062540149</v>
      </c>
      <c r="R317" s="161">
        <v>2021</v>
      </c>
      <c r="S317" s="165" t="s">
        <v>66</v>
      </c>
      <c r="U317" s="181"/>
      <c r="V317" s="167"/>
      <c r="W317" s="168"/>
      <c r="X317" s="168"/>
      <c r="Y317" s="168"/>
      <c r="Z317" s="168"/>
      <c r="AA317" s="168"/>
      <c r="AB317" s="168"/>
      <c r="AC317" s="169"/>
      <c r="AD317" s="188"/>
    </row>
    <row r="318" spans="2:30" ht="30" customHeight="1" outlineLevel="1" x14ac:dyDescent="0.25">
      <c r="C318" s="103" t="s">
        <v>344</v>
      </c>
      <c r="D318" s="104" t="s">
        <v>345</v>
      </c>
      <c r="E318" s="105">
        <v>1981</v>
      </c>
      <c r="F318" s="105" t="s">
        <v>39</v>
      </c>
      <c r="G318" s="203">
        <f>G321+482.02</f>
        <v>944.99</v>
      </c>
      <c r="H318" s="203" t="s">
        <v>40</v>
      </c>
      <c r="I318" s="107">
        <v>1200</v>
      </c>
      <c r="J318" s="108">
        <f t="shared" si="63"/>
        <v>737820</v>
      </c>
      <c r="K318" s="109">
        <f>R318-E318</f>
        <v>40</v>
      </c>
      <c r="L318" s="105">
        <v>50</v>
      </c>
      <c r="M318" s="105">
        <v>30</v>
      </c>
      <c r="N318" s="111">
        <f>+I318*G318</f>
        <v>1133988</v>
      </c>
      <c r="O318" s="111">
        <f>+N318/L318</f>
        <v>22679.759999999998</v>
      </c>
      <c r="P318" s="111">
        <f>(N318/L318)*M318</f>
        <v>680392.79999999993</v>
      </c>
      <c r="Q318" s="105" t="s">
        <v>41</v>
      </c>
      <c r="R318" s="105">
        <v>2021</v>
      </c>
      <c r="S318" s="113" t="s">
        <v>66</v>
      </c>
      <c r="U318" s="220" t="s">
        <v>344</v>
      </c>
      <c r="V318" s="73" t="s">
        <v>241</v>
      </c>
      <c r="W318" s="73">
        <v>1216466.1299999999</v>
      </c>
      <c r="X318" s="73">
        <v>0</v>
      </c>
      <c r="Y318" s="73">
        <v>100549858.52</v>
      </c>
      <c r="Z318" s="73">
        <v>707577.61</v>
      </c>
      <c r="AA318" s="73">
        <v>7513956.7999999998</v>
      </c>
      <c r="AB318" s="73">
        <v>93544790.239999995</v>
      </c>
      <c r="AC318" s="74" t="s">
        <v>346</v>
      </c>
      <c r="AD318" s="221">
        <v>900299</v>
      </c>
    </row>
    <row r="319" spans="2:30" ht="30" customHeight="1" outlineLevel="1" x14ac:dyDescent="0.25">
      <c r="C319" s="114" t="str">
        <f>C318</f>
        <v>F-2</v>
      </c>
      <c r="D319" s="115" t="s">
        <v>44</v>
      </c>
      <c r="E319" s="116">
        <v>1981</v>
      </c>
      <c r="F319" s="116" t="s">
        <v>39</v>
      </c>
      <c r="G319" s="206">
        <v>146.6</v>
      </c>
      <c r="H319" s="206" t="s">
        <v>40</v>
      </c>
      <c r="I319" s="118">
        <v>30.54</v>
      </c>
      <c r="J319" s="119">
        <f t="shared" si="63"/>
        <v>18777.519</v>
      </c>
      <c r="K319" s="120">
        <f>R319-E319</f>
        <v>40</v>
      </c>
      <c r="L319" s="116">
        <v>15</v>
      </c>
      <c r="M319" s="116">
        <v>5</v>
      </c>
      <c r="N319" s="122">
        <f>+I319*G319</f>
        <v>4477.1639999999998</v>
      </c>
      <c r="O319" s="122">
        <f>+N319/L319</f>
        <v>298.4776</v>
      </c>
      <c r="P319" s="122">
        <f>(N319/L319)*M319</f>
        <v>1492.3879999999999</v>
      </c>
      <c r="Q319" s="116" t="s">
        <v>41</v>
      </c>
      <c r="R319" s="116">
        <v>2021</v>
      </c>
      <c r="S319" s="124" t="s">
        <v>66</v>
      </c>
      <c r="U319" s="87" t="s">
        <v>344</v>
      </c>
      <c r="V319" s="88">
        <v>29828</v>
      </c>
      <c r="W319" s="89">
        <v>1388017.33</v>
      </c>
      <c r="X319" s="89">
        <v>0</v>
      </c>
      <c r="Y319" s="89">
        <v>0</v>
      </c>
      <c r="Z319" s="89">
        <v>722435.74</v>
      </c>
      <c r="AA319" s="89">
        <v>0</v>
      </c>
      <c r="AB319" s="89">
        <v>665581.59000000008</v>
      </c>
      <c r="AC319" s="90" t="s">
        <v>341</v>
      </c>
      <c r="AD319" s="223">
        <v>900103</v>
      </c>
    </row>
    <row r="320" spans="2:30" ht="30" customHeight="1" outlineLevel="1" x14ac:dyDescent="0.25">
      <c r="C320" s="114" t="str">
        <f>C318</f>
        <v>F-2</v>
      </c>
      <c r="D320" s="115" t="s">
        <v>46</v>
      </c>
      <c r="E320" s="116">
        <v>1981</v>
      </c>
      <c r="F320" s="116" t="s">
        <v>39</v>
      </c>
      <c r="G320" s="206">
        <v>299.06</v>
      </c>
      <c r="H320" s="206" t="s">
        <v>40</v>
      </c>
      <c r="I320" s="118">
        <v>3.4</v>
      </c>
      <c r="J320" s="119">
        <f t="shared" si="63"/>
        <v>2090.4900000000002</v>
      </c>
      <c r="K320" s="120">
        <f>R320-E320</f>
        <v>40</v>
      </c>
      <c r="L320" s="116">
        <v>10</v>
      </c>
      <c r="M320" s="116">
        <v>5</v>
      </c>
      <c r="N320" s="122">
        <f>+I320*G320</f>
        <v>1016.804</v>
      </c>
      <c r="O320" s="122">
        <f>+N320/L320</f>
        <v>101.68039999999999</v>
      </c>
      <c r="P320" s="122">
        <f>(N320/L320)*M320</f>
        <v>508.40199999999993</v>
      </c>
      <c r="Q320" s="116" t="s">
        <v>41</v>
      </c>
      <c r="R320" s="116">
        <v>2021</v>
      </c>
      <c r="S320" s="124" t="s">
        <v>66</v>
      </c>
      <c r="U320" s="226" t="s">
        <v>344</v>
      </c>
      <c r="V320" s="150">
        <v>29828</v>
      </c>
      <c r="W320" s="151">
        <v>1388017.32</v>
      </c>
      <c r="X320" s="151">
        <v>0</v>
      </c>
      <c r="Y320" s="151">
        <v>0</v>
      </c>
      <c r="Z320" s="151">
        <v>722435.74</v>
      </c>
      <c r="AA320" s="151">
        <v>0</v>
      </c>
      <c r="AB320" s="151">
        <v>665581.58000000007</v>
      </c>
      <c r="AC320" s="152" t="s">
        <v>341</v>
      </c>
      <c r="AD320" s="227">
        <v>900104</v>
      </c>
    </row>
    <row r="321" spans="3:30" ht="30" customHeight="1" outlineLevel="1" thickBot="1" x14ac:dyDescent="0.3">
      <c r="C321" s="159" t="str">
        <f>C318</f>
        <v>F-2</v>
      </c>
      <c r="D321" s="160" t="s">
        <v>48</v>
      </c>
      <c r="E321" s="161">
        <v>1981</v>
      </c>
      <c r="F321" s="161" t="s">
        <v>39</v>
      </c>
      <c r="G321" s="162">
        <v>462.97</v>
      </c>
      <c r="H321" s="218" t="s">
        <v>40</v>
      </c>
      <c r="I321" s="261">
        <f>+J321/$S$2</f>
        <v>158.30765033290871</v>
      </c>
      <c r="J321" s="97">
        <f t="shared" ref="J321" si="65">+((95000^(0.364-(0.00000133*G321)))/(G321^(0.364-(0.00000133*95000))))*6500</f>
        <v>97335.45880718893</v>
      </c>
      <c r="K321" s="163" t="s">
        <v>41</v>
      </c>
      <c r="L321" s="163" t="s">
        <v>41</v>
      </c>
      <c r="M321" s="163" t="s">
        <v>41</v>
      </c>
      <c r="N321" s="163" t="s">
        <v>41</v>
      </c>
      <c r="O321" s="163" t="s">
        <v>41</v>
      </c>
      <c r="P321" s="163" t="s">
        <v>41</v>
      </c>
      <c r="Q321" s="171">
        <f>I321*G321</f>
        <v>73291.692874626751</v>
      </c>
      <c r="R321" s="161">
        <v>2021</v>
      </c>
      <c r="S321" s="165" t="s">
        <v>66</v>
      </c>
      <c r="U321" s="181"/>
      <c r="V321" s="167"/>
      <c r="W321" s="168"/>
      <c r="X321" s="168"/>
      <c r="Y321" s="168"/>
      <c r="Z321" s="168"/>
      <c r="AA321" s="168"/>
      <c r="AB321" s="168"/>
      <c r="AC321" s="169"/>
      <c r="AD321" s="188"/>
    </row>
    <row r="322" spans="3:30" ht="30" customHeight="1" outlineLevel="1" x14ac:dyDescent="0.25">
      <c r="C322" s="103" t="s">
        <v>347</v>
      </c>
      <c r="D322" s="104" t="s">
        <v>345</v>
      </c>
      <c r="E322" s="105">
        <v>1981</v>
      </c>
      <c r="F322" s="105" t="s">
        <v>39</v>
      </c>
      <c r="G322" s="203">
        <f>G325+478.7</f>
        <v>956.93000000000006</v>
      </c>
      <c r="H322" s="203" t="s">
        <v>40</v>
      </c>
      <c r="I322" s="107">
        <v>1200</v>
      </c>
      <c r="J322" s="108">
        <f t="shared" si="63"/>
        <v>737820</v>
      </c>
      <c r="K322" s="109">
        <f>R322-E322</f>
        <v>40</v>
      </c>
      <c r="L322" s="105">
        <v>50</v>
      </c>
      <c r="M322" s="105">
        <v>30</v>
      </c>
      <c r="N322" s="111">
        <f>+I322*G322</f>
        <v>1148316</v>
      </c>
      <c r="O322" s="111">
        <f>+N322/L322</f>
        <v>22966.32</v>
      </c>
      <c r="P322" s="111">
        <f>(N322/L322)*M322</f>
        <v>688989.6</v>
      </c>
      <c r="Q322" s="105" t="s">
        <v>41</v>
      </c>
      <c r="R322" s="105">
        <v>2021</v>
      </c>
      <c r="S322" s="113" t="s">
        <v>66</v>
      </c>
      <c r="U322" s="176" t="s">
        <v>347</v>
      </c>
      <c r="V322" s="177" t="s">
        <v>136</v>
      </c>
      <c r="W322" s="178">
        <v>24486.75</v>
      </c>
      <c r="X322" s="178">
        <v>0</v>
      </c>
      <c r="Y322" s="178">
        <v>160929488.40000001</v>
      </c>
      <c r="Z322" s="178">
        <v>24486.75</v>
      </c>
      <c r="AA322" s="178">
        <v>35974794.5</v>
      </c>
      <c r="AB322" s="178">
        <v>124954693.90000001</v>
      </c>
      <c r="AC322" s="177" t="s">
        <v>348</v>
      </c>
      <c r="AD322" s="205">
        <v>900019</v>
      </c>
    </row>
    <row r="323" spans="3:30" ht="30" customHeight="1" outlineLevel="1" x14ac:dyDescent="0.25">
      <c r="C323" s="114" t="str">
        <f>C322</f>
        <v>F-3</v>
      </c>
      <c r="D323" s="115" t="s">
        <v>44</v>
      </c>
      <c r="E323" s="116">
        <v>1981</v>
      </c>
      <c r="F323" s="116" t="s">
        <v>39</v>
      </c>
      <c r="G323" s="206">
        <v>150</v>
      </c>
      <c r="H323" s="206" t="s">
        <v>40</v>
      </c>
      <c r="I323" s="118">
        <v>30.54</v>
      </c>
      <c r="J323" s="119">
        <f t="shared" si="63"/>
        <v>18777.519</v>
      </c>
      <c r="K323" s="120">
        <f>R323-E323</f>
        <v>40</v>
      </c>
      <c r="L323" s="116">
        <v>15</v>
      </c>
      <c r="M323" s="116">
        <v>5</v>
      </c>
      <c r="N323" s="122">
        <f>+I323*G323</f>
        <v>4581</v>
      </c>
      <c r="O323" s="122">
        <f>+N323/L323</f>
        <v>305.39999999999998</v>
      </c>
      <c r="P323" s="122">
        <f>(N323/L323)*M323</f>
        <v>1527</v>
      </c>
      <c r="Q323" s="116" t="s">
        <v>41</v>
      </c>
      <c r="R323" s="116">
        <v>2021</v>
      </c>
      <c r="S323" s="124" t="s">
        <v>66</v>
      </c>
      <c r="U323" s="180"/>
      <c r="V323" s="157"/>
      <c r="W323" s="156"/>
      <c r="X323" s="156"/>
      <c r="Y323" s="156"/>
      <c r="Z323" s="156"/>
      <c r="AA323" s="156"/>
      <c r="AB323" s="156"/>
      <c r="AC323" s="157"/>
      <c r="AD323" s="184"/>
    </row>
    <row r="324" spans="3:30" ht="30" customHeight="1" outlineLevel="1" x14ac:dyDescent="0.25">
      <c r="C324" s="114" t="str">
        <f>C322</f>
        <v>F-3</v>
      </c>
      <c r="D324" s="115" t="s">
        <v>46</v>
      </c>
      <c r="E324" s="116">
        <v>1981</v>
      </c>
      <c r="F324" s="116" t="s">
        <v>39</v>
      </c>
      <c r="G324" s="206">
        <v>301.95</v>
      </c>
      <c r="H324" s="206" t="s">
        <v>40</v>
      </c>
      <c r="I324" s="118">
        <v>3.4</v>
      </c>
      <c r="J324" s="119">
        <f t="shared" si="63"/>
        <v>2090.4900000000002</v>
      </c>
      <c r="K324" s="120">
        <f>R324-E324</f>
        <v>40</v>
      </c>
      <c r="L324" s="116">
        <v>10</v>
      </c>
      <c r="M324" s="116">
        <v>5</v>
      </c>
      <c r="N324" s="122">
        <f>+I324*G324</f>
        <v>1026.6299999999999</v>
      </c>
      <c r="O324" s="122">
        <f>+N324/L324</f>
        <v>102.66299999999998</v>
      </c>
      <c r="P324" s="122">
        <f>(N324/L324)*M324</f>
        <v>513.31499999999994</v>
      </c>
      <c r="Q324" s="116" t="s">
        <v>41</v>
      </c>
      <c r="R324" s="116">
        <v>2021</v>
      </c>
      <c r="S324" s="124" t="s">
        <v>66</v>
      </c>
      <c r="U324" s="180"/>
      <c r="V324" s="157"/>
      <c r="W324" s="156"/>
      <c r="X324" s="156"/>
      <c r="Y324" s="156"/>
      <c r="Z324" s="156"/>
      <c r="AA324" s="156"/>
      <c r="AB324" s="156"/>
      <c r="AC324" s="157"/>
      <c r="AD324" s="184"/>
    </row>
    <row r="325" spans="3:30" ht="30" customHeight="1" outlineLevel="1" thickBot="1" x14ac:dyDescent="0.3">
      <c r="C325" s="159" t="str">
        <f>C322</f>
        <v>F-3</v>
      </c>
      <c r="D325" s="160" t="s">
        <v>48</v>
      </c>
      <c r="E325" s="161">
        <v>1981</v>
      </c>
      <c r="F325" s="161" t="s">
        <v>39</v>
      </c>
      <c r="G325" s="162">
        <v>478.23</v>
      </c>
      <c r="H325" s="218" t="s">
        <v>40</v>
      </c>
      <c r="I325" s="261">
        <f>+J325/$S$2</f>
        <v>157.05574291003384</v>
      </c>
      <c r="J325" s="97">
        <f t="shared" ref="J325" si="66">+((95000^(0.364-(0.00000133*G325)))/(G325^(0.364-(0.00000133*95000))))*6500</f>
        <v>96565.723528234317</v>
      </c>
      <c r="K325" s="163" t="s">
        <v>41</v>
      </c>
      <c r="L325" s="163" t="s">
        <v>41</v>
      </c>
      <c r="M325" s="163" t="s">
        <v>41</v>
      </c>
      <c r="N325" s="163" t="s">
        <v>41</v>
      </c>
      <c r="O325" s="163" t="s">
        <v>41</v>
      </c>
      <c r="P325" s="163" t="s">
        <v>41</v>
      </c>
      <c r="Q325" s="171">
        <f>I325*G325</f>
        <v>75108.767931865485</v>
      </c>
      <c r="R325" s="161">
        <v>2021</v>
      </c>
      <c r="S325" s="165" t="s">
        <v>66</v>
      </c>
      <c r="U325" s="181"/>
      <c r="V325" s="169"/>
      <c r="W325" s="168"/>
      <c r="X325" s="168"/>
      <c r="Y325" s="168"/>
      <c r="Z325" s="168"/>
      <c r="AA325" s="168"/>
      <c r="AB325" s="168"/>
      <c r="AC325" s="169"/>
      <c r="AD325" s="188"/>
    </row>
    <row r="326" spans="3:30" ht="30" customHeight="1" outlineLevel="1" x14ac:dyDescent="0.25">
      <c r="C326" s="103" t="s">
        <v>349</v>
      </c>
      <c r="D326" s="104" t="s">
        <v>345</v>
      </c>
      <c r="E326" s="105">
        <v>1981</v>
      </c>
      <c r="F326" s="105" t="s">
        <v>39</v>
      </c>
      <c r="G326" s="203">
        <f>G329+481.38</f>
        <v>962.76</v>
      </c>
      <c r="H326" s="203" t="s">
        <v>40</v>
      </c>
      <c r="I326" s="107">
        <v>1200</v>
      </c>
      <c r="J326" s="108">
        <f t="shared" si="63"/>
        <v>737820</v>
      </c>
      <c r="K326" s="109">
        <f>R326-E326</f>
        <v>40</v>
      </c>
      <c r="L326" s="105">
        <v>50</v>
      </c>
      <c r="M326" s="105">
        <v>30</v>
      </c>
      <c r="N326" s="111">
        <f>+I326*G326</f>
        <v>1155312</v>
      </c>
      <c r="O326" s="111">
        <f>+N326/L326</f>
        <v>23106.240000000002</v>
      </c>
      <c r="P326" s="111">
        <f>(N326/L326)*M326</f>
        <v>693187.20000000007</v>
      </c>
      <c r="Q326" s="105" t="s">
        <v>41</v>
      </c>
      <c r="R326" s="105">
        <v>2021</v>
      </c>
      <c r="S326" s="113" t="s">
        <v>66</v>
      </c>
      <c r="U326" s="176" t="s">
        <v>349</v>
      </c>
      <c r="V326" s="178" t="s">
        <v>58</v>
      </c>
      <c r="W326" s="178">
        <v>2092453.23</v>
      </c>
      <c r="X326" s="178">
        <v>0</v>
      </c>
      <c r="Y326" s="178">
        <v>75233390.040000007</v>
      </c>
      <c r="Z326" s="178">
        <v>1607701.3</v>
      </c>
      <c r="AA326" s="178">
        <v>19488515.109999999</v>
      </c>
      <c r="AB326" s="178">
        <v>56229626.860000014</v>
      </c>
      <c r="AC326" s="177" t="s">
        <v>350</v>
      </c>
      <c r="AD326" s="205">
        <v>900096</v>
      </c>
    </row>
    <row r="327" spans="3:30" ht="30" customHeight="1" outlineLevel="1" x14ac:dyDescent="0.25">
      <c r="C327" s="114" t="str">
        <f>C326</f>
        <v>F-4</v>
      </c>
      <c r="D327" s="115" t="s">
        <v>44</v>
      </c>
      <c r="E327" s="116">
        <v>1981</v>
      </c>
      <c r="F327" s="116" t="s">
        <v>39</v>
      </c>
      <c r="G327" s="206">
        <v>145.97</v>
      </c>
      <c r="H327" s="206" t="s">
        <v>40</v>
      </c>
      <c r="I327" s="118">
        <v>30.54</v>
      </c>
      <c r="J327" s="119">
        <f t="shared" si="63"/>
        <v>18777.519</v>
      </c>
      <c r="K327" s="120">
        <f>R327-E327</f>
        <v>40</v>
      </c>
      <c r="L327" s="116">
        <v>15</v>
      </c>
      <c r="M327" s="116">
        <v>5</v>
      </c>
      <c r="N327" s="122">
        <f>+I327*G327</f>
        <v>4457.9237999999996</v>
      </c>
      <c r="O327" s="122">
        <f>+N327/L327</f>
        <v>297.19491999999997</v>
      </c>
      <c r="P327" s="122">
        <f>(N327/L327)*M327</f>
        <v>1485.9745999999998</v>
      </c>
      <c r="Q327" s="116" t="s">
        <v>41</v>
      </c>
      <c r="R327" s="116">
        <v>2021</v>
      </c>
      <c r="S327" s="124" t="s">
        <v>66</v>
      </c>
      <c r="U327" s="180"/>
      <c r="V327" s="156"/>
      <c r="W327" s="156"/>
      <c r="X327" s="156"/>
      <c r="Y327" s="156"/>
      <c r="Z327" s="156"/>
      <c r="AA327" s="156"/>
      <c r="AB327" s="156"/>
      <c r="AC327" s="157"/>
      <c r="AD327" s="184"/>
    </row>
    <row r="328" spans="3:30" ht="30" customHeight="1" outlineLevel="1" x14ac:dyDescent="0.25">
      <c r="C328" s="114" t="str">
        <f>C326</f>
        <v>F-4</v>
      </c>
      <c r="D328" s="115" t="s">
        <v>46</v>
      </c>
      <c r="E328" s="116">
        <v>1981</v>
      </c>
      <c r="F328" s="116" t="s">
        <v>39</v>
      </c>
      <c r="G328" s="206">
        <v>299.61</v>
      </c>
      <c r="H328" s="206" t="s">
        <v>40</v>
      </c>
      <c r="I328" s="118">
        <v>3.4</v>
      </c>
      <c r="J328" s="119">
        <f t="shared" si="63"/>
        <v>2090.4900000000002</v>
      </c>
      <c r="K328" s="120">
        <f>R328-E328</f>
        <v>40</v>
      </c>
      <c r="L328" s="116">
        <v>10</v>
      </c>
      <c r="M328" s="116">
        <v>5</v>
      </c>
      <c r="N328" s="122">
        <f>+I328*G328</f>
        <v>1018.674</v>
      </c>
      <c r="O328" s="122">
        <f>+N328/L328</f>
        <v>101.8674</v>
      </c>
      <c r="P328" s="122">
        <f>(N328/L328)*M328</f>
        <v>509.33699999999999</v>
      </c>
      <c r="Q328" s="116" t="s">
        <v>41</v>
      </c>
      <c r="R328" s="116">
        <v>2021</v>
      </c>
      <c r="S328" s="124" t="s">
        <v>66</v>
      </c>
      <c r="U328" s="180"/>
      <c r="V328" s="156"/>
      <c r="W328" s="156"/>
      <c r="X328" s="156"/>
      <c r="Y328" s="156"/>
      <c r="Z328" s="156"/>
      <c r="AA328" s="156"/>
      <c r="AB328" s="156"/>
      <c r="AC328" s="157"/>
      <c r="AD328" s="184"/>
    </row>
    <row r="329" spans="3:30" ht="30" customHeight="1" outlineLevel="1" thickBot="1" x14ac:dyDescent="0.3">
      <c r="C329" s="159" t="str">
        <f>C326</f>
        <v>F-4</v>
      </c>
      <c r="D329" s="160" t="s">
        <v>48</v>
      </c>
      <c r="E329" s="161">
        <v>1981</v>
      </c>
      <c r="F329" s="161" t="s">
        <v>39</v>
      </c>
      <c r="G329" s="162">
        <v>481.38</v>
      </c>
      <c r="H329" s="218" t="s">
        <v>40</v>
      </c>
      <c r="I329" s="261">
        <f>+J329/$S$2</f>
        <v>156.80336319627958</v>
      </c>
      <c r="J329" s="97">
        <f t="shared" ref="J329" si="67">+((95000^(0.364-(0.00000133*G329)))/(G329^(0.364-(0.00000133*95000))))*6500</f>
        <v>96410.54786123251</v>
      </c>
      <c r="K329" s="163" t="s">
        <v>41</v>
      </c>
      <c r="L329" s="163" t="s">
        <v>41</v>
      </c>
      <c r="M329" s="163" t="s">
        <v>41</v>
      </c>
      <c r="N329" s="163" t="s">
        <v>41</v>
      </c>
      <c r="O329" s="163" t="s">
        <v>41</v>
      </c>
      <c r="P329" s="163" t="s">
        <v>41</v>
      </c>
      <c r="Q329" s="171">
        <f>I329*G329</f>
        <v>75482.002975425057</v>
      </c>
      <c r="R329" s="161">
        <v>2021</v>
      </c>
      <c r="S329" s="165" t="s">
        <v>66</v>
      </c>
      <c r="U329" s="181"/>
      <c r="V329" s="168"/>
      <c r="W329" s="168"/>
      <c r="X329" s="168"/>
      <c r="Y329" s="168"/>
      <c r="Z329" s="168"/>
      <c r="AA329" s="168"/>
      <c r="AB329" s="168"/>
      <c r="AC329" s="169"/>
      <c r="AD329" s="188"/>
    </row>
    <row r="330" spans="3:30" ht="30" customHeight="1" outlineLevel="1" x14ac:dyDescent="0.25">
      <c r="C330" s="103" t="s">
        <v>351</v>
      </c>
      <c r="D330" s="104" t="s">
        <v>345</v>
      </c>
      <c r="E330" s="105">
        <v>1981</v>
      </c>
      <c r="F330" s="105" t="s">
        <v>39</v>
      </c>
      <c r="G330" s="203">
        <f>G333+482.48</f>
        <v>964.96</v>
      </c>
      <c r="H330" s="203" t="s">
        <v>40</v>
      </c>
      <c r="I330" s="107">
        <v>1200</v>
      </c>
      <c r="J330" s="108">
        <f t="shared" si="63"/>
        <v>737820</v>
      </c>
      <c r="K330" s="109">
        <f>R330-E330</f>
        <v>40</v>
      </c>
      <c r="L330" s="105">
        <v>50</v>
      </c>
      <c r="M330" s="105">
        <v>30</v>
      </c>
      <c r="N330" s="111">
        <f>+I330*G330</f>
        <v>1157952</v>
      </c>
      <c r="O330" s="111">
        <f>+N330/L330</f>
        <v>23159.040000000001</v>
      </c>
      <c r="P330" s="111">
        <f>(N330/L330)*M330</f>
        <v>694771.20000000007</v>
      </c>
      <c r="Q330" s="105" t="s">
        <v>41</v>
      </c>
      <c r="R330" s="105">
        <v>2021</v>
      </c>
      <c r="S330" s="113" t="s">
        <v>66</v>
      </c>
      <c r="U330" s="176" t="s">
        <v>351</v>
      </c>
      <c r="V330" s="178" t="s">
        <v>58</v>
      </c>
      <c r="W330" s="178">
        <v>2064603.92</v>
      </c>
      <c r="X330" s="178">
        <v>0</v>
      </c>
      <c r="Y330" s="178">
        <v>16250744.52</v>
      </c>
      <c r="Z330" s="178">
        <v>1586303.99</v>
      </c>
      <c r="AA330" s="178">
        <v>1202422.8400000001</v>
      </c>
      <c r="AB330" s="178">
        <v>15526621.609999998</v>
      </c>
      <c r="AC330" s="177" t="s">
        <v>352</v>
      </c>
      <c r="AD330" s="205">
        <v>900097</v>
      </c>
    </row>
    <row r="331" spans="3:30" ht="30" customHeight="1" outlineLevel="1" x14ac:dyDescent="0.25">
      <c r="C331" s="114" t="str">
        <f>C330</f>
        <v>F-5</v>
      </c>
      <c r="D331" s="115" t="s">
        <v>44</v>
      </c>
      <c r="E331" s="116">
        <v>1981</v>
      </c>
      <c r="F331" s="116" t="s">
        <v>39</v>
      </c>
      <c r="G331" s="206">
        <v>146.44</v>
      </c>
      <c r="H331" s="206" t="s">
        <v>40</v>
      </c>
      <c r="I331" s="118">
        <v>30.54</v>
      </c>
      <c r="J331" s="119">
        <f t="shared" si="63"/>
        <v>18777.519</v>
      </c>
      <c r="K331" s="120">
        <f>R331-E331</f>
        <v>40</v>
      </c>
      <c r="L331" s="116">
        <v>15</v>
      </c>
      <c r="M331" s="116">
        <v>5</v>
      </c>
      <c r="N331" s="122">
        <f>+I331*G331</f>
        <v>4472.2775999999994</v>
      </c>
      <c r="O331" s="122">
        <f>+N331/L331</f>
        <v>298.15183999999994</v>
      </c>
      <c r="P331" s="122">
        <f>(N331/L331)*M331</f>
        <v>1490.7591999999997</v>
      </c>
      <c r="Q331" s="116" t="s">
        <v>41</v>
      </c>
      <c r="R331" s="116">
        <v>2021</v>
      </c>
      <c r="S331" s="124" t="s">
        <v>66</v>
      </c>
      <c r="U331" s="180"/>
      <c r="V331" s="156"/>
      <c r="W331" s="156"/>
      <c r="X331" s="156"/>
      <c r="Y331" s="156"/>
      <c r="Z331" s="156"/>
      <c r="AA331" s="156"/>
      <c r="AB331" s="156"/>
      <c r="AC331" s="157"/>
      <c r="AD331" s="184"/>
    </row>
    <row r="332" spans="3:30" ht="30" customHeight="1" outlineLevel="1" x14ac:dyDescent="0.25">
      <c r="C332" s="114" t="str">
        <f>C330</f>
        <v>F-5</v>
      </c>
      <c r="D332" s="115" t="s">
        <v>46</v>
      </c>
      <c r="E332" s="116">
        <v>1981</v>
      </c>
      <c r="F332" s="116" t="s">
        <v>39</v>
      </c>
      <c r="G332" s="206">
        <v>300.39</v>
      </c>
      <c r="H332" s="206" t="s">
        <v>40</v>
      </c>
      <c r="I332" s="118">
        <v>3.4</v>
      </c>
      <c r="J332" s="119">
        <f t="shared" si="63"/>
        <v>2090.4900000000002</v>
      </c>
      <c r="K332" s="120">
        <f>R332-E332</f>
        <v>40</v>
      </c>
      <c r="L332" s="116">
        <v>10</v>
      </c>
      <c r="M332" s="116">
        <v>5</v>
      </c>
      <c r="N332" s="122">
        <f>+I332*G332</f>
        <v>1021.3259999999999</v>
      </c>
      <c r="O332" s="122">
        <f>+N332/L332</f>
        <v>102.1326</v>
      </c>
      <c r="P332" s="122">
        <f>(N332/L332)*M332</f>
        <v>510.66300000000001</v>
      </c>
      <c r="Q332" s="116" t="s">
        <v>41</v>
      </c>
      <c r="R332" s="116">
        <v>2021</v>
      </c>
      <c r="S332" s="124" t="s">
        <v>66</v>
      </c>
      <c r="U332" s="180"/>
      <c r="V332" s="156"/>
      <c r="W332" s="156"/>
      <c r="X332" s="156"/>
      <c r="Y332" s="156"/>
      <c r="Z332" s="156"/>
      <c r="AA332" s="156"/>
      <c r="AB332" s="156"/>
      <c r="AC332" s="157"/>
      <c r="AD332" s="184"/>
    </row>
    <row r="333" spans="3:30" ht="30" customHeight="1" outlineLevel="1" thickBot="1" x14ac:dyDescent="0.3">
      <c r="C333" s="159" t="str">
        <f>C330</f>
        <v>F-5</v>
      </c>
      <c r="D333" s="160" t="s">
        <v>48</v>
      </c>
      <c r="E333" s="161">
        <v>1981</v>
      </c>
      <c r="F333" s="161" t="s">
        <v>39</v>
      </c>
      <c r="G333" s="162">
        <v>482.48</v>
      </c>
      <c r="H333" s="218" t="s">
        <v>40</v>
      </c>
      <c r="I333" s="261">
        <f>+J333/$S$2</f>
        <v>156.71570293035958</v>
      </c>
      <c r="J333" s="97">
        <f t="shared" ref="J333" si="68">+((95000^(0.364-(0.00000133*G333)))/(G333^(0.364-(0.00000133*95000))))*6500</f>
        <v>96356.649946731588</v>
      </c>
      <c r="K333" s="163" t="s">
        <v>41</v>
      </c>
      <c r="L333" s="163" t="s">
        <v>41</v>
      </c>
      <c r="M333" s="163" t="s">
        <v>41</v>
      </c>
      <c r="N333" s="163" t="s">
        <v>41</v>
      </c>
      <c r="O333" s="163" t="s">
        <v>41</v>
      </c>
      <c r="P333" s="163" t="s">
        <v>41</v>
      </c>
      <c r="Q333" s="171">
        <f>I333*G333</f>
        <v>75612.192349839897</v>
      </c>
      <c r="R333" s="161">
        <v>2021</v>
      </c>
      <c r="S333" s="165" t="s">
        <v>66</v>
      </c>
      <c r="U333" s="181"/>
      <c r="V333" s="168"/>
      <c r="W333" s="168"/>
      <c r="X333" s="168"/>
      <c r="Y333" s="168"/>
      <c r="Z333" s="168"/>
      <c r="AA333" s="168"/>
      <c r="AB333" s="168"/>
      <c r="AC333" s="169"/>
      <c r="AD333" s="188"/>
    </row>
    <row r="334" spans="3:30" ht="30" customHeight="1" outlineLevel="1" x14ac:dyDescent="0.25">
      <c r="C334" s="103" t="s">
        <v>353</v>
      </c>
      <c r="D334" s="104" t="s">
        <v>354</v>
      </c>
      <c r="E334" s="105">
        <v>1987</v>
      </c>
      <c r="F334" s="105" t="s">
        <v>39</v>
      </c>
      <c r="G334" s="203">
        <f>G337</f>
        <v>473.64</v>
      </c>
      <c r="H334" s="203" t="s">
        <v>40</v>
      </c>
      <c r="I334" s="107">
        <v>1500</v>
      </c>
      <c r="J334" s="108">
        <f t="shared" si="63"/>
        <v>922275</v>
      </c>
      <c r="K334" s="109">
        <f>R334-E334</f>
        <v>34</v>
      </c>
      <c r="L334" s="105">
        <v>50</v>
      </c>
      <c r="M334" s="105">
        <v>35</v>
      </c>
      <c r="N334" s="111">
        <f>+I334*G334</f>
        <v>710460</v>
      </c>
      <c r="O334" s="111">
        <f>+N334/L334</f>
        <v>14209.2</v>
      </c>
      <c r="P334" s="111">
        <f>(N334/L334)*M334</f>
        <v>497322</v>
      </c>
      <c r="Q334" s="105" t="s">
        <v>41</v>
      </c>
      <c r="R334" s="105">
        <v>2021</v>
      </c>
      <c r="S334" s="113" t="s">
        <v>52</v>
      </c>
      <c r="U334" s="176" t="s">
        <v>353</v>
      </c>
      <c r="V334" s="178" t="s">
        <v>297</v>
      </c>
      <c r="W334" s="178">
        <v>2346484.25</v>
      </c>
      <c r="X334" s="178">
        <v>0</v>
      </c>
      <c r="Y334" s="178">
        <v>159751081.09</v>
      </c>
      <c r="Z334" s="178">
        <v>1259723.17</v>
      </c>
      <c r="AA334" s="178">
        <v>16168775.35</v>
      </c>
      <c r="AB334" s="178">
        <v>144669066.82000002</v>
      </c>
      <c r="AC334" s="177" t="s">
        <v>355</v>
      </c>
      <c r="AD334" s="205">
        <v>900252</v>
      </c>
    </row>
    <row r="335" spans="3:30" ht="30" customHeight="1" outlineLevel="1" x14ac:dyDescent="0.25">
      <c r="C335" s="114" t="str">
        <f>C334</f>
        <v>F-6</v>
      </c>
      <c r="D335" s="115" t="s">
        <v>44</v>
      </c>
      <c r="E335" s="116">
        <v>1987</v>
      </c>
      <c r="F335" s="116" t="s">
        <v>39</v>
      </c>
      <c r="G335" s="206">
        <v>106.54</v>
      </c>
      <c r="H335" s="206" t="s">
        <v>40</v>
      </c>
      <c r="I335" s="118">
        <v>30.54</v>
      </c>
      <c r="J335" s="119">
        <f t="shared" si="63"/>
        <v>18777.519</v>
      </c>
      <c r="K335" s="120">
        <f>R335-E335</f>
        <v>34</v>
      </c>
      <c r="L335" s="116">
        <v>15</v>
      </c>
      <c r="M335" s="116">
        <v>6</v>
      </c>
      <c r="N335" s="122">
        <f>+I335*G335</f>
        <v>3253.7316000000001</v>
      </c>
      <c r="O335" s="122">
        <f>+N335/L335</f>
        <v>216.91544000000002</v>
      </c>
      <c r="P335" s="122">
        <f>(N335/L335)*M335</f>
        <v>1301.4926400000002</v>
      </c>
      <c r="Q335" s="116" t="s">
        <v>41</v>
      </c>
      <c r="R335" s="116">
        <v>2021</v>
      </c>
      <c r="S335" s="124" t="s">
        <v>52</v>
      </c>
      <c r="U335" s="180"/>
      <c r="V335" s="156"/>
      <c r="W335" s="156"/>
      <c r="X335" s="156"/>
      <c r="Y335" s="156"/>
      <c r="Z335" s="156"/>
      <c r="AA335" s="156"/>
      <c r="AB335" s="156"/>
      <c r="AC335" s="157"/>
      <c r="AD335" s="184"/>
    </row>
    <row r="336" spans="3:30" ht="30" customHeight="1" outlineLevel="1" x14ac:dyDescent="0.25">
      <c r="C336" s="114" t="str">
        <f>C334</f>
        <v>F-6</v>
      </c>
      <c r="D336" s="115" t="s">
        <v>46</v>
      </c>
      <c r="E336" s="116">
        <v>1987</v>
      </c>
      <c r="F336" s="116" t="s">
        <v>39</v>
      </c>
      <c r="G336" s="206">
        <v>220.07</v>
      </c>
      <c r="H336" s="206" t="s">
        <v>40</v>
      </c>
      <c r="I336" s="118">
        <v>3.4</v>
      </c>
      <c r="J336" s="119">
        <f t="shared" si="63"/>
        <v>2090.4900000000002</v>
      </c>
      <c r="K336" s="120">
        <f>R336-E336</f>
        <v>34</v>
      </c>
      <c r="L336" s="116">
        <v>10</v>
      </c>
      <c r="M336" s="116">
        <v>6</v>
      </c>
      <c r="N336" s="122">
        <f>+I336*G336</f>
        <v>748.23799999999994</v>
      </c>
      <c r="O336" s="122">
        <f>+N336/L336</f>
        <v>74.823799999999991</v>
      </c>
      <c r="P336" s="122">
        <f>(N336/L336)*M336</f>
        <v>448.94279999999992</v>
      </c>
      <c r="Q336" s="116" t="s">
        <v>41</v>
      </c>
      <c r="R336" s="116">
        <v>2021</v>
      </c>
      <c r="S336" s="124" t="s">
        <v>52</v>
      </c>
      <c r="U336" s="180"/>
      <c r="V336" s="156"/>
      <c r="W336" s="156"/>
      <c r="X336" s="156"/>
      <c r="Y336" s="156"/>
      <c r="Z336" s="156"/>
      <c r="AA336" s="156"/>
      <c r="AB336" s="156"/>
      <c r="AC336" s="157"/>
      <c r="AD336" s="184"/>
    </row>
    <row r="337" spans="3:30" ht="30" customHeight="1" outlineLevel="1" thickBot="1" x14ac:dyDescent="0.3">
      <c r="C337" s="159" t="str">
        <f>C334</f>
        <v>F-6</v>
      </c>
      <c r="D337" s="160" t="s">
        <v>48</v>
      </c>
      <c r="E337" s="161">
        <v>1987</v>
      </c>
      <c r="F337" s="161" t="s">
        <v>39</v>
      </c>
      <c r="G337" s="162">
        <v>473.64</v>
      </c>
      <c r="H337" s="218" t="s">
        <v>40</v>
      </c>
      <c r="I337" s="261">
        <f>+J337/$S$2</f>
        <v>157.42713531234295</v>
      </c>
      <c r="J337" s="97">
        <f t="shared" ref="J337" si="69">+((95000^(0.364-(0.00000133*G337)))/(G337^(0.364-(0.00000133*95000))))*6500</f>
        <v>96794.074146794068</v>
      </c>
      <c r="K337" s="163" t="s">
        <v>41</v>
      </c>
      <c r="L337" s="163" t="s">
        <v>41</v>
      </c>
      <c r="M337" s="163" t="s">
        <v>41</v>
      </c>
      <c r="N337" s="163" t="s">
        <v>41</v>
      </c>
      <c r="O337" s="163" t="s">
        <v>41</v>
      </c>
      <c r="P337" s="163" t="s">
        <v>41</v>
      </c>
      <c r="Q337" s="171">
        <f>I337*G337</f>
        <v>74563.788369338115</v>
      </c>
      <c r="R337" s="161">
        <v>2021</v>
      </c>
      <c r="S337" s="165" t="s">
        <v>52</v>
      </c>
      <c r="U337" s="181"/>
      <c r="V337" s="168"/>
      <c r="W337" s="168"/>
      <c r="X337" s="168"/>
      <c r="Y337" s="168"/>
      <c r="Z337" s="168"/>
      <c r="AA337" s="168"/>
      <c r="AB337" s="168"/>
      <c r="AC337" s="169"/>
      <c r="AD337" s="188"/>
    </row>
    <row r="338" spans="3:30" ht="30" customHeight="1" outlineLevel="1" x14ac:dyDescent="0.25">
      <c r="C338" s="103" t="s">
        <v>356</v>
      </c>
      <c r="D338" s="104" t="s">
        <v>357</v>
      </c>
      <c r="E338" s="105">
        <v>2007</v>
      </c>
      <c r="F338" s="105" t="s">
        <v>39</v>
      </c>
      <c r="G338" s="203">
        <f>G341</f>
        <v>454.37</v>
      </c>
      <c r="H338" s="203" t="s">
        <v>40</v>
      </c>
      <c r="I338" s="107">
        <v>1200</v>
      </c>
      <c r="J338" s="108">
        <f t="shared" si="63"/>
        <v>737820</v>
      </c>
      <c r="K338" s="109">
        <f>R338-E338</f>
        <v>14</v>
      </c>
      <c r="L338" s="105">
        <v>50</v>
      </c>
      <c r="M338" s="105">
        <v>37</v>
      </c>
      <c r="N338" s="111">
        <f>+I338*G338</f>
        <v>545244</v>
      </c>
      <c r="O338" s="111">
        <f>+N338/L338</f>
        <v>10904.88</v>
      </c>
      <c r="P338" s="111">
        <f>(N338/L338)*M338</f>
        <v>403480.56</v>
      </c>
      <c r="Q338" s="105" t="s">
        <v>41</v>
      </c>
      <c r="R338" s="105">
        <v>2021</v>
      </c>
      <c r="S338" s="113" t="s">
        <v>358</v>
      </c>
      <c r="U338" s="176" t="s">
        <v>356</v>
      </c>
      <c r="V338" s="178" t="s">
        <v>108</v>
      </c>
      <c r="W338" s="178">
        <v>255888847.19999999</v>
      </c>
      <c r="X338" s="178">
        <v>0</v>
      </c>
      <c r="Y338" s="178">
        <v>18704143.75</v>
      </c>
      <c r="Z338" s="178">
        <v>53310176.380000003</v>
      </c>
      <c r="AA338" s="178">
        <v>2984209.96</v>
      </c>
      <c r="AB338" s="178">
        <v>218298604.60999998</v>
      </c>
      <c r="AC338" s="177" t="s">
        <v>359</v>
      </c>
      <c r="AD338" s="205">
        <v>900320</v>
      </c>
    </row>
    <row r="339" spans="3:30" ht="30" customHeight="1" outlineLevel="1" x14ac:dyDescent="0.25">
      <c r="C339" s="114" t="str">
        <f>C338</f>
        <v>F-7</v>
      </c>
      <c r="D339" s="115" t="s">
        <v>44</v>
      </c>
      <c r="E339" s="116">
        <v>2007</v>
      </c>
      <c r="F339" s="116" t="s">
        <v>39</v>
      </c>
      <c r="G339" s="206">
        <f>575.59-G338</f>
        <v>121.22000000000003</v>
      </c>
      <c r="H339" s="206" t="s">
        <v>40</v>
      </c>
      <c r="I339" s="118">
        <v>30.54</v>
      </c>
      <c r="J339" s="119">
        <f t="shared" si="63"/>
        <v>18777.519</v>
      </c>
      <c r="K339" s="120">
        <f>R339-E339</f>
        <v>14</v>
      </c>
      <c r="L339" s="116">
        <v>15</v>
      </c>
      <c r="M339" s="116">
        <v>9</v>
      </c>
      <c r="N339" s="122">
        <f>+I339*G339</f>
        <v>3702.0588000000007</v>
      </c>
      <c r="O339" s="122">
        <f>+N339/L339</f>
        <v>246.80392000000003</v>
      </c>
      <c r="P339" s="122">
        <f>(N339/L339)*M339</f>
        <v>2221.2352800000003</v>
      </c>
      <c r="Q339" s="116" t="s">
        <v>41</v>
      </c>
      <c r="R339" s="116">
        <v>2021</v>
      </c>
      <c r="S339" s="124" t="s">
        <v>358</v>
      </c>
      <c r="U339" s="180"/>
      <c r="V339" s="156"/>
      <c r="W339" s="156"/>
      <c r="X339" s="156"/>
      <c r="Y339" s="156"/>
      <c r="Z339" s="156"/>
      <c r="AA339" s="156"/>
      <c r="AB339" s="156"/>
      <c r="AC339" s="157"/>
      <c r="AD339" s="184"/>
    </row>
    <row r="340" spans="3:30" ht="30" customHeight="1" outlineLevel="1" x14ac:dyDescent="0.25">
      <c r="C340" s="114" t="str">
        <f>C338</f>
        <v>F-7</v>
      </c>
      <c r="D340" s="115" t="s">
        <v>46</v>
      </c>
      <c r="E340" s="116">
        <v>2007</v>
      </c>
      <c r="F340" s="116" t="s">
        <v>39</v>
      </c>
      <c r="G340" s="206">
        <f>703.94-G338</f>
        <v>249.57000000000005</v>
      </c>
      <c r="H340" s="206" t="s">
        <v>40</v>
      </c>
      <c r="I340" s="118">
        <v>3.4</v>
      </c>
      <c r="J340" s="119">
        <f t="shared" si="63"/>
        <v>2090.4900000000002</v>
      </c>
      <c r="K340" s="120">
        <f>R340-E340</f>
        <v>14</v>
      </c>
      <c r="L340" s="116">
        <v>10</v>
      </c>
      <c r="M340" s="116">
        <v>6</v>
      </c>
      <c r="N340" s="122">
        <f>+I340*G340</f>
        <v>848.53800000000012</v>
      </c>
      <c r="O340" s="122">
        <f>+N340/L340</f>
        <v>84.853800000000007</v>
      </c>
      <c r="P340" s="122">
        <f>(N340/L340)*M340</f>
        <v>509.12280000000004</v>
      </c>
      <c r="Q340" s="116" t="s">
        <v>41</v>
      </c>
      <c r="R340" s="116">
        <v>2021</v>
      </c>
      <c r="S340" s="124" t="s">
        <v>358</v>
      </c>
      <c r="U340" s="180"/>
      <c r="V340" s="156"/>
      <c r="W340" s="156"/>
      <c r="X340" s="156"/>
      <c r="Y340" s="156"/>
      <c r="Z340" s="156"/>
      <c r="AA340" s="156"/>
      <c r="AB340" s="156"/>
      <c r="AC340" s="157"/>
      <c r="AD340" s="184"/>
    </row>
    <row r="341" spans="3:30" ht="30" customHeight="1" outlineLevel="1" thickBot="1" x14ac:dyDescent="0.3">
      <c r="C341" s="159" t="str">
        <f>C338</f>
        <v>F-7</v>
      </c>
      <c r="D341" s="160" t="s">
        <v>48</v>
      </c>
      <c r="E341" s="161">
        <v>2007</v>
      </c>
      <c r="F341" s="161" t="s">
        <v>39</v>
      </c>
      <c r="G341" s="162">
        <v>454.37</v>
      </c>
      <c r="H341" s="218" t="s">
        <v>40</v>
      </c>
      <c r="I341" s="261">
        <f>+J341/$S$2</f>
        <v>159.03549679719333</v>
      </c>
      <c r="J341" s="97">
        <f t="shared" ref="J341" si="70">+((95000^(0.364-(0.00000133*G341)))/(G341^(0.364-(0.00000133*95000))))*6500</f>
        <v>97782.975205754323</v>
      </c>
      <c r="K341" s="163" t="s">
        <v>41</v>
      </c>
      <c r="L341" s="163" t="s">
        <v>41</v>
      </c>
      <c r="M341" s="163" t="s">
        <v>41</v>
      </c>
      <c r="N341" s="163" t="s">
        <v>41</v>
      </c>
      <c r="O341" s="163" t="s">
        <v>41</v>
      </c>
      <c r="P341" s="163" t="s">
        <v>41</v>
      </c>
      <c r="Q341" s="171">
        <f>I341*G341</f>
        <v>72260.958679740739</v>
      </c>
      <c r="R341" s="161">
        <v>2021</v>
      </c>
      <c r="S341" s="165" t="s">
        <v>358</v>
      </c>
      <c r="U341" s="181"/>
      <c r="V341" s="168"/>
      <c r="W341" s="168"/>
      <c r="X341" s="168"/>
      <c r="Y341" s="168"/>
      <c r="Z341" s="168"/>
      <c r="AA341" s="168"/>
      <c r="AB341" s="168"/>
      <c r="AC341" s="169"/>
      <c r="AD341" s="188"/>
    </row>
    <row r="342" spans="3:30" ht="30" customHeight="1" outlineLevel="1" x14ac:dyDescent="0.25">
      <c r="C342" s="103" t="s">
        <v>360</v>
      </c>
      <c r="D342" s="104" t="s">
        <v>361</v>
      </c>
      <c r="E342" s="105">
        <v>2005</v>
      </c>
      <c r="F342" s="105" t="s">
        <v>39</v>
      </c>
      <c r="G342" s="203">
        <v>26.75</v>
      </c>
      <c r="H342" s="203" t="s">
        <v>40</v>
      </c>
      <c r="I342" s="107">
        <v>200</v>
      </c>
      <c r="J342" s="108">
        <f t="shared" si="63"/>
        <v>122970</v>
      </c>
      <c r="K342" s="109">
        <f>R342-E342</f>
        <v>16</v>
      </c>
      <c r="L342" s="105">
        <v>50</v>
      </c>
      <c r="M342" s="105">
        <v>35</v>
      </c>
      <c r="N342" s="111">
        <f>+I342*G342</f>
        <v>5350</v>
      </c>
      <c r="O342" s="111">
        <f>+N342/L342</f>
        <v>107</v>
      </c>
      <c r="P342" s="111">
        <f>(N342/L342)*M342</f>
        <v>3745</v>
      </c>
      <c r="Q342" s="105" t="s">
        <v>41</v>
      </c>
      <c r="R342" s="105">
        <v>2021</v>
      </c>
      <c r="S342" s="113" t="s">
        <v>358</v>
      </c>
      <c r="T342" s="219" t="s">
        <v>246</v>
      </c>
      <c r="U342" s="299" t="s">
        <v>360</v>
      </c>
      <c r="V342" s="228" t="s">
        <v>140</v>
      </c>
      <c r="W342" s="228"/>
      <c r="X342" s="228"/>
      <c r="Y342" s="228"/>
      <c r="Z342" s="228"/>
      <c r="AA342" s="228"/>
      <c r="AB342" s="228"/>
      <c r="AC342" s="228"/>
      <c r="AD342" s="404"/>
    </row>
    <row r="343" spans="3:30" ht="30" customHeight="1" outlineLevel="1" x14ac:dyDescent="0.25">
      <c r="C343" s="114" t="str">
        <f>C342</f>
        <v>F-8</v>
      </c>
      <c r="D343" s="115" t="s">
        <v>165</v>
      </c>
      <c r="E343" s="116">
        <v>2005</v>
      </c>
      <c r="F343" s="116" t="s">
        <v>39</v>
      </c>
      <c r="G343" s="206">
        <v>0</v>
      </c>
      <c r="H343" s="206" t="s">
        <v>87</v>
      </c>
      <c r="I343" s="206">
        <v>0</v>
      </c>
      <c r="J343" s="206">
        <v>0</v>
      </c>
      <c r="K343" s="313">
        <v>0</v>
      </c>
      <c r="L343" s="206">
        <v>0</v>
      </c>
      <c r="M343" s="206">
        <v>0</v>
      </c>
      <c r="N343" s="314">
        <v>0</v>
      </c>
      <c r="O343" s="314">
        <v>0</v>
      </c>
      <c r="P343" s="314">
        <v>0</v>
      </c>
      <c r="Q343" s="116" t="s">
        <v>41</v>
      </c>
      <c r="R343" s="116" t="s">
        <v>87</v>
      </c>
      <c r="S343" s="124" t="s">
        <v>87</v>
      </c>
      <c r="T343" s="219" t="s">
        <v>246</v>
      </c>
      <c r="U343" s="301"/>
      <c r="V343" s="232"/>
      <c r="W343" s="232"/>
      <c r="X343" s="232"/>
      <c r="Y343" s="232"/>
      <c r="Z343" s="232"/>
      <c r="AA343" s="232"/>
      <c r="AB343" s="232"/>
      <c r="AC343" s="232"/>
      <c r="AD343" s="402"/>
    </row>
    <row r="344" spans="3:30" ht="30" customHeight="1" outlineLevel="1" x14ac:dyDescent="0.25">
      <c r="C344" s="114" t="str">
        <f>C342</f>
        <v>F-8</v>
      </c>
      <c r="D344" s="115" t="s">
        <v>46</v>
      </c>
      <c r="E344" s="116">
        <v>2005</v>
      </c>
      <c r="F344" s="116" t="s">
        <v>39</v>
      </c>
      <c r="G344" s="206">
        <f>84.75-G342</f>
        <v>58</v>
      </c>
      <c r="H344" s="206" t="s">
        <v>40</v>
      </c>
      <c r="I344" s="118">
        <v>3.4</v>
      </c>
      <c r="J344" s="119">
        <f t="shared" si="63"/>
        <v>2090.4900000000002</v>
      </c>
      <c r="K344" s="120">
        <f>R344-E344</f>
        <v>16</v>
      </c>
      <c r="L344" s="116">
        <v>10</v>
      </c>
      <c r="M344" s="116">
        <v>6</v>
      </c>
      <c r="N344" s="122">
        <f>+I344*G344</f>
        <v>197.2</v>
      </c>
      <c r="O344" s="122">
        <f>+N344/L344</f>
        <v>19.72</v>
      </c>
      <c r="P344" s="122">
        <f>(N344/L344)*M344</f>
        <v>118.32</v>
      </c>
      <c r="Q344" s="116" t="s">
        <v>41</v>
      </c>
      <c r="R344" s="116">
        <v>2021</v>
      </c>
      <c r="S344" s="124" t="s">
        <v>358</v>
      </c>
      <c r="T344" s="219" t="s">
        <v>246</v>
      </c>
      <c r="U344" s="301"/>
      <c r="V344" s="232"/>
      <c r="W344" s="232"/>
      <c r="X344" s="232"/>
      <c r="Y344" s="232"/>
      <c r="Z344" s="232"/>
      <c r="AA344" s="232"/>
      <c r="AB344" s="232"/>
      <c r="AC344" s="232"/>
      <c r="AD344" s="402"/>
    </row>
    <row r="345" spans="3:30" ht="30" customHeight="1" outlineLevel="1" thickBot="1" x14ac:dyDescent="0.3">
      <c r="C345" s="159" t="str">
        <f>C342</f>
        <v>F-8</v>
      </c>
      <c r="D345" s="160" t="s">
        <v>48</v>
      </c>
      <c r="E345" s="161">
        <v>2005</v>
      </c>
      <c r="F345" s="161" t="s">
        <v>39</v>
      </c>
      <c r="G345" s="162">
        <f>G342</f>
        <v>26.75</v>
      </c>
      <c r="H345" s="218" t="s">
        <v>40</v>
      </c>
      <c r="I345" s="261">
        <f>+J345/$S$2</f>
        <v>313.80147368675944</v>
      </c>
      <c r="J345" s="97">
        <f t="shared" ref="J345" si="71">+((95000^(0.364-(0.00000133*G345)))/(G345^(0.364-(0.00000133*95000))))*6500</f>
        <v>192940.83609630406</v>
      </c>
      <c r="K345" s="163" t="s">
        <v>41</v>
      </c>
      <c r="L345" s="163" t="s">
        <v>41</v>
      </c>
      <c r="M345" s="163" t="s">
        <v>41</v>
      </c>
      <c r="N345" s="163" t="s">
        <v>41</v>
      </c>
      <c r="O345" s="163" t="s">
        <v>41</v>
      </c>
      <c r="P345" s="163" t="s">
        <v>41</v>
      </c>
      <c r="Q345" s="171">
        <f>I345*G345</f>
        <v>8394.1894211208146</v>
      </c>
      <c r="R345" s="161">
        <v>2021</v>
      </c>
      <c r="S345" s="165" t="s">
        <v>358</v>
      </c>
      <c r="T345" s="219" t="s">
        <v>246</v>
      </c>
      <c r="U345" s="305"/>
      <c r="V345" s="238"/>
      <c r="W345" s="238"/>
      <c r="X345" s="238"/>
      <c r="Y345" s="238"/>
      <c r="Z345" s="238"/>
      <c r="AA345" s="238"/>
      <c r="AB345" s="238"/>
      <c r="AC345" s="238"/>
      <c r="AD345" s="403"/>
    </row>
    <row r="346" spans="3:30" ht="30" customHeight="1" outlineLevel="1" x14ac:dyDescent="0.25">
      <c r="C346" s="103" t="s">
        <v>362</v>
      </c>
      <c r="D346" s="104" t="s">
        <v>363</v>
      </c>
      <c r="E346" s="105">
        <v>2007</v>
      </c>
      <c r="F346" s="105" t="s">
        <v>39</v>
      </c>
      <c r="G346" s="203">
        <v>687.44</v>
      </c>
      <c r="H346" s="203" t="s">
        <v>40</v>
      </c>
      <c r="I346" s="107">
        <v>1000</v>
      </c>
      <c r="J346" s="108">
        <f t="shared" si="63"/>
        <v>614850</v>
      </c>
      <c r="K346" s="109">
        <f>R346-E346</f>
        <v>14</v>
      </c>
      <c r="L346" s="105">
        <v>50</v>
      </c>
      <c r="M346" s="105">
        <v>37</v>
      </c>
      <c r="N346" s="111">
        <f>+I346*G346</f>
        <v>687440</v>
      </c>
      <c r="O346" s="111">
        <f>+N346/L346</f>
        <v>13748.8</v>
      </c>
      <c r="P346" s="111">
        <f>(N346/L346)*M346</f>
        <v>508705.6</v>
      </c>
      <c r="Q346" s="105" t="s">
        <v>41</v>
      </c>
      <c r="R346" s="105">
        <v>2021</v>
      </c>
      <c r="S346" s="113" t="s">
        <v>52</v>
      </c>
      <c r="U346" s="176" t="s">
        <v>362</v>
      </c>
      <c r="V346" s="178" t="s">
        <v>108</v>
      </c>
      <c r="W346" s="178">
        <v>206461075.09999999</v>
      </c>
      <c r="X346" s="178">
        <v>0</v>
      </c>
      <c r="Y346" s="178">
        <v>31844110.780000001</v>
      </c>
      <c r="Z346" s="178">
        <v>43012723.869999997</v>
      </c>
      <c r="AA346" s="178">
        <v>5704652.7999999998</v>
      </c>
      <c r="AB346" s="178">
        <v>189587809.20999998</v>
      </c>
      <c r="AC346" s="177" t="s">
        <v>364</v>
      </c>
      <c r="AD346" s="205">
        <v>900318</v>
      </c>
    </row>
    <row r="347" spans="3:30" ht="30" customHeight="1" outlineLevel="1" x14ac:dyDescent="0.25">
      <c r="C347" s="114" t="str">
        <f>C346</f>
        <v>F-9</v>
      </c>
      <c r="D347" s="115" t="s">
        <v>44</v>
      </c>
      <c r="E347" s="116">
        <v>2007</v>
      </c>
      <c r="F347" s="116" t="s">
        <v>39</v>
      </c>
      <c r="G347" s="206">
        <f>818.82-G346</f>
        <v>131.38</v>
      </c>
      <c r="H347" s="206" t="s">
        <v>40</v>
      </c>
      <c r="I347" s="118">
        <v>30.54</v>
      </c>
      <c r="J347" s="119">
        <f t="shared" si="63"/>
        <v>18777.519</v>
      </c>
      <c r="K347" s="120">
        <f>R347-E347</f>
        <v>14</v>
      </c>
      <c r="L347" s="116">
        <v>15</v>
      </c>
      <c r="M347" s="116">
        <v>9</v>
      </c>
      <c r="N347" s="122">
        <f>+I347*G347</f>
        <v>4012.3451999999997</v>
      </c>
      <c r="O347" s="122">
        <f>+N347/L347</f>
        <v>267.48967999999996</v>
      </c>
      <c r="P347" s="122">
        <f>(N347/L347)*M347</f>
        <v>2407.4071199999998</v>
      </c>
      <c r="Q347" s="116" t="s">
        <v>41</v>
      </c>
      <c r="R347" s="116">
        <v>2021</v>
      </c>
      <c r="S347" s="124" t="s">
        <v>52</v>
      </c>
      <c r="U347" s="180"/>
      <c r="V347" s="156"/>
      <c r="W347" s="156"/>
      <c r="X347" s="156"/>
      <c r="Y347" s="156"/>
      <c r="Z347" s="156"/>
      <c r="AA347" s="156"/>
      <c r="AB347" s="156"/>
      <c r="AC347" s="157"/>
      <c r="AD347" s="184"/>
    </row>
    <row r="348" spans="3:30" ht="30" customHeight="1" outlineLevel="1" x14ac:dyDescent="0.25">
      <c r="C348" s="114" t="str">
        <f>C346</f>
        <v>F-9</v>
      </c>
      <c r="D348" s="115" t="s">
        <v>46</v>
      </c>
      <c r="E348" s="116">
        <v>2007</v>
      </c>
      <c r="F348" s="116" t="s">
        <v>39</v>
      </c>
      <c r="G348" s="206">
        <f>959.17-G346</f>
        <v>271.7299999999999</v>
      </c>
      <c r="H348" s="206" t="s">
        <v>40</v>
      </c>
      <c r="I348" s="118">
        <v>3.4</v>
      </c>
      <c r="J348" s="119">
        <f t="shared" si="63"/>
        <v>2090.4900000000002</v>
      </c>
      <c r="K348" s="120">
        <f>R348-E348</f>
        <v>14</v>
      </c>
      <c r="L348" s="116">
        <v>10</v>
      </c>
      <c r="M348" s="116">
        <v>6</v>
      </c>
      <c r="N348" s="122">
        <f>+I348*G348</f>
        <v>923.88199999999961</v>
      </c>
      <c r="O348" s="122">
        <f>+N348/L348</f>
        <v>92.388199999999955</v>
      </c>
      <c r="P348" s="122">
        <f>(N348/L348)*M348</f>
        <v>554.32919999999967</v>
      </c>
      <c r="Q348" s="116" t="s">
        <v>41</v>
      </c>
      <c r="R348" s="116">
        <v>2021</v>
      </c>
      <c r="S348" s="124" t="s">
        <v>52</v>
      </c>
      <c r="U348" s="180"/>
      <c r="V348" s="156"/>
      <c r="W348" s="156"/>
      <c r="X348" s="156"/>
      <c r="Y348" s="156"/>
      <c r="Z348" s="156"/>
      <c r="AA348" s="156"/>
      <c r="AB348" s="156"/>
      <c r="AC348" s="157"/>
      <c r="AD348" s="184"/>
    </row>
    <row r="349" spans="3:30" ht="30" customHeight="1" outlineLevel="1" thickBot="1" x14ac:dyDescent="0.3">
      <c r="C349" s="159" t="str">
        <f>C346</f>
        <v>F-9</v>
      </c>
      <c r="D349" s="160" t="s">
        <v>48</v>
      </c>
      <c r="E349" s="161">
        <v>2007</v>
      </c>
      <c r="F349" s="161" t="s">
        <v>39</v>
      </c>
      <c r="G349" s="162">
        <f>G346</f>
        <v>687.44</v>
      </c>
      <c r="H349" s="218" t="s">
        <v>40</v>
      </c>
      <c r="I349" s="261">
        <f>+J349/$S$2</f>
        <v>143.62022833814899</v>
      </c>
      <c r="J349" s="97">
        <f t="shared" ref="J349" si="72">+((95000^(0.364-(0.00000133*G349)))/(G349^(0.364-(0.00000133*95000))))*6500</f>
        <v>88304.897393710911</v>
      </c>
      <c r="K349" s="163" t="s">
        <v>41</v>
      </c>
      <c r="L349" s="163" t="s">
        <v>41</v>
      </c>
      <c r="M349" s="163" t="s">
        <v>41</v>
      </c>
      <c r="N349" s="163" t="s">
        <v>41</v>
      </c>
      <c r="O349" s="163" t="s">
        <v>41</v>
      </c>
      <c r="P349" s="163" t="s">
        <v>41</v>
      </c>
      <c r="Q349" s="171">
        <f>I349*G349</f>
        <v>98730.289768777147</v>
      </c>
      <c r="R349" s="161">
        <v>2021</v>
      </c>
      <c r="S349" s="165" t="s">
        <v>52</v>
      </c>
      <c r="U349" s="181"/>
      <c r="V349" s="168"/>
      <c r="W349" s="168"/>
      <c r="X349" s="168"/>
      <c r="Y349" s="168"/>
      <c r="Z349" s="168"/>
      <c r="AA349" s="168"/>
      <c r="AB349" s="168"/>
      <c r="AC349" s="169"/>
      <c r="AD349" s="188"/>
    </row>
    <row r="350" spans="3:30" ht="30" customHeight="1" outlineLevel="1" x14ac:dyDescent="0.25">
      <c r="C350" s="103" t="s">
        <v>365</v>
      </c>
      <c r="D350" s="104" t="s">
        <v>366</v>
      </c>
      <c r="E350" s="105">
        <v>2005</v>
      </c>
      <c r="F350" s="105" t="s">
        <v>39</v>
      </c>
      <c r="G350" s="203">
        <v>1166</v>
      </c>
      <c r="H350" s="203" t="s">
        <v>40</v>
      </c>
      <c r="I350" s="107">
        <v>1300</v>
      </c>
      <c r="J350" s="108">
        <f t="shared" si="63"/>
        <v>799305</v>
      </c>
      <c r="K350" s="109">
        <f>R350-E350</f>
        <v>16</v>
      </c>
      <c r="L350" s="105">
        <v>50</v>
      </c>
      <c r="M350" s="105">
        <v>35</v>
      </c>
      <c r="N350" s="111">
        <f>+I350*G350</f>
        <v>1515800</v>
      </c>
      <c r="O350" s="111">
        <f>+N350/L350</f>
        <v>30316</v>
      </c>
      <c r="P350" s="111">
        <f>(N350/L350)*M350</f>
        <v>1061060</v>
      </c>
      <c r="Q350" s="105" t="s">
        <v>41</v>
      </c>
      <c r="R350" s="105">
        <v>2021</v>
      </c>
      <c r="S350" s="113" t="s">
        <v>52</v>
      </c>
      <c r="U350" s="176" t="s">
        <v>365</v>
      </c>
      <c r="V350" s="177" t="s">
        <v>184</v>
      </c>
      <c r="W350" s="178">
        <v>310782896.10000002</v>
      </c>
      <c r="X350" s="178">
        <v>0</v>
      </c>
      <c r="Y350" s="178">
        <v>74228148.980000004</v>
      </c>
      <c r="Z350" s="178">
        <v>68890208.459999993</v>
      </c>
      <c r="AA350" s="178">
        <v>12240565.17</v>
      </c>
      <c r="AB350" s="178">
        <v>303880271.45000005</v>
      </c>
      <c r="AC350" s="177" t="s">
        <v>367</v>
      </c>
      <c r="AD350" s="205">
        <v>900295</v>
      </c>
    </row>
    <row r="351" spans="3:30" ht="30" customHeight="1" outlineLevel="1" x14ac:dyDescent="0.25">
      <c r="C351" s="114" t="str">
        <f>C350</f>
        <v>F-10</v>
      </c>
      <c r="D351" s="115" t="s">
        <v>44</v>
      </c>
      <c r="E351" s="116">
        <v>2005</v>
      </c>
      <c r="F351" s="116" t="s">
        <v>39</v>
      </c>
      <c r="G351" s="206">
        <v>8.86</v>
      </c>
      <c r="H351" s="206" t="s">
        <v>40</v>
      </c>
      <c r="I351" s="118">
        <v>30.54</v>
      </c>
      <c r="J351" s="119">
        <f t="shared" si="63"/>
        <v>18777.519</v>
      </c>
      <c r="K351" s="120">
        <f>R351-E351</f>
        <v>16</v>
      </c>
      <c r="L351" s="116">
        <v>15</v>
      </c>
      <c r="M351" s="116">
        <v>10</v>
      </c>
      <c r="N351" s="122">
        <f>+I351*G351</f>
        <v>270.58439999999996</v>
      </c>
      <c r="O351" s="122">
        <f>+N351/L351</f>
        <v>18.038959999999996</v>
      </c>
      <c r="P351" s="122">
        <f>(N351/L351)*M351</f>
        <v>180.38959999999997</v>
      </c>
      <c r="Q351" s="116" t="s">
        <v>41</v>
      </c>
      <c r="R351" s="116">
        <v>2021</v>
      </c>
      <c r="S351" s="124" t="s">
        <v>52</v>
      </c>
      <c r="U351" s="180"/>
      <c r="V351" s="157"/>
      <c r="W351" s="156"/>
      <c r="X351" s="156"/>
      <c r="Y351" s="156"/>
      <c r="Z351" s="156"/>
      <c r="AA351" s="156"/>
      <c r="AB351" s="156"/>
      <c r="AC351" s="157"/>
      <c r="AD351" s="184"/>
    </row>
    <row r="352" spans="3:30" ht="30" customHeight="1" outlineLevel="1" x14ac:dyDescent="0.25">
      <c r="C352" s="114" t="str">
        <f>C350</f>
        <v>F-10</v>
      </c>
      <c r="D352" s="115" t="s">
        <v>46</v>
      </c>
      <c r="E352" s="116">
        <v>2005</v>
      </c>
      <c r="F352" s="116" t="s">
        <v>39</v>
      </c>
      <c r="G352" s="206">
        <v>336.34</v>
      </c>
      <c r="H352" s="206" t="s">
        <v>40</v>
      </c>
      <c r="I352" s="118">
        <v>3.4</v>
      </c>
      <c r="J352" s="119">
        <f t="shared" si="63"/>
        <v>2090.4900000000002</v>
      </c>
      <c r="K352" s="120">
        <f>R352-E352</f>
        <v>16</v>
      </c>
      <c r="L352" s="116">
        <v>10</v>
      </c>
      <c r="M352" s="116">
        <v>6</v>
      </c>
      <c r="N352" s="122">
        <f>+I352*G352</f>
        <v>1143.5559999999998</v>
      </c>
      <c r="O352" s="122">
        <f>+N352/L352</f>
        <v>114.35559999999998</v>
      </c>
      <c r="P352" s="122">
        <f>(N352/L352)*M352</f>
        <v>686.13359999999989</v>
      </c>
      <c r="Q352" s="116" t="s">
        <v>41</v>
      </c>
      <c r="R352" s="116">
        <v>2021</v>
      </c>
      <c r="S352" s="124" t="s">
        <v>52</v>
      </c>
      <c r="U352" s="180"/>
      <c r="V352" s="157"/>
      <c r="W352" s="156"/>
      <c r="X352" s="156"/>
      <c r="Y352" s="156"/>
      <c r="Z352" s="156"/>
      <c r="AA352" s="156"/>
      <c r="AB352" s="156"/>
      <c r="AC352" s="157"/>
      <c r="AD352" s="184"/>
    </row>
    <row r="353" spans="2:30" ht="30" customHeight="1" outlineLevel="1" thickBot="1" x14ac:dyDescent="0.3">
      <c r="B353" s="1">
        <v>10</v>
      </c>
      <c r="C353" s="159" t="str">
        <f>C350</f>
        <v>F-10</v>
      </c>
      <c r="D353" s="160" t="s">
        <v>48</v>
      </c>
      <c r="E353" s="161">
        <v>2005</v>
      </c>
      <c r="F353" s="161" t="s">
        <v>39</v>
      </c>
      <c r="G353" s="162">
        <f>+G350/3</f>
        <v>388.66666666666669</v>
      </c>
      <c r="H353" s="218" t="s">
        <v>40</v>
      </c>
      <c r="I353" s="261">
        <f>+J353/$S$2</f>
        <v>165.21497507801413</v>
      </c>
      <c r="J353" s="208">
        <f t="shared" ref="J353" si="73">+((95000^(0.364-(0.00000133*G353)))/(G353^(0.364-(0.00000133*95000))))*6500</f>
        <v>101582.427426717</v>
      </c>
      <c r="K353" s="163" t="s">
        <v>41</v>
      </c>
      <c r="L353" s="163" t="s">
        <v>41</v>
      </c>
      <c r="M353" s="163" t="s">
        <v>41</v>
      </c>
      <c r="N353" s="163" t="s">
        <v>41</v>
      </c>
      <c r="O353" s="163" t="s">
        <v>41</v>
      </c>
      <c r="P353" s="163" t="s">
        <v>41</v>
      </c>
      <c r="Q353" s="171">
        <f>I353*G353</f>
        <v>64213.553646988163</v>
      </c>
      <c r="R353" s="161">
        <v>2021</v>
      </c>
      <c r="S353" s="165" t="s">
        <v>52</v>
      </c>
      <c r="U353" s="181"/>
      <c r="V353" s="169"/>
      <c r="W353" s="168"/>
      <c r="X353" s="168"/>
      <c r="Y353" s="168"/>
      <c r="Z353" s="168"/>
      <c r="AA353" s="168"/>
      <c r="AB353" s="168"/>
      <c r="AC353" s="169"/>
      <c r="AD353" s="188"/>
    </row>
    <row r="354" spans="2:30" ht="16.5" hidden="1" thickBot="1" x14ac:dyDescent="0.3">
      <c r="C354" s="262"/>
      <c r="D354" s="417" t="s">
        <v>368</v>
      </c>
      <c r="E354" s="210"/>
      <c r="F354" s="210"/>
      <c r="G354" s="210"/>
      <c r="H354" s="210"/>
      <c r="I354" s="213"/>
      <c r="J354" s="210"/>
      <c r="K354" s="210"/>
      <c r="L354" s="210"/>
      <c r="M354" s="210"/>
      <c r="N354" s="210"/>
      <c r="O354" s="210"/>
      <c r="P354" s="210"/>
      <c r="Q354" s="210"/>
      <c r="R354" s="210"/>
      <c r="S354" s="214"/>
      <c r="U354" s="264" t="s">
        <v>368</v>
      </c>
      <c r="V354" s="216"/>
      <c r="W354" s="216"/>
      <c r="X354" s="216"/>
      <c r="Y354" s="216"/>
      <c r="Z354" s="217"/>
      <c r="AA354" s="217"/>
      <c r="AB354" s="217"/>
      <c r="AC354" s="216"/>
      <c r="AD354" s="216"/>
    </row>
    <row r="355" spans="2:30" ht="30" customHeight="1" outlineLevel="1" x14ac:dyDescent="0.25">
      <c r="C355" s="103" t="s">
        <v>369</v>
      </c>
      <c r="D355" s="104" t="s">
        <v>370</v>
      </c>
      <c r="E355" s="105">
        <v>1976</v>
      </c>
      <c r="F355" s="105" t="s">
        <v>39</v>
      </c>
      <c r="G355" s="203">
        <f>G358</f>
        <v>629.97</v>
      </c>
      <c r="H355" s="203" t="s">
        <v>40</v>
      </c>
      <c r="I355" s="107">
        <v>800</v>
      </c>
      <c r="J355" s="108">
        <f t="shared" ref="J355:J417" si="74">I355*$S$2</f>
        <v>491880</v>
      </c>
      <c r="K355" s="109">
        <f>R355-E355</f>
        <v>45</v>
      </c>
      <c r="L355" s="105">
        <v>50</v>
      </c>
      <c r="M355" s="105">
        <v>30</v>
      </c>
      <c r="N355" s="111">
        <f>+I355*G355</f>
        <v>503976</v>
      </c>
      <c r="O355" s="111">
        <f>+N355/L355</f>
        <v>10079.52</v>
      </c>
      <c r="P355" s="111">
        <f>(N355/L355)*M355</f>
        <v>302385.60000000003</v>
      </c>
      <c r="Q355" s="105" t="s">
        <v>41</v>
      </c>
      <c r="R355" s="105">
        <v>2021</v>
      </c>
      <c r="S355" s="113" t="s">
        <v>52</v>
      </c>
      <c r="U355" s="220" t="s">
        <v>369</v>
      </c>
      <c r="V355" s="418" t="s">
        <v>118</v>
      </c>
      <c r="W355" s="73">
        <v>251521.51</v>
      </c>
      <c r="X355" s="73">
        <v>0</v>
      </c>
      <c r="Y355" s="73">
        <v>1864490.2</v>
      </c>
      <c r="Z355" s="73">
        <v>157684.6</v>
      </c>
      <c r="AA355" s="73">
        <v>734316.93</v>
      </c>
      <c r="AB355" s="73">
        <v>1224010.1799999997</v>
      </c>
      <c r="AC355" s="74" t="s">
        <v>371</v>
      </c>
      <c r="AD355" s="221">
        <v>900054</v>
      </c>
    </row>
    <row r="356" spans="2:30" ht="30" customHeight="1" outlineLevel="2" x14ac:dyDescent="0.25">
      <c r="C356" s="114" t="str">
        <f>C355</f>
        <v>G-1</v>
      </c>
      <c r="D356" s="115" t="s">
        <v>44</v>
      </c>
      <c r="E356" s="116">
        <v>1976</v>
      </c>
      <c r="F356" s="116" t="s">
        <v>39</v>
      </c>
      <c r="G356" s="206">
        <v>130.1</v>
      </c>
      <c r="H356" s="206" t="s">
        <v>40</v>
      </c>
      <c r="I356" s="118">
        <v>30.54</v>
      </c>
      <c r="J356" s="119">
        <f t="shared" si="74"/>
        <v>18777.519</v>
      </c>
      <c r="K356" s="120">
        <f>R356-E356</f>
        <v>45</v>
      </c>
      <c r="L356" s="116">
        <v>15</v>
      </c>
      <c r="M356" s="116">
        <v>5</v>
      </c>
      <c r="N356" s="122">
        <f>+I356*G356</f>
        <v>3973.2539999999999</v>
      </c>
      <c r="O356" s="122">
        <f>+N356/L356</f>
        <v>264.8836</v>
      </c>
      <c r="P356" s="122">
        <f>(N356/L356)*M356</f>
        <v>1324.4180000000001</v>
      </c>
      <c r="Q356" s="116" t="s">
        <v>41</v>
      </c>
      <c r="R356" s="116">
        <v>2021</v>
      </c>
      <c r="S356" s="124" t="s">
        <v>52</v>
      </c>
      <c r="U356" s="87" t="s">
        <v>369</v>
      </c>
      <c r="V356" s="225" t="s">
        <v>372</v>
      </c>
      <c r="W356" s="89">
        <v>116049573.3</v>
      </c>
      <c r="X356" s="89">
        <v>0</v>
      </c>
      <c r="Y356" s="89">
        <v>0</v>
      </c>
      <c r="Z356" s="89">
        <v>19148179.82</v>
      </c>
      <c r="AA356" s="89">
        <v>0</v>
      </c>
      <c r="AB356" s="89">
        <v>96901393.479999989</v>
      </c>
      <c r="AC356" s="90" t="s">
        <v>373</v>
      </c>
      <c r="AD356" s="223">
        <v>900340</v>
      </c>
    </row>
    <row r="357" spans="2:30" ht="30" customHeight="1" outlineLevel="2" x14ac:dyDescent="0.25">
      <c r="C357" s="114" t="str">
        <f>C355</f>
        <v>G-1</v>
      </c>
      <c r="D357" s="115" t="s">
        <v>46</v>
      </c>
      <c r="E357" s="116">
        <v>1976</v>
      </c>
      <c r="F357" s="116" t="s">
        <v>39</v>
      </c>
      <c r="G357" s="206">
        <v>268.2</v>
      </c>
      <c r="H357" s="206" t="s">
        <v>40</v>
      </c>
      <c r="I357" s="118">
        <v>3.4</v>
      </c>
      <c r="J357" s="119">
        <f t="shared" si="74"/>
        <v>2090.4900000000002</v>
      </c>
      <c r="K357" s="120">
        <f>R357-E357</f>
        <v>45</v>
      </c>
      <c r="L357" s="116">
        <v>10</v>
      </c>
      <c r="M357" s="116">
        <v>5</v>
      </c>
      <c r="N357" s="122">
        <f>+I357*G357</f>
        <v>911.87999999999988</v>
      </c>
      <c r="O357" s="122">
        <f>+N357/L357</f>
        <v>91.187999999999988</v>
      </c>
      <c r="P357" s="122">
        <f>(N357/L357)*M357</f>
        <v>455.93999999999994</v>
      </c>
      <c r="Q357" s="116" t="s">
        <v>41</v>
      </c>
      <c r="R357" s="116">
        <v>2021</v>
      </c>
      <c r="S357" s="124" t="s">
        <v>52</v>
      </c>
      <c r="U357" s="226" t="s">
        <v>369</v>
      </c>
      <c r="V357" s="419" t="s">
        <v>374</v>
      </c>
      <c r="W357" s="151">
        <v>8500000</v>
      </c>
      <c r="X357" s="151">
        <v>0</v>
      </c>
      <c r="Y357" s="151">
        <v>0</v>
      </c>
      <c r="Z357" s="151">
        <v>1374166.82</v>
      </c>
      <c r="AA357" s="151">
        <v>0</v>
      </c>
      <c r="AB357" s="151">
        <v>7125833.1799999997</v>
      </c>
      <c r="AC357" s="152" t="s">
        <v>375</v>
      </c>
      <c r="AD357" s="227">
        <v>900341</v>
      </c>
    </row>
    <row r="358" spans="2:30" ht="30" customHeight="1" outlineLevel="2" thickBot="1" x14ac:dyDescent="0.3">
      <c r="C358" s="159" t="str">
        <f>C355</f>
        <v>G-1</v>
      </c>
      <c r="D358" s="160" t="s">
        <v>48</v>
      </c>
      <c r="E358" s="161">
        <v>1976</v>
      </c>
      <c r="F358" s="161" t="s">
        <v>39</v>
      </c>
      <c r="G358" s="162">
        <v>629.97</v>
      </c>
      <c r="H358" s="218" t="s">
        <v>40</v>
      </c>
      <c r="I358" s="261">
        <f>+J358/$S$2</f>
        <v>146.75961672983561</v>
      </c>
      <c r="J358" s="97">
        <f t="shared" ref="J358" si="75">+((95000^(0.364-(0.00000133*G358)))/(G358^(0.364-(0.00000133*95000))))*6500</f>
        <v>90235.150346339433</v>
      </c>
      <c r="K358" s="163" t="s">
        <v>41</v>
      </c>
      <c r="L358" s="163" t="s">
        <v>41</v>
      </c>
      <c r="M358" s="163" t="s">
        <v>41</v>
      </c>
      <c r="N358" s="163" t="s">
        <v>41</v>
      </c>
      <c r="O358" s="163" t="s">
        <v>41</v>
      </c>
      <c r="P358" s="163" t="s">
        <v>41</v>
      </c>
      <c r="Q358" s="171">
        <f>I358*G358</f>
        <v>92454.155751294544</v>
      </c>
      <c r="R358" s="161">
        <v>2021</v>
      </c>
      <c r="S358" s="165" t="s">
        <v>52</v>
      </c>
      <c r="U358" s="181"/>
      <c r="V358" s="420"/>
      <c r="W358" s="168"/>
      <c r="X358" s="168"/>
      <c r="Y358" s="168"/>
      <c r="Z358" s="168"/>
      <c r="AA358" s="168"/>
      <c r="AB358" s="168"/>
      <c r="AC358" s="169"/>
      <c r="AD358" s="188"/>
    </row>
    <row r="359" spans="2:30" ht="30" customHeight="1" outlineLevel="1" x14ac:dyDescent="0.25">
      <c r="C359" s="103" t="s">
        <v>376</v>
      </c>
      <c r="D359" s="104" t="s">
        <v>377</v>
      </c>
      <c r="E359" s="105">
        <v>1978</v>
      </c>
      <c r="F359" s="105" t="s">
        <v>39</v>
      </c>
      <c r="G359" s="203">
        <f>G362</f>
        <v>602.41</v>
      </c>
      <c r="H359" s="203" t="s">
        <v>40</v>
      </c>
      <c r="I359" s="107">
        <v>1000</v>
      </c>
      <c r="J359" s="108">
        <f t="shared" si="74"/>
        <v>614850</v>
      </c>
      <c r="K359" s="109">
        <f>R359-E359</f>
        <v>43</v>
      </c>
      <c r="L359" s="105">
        <v>50</v>
      </c>
      <c r="M359" s="105">
        <v>30</v>
      </c>
      <c r="N359" s="111">
        <f>+I359*G359</f>
        <v>602410</v>
      </c>
      <c r="O359" s="111">
        <f>+N359/L359</f>
        <v>12048.2</v>
      </c>
      <c r="P359" s="111">
        <f>(N359/L359)*M359</f>
        <v>361446</v>
      </c>
      <c r="Q359" s="105" t="s">
        <v>41</v>
      </c>
      <c r="R359" s="105">
        <v>2021</v>
      </c>
      <c r="S359" s="113" t="s">
        <v>52</v>
      </c>
      <c r="U359" s="176" t="s">
        <v>376</v>
      </c>
      <c r="V359" s="421" t="s">
        <v>94</v>
      </c>
      <c r="W359" s="178">
        <v>6312275.25</v>
      </c>
      <c r="X359" s="178">
        <v>0</v>
      </c>
      <c r="Y359" s="178">
        <v>73302590.370000005</v>
      </c>
      <c r="Z359" s="178">
        <v>2282939.61</v>
      </c>
      <c r="AA359" s="178">
        <v>2355441.7200000002</v>
      </c>
      <c r="AB359" s="178">
        <v>74976484.290000007</v>
      </c>
      <c r="AC359" s="177" t="s">
        <v>378</v>
      </c>
      <c r="AD359" s="205">
        <v>900253</v>
      </c>
    </row>
    <row r="360" spans="2:30" ht="30" customHeight="1" outlineLevel="2" x14ac:dyDescent="0.25">
      <c r="C360" s="114" t="str">
        <f>C359</f>
        <v>G-2</v>
      </c>
      <c r="D360" s="115" t="s">
        <v>44</v>
      </c>
      <c r="E360" s="116">
        <v>1978</v>
      </c>
      <c r="F360" s="116" t="s">
        <v>39</v>
      </c>
      <c r="G360" s="206">
        <v>116.72</v>
      </c>
      <c r="H360" s="206" t="s">
        <v>40</v>
      </c>
      <c r="I360" s="118">
        <v>30.54</v>
      </c>
      <c r="J360" s="119">
        <f t="shared" si="74"/>
        <v>18777.519</v>
      </c>
      <c r="K360" s="120">
        <f>R360-E360</f>
        <v>43</v>
      </c>
      <c r="L360" s="116">
        <v>15</v>
      </c>
      <c r="M360" s="116">
        <v>5</v>
      </c>
      <c r="N360" s="122">
        <f>+I360*G360</f>
        <v>3564.6288</v>
      </c>
      <c r="O360" s="122">
        <f>+N360/L360</f>
        <v>237.64192</v>
      </c>
      <c r="P360" s="122">
        <f>(N360/L360)*M360</f>
        <v>1188.2095999999999</v>
      </c>
      <c r="Q360" s="116" t="s">
        <v>41</v>
      </c>
      <c r="R360" s="116">
        <v>2021</v>
      </c>
      <c r="S360" s="124" t="s">
        <v>52</v>
      </c>
      <c r="U360" s="180"/>
      <c r="V360" s="422"/>
      <c r="W360" s="156"/>
      <c r="X360" s="156"/>
      <c r="Y360" s="156"/>
      <c r="Z360" s="156"/>
      <c r="AA360" s="156"/>
      <c r="AB360" s="156"/>
      <c r="AC360" s="157"/>
      <c r="AD360" s="184"/>
    </row>
    <row r="361" spans="2:30" ht="30" customHeight="1" outlineLevel="2" x14ac:dyDescent="0.25">
      <c r="C361" s="114" t="str">
        <f>C359</f>
        <v>G-2</v>
      </c>
      <c r="D361" s="115" t="s">
        <v>46</v>
      </c>
      <c r="E361" s="116">
        <v>1978</v>
      </c>
      <c r="F361" s="116" t="s">
        <v>39</v>
      </c>
      <c r="G361" s="206">
        <v>159.75</v>
      </c>
      <c r="H361" s="206" t="s">
        <v>40</v>
      </c>
      <c r="I361" s="118">
        <v>3.4</v>
      </c>
      <c r="J361" s="119">
        <f t="shared" si="74"/>
        <v>2090.4900000000002</v>
      </c>
      <c r="K361" s="120">
        <f>R361-E361</f>
        <v>43</v>
      </c>
      <c r="L361" s="116">
        <v>10</v>
      </c>
      <c r="M361" s="116">
        <v>5</v>
      </c>
      <c r="N361" s="122">
        <f>+I361*G361</f>
        <v>543.15</v>
      </c>
      <c r="O361" s="122">
        <f>+N361/L361</f>
        <v>54.314999999999998</v>
      </c>
      <c r="P361" s="122">
        <f>(N361/L361)*M361</f>
        <v>271.57499999999999</v>
      </c>
      <c r="Q361" s="116" t="s">
        <v>41</v>
      </c>
      <c r="R361" s="116">
        <v>2021</v>
      </c>
      <c r="S361" s="124" t="s">
        <v>52</v>
      </c>
      <c r="U361" s="180"/>
      <c r="V361" s="422"/>
      <c r="W361" s="156"/>
      <c r="X361" s="156"/>
      <c r="Y361" s="156"/>
      <c r="Z361" s="156"/>
      <c r="AA361" s="156"/>
      <c r="AB361" s="156"/>
      <c r="AC361" s="157"/>
      <c r="AD361" s="184"/>
    </row>
    <row r="362" spans="2:30" ht="30" customHeight="1" outlineLevel="2" thickBot="1" x14ac:dyDescent="0.3">
      <c r="C362" s="159" t="str">
        <f>C359</f>
        <v>G-2</v>
      </c>
      <c r="D362" s="160" t="s">
        <v>48</v>
      </c>
      <c r="E362" s="161">
        <v>1978</v>
      </c>
      <c r="F362" s="161" t="s">
        <v>39</v>
      </c>
      <c r="G362" s="162">
        <v>602.41</v>
      </c>
      <c r="H362" s="218" t="s">
        <v>40</v>
      </c>
      <c r="I362" s="261">
        <f>+J362/$S$2</f>
        <v>148.39047269122329</v>
      </c>
      <c r="J362" s="97">
        <f t="shared" ref="J362" si="76">+((95000^(0.364-(0.00000133*G362)))/(G362^(0.364-(0.00000133*95000))))*6500</f>
        <v>91237.882134198648</v>
      </c>
      <c r="K362" s="163" t="s">
        <v>41</v>
      </c>
      <c r="L362" s="163" t="s">
        <v>41</v>
      </c>
      <c r="M362" s="163" t="s">
        <v>41</v>
      </c>
      <c r="N362" s="163" t="s">
        <v>41</v>
      </c>
      <c r="O362" s="163" t="s">
        <v>41</v>
      </c>
      <c r="P362" s="163" t="s">
        <v>41</v>
      </c>
      <c r="Q362" s="171">
        <f>I362*G362</f>
        <v>89391.904653919817</v>
      </c>
      <c r="R362" s="161">
        <v>2021</v>
      </c>
      <c r="S362" s="165" t="s">
        <v>52</v>
      </c>
      <c r="U362" s="181"/>
      <c r="V362" s="420"/>
      <c r="W362" s="168"/>
      <c r="X362" s="168"/>
      <c r="Y362" s="168"/>
      <c r="Z362" s="168"/>
      <c r="AA362" s="168"/>
      <c r="AB362" s="168"/>
      <c r="AC362" s="169"/>
      <c r="AD362" s="188"/>
    </row>
    <row r="363" spans="2:30" ht="30" customHeight="1" outlineLevel="1" x14ac:dyDescent="0.25">
      <c r="C363" s="103" t="s">
        <v>379</v>
      </c>
      <c r="D363" s="104" t="s">
        <v>380</v>
      </c>
      <c r="E363" s="105">
        <v>1978</v>
      </c>
      <c r="F363" s="105" t="s">
        <v>39</v>
      </c>
      <c r="G363" s="203">
        <f>G366</f>
        <v>720.41</v>
      </c>
      <c r="H363" s="203" t="s">
        <v>40</v>
      </c>
      <c r="I363" s="107">
        <v>1150</v>
      </c>
      <c r="J363" s="108">
        <f t="shared" si="74"/>
        <v>707077.5</v>
      </c>
      <c r="K363" s="109">
        <f>R363-E363</f>
        <v>43</v>
      </c>
      <c r="L363" s="105">
        <v>50</v>
      </c>
      <c r="M363" s="105">
        <v>30</v>
      </c>
      <c r="N363" s="111">
        <f>+I363*G363</f>
        <v>828471.5</v>
      </c>
      <c r="O363" s="111">
        <f>+N363/L363</f>
        <v>16569.43</v>
      </c>
      <c r="P363" s="111">
        <f>(N363/L363)*M363</f>
        <v>497082.9</v>
      </c>
      <c r="Q363" s="105" t="s">
        <v>41</v>
      </c>
      <c r="R363" s="105">
        <v>2021</v>
      </c>
      <c r="S363" s="113" t="s">
        <v>52</v>
      </c>
      <c r="U363" s="176" t="s">
        <v>379</v>
      </c>
      <c r="V363" s="421" t="s">
        <v>94</v>
      </c>
      <c r="W363" s="178">
        <v>22296362.350000001</v>
      </c>
      <c r="X363" s="178">
        <v>0</v>
      </c>
      <c r="Y363" s="178">
        <v>33676531.039999999</v>
      </c>
      <c r="Z363" s="178">
        <v>8063850.8499999996</v>
      </c>
      <c r="AA363" s="178">
        <v>3379737.35</v>
      </c>
      <c r="AB363" s="178">
        <v>44529305.189999998</v>
      </c>
      <c r="AC363" s="177" t="s">
        <v>381</v>
      </c>
      <c r="AD363" s="205">
        <v>900254</v>
      </c>
    </row>
    <row r="364" spans="2:30" ht="30" customHeight="1" outlineLevel="2" x14ac:dyDescent="0.25">
      <c r="C364" s="114" t="str">
        <f>C363</f>
        <v>G-3</v>
      </c>
      <c r="D364" s="115" t="s">
        <v>44</v>
      </c>
      <c r="E364" s="116">
        <v>1978</v>
      </c>
      <c r="F364" s="116" t="s">
        <v>39</v>
      </c>
      <c r="G364" s="206">
        <v>102.87</v>
      </c>
      <c r="H364" s="206" t="s">
        <v>40</v>
      </c>
      <c r="I364" s="118">
        <v>30.54</v>
      </c>
      <c r="J364" s="119">
        <f t="shared" si="74"/>
        <v>18777.519</v>
      </c>
      <c r="K364" s="120">
        <f>R364-E364</f>
        <v>43</v>
      </c>
      <c r="L364" s="116">
        <v>15</v>
      </c>
      <c r="M364" s="116">
        <v>5</v>
      </c>
      <c r="N364" s="122">
        <f>+I364*G364</f>
        <v>3141.6498000000001</v>
      </c>
      <c r="O364" s="122">
        <f>+N364/L364</f>
        <v>209.44332</v>
      </c>
      <c r="P364" s="122">
        <f>(N364/L364)*M364</f>
        <v>1047.2166</v>
      </c>
      <c r="Q364" s="116" t="s">
        <v>41</v>
      </c>
      <c r="R364" s="116">
        <v>2021</v>
      </c>
      <c r="S364" s="124" t="s">
        <v>52</v>
      </c>
      <c r="U364" s="330"/>
      <c r="V364" s="423"/>
      <c r="W364" s="332"/>
      <c r="X364" s="332"/>
      <c r="Y364" s="332"/>
      <c r="Z364" s="332"/>
      <c r="AA364" s="332"/>
      <c r="AB364" s="332"/>
      <c r="AC364" s="331"/>
      <c r="AD364" s="333"/>
    </row>
    <row r="365" spans="2:30" ht="30" customHeight="1" outlineLevel="2" x14ac:dyDescent="0.25">
      <c r="C365" s="114" t="str">
        <f>C363</f>
        <v>G-3</v>
      </c>
      <c r="D365" s="115" t="s">
        <v>46</v>
      </c>
      <c r="E365" s="116">
        <v>1978</v>
      </c>
      <c r="F365" s="116" t="s">
        <v>39</v>
      </c>
      <c r="G365" s="206">
        <v>230.47</v>
      </c>
      <c r="H365" s="206" t="s">
        <v>40</v>
      </c>
      <c r="I365" s="118">
        <v>3.4</v>
      </c>
      <c r="J365" s="119">
        <f t="shared" si="74"/>
        <v>2090.4900000000002</v>
      </c>
      <c r="K365" s="120">
        <f>R365-E365</f>
        <v>43</v>
      </c>
      <c r="L365" s="116">
        <v>10</v>
      </c>
      <c r="M365" s="116">
        <v>5</v>
      </c>
      <c r="N365" s="122">
        <f>+I365*G365</f>
        <v>783.59799999999996</v>
      </c>
      <c r="O365" s="122">
        <f>+N365/L365</f>
        <v>78.359799999999993</v>
      </c>
      <c r="P365" s="122">
        <f>(N365/L365)*M365</f>
        <v>391.79899999999998</v>
      </c>
      <c r="Q365" s="116" t="s">
        <v>41</v>
      </c>
      <c r="R365" s="116">
        <v>2021</v>
      </c>
      <c r="S365" s="124" t="s">
        <v>52</v>
      </c>
      <c r="U365" s="226" t="s">
        <v>379</v>
      </c>
      <c r="V365" s="419" t="s">
        <v>382</v>
      </c>
      <c r="W365" s="151">
        <v>1047738.11</v>
      </c>
      <c r="X365" s="151">
        <v>0</v>
      </c>
      <c r="Y365" s="151">
        <v>164124474.36000001</v>
      </c>
      <c r="Z365" s="151">
        <v>1030340.93</v>
      </c>
      <c r="AA365" s="151">
        <v>12016166.16</v>
      </c>
      <c r="AB365" s="151">
        <v>152125705.38000003</v>
      </c>
      <c r="AC365" s="152" t="s">
        <v>383</v>
      </c>
      <c r="AD365" s="227">
        <v>900124</v>
      </c>
    </row>
    <row r="366" spans="2:30" ht="30" customHeight="1" outlineLevel="2" thickBot="1" x14ac:dyDescent="0.3">
      <c r="C366" s="159" t="str">
        <f>C363</f>
        <v>G-3</v>
      </c>
      <c r="D366" s="160" t="s">
        <v>48</v>
      </c>
      <c r="E366" s="161">
        <v>1978</v>
      </c>
      <c r="F366" s="161" t="s">
        <v>39</v>
      </c>
      <c r="G366" s="162">
        <v>720.41</v>
      </c>
      <c r="H366" s="218" t="s">
        <v>40</v>
      </c>
      <c r="I366" s="261">
        <f>+J366/$S$2</f>
        <v>141.95881507823736</v>
      </c>
      <c r="J366" s="97">
        <f>+((95000^(0.364-(0.00000133*G366)))/(G366^(0.364-(0.00000133*95000))))*6500</f>
        <v>87283.377450854241</v>
      </c>
      <c r="K366" s="163" t="s">
        <v>41</v>
      </c>
      <c r="L366" s="163" t="s">
        <v>41</v>
      </c>
      <c r="M366" s="163" t="s">
        <v>41</v>
      </c>
      <c r="N366" s="163" t="s">
        <v>41</v>
      </c>
      <c r="O366" s="163" t="s">
        <v>41</v>
      </c>
      <c r="P366" s="163" t="s">
        <v>41</v>
      </c>
      <c r="Q366" s="171">
        <f>I366*G366</f>
        <v>102268.54997051298</v>
      </c>
      <c r="R366" s="161">
        <v>2021</v>
      </c>
      <c r="S366" s="165" t="s">
        <v>52</v>
      </c>
      <c r="U366" s="181"/>
      <c r="V366" s="420"/>
      <c r="W366" s="168"/>
      <c r="X366" s="168"/>
      <c r="Y366" s="168"/>
      <c r="Z366" s="168"/>
      <c r="AA366" s="168"/>
      <c r="AB366" s="168"/>
      <c r="AC366" s="169"/>
      <c r="AD366" s="188"/>
    </row>
    <row r="367" spans="2:30" ht="30" customHeight="1" outlineLevel="1" x14ac:dyDescent="0.25">
      <c r="C367" s="103" t="s">
        <v>384</v>
      </c>
      <c r="D367" s="104" t="s">
        <v>385</v>
      </c>
      <c r="E367" s="105">
        <v>1980</v>
      </c>
      <c r="F367" s="105" t="s">
        <v>39</v>
      </c>
      <c r="G367" s="203">
        <f>G370</f>
        <v>133.01</v>
      </c>
      <c r="H367" s="203" t="s">
        <v>40</v>
      </c>
      <c r="I367" s="107">
        <v>1100</v>
      </c>
      <c r="J367" s="108">
        <f>I367*$S$2</f>
        <v>676335</v>
      </c>
      <c r="K367" s="109">
        <f>R367-E367</f>
        <v>41</v>
      </c>
      <c r="L367" s="105">
        <v>50</v>
      </c>
      <c r="M367" s="105">
        <v>30</v>
      </c>
      <c r="N367" s="111">
        <f>+I367*G367</f>
        <v>146311</v>
      </c>
      <c r="O367" s="111">
        <f>+N367/L367</f>
        <v>2926.22</v>
      </c>
      <c r="P367" s="111">
        <f>(N367/L367)*M367</f>
        <v>87786.599999999991</v>
      </c>
      <c r="Q367" s="105" t="s">
        <v>41</v>
      </c>
      <c r="R367" s="105">
        <v>2021</v>
      </c>
      <c r="S367" s="113" t="s">
        <v>52</v>
      </c>
      <c r="T367" s="219" t="s">
        <v>148</v>
      </c>
      <c r="U367" s="176" t="s">
        <v>384</v>
      </c>
      <c r="V367" s="421" t="s">
        <v>71</v>
      </c>
      <c r="W367" s="178">
        <v>278718.34000000003</v>
      </c>
      <c r="X367" s="178">
        <v>0</v>
      </c>
      <c r="Y367" s="178">
        <v>52703268.520000003</v>
      </c>
      <c r="Z367" s="178">
        <v>197425.3</v>
      </c>
      <c r="AA367" s="178">
        <v>5723533.5</v>
      </c>
      <c r="AB367" s="178">
        <v>47061028.06000001</v>
      </c>
      <c r="AC367" s="177" t="s">
        <v>341</v>
      </c>
      <c r="AD367" s="205">
        <v>900122</v>
      </c>
    </row>
    <row r="368" spans="2:30" ht="30" customHeight="1" outlineLevel="2" x14ac:dyDescent="0.25">
      <c r="C368" s="114" t="str">
        <f>C367</f>
        <v>G-4</v>
      </c>
      <c r="D368" s="115" t="s">
        <v>44</v>
      </c>
      <c r="E368" s="116">
        <v>1980</v>
      </c>
      <c r="F368" s="116" t="s">
        <v>39</v>
      </c>
      <c r="G368" s="206">
        <v>61.07</v>
      </c>
      <c r="H368" s="206" t="s">
        <v>40</v>
      </c>
      <c r="I368" s="118">
        <v>30.54</v>
      </c>
      <c r="J368" s="119">
        <f t="shared" si="74"/>
        <v>18777.519</v>
      </c>
      <c r="K368" s="120">
        <f>R368-E368</f>
        <v>41</v>
      </c>
      <c r="L368" s="116">
        <v>15</v>
      </c>
      <c r="M368" s="116">
        <v>5</v>
      </c>
      <c r="N368" s="122">
        <f>+I368*G368</f>
        <v>1865.0778</v>
      </c>
      <c r="O368" s="122">
        <f>+N368/L368</f>
        <v>124.33852</v>
      </c>
      <c r="P368" s="122">
        <f>(N368/L368)*M368</f>
        <v>621.69259999999997</v>
      </c>
      <c r="Q368" s="116" t="s">
        <v>41</v>
      </c>
      <c r="R368" s="116">
        <v>2021</v>
      </c>
      <c r="S368" s="124" t="s">
        <v>52</v>
      </c>
      <c r="T368" s="219" t="s">
        <v>148</v>
      </c>
      <c r="U368" s="180"/>
      <c r="V368" s="422"/>
      <c r="W368" s="156"/>
      <c r="X368" s="156"/>
      <c r="Y368" s="156"/>
      <c r="Z368" s="156"/>
      <c r="AA368" s="156"/>
      <c r="AB368" s="156"/>
      <c r="AC368" s="157"/>
      <c r="AD368" s="184"/>
    </row>
    <row r="369" spans="3:30" ht="30" customHeight="1" outlineLevel="2" x14ac:dyDescent="0.25">
      <c r="C369" s="114" t="str">
        <f>C367</f>
        <v>G-4</v>
      </c>
      <c r="D369" s="115" t="s">
        <v>46</v>
      </c>
      <c r="E369" s="116">
        <v>1980</v>
      </c>
      <c r="F369" s="116" t="s">
        <v>39</v>
      </c>
      <c r="G369" s="206">
        <v>128.61000000000001</v>
      </c>
      <c r="H369" s="206" t="s">
        <v>40</v>
      </c>
      <c r="I369" s="118">
        <v>3.4</v>
      </c>
      <c r="J369" s="119">
        <f t="shared" si="74"/>
        <v>2090.4900000000002</v>
      </c>
      <c r="K369" s="120">
        <f>R369-E369</f>
        <v>41</v>
      </c>
      <c r="L369" s="116">
        <v>10</v>
      </c>
      <c r="M369" s="116">
        <v>5</v>
      </c>
      <c r="N369" s="122">
        <f>+I369*G369</f>
        <v>437.27400000000006</v>
      </c>
      <c r="O369" s="122">
        <f>+N369/L369</f>
        <v>43.727400000000003</v>
      </c>
      <c r="P369" s="122">
        <f>(N369/L369)*M369</f>
        <v>218.637</v>
      </c>
      <c r="Q369" s="116" t="s">
        <v>41</v>
      </c>
      <c r="R369" s="116">
        <v>2021</v>
      </c>
      <c r="S369" s="124" t="s">
        <v>52</v>
      </c>
      <c r="T369" s="219" t="s">
        <v>148</v>
      </c>
      <c r="U369" s="180"/>
      <c r="V369" s="422"/>
      <c r="W369" s="156"/>
      <c r="X369" s="156"/>
      <c r="Y369" s="156"/>
      <c r="Z369" s="156"/>
      <c r="AA369" s="156"/>
      <c r="AB369" s="156"/>
      <c r="AC369" s="157"/>
      <c r="AD369" s="184"/>
    </row>
    <row r="370" spans="3:30" ht="30" customHeight="1" outlineLevel="2" thickBot="1" x14ac:dyDescent="0.3">
      <c r="C370" s="159" t="str">
        <f>C367</f>
        <v>G-4</v>
      </c>
      <c r="D370" s="160" t="s">
        <v>48</v>
      </c>
      <c r="E370" s="161">
        <v>1980</v>
      </c>
      <c r="F370" s="161" t="s">
        <v>39</v>
      </c>
      <c r="G370" s="162">
        <v>133.01</v>
      </c>
      <c r="H370" s="218" t="s">
        <v>40</v>
      </c>
      <c r="I370" s="261">
        <f>+J370/$S$2</f>
        <v>214.0000592159295</v>
      </c>
      <c r="J370" s="97">
        <f t="shared" ref="J370" si="77">+((95000^(0.364-(0.00000133*G370)))/(G370^(0.364-(0.00000133*95000))))*6500</f>
        <v>131577.93640891425</v>
      </c>
      <c r="K370" s="163" t="s">
        <v>41</v>
      </c>
      <c r="L370" s="163" t="s">
        <v>41</v>
      </c>
      <c r="M370" s="163" t="s">
        <v>41</v>
      </c>
      <c r="N370" s="163" t="s">
        <v>41</v>
      </c>
      <c r="O370" s="163" t="s">
        <v>41</v>
      </c>
      <c r="P370" s="163" t="s">
        <v>41</v>
      </c>
      <c r="Q370" s="171">
        <f>I370*G370</f>
        <v>28464.147876310781</v>
      </c>
      <c r="R370" s="161">
        <v>2021</v>
      </c>
      <c r="S370" s="165" t="s">
        <v>52</v>
      </c>
      <c r="T370" s="219" t="s">
        <v>148</v>
      </c>
      <c r="U370" s="181"/>
      <c r="V370" s="420"/>
      <c r="W370" s="168"/>
      <c r="X370" s="168"/>
      <c r="Y370" s="168"/>
      <c r="Z370" s="168"/>
      <c r="AA370" s="168"/>
      <c r="AB370" s="168"/>
      <c r="AC370" s="169"/>
      <c r="AD370" s="188"/>
    </row>
    <row r="371" spans="3:30" ht="30" customHeight="1" outlineLevel="1" x14ac:dyDescent="0.25">
      <c r="C371" s="103" t="s">
        <v>386</v>
      </c>
      <c r="D371" s="104" t="s">
        <v>387</v>
      </c>
      <c r="E371" s="105">
        <v>1981</v>
      </c>
      <c r="F371" s="105" t="s">
        <v>39</v>
      </c>
      <c r="G371" s="203">
        <f>G374</f>
        <v>818.18</v>
      </c>
      <c r="H371" s="203" t="s">
        <v>40</v>
      </c>
      <c r="I371" s="107">
        <v>1400</v>
      </c>
      <c r="J371" s="108">
        <f t="shared" si="74"/>
        <v>860790</v>
      </c>
      <c r="K371" s="109">
        <f>R371-E371</f>
        <v>40</v>
      </c>
      <c r="L371" s="105">
        <v>50</v>
      </c>
      <c r="M371" s="105">
        <v>30</v>
      </c>
      <c r="N371" s="111">
        <f>+I371*G371</f>
        <v>1145452</v>
      </c>
      <c r="O371" s="111">
        <f>+N371/L371</f>
        <v>22909.040000000001</v>
      </c>
      <c r="P371" s="111">
        <f>(N371/L371)*M371</f>
        <v>687271.20000000007</v>
      </c>
      <c r="Q371" s="105" t="s">
        <v>41</v>
      </c>
      <c r="R371" s="105">
        <v>2021</v>
      </c>
      <c r="S371" s="113" t="s">
        <v>52</v>
      </c>
      <c r="U371" s="176" t="s">
        <v>386</v>
      </c>
      <c r="V371" s="421" t="s">
        <v>158</v>
      </c>
      <c r="W371" s="178">
        <v>1373042.97</v>
      </c>
      <c r="X371" s="178">
        <v>0</v>
      </c>
      <c r="Y371" s="178">
        <v>23727038.989999998</v>
      </c>
      <c r="Z371" s="178">
        <v>1173951.74</v>
      </c>
      <c r="AA371" s="178">
        <v>4556105.71</v>
      </c>
      <c r="AB371" s="178">
        <v>19370024.509999998</v>
      </c>
      <c r="AC371" s="177" t="s">
        <v>266</v>
      </c>
      <c r="AD371" s="205">
        <v>900039</v>
      </c>
    </row>
    <row r="372" spans="3:30" ht="30" customHeight="1" outlineLevel="2" x14ac:dyDescent="0.25">
      <c r="C372" s="114" t="str">
        <f>C371</f>
        <v>G-5</v>
      </c>
      <c r="D372" s="115" t="s">
        <v>44</v>
      </c>
      <c r="E372" s="116">
        <v>1981</v>
      </c>
      <c r="F372" s="116" t="s">
        <v>39</v>
      </c>
      <c r="G372" s="206">
        <v>150.47</v>
      </c>
      <c r="H372" s="206" t="s">
        <v>40</v>
      </c>
      <c r="I372" s="118">
        <v>30.54</v>
      </c>
      <c r="J372" s="119">
        <f t="shared" si="74"/>
        <v>18777.519</v>
      </c>
      <c r="K372" s="120">
        <f>R372-E372</f>
        <v>40</v>
      </c>
      <c r="L372" s="116">
        <v>15</v>
      </c>
      <c r="M372" s="116">
        <v>5</v>
      </c>
      <c r="N372" s="122">
        <f>+I372*G372</f>
        <v>4595.3537999999999</v>
      </c>
      <c r="O372" s="122">
        <f>+N372/L372</f>
        <v>306.35692</v>
      </c>
      <c r="P372" s="122">
        <f>(N372/L372)*M372</f>
        <v>1531.7846</v>
      </c>
      <c r="Q372" s="116" t="s">
        <v>41</v>
      </c>
      <c r="R372" s="116">
        <v>2021</v>
      </c>
      <c r="S372" s="124" t="s">
        <v>52</v>
      </c>
      <c r="U372" s="180"/>
      <c r="V372" s="422"/>
      <c r="W372" s="156"/>
      <c r="X372" s="156"/>
      <c r="Y372" s="156"/>
      <c r="Z372" s="156"/>
      <c r="AA372" s="156"/>
      <c r="AB372" s="156"/>
      <c r="AC372" s="157"/>
      <c r="AD372" s="184"/>
    </row>
    <row r="373" spans="3:30" ht="30" customHeight="1" outlineLevel="2" x14ac:dyDescent="0.25">
      <c r="C373" s="114" t="str">
        <f>C371</f>
        <v>G-5</v>
      </c>
      <c r="D373" s="115" t="s">
        <v>46</v>
      </c>
      <c r="E373" s="116">
        <v>1981</v>
      </c>
      <c r="F373" s="116" t="s">
        <v>39</v>
      </c>
      <c r="G373" s="206">
        <v>109.1</v>
      </c>
      <c r="H373" s="206" t="s">
        <v>40</v>
      </c>
      <c r="I373" s="118">
        <v>3.4</v>
      </c>
      <c r="J373" s="119">
        <f t="shared" si="74"/>
        <v>2090.4900000000002</v>
      </c>
      <c r="K373" s="120">
        <f>R373-E373</f>
        <v>40</v>
      </c>
      <c r="L373" s="116">
        <v>10</v>
      </c>
      <c r="M373" s="116">
        <v>5</v>
      </c>
      <c r="N373" s="122">
        <f>+I373*G373</f>
        <v>370.94</v>
      </c>
      <c r="O373" s="122">
        <f>+N373/L373</f>
        <v>37.094000000000001</v>
      </c>
      <c r="P373" s="122">
        <f>(N373/L373)*M373</f>
        <v>185.47</v>
      </c>
      <c r="Q373" s="116" t="s">
        <v>41</v>
      </c>
      <c r="R373" s="116">
        <v>2021</v>
      </c>
      <c r="S373" s="124" t="s">
        <v>52</v>
      </c>
      <c r="U373" s="180"/>
      <c r="V373" s="422"/>
      <c r="W373" s="156"/>
      <c r="X373" s="156"/>
      <c r="Y373" s="156"/>
      <c r="Z373" s="156"/>
      <c r="AA373" s="156"/>
      <c r="AB373" s="156"/>
      <c r="AC373" s="157"/>
      <c r="AD373" s="184"/>
    </row>
    <row r="374" spans="3:30" ht="30" customHeight="1" outlineLevel="2" thickBot="1" x14ac:dyDescent="0.3">
      <c r="C374" s="159" t="str">
        <f>C371</f>
        <v>G-5</v>
      </c>
      <c r="D374" s="160" t="s">
        <v>48</v>
      </c>
      <c r="E374" s="161">
        <v>1981</v>
      </c>
      <c r="F374" s="161" t="s">
        <v>39</v>
      </c>
      <c r="G374" s="162">
        <v>818.18</v>
      </c>
      <c r="H374" s="218" t="s">
        <v>40</v>
      </c>
      <c r="I374" s="261">
        <f>+J374/$S$2</f>
        <v>137.52459793464499</v>
      </c>
      <c r="J374" s="97">
        <f t="shared" ref="J374" si="78">+((95000^(0.364-(0.00000133*G374)))/(G374^(0.364-(0.00000133*95000))))*6500</f>
        <v>84556.999040116469</v>
      </c>
      <c r="K374" s="163" t="s">
        <v>41</v>
      </c>
      <c r="L374" s="163" t="s">
        <v>41</v>
      </c>
      <c r="M374" s="163" t="s">
        <v>41</v>
      </c>
      <c r="N374" s="163" t="s">
        <v>41</v>
      </c>
      <c r="O374" s="163" t="s">
        <v>41</v>
      </c>
      <c r="P374" s="163" t="s">
        <v>41</v>
      </c>
      <c r="Q374" s="171">
        <f>I374*G374</f>
        <v>112519.87553816783</v>
      </c>
      <c r="R374" s="161">
        <v>2021</v>
      </c>
      <c r="S374" s="165" t="s">
        <v>52</v>
      </c>
      <c r="U374" s="181"/>
      <c r="V374" s="420"/>
      <c r="W374" s="168"/>
      <c r="X374" s="168"/>
      <c r="Y374" s="168"/>
      <c r="Z374" s="168"/>
      <c r="AA374" s="168"/>
      <c r="AB374" s="168"/>
      <c r="AC374" s="169"/>
      <c r="AD374" s="188"/>
    </row>
    <row r="375" spans="3:30" ht="30" customHeight="1" outlineLevel="1" x14ac:dyDescent="0.25">
      <c r="C375" s="103" t="s">
        <v>388</v>
      </c>
      <c r="D375" s="104" t="s">
        <v>389</v>
      </c>
      <c r="E375" s="105">
        <v>1992</v>
      </c>
      <c r="F375" s="105" t="s">
        <v>39</v>
      </c>
      <c r="G375" s="203">
        <f>G378+654.64</f>
        <v>1309.28</v>
      </c>
      <c r="H375" s="203" t="s">
        <v>40</v>
      </c>
      <c r="I375" s="107">
        <v>1500</v>
      </c>
      <c r="J375" s="108">
        <f t="shared" si="74"/>
        <v>922275</v>
      </c>
      <c r="K375" s="109">
        <f>R375-E375</f>
        <v>29</v>
      </c>
      <c r="L375" s="105">
        <v>50</v>
      </c>
      <c r="M375" s="105">
        <v>30</v>
      </c>
      <c r="N375" s="111">
        <f>+I375*G375</f>
        <v>1963920</v>
      </c>
      <c r="O375" s="111">
        <f>+N375/L375</f>
        <v>39278.400000000001</v>
      </c>
      <c r="P375" s="111">
        <f>(N375/L375)*M375</f>
        <v>1178352</v>
      </c>
      <c r="Q375" s="105" t="s">
        <v>41</v>
      </c>
      <c r="R375" s="105">
        <v>2021</v>
      </c>
      <c r="S375" s="113" t="s">
        <v>52</v>
      </c>
      <c r="U375" s="220" t="s">
        <v>388</v>
      </c>
      <c r="V375" s="72">
        <v>32172</v>
      </c>
      <c r="W375" s="73">
        <v>3384726.78</v>
      </c>
      <c r="X375" s="73">
        <v>0</v>
      </c>
      <c r="Y375" s="73">
        <v>0</v>
      </c>
      <c r="Z375" s="73">
        <v>1497243.84</v>
      </c>
      <c r="AA375" s="73">
        <v>0</v>
      </c>
      <c r="AB375" s="73">
        <v>1887482.9399999997</v>
      </c>
      <c r="AC375" s="74" t="s">
        <v>390</v>
      </c>
      <c r="AD375" s="221">
        <v>900194</v>
      </c>
    </row>
    <row r="376" spans="3:30" ht="30" customHeight="1" outlineLevel="2" x14ac:dyDescent="0.25">
      <c r="C376" s="114" t="str">
        <f>C375</f>
        <v>G-6</v>
      </c>
      <c r="D376" s="115" t="s">
        <v>44</v>
      </c>
      <c r="E376" s="116">
        <v>1992</v>
      </c>
      <c r="F376" s="116" t="s">
        <v>39</v>
      </c>
      <c r="G376" s="206">
        <v>137.11000000000001</v>
      </c>
      <c r="H376" s="206" t="s">
        <v>40</v>
      </c>
      <c r="I376" s="118">
        <v>30.54</v>
      </c>
      <c r="J376" s="119">
        <f t="shared" si="74"/>
        <v>18777.519</v>
      </c>
      <c r="K376" s="120">
        <f>R376-E376</f>
        <v>29</v>
      </c>
      <c r="L376" s="116">
        <v>15</v>
      </c>
      <c r="M376" s="116">
        <v>5</v>
      </c>
      <c r="N376" s="122">
        <f>+I376*G376</f>
        <v>4187.3394000000008</v>
      </c>
      <c r="O376" s="122">
        <f>+N376/L376</f>
        <v>279.15596000000005</v>
      </c>
      <c r="P376" s="122">
        <f>(N376/L376)*M376</f>
        <v>1395.7798000000003</v>
      </c>
      <c r="Q376" s="116" t="s">
        <v>41</v>
      </c>
      <c r="R376" s="116">
        <v>2021</v>
      </c>
      <c r="S376" s="124" t="s">
        <v>52</v>
      </c>
      <c r="U376" s="87" t="s">
        <v>388</v>
      </c>
      <c r="V376" s="88">
        <v>32172</v>
      </c>
      <c r="W376" s="89">
        <v>5577379.4400000004</v>
      </c>
      <c r="X376" s="89">
        <v>0</v>
      </c>
      <c r="Y376" s="89">
        <v>0</v>
      </c>
      <c r="Z376" s="89">
        <v>2467170.1800000002</v>
      </c>
      <c r="AA376" s="89">
        <v>0</v>
      </c>
      <c r="AB376" s="89">
        <v>3110209.2600000002</v>
      </c>
      <c r="AC376" s="90" t="s">
        <v>391</v>
      </c>
      <c r="AD376" s="223">
        <v>900195</v>
      </c>
    </row>
    <row r="377" spans="3:30" ht="30" customHeight="1" outlineLevel="2" x14ac:dyDescent="0.25">
      <c r="C377" s="114" t="str">
        <f>C375</f>
        <v>G-6</v>
      </c>
      <c r="D377" s="115" t="s">
        <v>46</v>
      </c>
      <c r="E377" s="116">
        <v>1992</v>
      </c>
      <c r="F377" s="116" t="s">
        <v>39</v>
      </c>
      <c r="G377" s="206">
        <v>272.64</v>
      </c>
      <c r="H377" s="206" t="s">
        <v>40</v>
      </c>
      <c r="I377" s="118">
        <v>3.4</v>
      </c>
      <c r="J377" s="119">
        <f t="shared" si="74"/>
        <v>2090.4900000000002</v>
      </c>
      <c r="K377" s="120">
        <f>R377-E377</f>
        <v>29</v>
      </c>
      <c r="L377" s="116">
        <v>10</v>
      </c>
      <c r="M377" s="116">
        <v>5</v>
      </c>
      <c r="N377" s="122">
        <f>+I377*G377</f>
        <v>926.97599999999989</v>
      </c>
      <c r="O377" s="122">
        <f>+N377/L377</f>
        <v>92.697599999999994</v>
      </c>
      <c r="P377" s="122">
        <f>(N377/L377)*M377</f>
        <v>463.48799999999994</v>
      </c>
      <c r="Q377" s="116" t="s">
        <v>41</v>
      </c>
      <c r="R377" s="116">
        <v>2021</v>
      </c>
      <c r="S377" s="124" t="s">
        <v>52</v>
      </c>
      <c r="U377" s="226" t="s">
        <v>388</v>
      </c>
      <c r="V377" s="150">
        <v>32172</v>
      </c>
      <c r="W377" s="151">
        <v>1906030.49</v>
      </c>
      <c r="X377" s="151">
        <v>0</v>
      </c>
      <c r="Y377" s="151">
        <v>0</v>
      </c>
      <c r="Z377" s="151">
        <v>1001226.53</v>
      </c>
      <c r="AA377" s="151">
        <v>0</v>
      </c>
      <c r="AB377" s="151">
        <v>904803.96</v>
      </c>
      <c r="AC377" s="152" t="s">
        <v>392</v>
      </c>
      <c r="AD377" s="227">
        <v>900223</v>
      </c>
    </row>
    <row r="378" spans="3:30" ht="30" customHeight="1" outlineLevel="2" thickBot="1" x14ac:dyDescent="0.3">
      <c r="C378" s="159" t="str">
        <f>C375</f>
        <v>G-6</v>
      </c>
      <c r="D378" s="160" t="s">
        <v>48</v>
      </c>
      <c r="E378" s="161">
        <v>1992</v>
      </c>
      <c r="F378" s="161" t="s">
        <v>39</v>
      </c>
      <c r="G378" s="162">
        <v>654.64</v>
      </c>
      <c r="H378" s="218" t="s">
        <v>40</v>
      </c>
      <c r="I378" s="261">
        <f>+J378/$S$2</f>
        <v>145.37127778410976</v>
      </c>
      <c r="J378" s="97">
        <f t="shared" ref="J378" si="79">+((95000^(0.364-(0.00000133*G378)))/(G378^(0.364-(0.00000133*95000))))*6500</f>
        <v>89381.530145559896</v>
      </c>
      <c r="K378" s="163" t="s">
        <v>41</v>
      </c>
      <c r="L378" s="163" t="s">
        <v>41</v>
      </c>
      <c r="M378" s="163" t="s">
        <v>41</v>
      </c>
      <c r="N378" s="163" t="s">
        <v>41</v>
      </c>
      <c r="O378" s="163" t="s">
        <v>41</v>
      </c>
      <c r="P378" s="163" t="s">
        <v>41</v>
      </c>
      <c r="Q378" s="171">
        <f>I378*G378</f>
        <v>95165.853288589613</v>
      </c>
      <c r="R378" s="161">
        <v>2021</v>
      </c>
      <c r="S378" s="165" t="s">
        <v>52</v>
      </c>
      <c r="U378" s="181"/>
      <c r="V378" s="167"/>
      <c r="W378" s="168"/>
      <c r="X378" s="168"/>
      <c r="Y378" s="168"/>
      <c r="Z378" s="168"/>
      <c r="AA378" s="168"/>
      <c r="AB378" s="168"/>
      <c r="AC378" s="169"/>
      <c r="AD378" s="188"/>
    </row>
    <row r="379" spans="3:30" ht="30" customHeight="1" outlineLevel="1" x14ac:dyDescent="0.25">
      <c r="C379" s="103" t="s">
        <v>393</v>
      </c>
      <c r="D379" s="104" t="s">
        <v>394</v>
      </c>
      <c r="E379" s="105">
        <v>2007</v>
      </c>
      <c r="F379" s="105" t="s">
        <v>39</v>
      </c>
      <c r="G379" s="203">
        <f>G382</f>
        <v>587.63</v>
      </c>
      <c r="H379" s="203" t="s">
        <v>40</v>
      </c>
      <c r="I379" s="107">
        <v>1200</v>
      </c>
      <c r="J379" s="108">
        <f t="shared" si="74"/>
        <v>737820</v>
      </c>
      <c r="K379" s="109">
        <f>R379-E379</f>
        <v>14</v>
      </c>
      <c r="L379" s="105">
        <v>50</v>
      </c>
      <c r="M379" s="105">
        <v>37</v>
      </c>
      <c r="N379" s="111">
        <f>+I379*G379</f>
        <v>705156</v>
      </c>
      <c r="O379" s="111">
        <f>+N379/L379</f>
        <v>14103.12</v>
      </c>
      <c r="P379" s="111">
        <f>(N379/L379)*M379</f>
        <v>521815.44</v>
      </c>
      <c r="Q379" s="105" t="s">
        <v>41</v>
      </c>
      <c r="R379" s="105">
        <v>2021</v>
      </c>
      <c r="S379" s="113" t="s">
        <v>52</v>
      </c>
      <c r="U379" s="176" t="s">
        <v>393</v>
      </c>
      <c r="V379" s="421" t="s">
        <v>94</v>
      </c>
      <c r="W379" s="178">
        <v>2046222.15</v>
      </c>
      <c r="X379" s="178">
        <v>0</v>
      </c>
      <c r="Y379" s="178">
        <v>93865276.25</v>
      </c>
      <c r="Z379" s="178">
        <v>740050.32</v>
      </c>
      <c r="AA379" s="178">
        <v>26507020</v>
      </c>
      <c r="AB379" s="178">
        <v>68664428.080000013</v>
      </c>
      <c r="AC379" s="177" t="s">
        <v>395</v>
      </c>
      <c r="AD379" s="205">
        <v>900255</v>
      </c>
    </row>
    <row r="380" spans="3:30" ht="30" customHeight="1" outlineLevel="2" x14ac:dyDescent="0.25">
      <c r="C380" s="114" t="str">
        <f>C379</f>
        <v>G-7</v>
      </c>
      <c r="D380" s="115" t="s">
        <v>44</v>
      </c>
      <c r="E380" s="116">
        <v>2007</v>
      </c>
      <c r="F380" s="116" t="s">
        <v>39</v>
      </c>
      <c r="G380" s="206">
        <v>130.01</v>
      </c>
      <c r="H380" s="206" t="s">
        <v>40</v>
      </c>
      <c r="I380" s="118">
        <v>30.54</v>
      </c>
      <c r="J380" s="119">
        <f t="shared" si="74"/>
        <v>18777.519</v>
      </c>
      <c r="K380" s="120">
        <f>R380-E380</f>
        <v>14</v>
      </c>
      <c r="L380" s="116">
        <v>15</v>
      </c>
      <c r="M380" s="116">
        <v>9</v>
      </c>
      <c r="N380" s="122">
        <f>+I380*G380</f>
        <v>3970.5053999999996</v>
      </c>
      <c r="O380" s="122">
        <f>+N380/L380</f>
        <v>264.70035999999999</v>
      </c>
      <c r="P380" s="122">
        <f>(N380/L380)*M380</f>
        <v>2382.3032399999997</v>
      </c>
      <c r="Q380" s="116" t="s">
        <v>41</v>
      </c>
      <c r="R380" s="116">
        <v>2021</v>
      </c>
      <c r="S380" s="124" t="s">
        <v>52</v>
      </c>
      <c r="U380" s="330"/>
      <c r="V380" s="423"/>
      <c r="W380" s="332"/>
      <c r="X380" s="332"/>
      <c r="Y380" s="332"/>
      <c r="Z380" s="332"/>
      <c r="AA380" s="332"/>
      <c r="AB380" s="332"/>
      <c r="AC380" s="331"/>
      <c r="AD380" s="333"/>
    </row>
    <row r="381" spans="3:30" ht="30" customHeight="1" outlineLevel="2" x14ac:dyDescent="0.25">
      <c r="C381" s="114" t="str">
        <f>C379</f>
        <v>G-7</v>
      </c>
      <c r="D381" s="115" t="s">
        <v>46</v>
      </c>
      <c r="E381" s="116">
        <v>2007</v>
      </c>
      <c r="F381" s="116" t="s">
        <v>39</v>
      </c>
      <c r="G381" s="206">
        <v>266.01</v>
      </c>
      <c r="H381" s="206" t="s">
        <v>40</v>
      </c>
      <c r="I381" s="118">
        <v>3.4</v>
      </c>
      <c r="J381" s="119">
        <f t="shared" si="74"/>
        <v>2090.4900000000002</v>
      </c>
      <c r="K381" s="120">
        <f>R381-E381</f>
        <v>14</v>
      </c>
      <c r="L381" s="116">
        <v>10</v>
      </c>
      <c r="M381" s="116">
        <v>6</v>
      </c>
      <c r="N381" s="122">
        <f>+I381*G381</f>
        <v>904.43399999999997</v>
      </c>
      <c r="O381" s="122">
        <f>+N381/L381</f>
        <v>90.443399999999997</v>
      </c>
      <c r="P381" s="122">
        <f>(N381/L381)*M381</f>
        <v>542.66039999999998</v>
      </c>
      <c r="Q381" s="116" t="s">
        <v>41</v>
      </c>
      <c r="R381" s="116">
        <v>2021</v>
      </c>
      <c r="S381" s="124" t="s">
        <v>52</v>
      </c>
      <c r="U381" s="226" t="s">
        <v>393</v>
      </c>
      <c r="V381" s="150">
        <v>39022</v>
      </c>
      <c r="W381" s="151">
        <v>9667944.5</v>
      </c>
      <c r="X381" s="151">
        <v>0</v>
      </c>
      <c r="Y381" s="151">
        <v>0</v>
      </c>
      <c r="Z381" s="151">
        <v>6364730.0199999996</v>
      </c>
      <c r="AA381" s="151">
        <v>0</v>
      </c>
      <c r="AB381" s="151">
        <v>3303214.4800000004</v>
      </c>
      <c r="AC381" s="152" t="s">
        <v>396</v>
      </c>
      <c r="AD381" s="227">
        <v>900280</v>
      </c>
    </row>
    <row r="382" spans="3:30" ht="30" customHeight="1" outlineLevel="2" thickBot="1" x14ac:dyDescent="0.3">
      <c r="C382" s="159" t="str">
        <f>C379</f>
        <v>G-7</v>
      </c>
      <c r="D382" s="160" t="s">
        <v>48</v>
      </c>
      <c r="E382" s="161">
        <v>2007</v>
      </c>
      <c r="F382" s="161" t="s">
        <v>39</v>
      </c>
      <c r="G382" s="162">
        <v>587.63</v>
      </c>
      <c r="H382" s="218" t="s">
        <v>40</v>
      </c>
      <c r="I382" s="261">
        <f>+J382/$S$2</f>
        <v>149.3027084499945</v>
      </c>
      <c r="J382" s="97">
        <f t="shared" ref="J382" si="80">+((95000^(0.364-(0.00000133*G382)))/(G382^(0.364-(0.00000133*95000))))*6500</f>
        <v>91798.770290479122</v>
      </c>
      <c r="K382" s="163" t="s">
        <v>41</v>
      </c>
      <c r="L382" s="163" t="s">
        <v>41</v>
      </c>
      <c r="M382" s="163" t="s">
        <v>41</v>
      </c>
      <c r="N382" s="163" t="s">
        <v>41</v>
      </c>
      <c r="O382" s="163" t="s">
        <v>41</v>
      </c>
      <c r="P382" s="163" t="s">
        <v>41</v>
      </c>
      <c r="Q382" s="171">
        <f>I382*G382</f>
        <v>87734.750566470262</v>
      </c>
      <c r="R382" s="161">
        <v>2021</v>
      </c>
      <c r="S382" s="165" t="s">
        <v>52</v>
      </c>
      <c r="U382" s="181"/>
      <c r="V382" s="167"/>
      <c r="W382" s="168"/>
      <c r="X382" s="168"/>
      <c r="Y382" s="168"/>
      <c r="Z382" s="168"/>
      <c r="AA382" s="168"/>
      <c r="AB382" s="168"/>
      <c r="AC382" s="169"/>
      <c r="AD382" s="188"/>
    </row>
    <row r="383" spans="3:30" ht="30" customHeight="1" outlineLevel="1" x14ac:dyDescent="0.25">
      <c r="C383" s="103" t="s">
        <v>397</v>
      </c>
      <c r="D383" s="104" t="s">
        <v>398</v>
      </c>
      <c r="E383" s="105">
        <v>2010</v>
      </c>
      <c r="F383" s="105" t="s">
        <v>39</v>
      </c>
      <c r="G383" s="203">
        <f>G386</f>
        <v>261.08</v>
      </c>
      <c r="H383" s="203" t="s">
        <v>40</v>
      </c>
      <c r="I383" s="107">
        <v>1100</v>
      </c>
      <c r="J383" s="108">
        <f t="shared" si="74"/>
        <v>676335</v>
      </c>
      <c r="K383" s="109">
        <f>R383-E383</f>
        <v>11</v>
      </c>
      <c r="L383" s="105">
        <v>50</v>
      </c>
      <c r="M383" s="105">
        <v>40</v>
      </c>
      <c r="N383" s="111">
        <f>+I383*G383</f>
        <v>287188</v>
      </c>
      <c r="O383" s="111">
        <f>+N383/L383</f>
        <v>5743.76</v>
      </c>
      <c r="P383" s="111">
        <f>(N383/L383)*M383</f>
        <v>229750.40000000002</v>
      </c>
      <c r="Q383" s="105" t="s">
        <v>41</v>
      </c>
      <c r="R383" s="105">
        <v>2021</v>
      </c>
      <c r="S383" s="113" t="s">
        <v>52</v>
      </c>
      <c r="U383" s="176" t="s">
        <v>397</v>
      </c>
      <c r="V383" s="189">
        <v>43144</v>
      </c>
      <c r="W383" s="178">
        <v>75169685</v>
      </c>
      <c r="X383" s="178">
        <v>0</v>
      </c>
      <c r="Y383" s="178">
        <v>25197249.149999999</v>
      </c>
      <c r="Z383" s="178">
        <v>12626562.84</v>
      </c>
      <c r="AA383" s="178">
        <v>3999051.81</v>
      </c>
      <c r="AB383" s="178">
        <v>83741319.5</v>
      </c>
      <c r="AC383" s="177" t="s">
        <v>399</v>
      </c>
      <c r="AD383" s="205">
        <v>900378</v>
      </c>
    </row>
    <row r="384" spans="3:30" ht="30" customHeight="1" outlineLevel="2" x14ac:dyDescent="0.25">
      <c r="C384" s="114" t="str">
        <f>C383</f>
        <v>G-8</v>
      </c>
      <c r="D384" s="115" t="s">
        <v>44</v>
      </c>
      <c r="E384" s="116">
        <v>2010</v>
      </c>
      <c r="F384" s="116" t="s">
        <v>39</v>
      </c>
      <c r="G384" s="206">
        <v>72.489999999999995</v>
      </c>
      <c r="H384" s="206" t="s">
        <v>40</v>
      </c>
      <c r="I384" s="118">
        <v>30.54</v>
      </c>
      <c r="J384" s="119">
        <f t="shared" si="74"/>
        <v>18777.519</v>
      </c>
      <c r="K384" s="120">
        <f>R384-E384</f>
        <v>11</v>
      </c>
      <c r="L384" s="116">
        <v>15</v>
      </c>
      <c r="M384" s="116">
        <v>11</v>
      </c>
      <c r="N384" s="122">
        <f>+I384*G384</f>
        <v>2213.8445999999999</v>
      </c>
      <c r="O384" s="122">
        <f>+N384/L384</f>
        <v>147.58964</v>
      </c>
      <c r="P384" s="122">
        <f>(N384/L384)*M384</f>
        <v>1623.48604</v>
      </c>
      <c r="Q384" s="116" t="s">
        <v>41</v>
      </c>
      <c r="R384" s="116">
        <v>2021</v>
      </c>
      <c r="S384" s="124" t="s">
        <v>52</v>
      </c>
      <c r="U384" s="330"/>
      <c r="V384" s="355"/>
      <c r="W384" s="332"/>
      <c r="X384" s="332"/>
      <c r="Y384" s="332"/>
      <c r="Z384" s="332"/>
      <c r="AA384" s="332"/>
      <c r="AB384" s="332"/>
      <c r="AC384" s="331"/>
      <c r="AD384" s="333"/>
    </row>
    <row r="385" spans="3:30" ht="30" customHeight="1" outlineLevel="2" x14ac:dyDescent="0.25">
      <c r="C385" s="114" t="str">
        <f>C383</f>
        <v>G-8</v>
      </c>
      <c r="D385" s="115" t="s">
        <v>46</v>
      </c>
      <c r="E385" s="116">
        <v>2010</v>
      </c>
      <c r="F385" s="116" t="s">
        <v>39</v>
      </c>
      <c r="G385" s="206">
        <v>152.61000000000001</v>
      </c>
      <c r="H385" s="206" t="s">
        <v>40</v>
      </c>
      <c r="I385" s="118">
        <v>3.4</v>
      </c>
      <c r="J385" s="119">
        <f t="shared" si="74"/>
        <v>2090.4900000000002</v>
      </c>
      <c r="K385" s="120">
        <f>R385-E385</f>
        <v>11</v>
      </c>
      <c r="L385" s="116">
        <v>10</v>
      </c>
      <c r="M385" s="116">
        <v>7</v>
      </c>
      <c r="N385" s="122">
        <f>+I385*G385</f>
        <v>518.87400000000002</v>
      </c>
      <c r="O385" s="122">
        <f>+N385/L385</f>
        <v>51.8874</v>
      </c>
      <c r="P385" s="122">
        <f>(N385/L385)*M385</f>
        <v>363.21179999999998</v>
      </c>
      <c r="Q385" s="116" t="s">
        <v>41</v>
      </c>
      <c r="R385" s="116">
        <v>2021</v>
      </c>
      <c r="S385" s="124" t="s">
        <v>52</v>
      </c>
      <c r="U385" s="226" t="s">
        <v>397</v>
      </c>
      <c r="V385" s="150">
        <v>41120</v>
      </c>
      <c r="W385" s="151">
        <v>77978998.25</v>
      </c>
      <c r="X385" s="151">
        <v>0</v>
      </c>
      <c r="Y385" s="151">
        <v>34603775.619999997</v>
      </c>
      <c r="Z385" s="151">
        <v>11696849.880000001</v>
      </c>
      <c r="AA385" s="151">
        <v>4307130.93</v>
      </c>
      <c r="AB385" s="151">
        <v>96578793.060000002</v>
      </c>
      <c r="AC385" s="152" t="s">
        <v>400</v>
      </c>
      <c r="AD385" s="227">
        <v>900345</v>
      </c>
    </row>
    <row r="386" spans="3:30" ht="30" customHeight="1" outlineLevel="2" thickBot="1" x14ac:dyDescent="0.3">
      <c r="C386" s="159" t="str">
        <f>C383</f>
        <v>G-8</v>
      </c>
      <c r="D386" s="160" t="s">
        <v>48</v>
      </c>
      <c r="E386" s="161">
        <v>2010</v>
      </c>
      <c r="F386" s="161" t="s">
        <v>39</v>
      </c>
      <c r="G386" s="162">
        <v>261.08</v>
      </c>
      <c r="H386" s="218" t="s">
        <v>40</v>
      </c>
      <c r="I386" s="261">
        <f>+J386/$S$2</f>
        <v>181.95369432399971</v>
      </c>
      <c r="J386" s="97">
        <f t="shared" ref="J386" si="81">+((95000^(0.364-(0.00000133*G386)))/(G386^(0.364-(0.00000133*95000))))*6500</f>
        <v>111874.22895511123</v>
      </c>
      <c r="K386" s="163" t="s">
        <v>41</v>
      </c>
      <c r="L386" s="163" t="s">
        <v>41</v>
      </c>
      <c r="M386" s="163" t="s">
        <v>41</v>
      </c>
      <c r="N386" s="163" t="s">
        <v>41</v>
      </c>
      <c r="O386" s="163" t="s">
        <v>41</v>
      </c>
      <c r="P386" s="163" t="s">
        <v>41</v>
      </c>
      <c r="Q386" s="171">
        <f>I386*G386</f>
        <v>47504.470514109846</v>
      </c>
      <c r="R386" s="161">
        <v>2021</v>
      </c>
      <c r="S386" s="165" t="s">
        <v>52</v>
      </c>
      <c r="U386" s="181"/>
      <c r="V386" s="167"/>
      <c r="W386" s="168"/>
      <c r="X386" s="168"/>
      <c r="Y386" s="168"/>
      <c r="Z386" s="168"/>
      <c r="AA386" s="168"/>
      <c r="AB386" s="168"/>
      <c r="AC386" s="169"/>
      <c r="AD386" s="188"/>
    </row>
    <row r="387" spans="3:30" ht="30" customHeight="1" outlineLevel="1" x14ac:dyDescent="0.25">
      <c r="C387" s="103" t="s">
        <v>401</v>
      </c>
      <c r="D387" s="104" t="s">
        <v>402</v>
      </c>
      <c r="E387" s="105">
        <v>2008</v>
      </c>
      <c r="F387" s="105" t="s">
        <v>39</v>
      </c>
      <c r="G387" s="203">
        <f>G390</f>
        <v>195.75</v>
      </c>
      <c r="H387" s="203" t="s">
        <v>40</v>
      </c>
      <c r="I387" s="107">
        <v>800</v>
      </c>
      <c r="J387" s="108">
        <f t="shared" si="74"/>
        <v>491880</v>
      </c>
      <c r="K387" s="109">
        <f>R387-E387</f>
        <v>13</v>
      </c>
      <c r="L387" s="105">
        <v>50</v>
      </c>
      <c r="M387" s="105">
        <v>48</v>
      </c>
      <c r="N387" s="111">
        <f>+I387*G387</f>
        <v>156600</v>
      </c>
      <c r="O387" s="111">
        <f>+N387/L387</f>
        <v>3132</v>
      </c>
      <c r="P387" s="111">
        <f>(N387/L387)*M387</f>
        <v>150336</v>
      </c>
      <c r="Q387" s="105" t="s">
        <v>41</v>
      </c>
      <c r="R387" s="105">
        <v>2021</v>
      </c>
      <c r="S387" s="113" t="s">
        <v>52</v>
      </c>
      <c r="T387" s="219" t="s">
        <v>403</v>
      </c>
      <c r="U387" s="176" t="s">
        <v>401</v>
      </c>
      <c r="V387" s="189">
        <v>27424</v>
      </c>
      <c r="W387" s="178">
        <v>180189.43</v>
      </c>
      <c r="X387" s="178">
        <v>0</v>
      </c>
      <c r="Y387" s="178">
        <v>0</v>
      </c>
      <c r="Z387" s="178">
        <v>180189.43</v>
      </c>
      <c r="AA387" s="178">
        <v>0</v>
      </c>
      <c r="AB387" s="178">
        <v>0</v>
      </c>
      <c r="AC387" s="177" t="s">
        <v>404</v>
      </c>
      <c r="AD387" s="205">
        <v>900007</v>
      </c>
    </row>
    <row r="388" spans="3:30" ht="30" customHeight="1" outlineLevel="2" x14ac:dyDescent="0.25">
      <c r="C388" s="114" t="str">
        <f>C387</f>
        <v>G-10</v>
      </c>
      <c r="D388" s="115" t="s">
        <v>44</v>
      </c>
      <c r="E388" s="116">
        <v>2008</v>
      </c>
      <c r="F388" s="116" t="s">
        <v>39</v>
      </c>
      <c r="G388" s="206">
        <v>66.22</v>
      </c>
      <c r="H388" s="206" t="s">
        <v>40</v>
      </c>
      <c r="I388" s="118">
        <v>30.54</v>
      </c>
      <c r="J388" s="119">
        <f t="shared" si="74"/>
        <v>18777.519</v>
      </c>
      <c r="K388" s="120">
        <f>R388-E388</f>
        <v>13</v>
      </c>
      <c r="L388" s="116">
        <v>15</v>
      </c>
      <c r="M388" s="116">
        <v>11</v>
      </c>
      <c r="N388" s="122">
        <f>+I388*G388</f>
        <v>2022.3588</v>
      </c>
      <c r="O388" s="122">
        <f>+N388/L388</f>
        <v>134.82391999999999</v>
      </c>
      <c r="P388" s="122">
        <f>(N388/L388)*M388</f>
        <v>1483.0631199999998</v>
      </c>
      <c r="Q388" s="116" t="s">
        <v>41</v>
      </c>
      <c r="R388" s="116">
        <v>2021</v>
      </c>
      <c r="S388" s="124" t="s">
        <v>52</v>
      </c>
      <c r="T388" s="219" t="s">
        <v>403</v>
      </c>
      <c r="U388" s="180"/>
      <c r="V388" s="155"/>
      <c r="W388" s="156"/>
      <c r="X388" s="156"/>
      <c r="Y388" s="156"/>
      <c r="Z388" s="156"/>
      <c r="AA388" s="156"/>
      <c r="AB388" s="156"/>
      <c r="AC388" s="157"/>
      <c r="AD388" s="184"/>
    </row>
    <row r="389" spans="3:30" ht="30" customHeight="1" outlineLevel="2" x14ac:dyDescent="0.25">
      <c r="C389" s="114" t="str">
        <f>C387</f>
        <v>G-10</v>
      </c>
      <c r="D389" s="115" t="s">
        <v>46</v>
      </c>
      <c r="E389" s="116">
        <v>2008</v>
      </c>
      <c r="F389" s="116" t="s">
        <v>39</v>
      </c>
      <c r="G389" s="206">
        <v>140.37</v>
      </c>
      <c r="H389" s="206" t="s">
        <v>40</v>
      </c>
      <c r="I389" s="118">
        <v>3.4</v>
      </c>
      <c r="J389" s="119">
        <f t="shared" si="74"/>
        <v>2090.4900000000002</v>
      </c>
      <c r="K389" s="120">
        <f>R389-E389</f>
        <v>13</v>
      </c>
      <c r="L389" s="116">
        <v>10</v>
      </c>
      <c r="M389" s="116">
        <v>7</v>
      </c>
      <c r="N389" s="122">
        <f>+I389*G389</f>
        <v>477.25799999999998</v>
      </c>
      <c r="O389" s="122">
        <f>+N389/L389</f>
        <v>47.7258</v>
      </c>
      <c r="P389" s="122">
        <f>(N389/L389)*M389</f>
        <v>334.0806</v>
      </c>
      <c r="Q389" s="116" t="s">
        <v>41</v>
      </c>
      <c r="R389" s="116">
        <v>2021</v>
      </c>
      <c r="S389" s="124" t="s">
        <v>52</v>
      </c>
      <c r="T389" s="219" t="s">
        <v>403</v>
      </c>
      <c r="U389" s="180"/>
      <c r="V389" s="155"/>
      <c r="W389" s="156"/>
      <c r="X389" s="156"/>
      <c r="Y389" s="156"/>
      <c r="Z389" s="156"/>
      <c r="AA389" s="156"/>
      <c r="AB389" s="156"/>
      <c r="AC389" s="157"/>
      <c r="AD389" s="184"/>
    </row>
    <row r="390" spans="3:30" ht="30" customHeight="1" outlineLevel="2" thickBot="1" x14ac:dyDescent="0.3">
      <c r="C390" s="159" t="str">
        <f>C387</f>
        <v>G-10</v>
      </c>
      <c r="D390" s="160" t="s">
        <v>48</v>
      </c>
      <c r="E390" s="161">
        <v>2008</v>
      </c>
      <c r="F390" s="161" t="s">
        <v>39</v>
      </c>
      <c r="G390" s="162">
        <v>195.75</v>
      </c>
      <c r="H390" s="218" t="s">
        <v>40</v>
      </c>
      <c r="I390" s="261">
        <f>+J390/$S$2</f>
        <v>195.03686515913199</v>
      </c>
      <c r="J390" s="97">
        <f>+((95000^(0.364-(0.00000133*G390)))/(G390^(0.364-(0.00000133*95000))))*6500</f>
        <v>119918.41654309232</v>
      </c>
      <c r="K390" s="163" t="s">
        <v>41</v>
      </c>
      <c r="L390" s="163" t="s">
        <v>41</v>
      </c>
      <c r="M390" s="163" t="s">
        <v>41</v>
      </c>
      <c r="N390" s="163" t="s">
        <v>41</v>
      </c>
      <c r="O390" s="163" t="s">
        <v>41</v>
      </c>
      <c r="P390" s="163" t="s">
        <v>41</v>
      </c>
      <c r="Q390" s="171">
        <f>I390*G390</f>
        <v>38178.466354900091</v>
      </c>
      <c r="R390" s="161">
        <v>2021</v>
      </c>
      <c r="S390" s="165" t="s">
        <v>52</v>
      </c>
      <c r="T390" s="219" t="s">
        <v>403</v>
      </c>
      <c r="U390" s="181"/>
      <c r="V390" s="167"/>
      <c r="W390" s="168"/>
      <c r="X390" s="168"/>
      <c r="Y390" s="168"/>
      <c r="Z390" s="168"/>
      <c r="AA390" s="168"/>
      <c r="AB390" s="168"/>
      <c r="AC390" s="169"/>
      <c r="AD390" s="188"/>
    </row>
    <row r="391" spans="3:30" ht="30" customHeight="1" outlineLevel="1" x14ac:dyDescent="0.25">
      <c r="C391" s="103" t="s">
        <v>405</v>
      </c>
      <c r="D391" s="104" t="s">
        <v>406</v>
      </c>
      <c r="E391" s="105">
        <v>2007</v>
      </c>
      <c r="F391" s="105" t="s">
        <v>39</v>
      </c>
      <c r="G391" s="203">
        <f>G394</f>
        <v>175.36</v>
      </c>
      <c r="H391" s="203" t="s">
        <v>40</v>
      </c>
      <c r="I391" s="107">
        <v>300</v>
      </c>
      <c r="J391" s="108">
        <f t="shared" si="74"/>
        <v>184455</v>
      </c>
      <c r="K391" s="109">
        <f>R391-E391</f>
        <v>14</v>
      </c>
      <c r="L391" s="105">
        <v>40</v>
      </c>
      <c r="M391" s="105">
        <v>27</v>
      </c>
      <c r="N391" s="111">
        <f>+I391*G391</f>
        <v>52608.000000000007</v>
      </c>
      <c r="O391" s="111">
        <f>+N391/L391</f>
        <v>1315.2000000000003</v>
      </c>
      <c r="P391" s="111">
        <f>(N391/L391)*M391</f>
        <v>35510.400000000009</v>
      </c>
      <c r="Q391" s="105" t="s">
        <v>41</v>
      </c>
      <c r="R391" s="105">
        <v>2021</v>
      </c>
      <c r="S391" s="113" t="s">
        <v>52</v>
      </c>
      <c r="T391" s="219" t="s">
        <v>403</v>
      </c>
      <c r="U391" s="220" t="s">
        <v>405</v>
      </c>
      <c r="V391" s="72">
        <v>39022</v>
      </c>
      <c r="W391" s="73">
        <v>3667366</v>
      </c>
      <c r="X391" s="73">
        <v>0</v>
      </c>
      <c r="Y391" s="73">
        <v>0</v>
      </c>
      <c r="Z391" s="73">
        <v>965739.87</v>
      </c>
      <c r="AA391" s="73">
        <v>0</v>
      </c>
      <c r="AB391" s="73">
        <v>2701626.13</v>
      </c>
      <c r="AC391" s="74" t="s">
        <v>407</v>
      </c>
      <c r="AD391" s="221">
        <v>900287</v>
      </c>
    </row>
    <row r="392" spans="3:30" ht="30" customHeight="1" outlineLevel="2" x14ac:dyDescent="0.25">
      <c r="C392" s="114" t="str">
        <f>C391</f>
        <v>G-11</v>
      </c>
      <c r="D392" s="115" t="s">
        <v>44</v>
      </c>
      <c r="E392" s="116">
        <v>2007</v>
      </c>
      <c r="F392" s="116" t="s">
        <v>39</v>
      </c>
      <c r="G392" s="206">
        <v>71.7</v>
      </c>
      <c r="H392" s="206" t="s">
        <v>40</v>
      </c>
      <c r="I392" s="118">
        <v>30.54</v>
      </c>
      <c r="J392" s="119">
        <f t="shared" si="74"/>
        <v>18777.519</v>
      </c>
      <c r="K392" s="120">
        <f>R392-E392</f>
        <v>14</v>
      </c>
      <c r="L392" s="116">
        <v>15</v>
      </c>
      <c r="M392" s="116">
        <v>9</v>
      </c>
      <c r="N392" s="122">
        <f>+I392*G392</f>
        <v>2189.7179999999998</v>
      </c>
      <c r="O392" s="122">
        <f>+N392/L392</f>
        <v>145.9812</v>
      </c>
      <c r="P392" s="122">
        <f>(N392/L392)*M392</f>
        <v>1313.8308</v>
      </c>
      <c r="Q392" s="116" t="s">
        <v>41</v>
      </c>
      <c r="R392" s="116">
        <v>2021</v>
      </c>
      <c r="S392" s="124" t="s">
        <v>52</v>
      </c>
      <c r="T392" s="219" t="s">
        <v>403</v>
      </c>
      <c r="U392" s="87" t="s">
        <v>405</v>
      </c>
      <c r="V392" s="88">
        <v>39808</v>
      </c>
      <c r="W392" s="89">
        <v>5771280</v>
      </c>
      <c r="X392" s="89">
        <v>0</v>
      </c>
      <c r="Y392" s="89">
        <v>0</v>
      </c>
      <c r="Z392" s="89">
        <v>1279300.3999999999</v>
      </c>
      <c r="AA392" s="89">
        <v>0</v>
      </c>
      <c r="AB392" s="89">
        <v>4491979.5999999996</v>
      </c>
      <c r="AC392" s="90" t="s">
        <v>408</v>
      </c>
      <c r="AD392" s="223">
        <v>900293</v>
      </c>
    </row>
    <row r="393" spans="3:30" ht="30" customHeight="1" outlineLevel="2" x14ac:dyDescent="0.25">
      <c r="C393" s="114" t="str">
        <f>C391</f>
        <v>G-11</v>
      </c>
      <c r="D393" s="115" t="s">
        <v>46</v>
      </c>
      <c r="E393" s="116">
        <v>2007</v>
      </c>
      <c r="F393" s="116" t="s">
        <v>39</v>
      </c>
      <c r="G393" s="206">
        <v>151.38999999999999</v>
      </c>
      <c r="H393" s="206" t="s">
        <v>40</v>
      </c>
      <c r="I393" s="118">
        <v>3.4</v>
      </c>
      <c r="J393" s="119">
        <f t="shared" si="74"/>
        <v>2090.4900000000002</v>
      </c>
      <c r="K393" s="120">
        <f>R393-E393</f>
        <v>14</v>
      </c>
      <c r="L393" s="116">
        <v>10</v>
      </c>
      <c r="M393" s="116">
        <v>6</v>
      </c>
      <c r="N393" s="122">
        <f>+I393*G393</f>
        <v>514.72599999999989</v>
      </c>
      <c r="O393" s="122">
        <f>+N393/L393</f>
        <v>51.472599999999986</v>
      </c>
      <c r="P393" s="122">
        <f>(N393/L393)*M393</f>
        <v>308.83559999999989</v>
      </c>
      <c r="Q393" s="116" t="s">
        <v>41</v>
      </c>
      <c r="R393" s="116">
        <v>2021</v>
      </c>
      <c r="S393" s="124" t="s">
        <v>52</v>
      </c>
      <c r="T393" s="219" t="s">
        <v>403</v>
      </c>
      <c r="U393" s="87" t="s">
        <v>405</v>
      </c>
      <c r="V393" s="88">
        <v>41618</v>
      </c>
      <c r="W393" s="89">
        <v>7850180</v>
      </c>
      <c r="X393" s="89">
        <v>0</v>
      </c>
      <c r="Y393" s="89">
        <v>1974151</v>
      </c>
      <c r="Z393" s="89">
        <v>955105.07</v>
      </c>
      <c r="AA393" s="89">
        <v>122945.21</v>
      </c>
      <c r="AB393" s="89">
        <v>8746280.7199999988</v>
      </c>
      <c r="AC393" s="90" t="s">
        <v>409</v>
      </c>
      <c r="AD393" s="223">
        <v>900355</v>
      </c>
    </row>
    <row r="394" spans="3:30" ht="30" customHeight="1" outlineLevel="2" thickBot="1" x14ac:dyDescent="0.3">
      <c r="C394" s="159" t="str">
        <f>C391</f>
        <v>G-11</v>
      </c>
      <c r="D394" s="160" t="s">
        <v>48</v>
      </c>
      <c r="E394" s="161">
        <v>2007</v>
      </c>
      <c r="F394" s="161" t="s">
        <v>39</v>
      </c>
      <c r="G394" s="162">
        <v>175.36</v>
      </c>
      <c r="H394" s="218" t="s">
        <v>40</v>
      </c>
      <c r="I394" s="261">
        <f>+J394/$S$2</f>
        <v>200.26475839775256</v>
      </c>
      <c r="J394" s="97">
        <f t="shared" ref="J394" si="82">+((95000^(0.364-(0.00000133*G394)))/(G394^(0.364-(0.00000133*95000))))*6500</f>
        <v>123132.78670085817</v>
      </c>
      <c r="K394" s="163" t="s">
        <v>41</v>
      </c>
      <c r="L394" s="163" t="s">
        <v>41</v>
      </c>
      <c r="M394" s="163" t="s">
        <v>41</v>
      </c>
      <c r="N394" s="163" t="s">
        <v>41</v>
      </c>
      <c r="O394" s="163" t="s">
        <v>41</v>
      </c>
      <c r="P394" s="163" t="s">
        <v>41</v>
      </c>
      <c r="Q394" s="171">
        <f>I394*G394</f>
        <v>35118.42803262989</v>
      </c>
      <c r="R394" s="161">
        <v>2021</v>
      </c>
      <c r="S394" s="165" t="s">
        <v>52</v>
      </c>
      <c r="T394" s="219" t="s">
        <v>403</v>
      </c>
      <c r="U394" s="288" t="s">
        <v>405</v>
      </c>
      <c r="V394" s="289">
        <v>41618</v>
      </c>
      <c r="W394" s="174">
        <v>7850180</v>
      </c>
      <c r="X394" s="174">
        <v>0</v>
      </c>
      <c r="Y394" s="174">
        <v>1974151</v>
      </c>
      <c r="Z394" s="174">
        <v>955105.07</v>
      </c>
      <c r="AA394" s="174">
        <v>122945.21</v>
      </c>
      <c r="AB394" s="174">
        <v>8746280.7199999988</v>
      </c>
      <c r="AC394" s="173" t="s">
        <v>410</v>
      </c>
      <c r="AD394" s="290">
        <v>900356</v>
      </c>
    </row>
    <row r="395" spans="3:30" ht="30" customHeight="1" outlineLevel="1" x14ac:dyDescent="0.25">
      <c r="C395" s="103" t="s">
        <v>411</v>
      </c>
      <c r="D395" s="104" t="s">
        <v>412</v>
      </c>
      <c r="E395" s="105">
        <v>2018</v>
      </c>
      <c r="F395" s="105" t="s">
        <v>39</v>
      </c>
      <c r="G395" s="203">
        <f>G398</f>
        <v>139.87</v>
      </c>
      <c r="H395" s="203" t="s">
        <v>40</v>
      </c>
      <c r="I395" s="107">
        <v>1200</v>
      </c>
      <c r="J395" s="108">
        <f t="shared" si="74"/>
        <v>737820</v>
      </c>
      <c r="K395" s="109">
        <f>R395-E395</f>
        <v>3</v>
      </c>
      <c r="L395" s="105">
        <v>50</v>
      </c>
      <c r="M395" s="105">
        <v>48</v>
      </c>
      <c r="N395" s="111">
        <f>+I395*G395</f>
        <v>167844</v>
      </c>
      <c r="O395" s="111">
        <f>+N395/L395</f>
        <v>3356.88</v>
      </c>
      <c r="P395" s="111">
        <f>(N395/L395)*M395</f>
        <v>161130.23999999999</v>
      </c>
      <c r="Q395" s="105" t="s">
        <v>41</v>
      </c>
      <c r="R395" s="105">
        <v>2021</v>
      </c>
      <c r="S395" s="113" t="s">
        <v>52</v>
      </c>
      <c r="T395" s="219" t="s">
        <v>403</v>
      </c>
      <c r="U395" s="424" t="s">
        <v>411</v>
      </c>
      <c r="V395" s="405" t="s">
        <v>140</v>
      </c>
      <c r="W395" s="230"/>
      <c r="X395" s="230"/>
      <c r="Y395" s="230"/>
      <c r="Z395" s="230"/>
      <c r="AA395" s="230"/>
      <c r="AB395" s="230"/>
      <c r="AC395" s="230"/>
      <c r="AD395" s="300"/>
    </row>
    <row r="396" spans="3:30" ht="30" customHeight="1" outlineLevel="2" x14ac:dyDescent="0.25">
      <c r="C396" s="114" t="str">
        <f>C395</f>
        <v>G-12</v>
      </c>
      <c r="D396" s="115" t="s">
        <v>44</v>
      </c>
      <c r="E396" s="116">
        <v>2018</v>
      </c>
      <c r="F396" s="116" t="s">
        <v>39</v>
      </c>
      <c r="G396" s="206">
        <v>73.569999999999993</v>
      </c>
      <c r="H396" s="206" t="s">
        <v>40</v>
      </c>
      <c r="I396" s="118">
        <v>30.54</v>
      </c>
      <c r="J396" s="119">
        <f t="shared" si="74"/>
        <v>18777.519</v>
      </c>
      <c r="K396" s="120">
        <f>R396-E396</f>
        <v>3</v>
      </c>
      <c r="L396" s="116">
        <v>15</v>
      </c>
      <c r="M396" s="116">
        <v>15</v>
      </c>
      <c r="N396" s="122">
        <f>+I396*G396</f>
        <v>2246.8277999999996</v>
      </c>
      <c r="O396" s="122">
        <f>+N396/L396</f>
        <v>149.78851999999998</v>
      </c>
      <c r="P396" s="122">
        <f>(N396/L396)*M396</f>
        <v>2246.8277999999996</v>
      </c>
      <c r="Q396" s="116" t="s">
        <v>41</v>
      </c>
      <c r="R396" s="116">
        <v>2021</v>
      </c>
      <c r="S396" s="124" t="s">
        <v>52</v>
      </c>
      <c r="T396" s="219" t="s">
        <v>403</v>
      </c>
      <c r="U396" s="425"/>
      <c r="V396" s="406"/>
      <c r="W396" s="234"/>
      <c r="X396" s="234"/>
      <c r="Y396" s="234"/>
      <c r="Z396" s="234"/>
      <c r="AA396" s="234"/>
      <c r="AB396" s="234"/>
      <c r="AC396" s="234"/>
      <c r="AD396" s="302"/>
    </row>
    <row r="397" spans="3:30" ht="30" customHeight="1" outlineLevel="2" x14ac:dyDescent="0.25">
      <c r="C397" s="114" t="str">
        <f>C395</f>
        <v>G-12</v>
      </c>
      <c r="D397" s="115" t="s">
        <v>46</v>
      </c>
      <c r="E397" s="116">
        <v>2018</v>
      </c>
      <c r="F397" s="116" t="s">
        <v>39</v>
      </c>
      <c r="G397" s="206">
        <v>149.9</v>
      </c>
      <c r="H397" s="206" t="s">
        <v>40</v>
      </c>
      <c r="I397" s="118">
        <v>3.4</v>
      </c>
      <c r="J397" s="119">
        <f t="shared" si="74"/>
        <v>2090.4900000000002</v>
      </c>
      <c r="K397" s="120">
        <f>R397-E397</f>
        <v>3</v>
      </c>
      <c r="L397" s="116">
        <v>10</v>
      </c>
      <c r="M397" s="116">
        <v>10</v>
      </c>
      <c r="N397" s="122">
        <f>+I397*G397</f>
        <v>509.66</v>
      </c>
      <c r="O397" s="122">
        <f>+N397/L397</f>
        <v>50.966000000000001</v>
      </c>
      <c r="P397" s="122">
        <f>(N397/L397)*M397</f>
        <v>509.66</v>
      </c>
      <c r="Q397" s="116" t="s">
        <v>41</v>
      </c>
      <c r="R397" s="116">
        <v>2021</v>
      </c>
      <c r="S397" s="124" t="s">
        <v>52</v>
      </c>
      <c r="T397" s="219" t="s">
        <v>403</v>
      </c>
      <c r="U397" s="425"/>
      <c r="V397" s="406"/>
      <c r="W397" s="234"/>
      <c r="X397" s="234"/>
      <c r="Y397" s="234"/>
      <c r="Z397" s="234"/>
      <c r="AA397" s="234"/>
      <c r="AB397" s="234"/>
      <c r="AC397" s="234"/>
      <c r="AD397" s="302"/>
    </row>
    <row r="398" spans="3:30" ht="30" customHeight="1" outlineLevel="2" thickBot="1" x14ac:dyDescent="0.3">
      <c r="C398" s="159" t="str">
        <f>C395</f>
        <v>G-12</v>
      </c>
      <c r="D398" s="160" t="s">
        <v>48</v>
      </c>
      <c r="E398" s="161">
        <v>2018</v>
      </c>
      <c r="F398" s="161" t="s">
        <v>39</v>
      </c>
      <c r="G398" s="162">
        <v>139.87</v>
      </c>
      <c r="H398" s="218" t="s">
        <v>40</v>
      </c>
      <c r="I398" s="261">
        <f>+J398/$S$2</f>
        <v>211.43561090087522</v>
      </c>
      <c r="J398" s="97">
        <f t="shared" ref="J398" si="83">+((95000^(0.364-(0.00000133*G398)))/(G398^(0.364-(0.00000133*95000))))*6500</f>
        <v>130001.18536240314</v>
      </c>
      <c r="K398" s="163" t="s">
        <v>41</v>
      </c>
      <c r="L398" s="163" t="s">
        <v>41</v>
      </c>
      <c r="M398" s="163" t="s">
        <v>41</v>
      </c>
      <c r="N398" s="163" t="s">
        <v>41</v>
      </c>
      <c r="O398" s="163" t="s">
        <v>41</v>
      </c>
      <c r="P398" s="163" t="s">
        <v>41</v>
      </c>
      <c r="Q398" s="171">
        <f>I398*G398</f>
        <v>29573.498896705416</v>
      </c>
      <c r="R398" s="161">
        <v>2021</v>
      </c>
      <c r="S398" s="165" t="s">
        <v>52</v>
      </c>
      <c r="T398" s="219" t="s">
        <v>403</v>
      </c>
      <c r="U398" s="426"/>
      <c r="V398" s="407"/>
      <c r="W398" s="240"/>
      <c r="X398" s="240"/>
      <c r="Y398" s="240"/>
      <c r="Z398" s="240"/>
      <c r="AA398" s="240"/>
      <c r="AB398" s="240"/>
      <c r="AC398" s="240"/>
      <c r="AD398" s="306"/>
    </row>
    <row r="399" spans="3:30" ht="30" customHeight="1" outlineLevel="1" x14ac:dyDescent="0.25">
      <c r="C399" s="103" t="s">
        <v>413</v>
      </c>
      <c r="D399" s="104" t="s">
        <v>414</v>
      </c>
      <c r="E399" s="105">
        <v>1990</v>
      </c>
      <c r="F399" s="105" t="s">
        <v>39</v>
      </c>
      <c r="G399" s="203">
        <f>G402</f>
        <v>109.13</v>
      </c>
      <c r="H399" s="203" t="s">
        <v>40</v>
      </c>
      <c r="I399" s="107">
        <v>2000</v>
      </c>
      <c r="J399" s="108">
        <f t="shared" si="74"/>
        <v>1229700</v>
      </c>
      <c r="K399" s="109">
        <f>R399-E399</f>
        <v>31</v>
      </c>
      <c r="L399" s="105">
        <v>50</v>
      </c>
      <c r="M399" s="105">
        <v>30</v>
      </c>
      <c r="N399" s="111">
        <f>+I399*G399</f>
        <v>218260</v>
      </c>
      <c r="O399" s="111">
        <f>+N399/L399</f>
        <v>4365.2</v>
      </c>
      <c r="P399" s="111">
        <f>(N399/L399)*M399</f>
        <v>130956</v>
      </c>
      <c r="Q399" s="105" t="s">
        <v>41</v>
      </c>
      <c r="R399" s="105">
        <v>2021</v>
      </c>
      <c r="S399" s="113" t="s">
        <v>52</v>
      </c>
      <c r="T399" s="219" t="s">
        <v>403</v>
      </c>
      <c r="U399" s="424" t="s">
        <v>413</v>
      </c>
      <c r="V399" s="405" t="s">
        <v>140</v>
      </c>
      <c r="W399" s="230"/>
      <c r="X399" s="230"/>
      <c r="Y399" s="230"/>
      <c r="Z399" s="230"/>
      <c r="AA399" s="230"/>
      <c r="AB399" s="230"/>
      <c r="AC399" s="230"/>
      <c r="AD399" s="300"/>
    </row>
    <row r="400" spans="3:30" ht="30" customHeight="1" outlineLevel="2" x14ac:dyDescent="0.25">
      <c r="C400" s="114" t="str">
        <f>C399</f>
        <v>G-13</v>
      </c>
      <c r="D400" s="115" t="s">
        <v>165</v>
      </c>
      <c r="E400" s="116">
        <v>1990</v>
      </c>
      <c r="F400" s="116" t="s">
        <v>39</v>
      </c>
      <c r="G400" s="206">
        <v>0</v>
      </c>
      <c r="H400" s="206" t="s">
        <v>87</v>
      </c>
      <c r="I400" s="206">
        <v>0</v>
      </c>
      <c r="J400" s="206">
        <v>0</v>
      </c>
      <c r="K400" s="313">
        <v>0</v>
      </c>
      <c r="L400" s="206">
        <v>0</v>
      </c>
      <c r="M400" s="206">
        <v>0</v>
      </c>
      <c r="N400" s="314">
        <v>0</v>
      </c>
      <c r="O400" s="314">
        <v>0</v>
      </c>
      <c r="P400" s="314">
        <v>0</v>
      </c>
      <c r="Q400" s="116" t="s">
        <v>41</v>
      </c>
      <c r="R400" s="116" t="s">
        <v>87</v>
      </c>
      <c r="S400" s="124" t="s">
        <v>87</v>
      </c>
      <c r="T400" s="219" t="s">
        <v>403</v>
      </c>
      <c r="U400" s="425"/>
      <c r="V400" s="406"/>
      <c r="W400" s="234"/>
      <c r="X400" s="234"/>
      <c r="Y400" s="234"/>
      <c r="Z400" s="234"/>
      <c r="AA400" s="234"/>
      <c r="AB400" s="234"/>
      <c r="AC400" s="234"/>
      <c r="AD400" s="302"/>
    </row>
    <row r="401" spans="3:30" ht="30" customHeight="1" outlineLevel="2" x14ac:dyDescent="0.25">
      <c r="C401" s="114" t="str">
        <f>C399</f>
        <v>G-13</v>
      </c>
      <c r="D401" s="115" t="s">
        <v>46</v>
      </c>
      <c r="E401" s="116">
        <v>1990</v>
      </c>
      <c r="F401" s="116" t="s">
        <v>39</v>
      </c>
      <c r="G401" s="206">
        <v>14.13</v>
      </c>
      <c r="H401" s="206" t="s">
        <v>40</v>
      </c>
      <c r="I401" s="118">
        <v>3.4</v>
      </c>
      <c r="J401" s="119">
        <f t="shared" si="74"/>
        <v>2090.4900000000002</v>
      </c>
      <c r="K401" s="120">
        <f>R401-E401</f>
        <v>31</v>
      </c>
      <c r="L401" s="116">
        <v>10</v>
      </c>
      <c r="M401" s="116">
        <v>5</v>
      </c>
      <c r="N401" s="122">
        <f>+I401*G401</f>
        <v>48.042000000000002</v>
      </c>
      <c r="O401" s="122">
        <f>+N401/L401</f>
        <v>4.8041999999999998</v>
      </c>
      <c r="P401" s="122">
        <f>(N401/L401)*M401</f>
        <v>24.021000000000001</v>
      </c>
      <c r="Q401" s="116" t="s">
        <v>41</v>
      </c>
      <c r="R401" s="116">
        <v>2021</v>
      </c>
      <c r="S401" s="124" t="s">
        <v>52</v>
      </c>
      <c r="T401" s="219" t="s">
        <v>403</v>
      </c>
      <c r="U401" s="425"/>
      <c r="V401" s="406"/>
      <c r="W401" s="234"/>
      <c r="X401" s="234"/>
      <c r="Y401" s="234"/>
      <c r="Z401" s="234"/>
      <c r="AA401" s="234"/>
      <c r="AB401" s="234"/>
      <c r="AC401" s="234"/>
      <c r="AD401" s="302"/>
    </row>
    <row r="402" spans="3:30" ht="30" customHeight="1" outlineLevel="2" thickBot="1" x14ac:dyDescent="0.3">
      <c r="C402" s="159" t="str">
        <f>C399</f>
        <v>G-13</v>
      </c>
      <c r="D402" s="160" t="s">
        <v>48</v>
      </c>
      <c r="E402" s="161">
        <v>1990</v>
      </c>
      <c r="F402" s="161" t="s">
        <v>39</v>
      </c>
      <c r="G402" s="162">
        <v>109.13</v>
      </c>
      <c r="H402" s="218" t="s">
        <v>40</v>
      </c>
      <c r="I402" s="261">
        <f>+J402/$S$2</f>
        <v>224.38595099643612</v>
      </c>
      <c r="J402" s="97">
        <f t="shared" ref="J402" si="84">+((95000^(0.364-(0.00000133*G402)))/(G402^(0.364-(0.00000133*95000))))*6500</f>
        <v>137963.70197015876</v>
      </c>
      <c r="K402" s="163" t="s">
        <v>41</v>
      </c>
      <c r="L402" s="163" t="s">
        <v>41</v>
      </c>
      <c r="M402" s="163" t="s">
        <v>41</v>
      </c>
      <c r="N402" s="163" t="s">
        <v>41</v>
      </c>
      <c r="O402" s="163" t="s">
        <v>41</v>
      </c>
      <c r="P402" s="163" t="s">
        <v>41</v>
      </c>
      <c r="Q402" s="171">
        <f>I402*G402</f>
        <v>24487.238832241073</v>
      </c>
      <c r="R402" s="161">
        <v>2021</v>
      </c>
      <c r="S402" s="165" t="s">
        <v>52</v>
      </c>
      <c r="T402" s="219" t="s">
        <v>403</v>
      </c>
      <c r="U402" s="426"/>
      <c r="V402" s="407"/>
      <c r="W402" s="240"/>
      <c r="X402" s="240"/>
      <c r="Y402" s="240"/>
      <c r="Z402" s="240"/>
      <c r="AA402" s="240"/>
      <c r="AB402" s="240"/>
      <c r="AC402" s="240"/>
      <c r="AD402" s="306"/>
    </row>
    <row r="403" spans="3:30" ht="30" customHeight="1" outlineLevel="1" x14ac:dyDescent="0.25">
      <c r="C403" s="103" t="s">
        <v>415</v>
      </c>
      <c r="D403" s="104" t="s">
        <v>416</v>
      </c>
      <c r="E403" s="105">
        <v>2015</v>
      </c>
      <c r="F403" s="105" t="s">
        <v>417</v>
      </c>
      <c r="G403" s="203">
        <f>G406</f>
        <v>60.21</v>
      </c>
      <c r="H403" s="203" t="s">
        <v>40</v>
      </c>
      <c r="I403" s="107">
        <v>800</v>
      </c>
      <c r="J403" s="108">
        <f t="shared" si="74"/>
        <v>491880</v>
      </c>
      <c r="K403" s="109">
        <f>R403-E403</f>
        <v>6</v>
      </c>
      <c r="L403" s="105">
        <v>50</v>
      </c>
      <c r="M403" s="105">
        <v>45</v>
      </c>
      <c r="N403" s="111">
        <f>+I403*G403</f>
        <v>48168</v>
      </c>
      <c r="O403" s="111">
        <f>+N403/L403</f>
        <v>963.36</v>
      </c>
      <c r="P403" s="111">
        <f>(N403/L403)*M403</f>
        <v>43351.199999999997</v>
      </c>
      <c r="Q403" s="105" t="s">
        <v>41</v>
      </c>
      <c r="R403" s="105">
        <v>2021</v>
      </c>
      <c r="S403" s="113" t="s">
        <v>52</v>
      </c>
      <c r="T403" s="219" t="s">
        <v>403</v>
      </c>
      <c r="U403" s="176" t="s">
        <v>415</v>
      </c>
      <c r="V403" s="421">
        <v>42544</v>
      </c>
      <c r="W403" s="178">
        <v>24307616.780000001</v>
      </c>
      <c r="X403" s="178">
        <v>0</v>
      </c>
      <c r="Y403" s="178">
        <v>-50</v>
      </c>
      <c r="Z403" s="178">
        <v>1742045.69</v>
      </c>
      <c r="AA403" s="178">
        <v>-3.3</v>
      </c>
      <c r="AB403" s="178">
        <v>22565524.390000001</v>
      </c>
      <c r="AC403" s="177" t="s">
        <v>418</v>
      </c>
      <c r="AD403" s="205">
        <v>900367</v>
      </c>
    </row>
    <row r="404" spans="3:30" ht="30" customHeight="1" outlineLevel="2" x14ac:dyDescent="0.25">
      <c r="C404" s="114" t="str">
        <f>C403</f>
        <v>G-14</v>
      </c>
      <c r="D404" s="115" t="s">
        <v>44</v>
      </c>
      <c r="E404" s="116">
        <v>2015</v>
      </c>
      <c r="F404" s="116" t="s">
        <v>417</v>
      </c>
      <c r="G404" s="206">
        <v>40.29</v>
      </c>
      <c r="H404" s="206" t="s">
        <v>40</v>
      </c>
      <c r="I404" s="118">
        <v>30.54</v>
      </c>
      <c r="J404" s="119">
        <f t="shared" si="74"/>
        <v>18777.519</v>
      </c>
      <c r="K404" s="120">
        <f>R404-E404</f>
        <v>6</v>
      </c>
      <c r="L404" s="116">
        <v>15</v>
      </c>
      <c r="M404" s="116">
        <v>12</v>
      </c>
      <c r="N404" s="122">
        <f>+I404*G404</f>
        <v>1230.4566</v>
      </c>
      <c r="O404" s="122">
        <f>+N404/L404</f>
        <v>82.030439999999999</v>
      </c>
      <c r="P404" s="122">
        <f>(N404/L404)*M404</f>
        <v>984.36527999999998</v>
      </c>
      <c r="Q404" s="116" t="s">
        <v>41</v>
      </c>
      <c r="R404" s="116">
        <v>2021</v>
      </c>
      <c r="S404" s="124" t="s">
        <v>52</v>
      </c>
      <c r="T404" s="219" t="s">
        <v>403</v>
      </c>
      <c r="U404" s="180"/>
      <c r="V404" s="422"/>
      <c r="W404" s="156"/>
      <c r="X404" s="156"/>
      <c r="Y404" s="156"/>
      <c r="Z404" s="156"/>
      <c r="AA404" s="156"/>
      <c r="AB404" s="156"/>
      <c r="AC404" s="157"/>
      <c r="AD404" s="184"/>
    </row>
    <row r="405" spans="3:30" ht="30" customHeight="1" outlineLevel="2" x14ac:dyDescent="0.25">
      <c r="C405" s="114" t="str">
        <f>C403</f>
        <v>G-14</v>
      </c>
      <c r="D405" s="115" t="s">
        <v>46</v>
      </c>
      <c r="E405" s="116">
        <v>2015</v>
      </c>
      <c r="F405" s="116" t="s">
        <v>417</v>
      </c>
      <c r="G405" s="206">
        <v>88.44</v>
      </c>
      <c r="H405" s="206" t="s">
        <v>40</v>
      </c>
      <c r="I405" s="118">
        <v>3.4</v>
      </c>
      <c r="J405" s="119">
        <f t="shared" si="74"/>
        <v>2090.4900000000002</v>
      </c>
      <c r="K405" s="120">
        <f>R405-E405</f>
        <v>6</v>
      </c>
      <c r="L405" s="116">
        <v>10</v>
      </c>
      <c r="M405" s="116">
        <v>8</v>
      </c>
      <c r="N405" s="122">
        <f>+I405*G405</f>
        <v>300.69599999999997</v>
      </c>
      <c r="O405" s="122">
        <f>+N405/L405</f>
        <v>30.069599999999998</v>
      </c>
      <c r="P405" s="122">
        <f>(N405/L405)*M405</f>
        <v>240.55679999999998</v>
      </c>
      <c r="Q405" s="116" t="s">
        <v>41</v>
      </c>
      <c r="R405" s="116">
        <v>2021</v>
      </c>
      <c r="S405" s="124" t="s">
        <v>52</v>
      </c>
      <c r="T405" s="219" t="s">
        <v>403</v>
      </c>
      <c r="U405" s="180"/>
      <c r="V405" s="422"/>
      <c r="W405" s="156"/>
      <c r="X405" s="156"/>
      <c r="Y405" s="156"/>
      <c r="Z405" s="156"/>
      <c r="AA405" s="156"/>
      <c r="AB405" s="156"/>
      <c r="AC405" s="157"/>
      <c r="AD405" s="184"/>
    </row>
    <row r="406" spans="3:30" ht="30" customHeight="1" outlineLevel="2" thickBot="1" x14ac:dyDescent="0.3">
      <c r="C406" s="159" t="str">
        <f>C403</f>
        <v>G-14</v>
      </c>
      <c r="D406" s="160" t="s">
        <v>48</v>
      </c>
      <c r="E406" s="161">
        <v>2015</v>
      </c>
      <c r="F406" s="161" t="s">
        <v>417</v>
      </c>
      <c r="G406" s="162">
        <v>60.21</v>
      </c>
      <c r="H406" s="218" t="s">
        <v>40</v>
      </c>
      <c r="I406" s="261">
        <f>+J406/$S$2</f>
        <v>258.64179741606864</v>
      </c>
      <c r="J406" s="97">
        <f t="shared" ref="J406" si="85">+((95000^(0.364-(0.00000133*G406)))/(G406^(0.364-(0.00000133*95000))))*6500</f>
        <v>159025.9091412698</v>
      </c>
      <c r="K406" s="163" t="s">
        <v>41</v>
      </c>
      <c r="L406" s="163" t="s">
        <v>41</v>
      </c>
      <c r="M406" s="163" t="s">
        <v>41</v>
      </c>
      <c r="N406" s="163" t="s">
        <v>41</v>
      </c>
      <c r="O406" s="163" t="s">
        <v>41</v>
      </c>
      <c r="P406" s="163" t="s">
        <v>41</v>
      </c>
      <c r="Q406" s="171">
        <f>I406*G406</f>
        <v>15572.822622421492</v>
      </c>
      <c r="R406" s="161">
        <v>2021</v>
      </c>
      <c r="S406" s="165" t="s">
        <v>52</v>
      </c>
      <c r="T406" s="219" t="s">
        <v>403</v>
      </c>
      <c r="U406" s="181"/>
      <c r="V406" s="420"/>
      <c r="W406" s="168"/>
      <c r="X406" s="168"/>
      <c r="Y406" s="168"/>
      <c r="Z406" s="168"/>
      <c r="AA406" s="168"/>
      <c r="AB406" s="168"/>
      <c r="AC406" s="169"/>
      <c r="AD406" s="188"/>
    </row>
    <row r="407" spans="3:30" ht="30" customHeight="1" outlineLevel="1" x14ac:dyDescent="0.25">
      <c r="C407" s="103" t="s">
        <v>419</v>
      </c>
      <c r="D407" s="104" t="s">
        <v>420</v>
      </c>
      <c r="E407" s="105">
        <v>2004</v>
      </c>
      <c r="F407" s="105" t="s">
        <v>39</v>
      </c>
      <c r="G407" s="203">
        <f>G410</f>
        <v>794.66</v>
      </c>
      <c r="H407" s="203" t="s">
        <v>40</v>
      </c>
      <c r="I407" s="107">
        <v>1400</v>
      </c>
      <c r="J407" s="108">
        <f t="shared" si="74"/>
        <v>860790</v>
      </c>
      <c r="K407" s="109">
        <f>R407-E407</f>
        <v>17</v>
      </c>
      <c r="L407" s="105">
        <v>50</v>
      </c>
      <c r="M407" s="105">
        <v>34</v>
      </c>
      <c r="N407" s="111">
        <f>+I407*G407</f>
        <v>1112524</v>
      </c>
      <c r="O407" s="111">
        <f>+N407/L407</f>
        <v>22250.48</v>
      </c>
      <c r="P407" s="111">
        <f>(N407/L407)*M407</f>
        <v>756516.32</v>
      </c>
      <c r="Q407" s="105" t="s">
        <v>41</v>
      </c>
      <c r="R407" s="105">
        <v>2021</v>
      </c>
      <c r="S407" s="113" t="s">
        <v>52</v>
      </c>
      <c r="U407" s="176" t="s">
        <v>419</v>
      </c>
      <c r="V407" s="189">
        <v>39808</v>
      </c>
      <c r="W407" s="178">
        <v>325604802.19999999</v>
      </c>
      <c r="X407" s="178">
        <v>0</v>
      </c>
      <c r="Y407" s="178">
        <v>30534818.100000001</v>
      </c>
      <c r="Z407" s="178">
        <v>72175731.129999995</v>
      </c>
      <c r="AA407" s="178">
        <v>3517884.16</v>
      </c>
      <c r="AB407" s="178">
        <v>280446005.00999999</v>
      </c>
      <c r="AC407" s="177" t="s">
        <v>421</v>
      </c>
      <c r="AD407" s="205">
        <v>900296</v>
      </c>
    </row>
    <row r="408" spans="3:30" ht="30" customHeight="1" outlineLevel="2" x14ac:dyDescent="0.25">
      <c r="C408" s="114" t="str">
        <f>C407</f>
        <v>G-17</v>
      </c>
      <c r="D408" s="115" t="s">
        <v>44</v>
      </c>
      <c r="E408" s="116">
        <v>2004</v>
      </c>
      <c r="F408" s="116" t="s">
        <v>39</v>
      </c>
      <c r="G408" s="206">
        <v>199.72</v>
      </c>
      <c r="H408" s="206" t="s">
        <v>40</v>
      </c>
      <c r="I408" s="118">
        <v>30.54</v>
      </c>
      <c r="J408" s="119">
        <f t="shared" si="74"/>
        <v>18777.519</v>
      </c>
      <c r="K408" s="120">
        <f>R408-E408</f>
        <v>17</v>
      </c>
      <c r="L408" s="116">
        <v>15</v>
      </c>
      <c r="M408" s="116">
        <v>10</v>
      </c>
      <c r="N408" s="122">
        <f>+I408*G408</f>
        <v>6099.4488000000001</v>
      </c>
      <c r="O408" s="122">
        <f>+N408/L408</f>
        <v>406.62992000000003</v>
      </c>
      <c r="P408" s="122">
        <f>(N408/L408)*M408</f>
        <v>4066.2992000000004</v>
      </c>
      <c r="Q408" s="116" t="s">
        <v>41</v>
      </c>
      <c r="R408" s="116">
        <v>2021</v>
      </c>
      <c r="S408" s="124" t="s">
        <v>52</v>
      </c>
      <c r="U408" s="330"/>
      <c r="V408" s="355"/>
      <c r="W408" s="332"/>
      <c r="X408" s="332"/>
      <c r="Y408" s="332"/>
      <c r="Z408" s="332"/>
      <c r="AA408" s="332"/>
      <c r="AB408" s="332"/>
      <c r="AC408" s="331"/>
      <c r="AD408" s="333"/>
    </row>
    <row r="409" spans="3:30" ht="30" customHeight="1" outlineLevel="2" x14ac:dyDescent="0.25">
      <c r="C409" s="114" t="str">
        <f>C407</f>
        <v>G-17</v>
      </c>
      <c r="D409" s="115" t="s">
        <v>46</v>
      </c>
      <c r="E409" s="116">
        <v>2004</v>
      </c>
      <c r="F409" s="116" t="s">
        <v>39</v>
      </c>
      <c r="G409" s="206">
        <v>401.77</v>
      </c>
      <c r="H409" s="206" t="s">
        <v>40</v>
      </c>
      <c r="I409" s="118">
        <v>3.4</v>
      </c>
      <c r="J409" s="119">
        <f t="shared" si="74"/>
        <v>2090.4900000000002</v>
      </c>
      <c r="K409" s="120">
        <f>R409-E409</f>
        <v>17</v>
      </c>
      <c r="L409" s="116">
        <v>10</v>
      </c>
      <c r="M409" s="116">
        <v>6</v>
      </c>
      <c r="N409" s="122">
        <f>+I409*G409</f>
        <v>1366.0179999999998</v>
      </c>
      <c r="O409" s="122">
        <f>+N409/L409</f>
        <v>136.60179999999997</v>
      </c>
      <c r="P409" s="122">
        <f>(N409/L409)*M409</f>
        <v>819.61079999999981</v>
      </c>
      <c r="Q409" s="116" t="s">
        <v>41</v>
      </c>
      <c r="R409" s="116">
        <v>2021</v>
      </c>
      <c r="S409" s="124" t="s">
        <v>52</v>
      </c>
      <c r="U409" s="226" t="s">
        <v>419</v>
      </c>
      <c r="V409" s="150">
        <v>39808</v>
      </c>
      <c r="W409" s="151">
        <v>20708090</v>
      </c>
      <c r="X409" s="151">
        <v>0</v>
      </c>
      <c r="Y409" s="151">
        <v>205803.12</v>
      </c>
      <c r="Z409" s="151">
        <v>11475733.300000001</v>
      </c>
      <c r="AA409" s="151">
        <v>82526.490000000005</v>
      </c>
      <c r="AB409" s="151">
        <v>9355633.3300000001</v>
      </c>
      <c r="AC409" s="152" t="s">
        <v>422</v>
      </c>
      <c r="AD409" s="227">
        <v>900297</v>
      </c>
    </row>
    <row r="410" spans="3:30" ht="30" customHeight="1" outlineLevel="2" thickBot="1" x14ac:dyDescent="0.3">
      <c r="C410" s="159" t="str">
        <f>C407</f>
        <v>G-17</v>
      </c>
      <c r="D410" s="160" t="s">
        <v>48</v>
      </c>
      <c r="E410" s="161">
        <v>2004</v>
      </c>
      <c r="F410" s="161" t="s">
        <v>39</v>
      </c>
      <c r="G410" s="162">
        <v>794.66</v>
      </c>
      <c r="H410" s="218" t="s">
        <v>40</v>
      </c>
      <c r="I410" s="261">
        <f>+J410/$S$2</f>
        <v>138.5308592394575</v>
      </c>
      <c r="J410" s="97">
        <f t="shared" ref="J410" si="86">+((95000^(0.364-(0.00000133*G410)))/(G410^(0.364-(0.00000133*95000))))*6500</f>
        <v>85175.698803380452</v>
      </c>
      <c r="K410" s="163" t="s">
        <v>41</v>
      </c>
      <c r="L410" s="163" t="s">
        <v>41</v>
      </c>
      <c r="M410" s="163" t="s">
        <v>41</v>
      </c>
      <c r="N410" s="163" t="s">
        <v>41</v>
      </c>
      <c r="O410" s="163" t="s">
        <v>41</v>
      </c>
      <c r="P410" s="163" t="s">
        <v>41</v>
      </c>
      <c r="Q410" s="171">
        <f>I410*G410</f>
        <v>110084.93260322729</v>
      </c>
      <c r="R410" s="161">
        <v>2021</v>
      </c>
      <c r="S410" s="165" t="s">
        <v>52</v>
      </c>
      <c r="U410" s="181"/>
      <c r="V410" s="167"/>
      <c r="W410" s="168"/>
      <c r="X410" s="168"/>
      <c r="Y410" s="168"/>
      <c r="Z410" s="168"/>
      <c r="AA410" s="168"/>
      <c r="AB410" s="168"/>
      <c r="AC410" s="169"/>
      <c r="AD410" s="188"/>
    </row>
    <row r="411" spans="3:30" ht="30" customHeight="1" outlineLevel="1" x14ac:dyDescent="0.25">
      <c r="C411" s="103" t="s">
        <v>423</v>
      </c>
      <c r="D411" s="104" t="s">
        <v>424</v>
      </c>
      <c r="E411" s="105">
        <v>2015</v>
      </c>
      <c r="F411" s="105" t="s">
        <v>39</v>
      </c>
      <c r="G411" s="203">
        <f>G414</f>
        <v>436.81</v>
      </c>
      <c r="H411" s="203" t="s">
        <v>40</v>
      </c>
      <c r="I411" s="107">
        <v>750</v>
      </c>
      <c r="J411" s="108">
        <f t="shared" si="74"/>
        <v>461137.5</v>
      </c>
      <c r="K411" s="109">
        <f>R411-E411</f>
        <v>6</v>
      </c>
      <c r="L411" s="105">
        <v>50</v>
      </c>
      <c r="M411" s="105">
        <v>45</v>
      </c>
      <c r="N411" s="111">
        <f>+I411*G411</f>
        <v>327607.5</v>
      </c>
      <c r="O411" s="111">
        <f>+N411/L411</f>
        <v>6552.15</v>
      </c>
      <c r="P411" s="111">
        <f>(N411/L411)*M411</f>
        <v>294846.75</v>
      </c>
      <c r="Q411" s="105" t="s">
        <v>41</v>
      </c>
      <c r="R411" s="105">
        <v>2021</v>
      </c>
      <c r="S411" s="113" t="s">
        <v>66</v>
      </c>
      <c r="U411" s="176" t="s">
        <v>423</v>
      </c>
      <c r="V411" s="189">
        <v>42346</v>
      </c>
      <c r="W411" s="178">
        <v>161143564.71000001</v>
      </c>
      <c r="X411" s="178">
        <v>0</v>
      </c>
      <c r="Y411" s="178">
        <v>0</v>
      </c>
      <c r="Z411" s="178">
        <v>13160057.890000001</v>
      </c>
      <c r="AA411" s="178">
        <v>0</v>
      </c>
      <c r="AB411" s="178">
        <v>147983506.81999999</v>
      </c>
      <c r="AC411" s="177" t="s">
        <v>425</v>
      </c>
      <c r="AD411" s="205">
        <v>900364</v>
      </c>
    </row>
    <row r="412" spans="3:30" ht="30" customHeight="1" outlineLevel="2" x14ac:dyDescent="0.25">
      <c r="C412" s="114" t="str">
        <f>C411</f>
        <v>G-18</v>
      </c>
      <c r="D412" s="115" t="s">
        <v>44</v>
      </c>
      <c r="E412" s="116">
        <v>2015</v>
      </c>
      <c r="F412" s="116" t="s">
        <v>39</v>
      </c>
      <c r="G412" s="206">
        <v>100.4</v>
      </c>
      <c r="H412" s="206" t="s">
        <v>40</v>
      </c>
      <c r="I412" s="118">
        <v>30.54</v>
      </c>
      <c r="J412" s="119">
        <f t="shared" si="74"/>
        <v>18777.519</v>
      </c>
      <c r="K412" s="120">
        <f>R412-E412</f>
        <v>6</v>
      </c>
      <c r="L412" s="116">
        <v>15</v>
      </c>
      <c r="M412" s="116">
        <v>12</v>
      </c>
      <c r="N412" s="122">
        <f>+I412*G412</f>
        <v>3066.2159999999999</v>
      </c>
      <c r="O412" s="122">
        <f>+N412/L412</f>
        <v>204.4144</v>
      </c>
      <c r="P412" s="122">
        <f>(N412/L412)*M412</f>
        <v>2452.9728</v>
      </c>
      <c r="Q412" s="116" t="s">
        <v>41</v>
      </c>
      <c r="R412" s="116">
        <v>2021</v>
      </c>
      <c r="S412" s="124" t="s">
        <v>66</v>
      </c>
      <c r="U412" s="180"/>
      <c r="V412" s="155"/>
      <c r="W412" s="156"/>
      <c r="X412" s="156"/>
      <c r="Y412" s="156"/>
      <c r="Z412" s="156"/>
      <c r="AA412" s="156"/>
      <c r="AB412" s="156"/>
      <c r="AC412" s="157"/>
      <c r="AD412" s="184"/>
    </row>
    <row r="413" spans="3:30" ht="30" customHeight="1" outlineLevel="2" x14ac:dyDescent="0.25">
      <c r="C413" s="114" t="str">
        <f>C411</f>
        <v>G-18</v>
      </c>
      <c r="D413" s="115" t="s">
        <v>46</v>
      </c>
      <c r="E413" s="116">
        <v>2015</v>
      </c>
      <c r="F413" s="116" t="s">
        <v>39</v>
      </c>
      <c r="G413" s="206">
        <v>208.8</v>
      </c>
      <c r="H413" s="206" t="s">
        <v>40</v>
      </c>
      <c r="I413" s="118">
        <v>3.4</v>
      </c>
      <c r="J413" s="119">
        <f t="shared" si="74"/>
        <v>2090.4900000000002</v>
      </c>
      <c r="K413" s="120">
        <f>R413-E413</f>
        <v>6</v>
      </c>
      <c r="L413" s="116">
        <v>10</v>
      </c>
      <c r="M413" s="116">
        <v>8</v>
      </c>
      <c r="N413" s="122">
        <f>+I413*G413</f>
        <v>709.92000000000007</v>
      </c>
      <c r="O413" s="122">
        <f>+N413/L413</f>
        <v>70.992000000000004</v>
      </c>
      <c r="P413" s="122">
        <f>(N413/L413)*M413</f>
        <v>567.93600000000004</v>
      </c>
      <c r="Q413" s="116" t="s">
        <v>41</v>
      </c>
      <c r="R413" s="116">
        <v>2021</v>
      </c>
      <c r="S413" s="124" t="s">
        <v>66</v>
      </c>
      <c r="U413" s="180"/>
      <c r="V413" s="155"/>
      <c r="W413" s="156"/>
      <c r="X413" s="156"/>
      <c r="Y413" s="156"/>
      <c r="Z413" s="156"/>
      <c r="AA413" s="156"/>
      <c r="AB413" s="156"/>
      <c r="AC413" s="157"/>
      <c r="AD413" s="184"/>
    </row>
    <row r="414" spans="3:30" ht="30" customHeight="1" outlineLevel="2" thickBot="1" x14ac:dyDescent="0.3">
      <c r="C414" s="159" t="str">
        <f>C411</f>
        <v>G-18</v>
      </c>
      <c r="D414" s="160" t="s">
        <v>48</v>
      </c>
      <c r="E414" s="161">
        <v>2015</v>
      </c>
      <c r="F414" s="161" t="s">
        <v>39</v>
      </c>
      <c r="G414" s="162">
        <v>436.81</v>
      </c>
      <c r="H414" s="218" t="s">
        <v>40</v>
      </c>
      <c r="I414" s="261">
        <f>+J414/$S$2</f>
        <v>160.57509844459508</v>
      </c>
      <c r="J414" s="97">
        <f t="shared" ref="J414" si="87">+((95000^(0.364-(0.00000133*G414)))/(G414^(0.364-(0.00000133*95000))))*6500</f>
        <v>98729.599278659298</v>
      </c>
      <c r="K414" s="163" t="s">
        <v>41</v>
      </c>
      <c r="L414" s="163" t="s">
        <v>41</v>
      </c>
      <c r="M414" s="163" t="s">
        <v>41</v>
      </c>
      <c r="N414" s="163" t="s">
        <v>41</v>
      </c>
      <c r="O414" s="163" t="s">
        <v>41</v>
      </c>
      <c r="P414" s="163" t="s">
        <v>41</v>
      </c>
      <c r="Q414" s="171">
        <f>I414*G414</f>
        <v>70140.80875158358</v>
      </c>
      <c r="R414" s="161">
        <v>2021</v>
      </c>
      <c r="S414" s="165" t="s">
        <v>66</v>
      </c>
      <c r="U414" s="181"/>
      <c r="V414" s="167"/>
      <c r="W414" s="168"/>
      <c r="X414" s="168"/>
      <c r="Y414" s="168"/>
      <c r="Z414" s="168"/>
      <c r="AA414" s="168"/>
      <c r="AB414" s="168"/>
      <c r="AC414" s="169"/>
      <c r="AD414" s="188"/>
    </row>
    <row r="415" spans="3:30" ht="30" customHeight="1" outlineLevel="1" x14ac:dyDescent="0.25">
      <c r="C415" s="103" t="s">
        <v>426</v>
      </c>
      <c r="D415" s="104" t="s">
        <v>427</v>
      </c>
      <c r="E415" s="105">
        <v>2013</v>
      </c>
      <c r="F415" s="105" t="s">
        <v>417</v>
      </c>
      <c r="G415" s="203">
        <f>G418</f>
        <v>1165.68</v>
      </c>
      <c r="H415" s="203" t="s">
        <v>40</v>
      </c>
      <c r="I415" s="107">
        <v>2100</v>
      </c>
      <c r="J415" s="108">
        <f t="shared" si="74"/>
        <v>1291185</v>
      </c>
      <c r="K415" s="109">
        <f>R415-E415</f>
        <v>8</v>
      </c>
      <c r="L415" s="105">
        <v>50</v>
      </c>
      <c r="M415" s="105">
        <v>43</v>
      </c>
      <c r="N415" s="111">
        <f>+I415*G415</f>
        <v>2447928</v>
      </c>
      <c r="O415" s="111">
        <f>+N415/L415</f>
        <v>48958.559999999998</v>
      </c>
      <c r="P415" s="111">
        <f>(N415/L415)*M415</f>
        <v>2105218.08</v>
      </c>
      <c r="Q415" s="105" t="s">
        <v>41</v>
      </c>
      <c r="R415" s="105">
        <v>2021</v>
      </c>
      <c r="S415" s="113" t="s">
        <v>52</v>
      </c>
      <c r="T415" s="219" t="s">
        <v>403</v>
      </c>
      <c r="U415" s="176" t="s">
        <v>426</v>
      </c>
      <c r="V415" s="421" t="s">
        <v>428</v>
      </c>
      <c r="W415" s="178">
        <v>578500855.14999998</v>
      </c>
      <c r="X415" s="178">
        <v>0</v>
      </c>
      <c r="Y415" s="178">
        <v>387750517.18000001</v>
      </c>
      <c r="Z415" s="178">
        <v>47244236.420000002</v>
      </c>
      <c r="AA415" s="178">
        <v>29891809.399999999</v>
      </c>
      <c r="AB415" s="178">
        <v>889115326.50999999</v>
      </c>
      <c r="AC415" s="177" t="s">
        <v>429</v>
      </c>
      <c r="AD415" s="205">
        <v>900365</v>
      </c>
    </row>
    <row r="416" spans="3:30" ht="30" customHeight="1" outlineLevel="2" x14ac:dyDescent="0.25">
      <c r="C416" s="114" t="str">
        <f>C415</f>
        <v>G-19</v>
      </c>
      <c r="D416" s="115" t="s">
        <v>44</v>
      </c>
      <c r="E416" s="116">
        <v>2013</v>
      </c>
      <c r="F416" s="116" t="s">
        <v>417</v>
      </c>
      <c r="G416" s="206">
        <v>244.8</v>
      </c>
      <c r="H416" s="206" t="s">
        <v>40</v>
      </c>
      <c r="I416" s="118">
        <v>30.54</v>
      </c>
      <c r="J416" s="119">
        <f t="shared" si="74"/>
        <v>18777.519</v>
      </c>
      <c r="K416" s="120">
        <f>R416-E416</f>
        <v>8</v>
      </c>
      <c r="L416" s="116">
        <v>15</v>
      </c>
      <c r="M416" s="116">
        <v>11</v>
      </c>
      <c r="N416" s="122">
        <f>+I416*G416</f>
        <v>7476.192</v>
      </c>
      <c r="O416" s="122">
        <f>+N416/L416</f>
        <v>498.4128</v>
      </c>
      <c r="P416" s="122">
        <f>(N416/L416)*M416</f>
        <v>5482.5407999999998</v>
      </c>
      <c r="Q416" s="116" t="s">
        <v>41</v>
      </c>
      <c r="R416" s="116">
        <v>2021</v>
      </c>
      <c r="S416" s="124" t="s">
        <v>52</v>
      </c>
      <c r="T416" s="219" t="s">
        <v>403</v>
      </c>
      <c r="U416" s="180"/>
      <c r="V416" s="422"/>
      <c r="W416" s="156"/>
      <c r="X416" s="156"/>
      <c r="Y416" s="156"/>
      <c r="Z416" s="156"/>
      <c r="AA416" s="156"/>
      <c r="AB416" s="156"/>
      <c r="AC416" s="157"/>
      <c r="AD416" s="184"/>
    </row>
    <row r="417" spans="2:30" ht="30" customHeight="1" outlineLevel="2" x14ac:dyDescent="0.25">
      <c r="C417" s="114" t="str">
        <f>C415</f>
        <v>G-19</v>
      </c>
      <c r="D417" s="115" t="s">
        <v>46</v>
      </c>
      <c r="E417" s="116">
        <v>2013</v>
      </c>
      <c r="F417" s="116" t="s">
        <v>417</v>
      </c>
      <c r="G417" s="206">
        <v>492.86</v>
      </c>
      <c r="H417" s="206" t="s">
        <v>40</v>
      </c>
      <c r="I417" s="118">
        <v>3.4</v>
      </c>
      <c r="J417" s="119">
        <f t="shared" si="74"/>
        <v>2090.4900000000002</v>
      </c>
      <c r="K417" s="120">
        <f>R417-E417</f>
        <v>8</v>
      </c>
      <c r="L417" s="116">
        <v>10</v>
      </c>
      <c r="M417" s="116">
        <v>7</v>
      </c>
      <c r="N417" s="122">
        <f>+I417*G417</f>
        <v>1675.7239999999999</v>
      </c>
      <c r="O417" s="122">
        <f>+N417/L417</f>
        <v>167.57239999999999</v>
      </c>
      <c r="P417" s="122">
        <f>(N417/L417)*M417</f>
        <v>1173.0067999999999</v>
      </c>
      <c r="Q417" s="116" t="s">
        <v>41</v>
      </c>
      <c r="R417" s="116">
        <v>2021</v>
      </c>
      <c r="S417" s="124" t="s">
        <v>52</v>
      </c>
      <c r="T417" s="219" t="s">
        <v>403</v>
      </c>
      <c r="U417" s="180"/>
      <c r="V417" s="422"/>
      <c r="W417" s="156"/>
      <c r="X417" s="156"/>
      <c r="Y417" s="156"/>
      <c r="Z417" s="156"/>
      <c r="AA417" s="156"/>
      <c r="AB417" s="156"/>
      <c r="AC417" s="157"/>
      <c r="AD417" s="184"/>
    </row>
    <row r="418" spans="2:30" ht="30" customHeight="1" outlineLevel="2" thickBot="1" x14ac:dyDescent="0.3">
      <c r="C418" s="159" t="str">
        <f>C415</f>
        <v>G-19</v>
      </c>
      <c r="D418" s="160" t="s">
        <v>48</v>
      </c>
      <c r="E418" s="161">
        <v>2013</v>
      </c>
      <c r="F418" s="161" t="s">
        <v>417</v>
      </c>
      <c r="G418" s="162">
        <v>1165.68</v>
      </c>
      <c r="H418" s="218" t="s">
        <v>40</v>
      </c>
      <c r="I418" s="261">
        <f>+J418/$S$2</f>
        <v>125.76093411530215</v>
      </c>
      <c r="J418" s="97">
        <f t="shared" ref="J418" si="88">+((95000^(0.364-(0.00000133*G418)))/(G418^(0.364-(0.00000133*95000))))*6500</f>
        <v>77324.11034079353</v>
      </c>
      <c r="K418" s="163" t="s">
        <v>41</v>
      </c>
      <c r="L418" s="163" t="s">
        <v>41</v>
      </c>
      <c r="M418" s="163" t="s">
        <v>41</v>
      </c>
      <c r="N418" s="163" t="s">
        <v>41</v>
      </c>
      <c r="O418" s="163" t="s">
        <v>41</v>
      </c>
      <c r="P418" s="163" t="s">
        <v>41</v>
      </c>
      <c r="Q418" s="171">
        <f>I418*G418</f>
        <v>146597.00567952541</v>
      </c>
      <c r="R418" s="161">
        <v>2021</v>
      </c>
      <c r="S418" s="165" t="s">
        <v>52</v>
      </c>
      <c r="T418" s="219" t="s">
        <v>403</v>
      </c>
      <c r="U418" s="181"/>
      <c r="V418" s="420"/>
      <c r="W418" s="168"/>
      <c r="X418" s="168"/>
      <c r="Y418" s="168"/>
      <c r="Z418" s="168"/>
      <c r="AA418" s="168"/>
      <c r="AB418" s="168"/>
      <c r="AC418" s="169"/>
      <c r="AD418" s="188"/>
    </row>
    <row r="419" spans="2:30" ht="30" customHeight="1" outlineLevel="1" collapsed="1" x14ac:dyDescent="0.25">
      <c r="C419" s="103" t="s">
        <v>430</v>
      </c>
      <c r="D419" s="104" t="s">
        <v>431</v>
      </c>
      <c r="E419" s="105">
        <v>2013</v>
      </c>
      <c r="F419" s="105" t="s">
        <v>417</v>
      </c>
      <c r="G419" s="203">
        <f>G422</f>
        <v>104.42</v>
      </c>
      <c r="H419" s="203" t="s">
        <v>40</v>
      </c>
      <c r="I419" s="107">
        <v>2100</v>
      </c>
      <c r="J419" s="108">
        <f t="shared" ref="J419:J421" si="89">I419*$S$2</f>
        <v>1291185</v>
      </c>
      <c r="K419" s="109">
        <f>R419-E419</f>
        <v>8</v>
      </c>
      <c r="L419" s="105">
        <v>50</v>
      </c>
      <c r="M419" s="105">
        <v>43</v>
      </c>
      <c r="N419" s="111">
        <f>+I419*G419</f>
        <v>219282</v>
      </c>
      <c r="O419" s="111">
        <f>+N419/L419</f>
        <v>4385.6400000000003</v>
      </c>
      <c r="P419" s="111">
        <f>(N419/L419)*M419</f>
        <v>188582.52000000002</v>
      </c>
      <c r="Q419" s="105" t="s">
        <v>41</v>
      </c>
      <c r="R419" s="105">
        <v>2021</v>
      </c>
      <c r="S419" s="113" t="s">
        <v>52</v>
      </c>
      <c r="T419" s="219" t="s">
        <v>403</v>
      </c>
      <c r="U419" s="176" t="s">
        <v>426</v>
      </c>
      <c r="V419" s="421" t="s">
        <v>428</v>
      </c>
      <c r="W419" s="178">
        <v>578500855.14999998</v>
      </c>
      <c r="X419" s="178">
        <v>0</v>
      </c>
      <c r="Y419" s="178">
        <v>387750517.18000001</v>
      </c>
      <c r="Z419" s="178">
        <v>47244236.420000002</v>
      </c>
      <c r="AA419" s="178">
        <v>29891809.399999999</v>
      </c>
      <c r="AB419" s="178">
        <v>889115326.50999999</v>
      </c>
      <c r="AC419" s="177" t="s">
        <v>429</v>
      </c>
      <c r="AD419" s="205">
        <v>900365</v>
      </c>
    </row>
    <row r="420" spans="2:30" ht="30" customHeight="1" outlineLevel="1" x14ac:dyDescent="0.25">
      <c r="C420" s="114" t="str">
        <f>C419</f>
        <v>G-20</v>
      </c>
      <c r="D420" s="115" t="s">
        <v>44</v>
      </c>
      <c r="E420" s="116">
        <v>2013</v>
      </c>
      <c r="F420" s="116" t="s">
        <v>417</v>
      </c>
      <c r="G420" s="206">
        <v>46.6</v>
      </c>
      <c r="H420" s="206" t="s">
        <v>40</v>
      </c>
      <c r="I420" s="118">
        <v>30.54</v>
      </c>
      <c r="J420" s="119">
        <f t="shared" si="89"/>
        <v>18777.519</v>
      </c>
      <c r="K420" s="120">
        <f>R420-E420</f>
        <v>8</v>
      </c>
      <c r="L420" s="116">
        <v>15</v>
      </c>
      <c r="M420" s="116">
        <v>11</v>
      </c>
      <c r="N420" s="122">
        <f>+I420*G420</f>
        <v>1423.164</v>
      </c>
      <c r="O420" s="122">
        <f>+N420/L420</f>
        <v>94.877600000000001</v>
      </c>
      <c r="P420" s="122">
        <f>(N420/L420)*M420</f>
        <v>1043.6536000000001</v>
      </c>
      <c r="Q420" s="116" t="s">
        <v>41</v>
      </c>
      <c r="R420" s="116">
        <v>2021</v>
      </c>
      <c r="S420" s="124" t="s">
        <v>52</v>
      </c>
      <c r="T420" s="219" t="s">
        <v>403</v>
      </c>
      <c r="U420" s="180"/>
      <c r="V420" s="422"/>
      <c r="W420" s="156"/>
      <c r="X420" s="156"/>
      <c r="Y420" s="156"/>
      <c r="Z420" s="156"/>
      <c r="AA420" s="156"/>
      <c r="AB420" s="156"/>
      <c r="AC420" s="157"/>
      <c r="AD420" s="184"/>
    </row>
    <row r="421" spans="2:30" ht="30" customHeight="1" outlineLevel="1" x14ac:dyDescent="0.25">
      <c r="C421" s="114" t="str">
        <f>C419</f>
        <v>G-20</v>
      </c>
      <c r="D421" s="115" t="s">
        <v>46</v>
      </c>
      <c r="E421" s="116">
        <v>2013</v>
      </c>
      <c r="F421" s="116" t="s">
        <v>417</v>
      </c>
      <c r="G421" s="206">
        <v>101.2</v>
      </c>
      <c r="H421" s="206" t="s">
        <v>40</v>
      </c>
      <c r="I421" s="118">
        <v>3.4</v>
      </c>
      <c r="J421" s="119">
        <f t="shared" si="89"/>
        <v>2090.4900000000002</v>
      </c>
      <c r="K421" s="120">
        <f>R421-E421</f>
        <v>8</v>
      </c>
      <c r="L421" s="116">
        <v>10</v>
      </c>
      <c r="M421" s="116">
        <v>7</v>
      </c>
      <c r="N421" s="122">
        <f>+I421*G421</f>
        <v>344.08</v>
      </c>
      <c r="O421" s="122">
        <f>+N421/L421</f>
        <v>34.408000000000001</v>
      </c>
      <c r="P421" s="122">
        <f>(N421/L421)*M421</f>
        <v>240.85599999999999</v>
      </c>
      <c r="Q421" s="116" t="s">
        <v>41</v>
      </c>
      <c r="R421" s="116">
        <v>2021</v>
      </c>
      <c r="S421" s="124" t="s">
        <v>52</v>
      </c>
      <c r="T421" s="219" t="s">
        <v>403</v>
      </c>
      <c r="U421" s="180"/>
      <c r="V421" s="422"/>
      <c r="W421" s="156"/>
      <c r="X421" s="156"/>
      <c r="Y421" s="156"/>
      <c r="Z421" s="156"/>
      <c r="AA421" s="156"/>
      <c r="AB421" s="156"/>
      <c r="AC421" s="157"/>
      <c r="AD421" s="184"/>
    </row>
    <row r="422" spans="2:30" ht="30" customHeight="1" outlineLevel="1" thickBot="1" x14ac:dyDescent="0.3">
      <c r="B422" s="1">
        <v>20</v>
      </c>
      <c r="C422" s="159" t="str">
        <f>C419</f>
        <v>G-20</v>
      </c>
      <c r="D422" s="160" t="s">
        <v>48</v>
      </c>
      <c r="E422" s="161">
        <v>2013</v>
      </c>
      <c r="F422" s="161" t="s">
        <v>417</v>
      </c>
      <c r="G422" s="162">
        <v>104.42</v>
      </c>
      <c r="H422" s="218" t="s">
        <v>40</v>
      </c>
      <c r="I422" s="261">
        <f>+J422/$S$2</f>
        <v>226.76724751092425</v>
      </c>
      <c r="J422" s="208">
        <f t="shared" ref="J422" si="90">+((95000^(0.364-(0.00000133*G422)))/(G422^(0.364-(0.00000133*95000))))*6500</f>
        <v>139427.84213209178</v>
      </c>
      <c r="K422" s="163" t="s">
        <v>41</v>
      </c>
      <c r="L422" s="163" t="s">
        <v>41</v>
      </c>
      <c r="M422" s="163" t="s">
        <v>41</v>
      </c>
      <c r="N422" s="163" t="s">
        <v>41</v>
      </c>
      <c r="O422" s="163" t="s">
        <v>41</v>
      </c>
      <c r="P422" s="163" t="s">
        <v>41</v>
      </c>
      <c r="Q422" s="171">
        <f>I422*G422</f>
        <v>23679.035985090712</v>
      </c>
      <c r="R422" s="161">
        <v>2021</v>
      </c>
      <c r="S422" s="165" t="s">
        <v>52</v>
      </c>
      <c r="T422" s="219" t="s">
        <v>403</v>
      </c>
      <c r="U422" s="181"/>
      <c r="V422" s="420"/>
      <c r="W422" s="168"/>
      <c r="X422" s="168"/>
      <c r="Y422" s="168"/>
      <c r="Z422" s="168"/>
      <c r="AA422" s="168"/>
      <c r="AB422" s="168"/>
      <c r="AC422" s="169"/>
      <c r="AD422" s="188"/>
    </row>
    <row r="423" spans="2:30" ht="16.5" hidden="1" thickBot="1" x14ac:dyDescent="0.3">
      <c r="C423" s="262"/>
      <c r="D423" s="417" t="s">
        <v>432</v>
      </c>
      <c r="E423" s="210"/>
      <c r="F423" s="210"/>
      <c r="G423" s="210"/>
      <c r="H423" s="210"/>
      <c r="I423" s="213"/>
      <c r="J423" s="210"/>
      <c r="K423" s="210"/>
      <c r="L423" s="210"/>
      <c r="M423" s="210"/>
      <c r="N423" s="210"/>
      <c r="O423" s="210"/>
      <c r="P423" s="210"/>
      <c r="Q423" s="210"/>
      <c r="R423" s="210"/>
      <c r="S423" s="214"/>
      <c r="U423" s="264" t="s">
        <v>432</v>
      </c>
      <c r="V423" s="216"/>
      <c r="W423" s="216"/>
      <c r="X423" s="216"/>
      <c r="Y423" s="216"/>
      <c r="Z423" s="217"/>
      <c r="AA423" s="217"/>
      <c r="AB423" s="217"/>
      <c r="AC423" s="216"/>
      <c r="AD423" s="216"/>
    </row>
    <row r="424" spans="2:30" ht="30" customHeight="1" outlineLevel="1" x14ac:dyDescent="0.25">
      <c r="C424" s="103" t="s">
        <v>433</v>
      </c>
      <c r="D424" s="104" t="s">
        <v>434</v>
      </c>
      <c r="E424" s="427">
        <v>1985</v>
      </c>
      <c r="F424" s="105" t="s">
        <v>417</v>
      </c>
      <c r="G424" s="203">
        <f>G427</f>
        <v>382.5</v>
      </c>
      <c r="H424" s="203" t="s">
        <v>40</v>
      </c>
      <c r="I424" s="107">
        <v>500</v>
      </c>
      <c r="J424" s="108">
        <f t="shared" ref="J424:J462" si="91">I424*$S$2</f>
        <v>307425</v>
      </c>
      <c r="K424" s="109">
        <f>R424-E424</f>
        <v>36</v>
      </c>
      <c r="L424" s="105">
        <v>40</v>
      </c>
      <c r="M424" s="105">
        <v>30</v>
      </c>
      <c r="N424" s="111">
        <f>+I424*G424</f>
        <v>191250</v>
      </c>
      <c r="O424" s="111">
        <f>+N424/L424</f>
        <v>4781.25</v>
      </c>
      <c r="P424" s="111">
        <f>(N424/L424)*M424</f>
        <v>143437.5</v>
      </c>
      <c r="Q424" s="105" t="s">
        <v>41</v>
      </c>
      <c r="R424" s="105">
        <v>2021</v>
      </c>
      <c r="S424" s="113" t="s">
        <v>52</v>
      </c>
      <c r="U424" s="176" t="s">
        <v>433</v>
      </c>
      <c r="V424" s="421" t="s">
        <v>289</v>
      </c>
      <c r="W424" s="178">
        <v>660363.67000000004</v>
      </c>
      <c r="X424" s="178">
        <v>0</v>
      </c>
      <c r="Y424" s="178">
        <v>29750</v>
      </c>
      <c r="Z424" s="178">
        <v>660363.67000000004</v>
      </c>
      <c r="AA424" s="178">
        <v>13732.7</v>
      </c>
      <c r="AB424" s="178">
        <v>16017.3</v>
      </c>
      <c r="AC424" s="177" t="s">
        <v>435</v>
      </c>
      <c r="AD424" s="205">
        <v>900120</v>
      </c>
    </row>
    <row r="425" spans="2:30" ht="30" customHeight="1" outlineLevel="2" x14ac:dyDescent="0.25">
      <c r="C425" s="114" t="str">
        <f>C424</f>
        <v>H-1</v>
      </c>
      <c r="D425" s="115" t="s">
        <v>165</v>
      </c>
      <c r="E425" s="202">
        <v>1985</v>
      </c>
      <c r="F425" s="116" t="s">
        <v>417</v>
      </c>
      <c r="G425" s="206">
        <v>0</v>
      </c>
      <c r="H425" s="206" t="s">
        <v>87</v>
      </c>
      <c r="I425" s="206">
        <v>0</v>
      </c>
      <c r="J425" s="206">
        <v>0</v>
      </c>
      <c r="K425" s="313">
        <v>0</v>
      </c>
      <c r="L425" s="206">
        <v>0</v>
      </c>
      <c r="M425" s="206">
        <v>0</v>
      </c>
      <c r="N425" s="314">
        <v>0</v>
      </c>
      <c r="O425" s="314">
        <v>0</v>
      </c>
      <c r="P425" s="314">
        <v>0</v>
      </c>
      <c r="Q425" s="206">
        <v>0</v>
      </c>
      <c r="R425" s="116" t="s">
        <v>87</v>
      </c>
      <c r="S425" s="124" t="s">
        <v>87</v>
      </c>
      <c r="U425" s="180"/>
      <c r="V425" s="422"/>
      <c r="W425" s="156"/>
      <c r="X425" s="156"/>
      <c r="Y425" s="156"/>
      <c r="Z425" s="156"/>
      <c r="AA425" s="156"/>
      <c r="AB425" s="156"/>
      <c r="AC425" s="157"/>
      <c r="AD425" s="184"/>
    </row>
    <row r="426" spans="2:30" ht="30" customHeight="1" outlineLevel="2" x14ac:dyDescent="0.25">
      <c r="C426" s="114" t="str">
        <f>C424</f>
        <v>H-1</v>
      </c>
      <c r="D426" s="115" t="s">
        <v>46</v>
      </c>
      <c r="E426" s="202">
        <v>1985</v>
      </c>
      <c r="F426" s="116" t="s">
        <v>417</v>
      </c>
      <c r="G426" s="206">
        <v>209.18</v>
      </c>
      <c r="H426" s="206" t="s">
        <v>40</v>
      </c>
      <c r="I426" s="118">
        <v>3.4</v>
      </c>
      <c r="J426" s="119">
        <f t="shared" si="91"/>
        <v>2090.4900000000002</v>
      </c>
      <c r="K426" s="120">
        <f>R426-E426</f>
        <v>36</v>
      </c>
      <c r="L426" s="116">
        <v>10</v>
      </c>
      <c r="M426" s="116">
        <v>5</v>
      </c>
      <c r="N426" s="122">
        <f>+I426*G426</f>
        <v>711.21199999999999</v>
      </c>
      <c r="O426" s="122">
        <f>+N426/L426</f>
        <v>71.121200000000002</v>
      </c>
      <c r="P426" s="122">
        <f>(N426/L426)*M426</f>
        <v>355.60599999999999</v>
      </c>
      <c r="Q426" s="116" t="s">
        <v>41</v>
      </c>
      <c r="R426" s="116">
        <v>2021</v>
      </c>
      <c r="S426" s="124" t="s">
        <v>52</v>
      </c>
      <c r="U426" s="180"/>
      <c r="V426" s="422"/>
      <c r="W426" s="156"/>
      <c r="X426" s="156"/>
      <c r="Y426" s="156"/>
      <c r="Z426" s="156"/>
      <c r="AA426" s="156"/>
      <c r="AB426" s="156"/>
      <c r="AC426" s="157"/>
      <c r="AD426" s="184"/>
    </row>
    <row r="427" spans="2:30" ht="30" customHeight="1" outlineLevel="2" thickBot="1" x14ac:dyDescent="0.3">
      <c r="C427" s="159" t="str">
        <f>C424</f>
        <v>H-1</v>
      </c>
      <c r="D427" s="160" t="s">
        <v>48</v>
      </c>
      <c r="E427" s="428">
        <v>1985</v>
      </c>
      <c r="F427" s="161" t="s">
        <v>417</v>
      </c>
      <c r="G427" s="162">
        <v>382.5</v>
      </c>
      <c r="H427" s="218" t="s">
        <v>40</v>
      </c>
      <c r="I427" s="261">
        <f>+J427/$S$2</f>
        <v>165.85971605779582</v>
      </c>
      <c r="J427" s="97">
        <f t="shared" ref="J427" si="92">+((95000^(0.364-(0.00000133*G427)))/(G427^(0.364-(0.00000133*95000))))*6500</f>
        <v>101978.84641813577</v>
      </c>
      <c r="K427" s="163" t="s">
        <v>41</v>
      </c>
      <c r="L427" s="163" t="s">
        <v>41</v>
      </c>
      <c r="M427" s="163" t="s">
        <v>41</v>
      </c>
      <c r="N427" s="163" t="s">
        <v>41</v>
      </c>
      <c r="O427" s="163" t="s">
        <v>41</v>
      </c>
      <c r="P427" s="163" t="s">
        <v>41</v>
      </c>
      <c r="Q427" s="171">
        <f>I427*G427</f>
        <v>63441.3413921069</v>
      </c>
      <c r="R427" s="161">
        <v>2021</v>
      </c>
      <c r="S427" s="165" t="s">
        <v>52</v>
      </c>
      <c r="U427" s="181"/>
      <c r="V427" s="420"/>
      <c r="W427" s="168"/>
      <c r="X427" s="168"/>
      <c r="Y427" s="168"/>
      <c r="Z427" s="168"/>
      <c r="AA427" s="168"/>
      <c r="AB427" s="168"/>
      <c r="AC427" s="169"/>
      <c r="AD427" s="188"/>
    </row>
    <row r="428" spans="2:30" ht="30" customHeight="1" outlineLevel="1" x14ac:dyDescent="0.25">
      <c r="C428" s="103" t="s">
        <v>436</v>
      </c>
      <c r="D428" s="104" t="s">
        <v>437</v>
      </c>
      <c r="E428" s="427">
        <v>2010</v>
      </c>
      <c r="F428" s="105" t="s">
        <v>417</v>
      </c>
      <c r="G428" s="203">
        <f>G431</f>
        <v>296.37</v>
      </c>
      <c r="H428" s="203" t="s">
        <v>40</v>
      </c>
      <c r="I428" s="107">
        <v>1200</v>
      </c>
      <c r="J428" s="108">
        <f t="shared" si="91"/>
        <v>737820</v>
      </c>
      <c r="K428" s="109">
        <f>R428-E428</f>
        <v>11</v>
      </c>
      <c r="L428" s="105">
        <v>50</v>
      </c>
      <c r="M428" s="105">
        <v>40</v>
      </c>
      <c r="N428" s="111">
        <f>+I428*G428</f>
        <v>355644</v>
      </c>
      <c r="O428" s="111">
        <f>+N428/L428</f>
        <v>7112.88</v>
      </c>
      <c r="P428" s="111">
        <f>(N428/L428)*M428</f>
        <v>284515.20000000001</v>
      </c>
      <c r="Q428" s="105" t="s">
        <v>41</v>
      </c>
      <c r="R428" s="105">
        <v>2021</v>
      </c>
      <c r="S428" s="113" t="s">
        <v>52</v>
      </c>
      <c r="U428" s="299" t="s">
        <v>436</v>
      </c>
      <c r="V428" s="229" t="s">
        <v>140</v>
      </c>
      <c r="W428" s="230"/>
      <c r="X428" s="230"/>
      <c r="Y428" s="230"/>
      <c r="Z428" s="230"/>
      <c r="AA428" s="230"/>
      <c r="AB428" s="230"/>
      <c r="AC428" s="230"/>
      <c r="AD428" s="300"/>
    </row>
    <row r="429" spans="2:30" ht="30" customHeight="1" outlineLevel="2" x14ac:dyDescent="0.25">
      <c r="C429" s="114" t="str">
        <f>C428</f>
        <v>H-2</v>
      </c>
      <c r="D429" s="115" t="s">
        <v>44</v>
      </c>
      <c r="E429" s="202">
        <v>2010</v>
      </c>
      <c r="F429" s="116" t="s">
        <v>417</v>
      </c>
      <c r="G429" s="206">
        <v>96.48</v>
      </c>
      <c r="H429" s="206" t="s">
        <v>40</v>
      </c>
      <c r="I429" s="118">
        <v>30.54</v>
      </c>
      <c r="J429" s="119">
        <f t="shared" si="91"/>
        <v>18777.519</v>
      </c>
      <c r="K429" s="120">
        <f>R429-E429</f>
        <v>11</v>
      </c>
      <c r="L429" s="116">
        <v>15</v>
      </c>
      <c r="M429" s="116">
        <v>11</v>
      </c>
      <c r="N429" s="122">
        <f>+I429*G429</f>
        <v>2946.4992000000002</v>
      </c>
      <c r="O429" s="122">
        <f>+N429/L429</f>
        <v>196.43328000000002</v>
      </c>
      <c r="P429" s="122">
        <f>(N429/L429)*M429</f>
        <v>2160.7660800000003</v>
      </c>
      <c r="Q429" s="116" t="s">
        <v>41</v>
      </c>
      <c r="R429" s="116">
        <v>2021</v>
      </c>
      <c r="S429" s="124" t="s">
        <v>52</v>
      </c>
      <c r="U429" s="301"/>
      <c r="V429" s="233"/>
      <c r="W429" s="234"/>
      <c r="X429" s="234"/>
      <c r="Y429" s="234"/>
      <c r="Z429" s="234"/>
      <c r="AA429" s="234"/>
      <c r="AB429" s="234"/>
      <c r="AC429" s="234"/>
      <c r="AD429" s="302"/>
    </row>
    <row r="430" spans="2:30" ht="30" customHeight="1" outlineLevel="2" x14ac:dyDescent="0.25">
      <c r="C430" s="114" t="str">
        <f>C428</f>
        <v>H-2</v>
      </c>
      <c r="D430" s="115" t="s">
        <v>46</v>
      </c>
      <c r="E430" s="202">
        <v>2010</v>
      </c>
      <c r="F430" s="116" t="s">
        <v>417</v>
      </c>
      <c r="G430" s="206">
        <v>200.31</v>
      </c>
      <c r="H430" s="206" t="s">
        <v>40</v>
      </c>
      <c r="I430" s="118">
        <v>3.4</v>
      </c>
      <c r="J430" s="119">
        <f t="shared" si="91"/>
        <v>2090.4900000000002</v>
      </c>
      <c r="K430" s="120">
        <f>R430-E430</f>
        <v>11</v>
      </c>
      <c r="L430" s="116">
        <v>10</v>
      </c>
      <c r="M430" s="116">
        <v>7</v>
      </c>
      <c r="N430" s="122">
        <f>+I430*G430</f>
        <v>681.05399999999997</v>
      </c>
      <c r="O430" s="122">
        <f>+N430/L430</f>
        <v>68.105400000000003</v>
      </c>
      <c r="P430" s="122">
        <f>(N430/L430)*M430</f>
        <v>476.73779999999999</v>
      </c>
      <c r="Q430" s="116" t="s">
        <v>41</v>
      </c>
      <c r="R430" s="116">
        <v>2021</v>
      </c>
      <c r="S430" s="124" t="s">
        <v>52</v>
      </c>
      <c r="U430" s="301"/>
      <c r="V430" s="233"/>
      <c r="W430" s="234"/>
      <c r="X430" s="234"/>
      <c r="Y430" s="234"/>
      <c r="Z430" s="234"/>
      <c r="AA430" s="234"/>
      <c r="AB430" s="234"/>
      <c r="AC430" s="234"/>
      <c r="AD430" s="302"/>
    </row>
    <row r="431" spans="2:30" ht="30" customHeight="1" outlineLevel="2" thickBot="1" x14ac:dyDescent="0.3">
      <c r="C431" s="159" t="str">
        <f>C428</f>
        <v>H-2</v>
      </c>
      <c r="D431" s="160" t="s">
        <v>48</v>
      </c>
      <c r="E431" s="428">
        <v>2010</v>
      </c>
      <c r="F431" s="161" t="s">
        <v>417</v>
      </c>
      <c r="G431" s="162">
        <v>296.37</v>
      </c>
      <c r="H431" s="218" t="s">
        <v>40</v>
      </c>
      <c r="I431" s="261">
        <f>+J431/$S$2</f>
        <v>176.45829745696264</v>
      </c>
      <c r="J431" s="97">
        <f t="shared" ref="J431" si="93">+((95000^(0.364-(0.00000133*G431)))/(G431^(0.364-(0.00000133*95000))))*6500</f>
        <v>108495.38419141348</v>
      </c>
      <c r="K431" s="163" t="s">
        <v>41</v>
      </c>
      <c r="L431" s="163" t="s">
        <v>41</v>
      </c>
      <c r="M431" s="163" t="s">
        <v>41</v>
      </c>
      <c r="N431" s="163" t="s">
        <v>41</v>
      </c>
      <c r="O431" s="163" t="s">
        <v>41</v>
      </c>
      <c r="P431" s="163" t="s">
        <v>41</v>
      </c>
      <c r="Q431" s="171">
        <f>I431*G431</f>
        <v>52296.945617320016</v>
      </c>
      <c r="R431" s="161">
        <v>2021</v>
      </c>
      <c r="S431" s="165" t="s">
        <v>52</v>
      </c>
      <c r="U431" s="305"/>
      <c r="V431" s="239"/>
      <c r="W431" s="240"/>
      <c r="X431" s="240"/>
      <c r="Y431" s="240"/>
      <c r="Z431" s="240"/>
      <c r="AA431" s="240"/>
      <c r="AB431" s="240"/>
      <c r="AC431" s="240"/>
      <c r="AD431" s="306"/>
    </row>
    <row r="432" spans="2:30" ht="30" customHeight="1" outlineLevel="1" x14ac:dyDescent="0.25">
      <c r="C432" s="103" t="s">
        <v>438</v>
      </c>
      <c r="D432" s="104" t="s">
        <v>439</v>
      </c>
      <c r="E432" s="427">
        <v>1990</v>
      </c>
      <c r="F432" s="105" t="s">
        <v>417</v>
      </c>
      <c r="G432" s="203">
        <f>G435</f>
        <v>147.32</v>
      </c>
      <c r="H432" s="203" t="s">
        <v>40</v>
      </c>
      <c r="I432" s="107">
        <v>1200</v>
      </c>
      <c r="J432" s="108">
        <f t="shared" si="91"/>
        <v>737820</v>
      </c>
      <c r="K432" s="109">
        <f>R432-E432</f>
        <v>31</v>
      </c>
      <c r="L432" s="105">
        <v>50</v>
      </c>
      <c r="M432" s="105">
        <v>30</v>
      </c>
      <c r="N432" s="111">
        <f>+I432*G432</f>
        <v>176784</v>
      </c>
      <c r="O432" s="111">
        <f>+N432/L432</f>
        <v>3535.68</v>
      </c>
      <c r="P432" s="111">
        <f>(N432/L432)*M432</f>
        <v>106070.39999999999</v>
      </c>
      <c r="Q432" s="105" t="s">
        <v>41</v>
      </c>
      <c r="R432" s="105">
        <v>2021</v>
      </c>
      <c r="S432" s="113" t="s">
        <v>52</v>
      </c>
      <c r="U432" s="176" t="s">
        <v>438</v>
      </c>
      <c r="V432" s="189" t="s">
        <v>118</v>
      </c>
      <c r="W432" s="178">
        <v>251521.51</v>
      </c>
      <c r="X432" s="178">
        <v>0</v>
      </c>
      <c r="Y432" s="178">
        <v>35556762.799999997</v>
      </c>
      <c r="Z432" s="178">
        <v>157684.6</v>
      </c>
      <c r="AA432" s="178">
        <v>14467191.74</v>
      </c>
      <c r="AB432" s="178">
        <v>21183407.969999991</v>
      </c>
      <c r="AC432" s="177" t="s">
        <v>440</v>
      </c>
      <c r="AD432" s="205">
        <v>900053</v>
      </c>
    </row>
    <row r="433" spans="3:30" ht="30" customHeight="1" outlineLevel="2" x14ac:dyDescent="0.25">
      <c r="C433" s="114" t="str">
        <f>C432</f>
        <v>H-3</v>
      </c>
      <c r="D433" s="115" t="s">
        <v>44</v>
      </c>
      <c r="E433" s="202">
        <v>1990</v>
      </c>
      <c r="F433" s="116" t="s">
        <v>417</v>
      </c>
      <c r="G433" s="206">
        <v>68.34</v>
      </c>
      <c r="H433" s="206" t="s">
        <v>40</v>
      </c>
      <c r="I433" s="118">
        <v>30.54</v>
      </c>
      <c r="J433" s="119">
        <f t="shared" si="91"/>
        <v>18777.519</v>
      </c>
      <c r="K433" s="120">
        <f>R433-E433</f>
        <v>31</v>
      </c>
      <c r="L433" s="116">
        <v>15</v>
      </c>
      <c r="M433" s="116">
        <v>5</v>
      </c>
      <c r="N433" s="122">
        <f>+I433*G433</f>
        <v>2087.1035999999999</v>
      </c>
      <c r="O433" s="122">
        <f>+N433/L433</f>
        <v>139.14024000000001</v>
      </c>
      <c r="P433" s="122">
        <f>(N433/L433)*M433</f>
        <v>695.70119999999997</v>
      </c>
      <c r="Q433" s="116" t="s">
        <v>41</v>
      </c>
      <c r="R433" s="116">
        <v>2021</v>
      </c>
      <c r="S433" s="124" t="s">
        <v>52</v>
      </c>
      <c r="U433" s="180"/>
      <c r="V433" s="155"/>
      <c r="W433" s="156"/>
      <c r="X433" s="156"/>
      <c r="Y433" s="156"/>
      <c r="Z433" s="156"/>
      <c r="AA433" s="156"/>
      <c r="AB433" s="156"/>
      <c r="AC433" s="157"/>
      <c r="AD433" s="184"/>
    </row>
    <row r="434" spans="3:30" ht="30" customHeight="1" outlineLevel="2" x14ac:dyDescent="0.25">
      <c r="C434" s="114" t="str">
        <f>C432</f>
        <v>H-3</v>
      </c>
      <c r="D434" s="115" t="s">
        <v>46</v>
      </c>
      <c r="E434" s="202">
        <v>1990</v>
      </c>
      <c r="F434" s="116" t="s">
        <v>417</v>
      </c>
      <c r="G434" s="206">
        <v>143.82</v>
      </c>
      <c r="H434" s="206" t="s">
        <v>40</v>
      </c>
      <c r="I434" s="118">
        <v>3.4</v>
      </c>
      <c r="J434" s="119">
        <f t="shared" si="91"/>
        <v>2090.4900000000002</v>
      </c>
      <c r="K434" s="120">
        <f>R434-E434</f>
        <v>31</v>
      </c>
      <c r="L434" s="116">
        <v>10</v>
      </c>
      <c r="M434" s="116">
        <v>5</v>
      </c>
      <c r="N434" s="122">
        <f>+I434*G434</f>
        <v>488.98799999999994</v>
      </c>
      <c r="O434" s="122">
        <f>+N434/L434</f>
        <v>48.898799999999994</v>
      </c>
      <c r="P434" s="122">
        <f>(N434/L434)*M434</f>
        <v>244.49399999999997</v>
      </c>
      <c r="Q434" s="116" t="s">
        <v>41</v>
      </c>
      <c r="R434" s="116">
        <v>2021</v>
      </c>
      <c r="S434" s="124" t="s">
        <v>52</v>
      </c>
      <c r="U434" s="180"/>
      <c r="V434" s="155"/>
      <c r="W434" s="156"/>
      <c r="X434" s="156"/>
      <c r="Y434" s="156"/>
      <c r="Z434" s="156"/>
      <c r="AA434" s="156"/>
      <c r="AB434" s="156"/>
      <c r="AC434" s="157"/>
      <c r="AD434" s="184"/>
    </row>
    <row r="435" spans="3:30" ht="30" customHeight="1" outlineLevel="2" thickBot="1" x14ac:dyDescent="0.3">
      <c r="C435" s="159" t="str">
        <f>C432</f>
        <v>H-3</v>
      </c>
      <c r="D435" s="160" t="s">
        <v>48</v>
      </c>
      <c r="E435" s="428">
        <v>1990</v>
      </c>
      <c r="F435" s="161" t="s">
        <v>417</v>
      </c>
      <c r="G435" s="162">
        <v>147.32</v>
      </c>
      <c r="H435" s="218" t="s">
        <v>40</v>
      </c>
      <c r="I435" s="261">
        <f>+J435/$S$2</f>
        <v>208.82037094939679</v>
      </c>
      <c r="J435" s="97">
        <f t="shared" ref="J435" si="94">+((95000^(0.364-(0.00000133*G435)))/(G435^(0.364-(0.00000133*95000))))*6500</f>
        <v>128393.20507823663</v>
      </c>
      <c r="K435" s="163" t="s">
        <v>41</v>
      </c>
      <c r="L435" s="163" t="s">
        <v>41</v>
      </c>
      <c r="M435" s="163" t="s">
        <v>41</v>
      </c>
      <c r="N435" s="163" t="s">
        <v>41</v>
      </c>
      <c r="O435" s="163" t="s">
        <v>41</v>
      </c>
      <c r="P435" s="163" t="s">
        <v>41</v>
      </c>
      <c r="Q435" s="171">
        <f>I435*G435</f>
        <v>30763.417048265135</v>
      </c>
      <c r="R435" s="161">
        <v>2021</v>
      </c>
      <c r="S435" s="165" t="s">
        <v>52</v>
      </c>
      <c r="U435" s="181"/>
      <c r="V435" s="167"/>
      <c r="W435" s="168"/>
      <c r="X435" s="168"/>
      <c r="Y435" s="168"/>
      <c r="Z435" s="168"/>
      <c r="AA435" s="168"/>
      <c r="AB435" s="168"/>
      <c r="AC435" s="169"/>
      <c r="AD435" s="188"/>
    </row>
    <row r="436" spans="3:30" ht="30" customHeight="1" outlineLevel="1" x14ac:dyDescent="0.25">
      <c r="C436" s="103" t="s">
        <v>441</v>
      </c>
      <c r="D436" s="104" t="s">
        <v>442</v>
      </c>
      <c r="E436" s="427">
        <v>1990</v>
      </c>
      <c r="F436" s="105" t="s">
        <v>417</v>
      </c>
      <c r="G436" s="203">
        <f>G439</f>
        <v>165.43</v>
      </c>
      <c r="H436" s="203" t="s">
        <v>40</v>
      </c>
      <c r="I436" s="107">
        <v>400</v>
      </c>
      <c r="J436" s="108">
        <f t="shared" si="91"/>
        <v>245940</v>
      </c>
      <c r="K436" s="109">
        <f>R436-E436</f>
        <v>31</v>
      </c>
      <c r="L436" s="105">
        <v>50</v>
      </c>
      <c r="M436" s="105">
        <v>30</v>
      </c>
      <c r="N436" s="111">
        <f>+I436*G436</f>
        <v>66172</v>
      </c>
      <c r="O436" s="111">
        <f>+N436/L436</f>
        <v>1323.44</v>
      </c>
      <c r="P436" s="111">
        <f>(N436/L436)*M436</f>
        <v>39703.200000000004</v>
      </c>
      <c r="Q436" s="105" t="s">
        <v>41</v>
      </c>
      <c r="R436" s="105">
        <v>2021</v>
      </c>
      <c r="S436" s="113" t="s">
        <v>52</v>
      </c>
      <c r="U436" s="176" t="s">
        <v>441</v>
      </c>
      <c r="V436" s="189">
        <v>30346</v>
      </c>
      <c r="W436" s="178">
        <v>515272.2</v>
      </c>
      <c r="X436" s="178">
        <v>0</v>
      </c>
      <c r="Y436" s="178">
        <v>0</v>
      </c>
      <c r="Z436" s="178">
        <v>257133.46</v>
      </c>
      <c r="AA436" s="178">
        <v>0</v>
      </c>
      <c r="AB436" s="178">
        <v>258138.74000000002</v>
      </c>
      <c r="AC436" s="177" t="s">
        <v>443</v>
      </c>
      <c r="AD436" s="205">
        <v>900119</v>
      </c>
    </row>
    <row r="437" spans="3:30" ht="30" customHeight="1" outlineLevel="2" x14ac:dyDescent="0.25">
      <c r="C437" s="114" t="str">
        <f>C436</f>
        <v>H-4</v>
      </c>
      <c r="D437" s="115" t="s">
        <v>44</v>
      </c>
      <c r="E437" s="202">
        <v>1990</v>
      </c>
      <c r="F437" s="116" t="s">
        <v>417</v>
      </c>
      <c r="G437" s="206">
        <v>70.39</v>
      </c>
      <c r="H437" s="206" t="s">
        <v>40</v>
      </c>
      <c r="I437" s="118">
        <v>30.54</v>
      </c>
      <c r="J437" s="119">
        <f t="shared" si="91"/>
        <v>18777.519</v>
      </c>
      <c r="K437" s="120">
        <f>R437-E437</f>
        <v>31</v>
      </c>
      <c r="L437" s="116">
        <v>15</v>
      </c>
      <c r="M437" s="116">
        <v>5</v>
      </c>
      <c r="N437" s="122">
        <f>+I437*G437</f>
        <v>2149.7105999999999</v>
      </c>
      <c r="O437" s="122">
        <f>+N437/L437</f>
        <v>143.31404000000001</v>
      </c>
      <c r="P437" s="122">
        <f>(N437/L437)*M437</f>
        <v>716.5702</v>
      </c>
      <c r="Q437" s="116" t="s">
        <v>41</v>
      </c>
      <c r="R437" s="116">
        <v>2021</v>
      </c>
      <c r="S437" s="124" t="s">
        <v>52</v>
      </c>
      <c r="U437" s="180"/>
      <c r="V437" s="155"/>
      <c r="W437" s="156"/>
      <c r="X437" s="156"/>
      <c r="Y437" s="156"/>
      <c r="Z437" s="156"/>
      <c r="AA437" s="156"/>
      <c r="AB437" s="156"/>
      <c r="AC437" s="157"/>
      <c r="AD437" s="184"/>
    </row>
    <row r="438" spans="3:30" ht="30" customHeight="1" outlineLevel="2" x14ac:dyDescent="0.25">
      <c r="C438" s="114" t="str">
        <f>C436</f>
        <v>H-4</v>
      </c>
      <c r="D438" s="115" t="s">
        <v>46</v>
      </c>
      <c r="E438" s="202">
        <v>1990</v>
      </c>
      <c r="F438" s="116" t="s">
        <v>417</v>
      </c>
      <c r="G438" s="206">
        <v>148.78</v>
      </c>
      <c r="H438" s="206" t="s">
        <v>40</v>
      </c>
      <c r="I438" s="118">
        <v>3.4</v>
      </c>
      <c r="J438" s="119">
        <f t="shared" si="91"/>
        <v>2090.4900000000002</v>
      </c>
      <c r="K438" s="120">
        <f>R438-E438</f>
        <v>31</v>
      </c>
      <c r="L438" s="116">
        <v>10</v>
      </c>
      <c r="M438" s="116">
        <v>5</v>
      </c>
      <c r="N438" s="122">
        <f>+I438*G438</f>
        <v>505.85199999999998</v>
      </c>
      <c r="O438" s="122">
        <f>+N438/L438</f>
        <v>50.5852</v>
      </c>
      <c r="P438" s="122">
        <f>(N438/L438)*M438</f>
        <v>252.92599999999999</v>
      </c>
      <c r="Q438" s="116" t="s">
        <v>41</v>
      </c>
      <c r="R438" s="116">
        <v>2021</v>
      </c>
      <c r="S438" s="124" t="s">
        <v>52</v>
      </c>
      <c r="U438" s="180"/>
      <c r="V438" s="155"/>
      <c r="W438" s="156"/>
      <c r="X438" s="156"/>
      <c r="Y438" s="156"/>
      <c r="Z438" s="156"/>
      <c r="AA438" s="156"/>
      <c r="AB438" s="156"/>
      <c r="AC438" s="157"/>
      <c r="AD438" s="184"/>
    </row>
    <row r="439" spans="3:30" ht="30" customHeight="1" outlineLevel="2" thickBot="1" x14ac:dyDescent="0.3">
      <c r="C439" s="159" t="str">
        <f>C436</f>
        <v>H-4</v>
      </c>
      <c r="D439" s="160" t="s">
        <v>48</v>
      </c>
      <c r="E439" s="428">
        <v>1990</v>
      </c>
      <c r="F439" s="161" t="s">
        <v>417</v>
      </c>
      <c r="G439" s="162">
        <v>165.43</v>
      </c>
      <c r="H439" s="218" t="s">
        <v>40</v>
      </c>
      <c r="I439" s="261">
        <f>+J439/$S$2</f>
        <v>203.08913141768832</v>
      </c>
      <c r="J439" s="97">
        <f t="shared" ref="J439" si="95">+((95000^(0.364-(0.00000133*G439)))/(G439^(0.364-(0.00000133*95000))))*6500</f>
        <v>124869.35245216567</v>
      </c>
      <c r="K439" s="163" t="s">
        <v>41</v>
      </c>
      <c r="L439" s="163" t="s">
        <v>41</v>
      </c>
      <c r="M439" s="163" t="s">
        <v>41</v>
      </c>
      <c r="N439" s="163" t="s">
        <v>41</v>
      </c>
      <c r="O439" s="163" t="s">
        <v>41</v>
      </c>
      <c r="P439" s="163" t="s">
        <v>41</v>
      </c>
      <c r="Q439" s="171">
        <f>I439*G439</f>
        <v>33597.035010428182</v>
      </c>
      <c r="R439" s="161">
        <v>2021</v>
      </c>
      <c r="S439" s="165" t="s">
        <v>52</v>
      </c>
      <c r="U439" s="181"/>
      <c r="V439" s="167"/>
      <c r="W439" s="168"/>
      <c r="X439" s="168"/>
      <c r="Y439" s="168"/>
      <c r="Z439" s="168"/>
      <c r="AA439" s="168"/>
      <c r="AB439" s="168"/>
      <c r="AC439" s="169"/>
      <c r="AD439" s="188"/>
    </row>
    <row r="440" spans="3:30" ht="30" customHeight="1" outlineLevel="1" x14ac:dyDescent="0.25">
      <c r="C440" s="103" t="s">
        <v>444</v>
      </c>
      <c r="D440" s="104" t="s">
        <v>445</v>
      </c>
      <c r="E440" s="427">
        <v>1975</v>
      </c>
      <c r="F440" s="105" t="s">
        <v>417</v>
      </c>
      <c r="G440" s="203">
        <f>G443</f>
        <v>189.51</v>
      </c>
      <c r="H440" s="203" t="s">
        <v>40</v>
      </c>
      <c r="I440" s="107">
        <v>225</v>
      </c>
      <c r="J440" s="108">
        <f t="shared" si="91"/>
        <v>138341.25</v>
      </c>
      <c r="K440" s="109">
        <f>R440-E440</f>
        <v>46</v>
      </c>
      <c r="L440" s="105">
        <v>50</v>
      </c>
      <c r="M440" s="105">
        <v>30</v>
      </c>
      <c r="N440" s="111">
        <f>+I440*G440</f>
        <v>42639.75</v>
      </c>
      <c r="O440" s="111">
        <f>+N440/L440</f>
        <v>852.79499999999996</v>
      </c>
      <c r="P440" s="111">
        <f>(N440/L440)*M440</f>
        <v>25583.85</v>
      </c>
      <c r="Q440" s="105" t="s">
        <v>41</v>
      </c>
      <c r="R440" s="105">
        <v>2021</v>
      </c>
      <c r="S440" s="113" t="s">
        <v>52</v>
      </c>
      <c r="U440" s="405" t="s">
        <v>444</v>
      </c>
      <c r="V440" s="405" t="s">
        <v>140</v>
      </c>
      <c r="W440" s="230"/>
      <c r="X440" s="230"/>
      <c r="Y440" s="230"/>
      <c r="Z440" s="230"/>
      <c r="AA440" s="230"/>
      <c r="AB440" s="230"/>
      <c r="AC440" s="230"/>
      <c r="AD440" s="300"/>
    </row>
    <row r="441" spans="3:30" ht="30" customHeight="1" outlineLevel="2" x14ac:dyDescent="0.25">
      <c r="C441" s="114" t="str">
        <f>C440</f>
        <v>H-5</v>
      </c>
      <c r="D441" s="115" t="s">
        <v>165</v>
      </c>
      <c r="E441" s="202">
        <v>1975</v>
      </c>
      <c r="F441" s="116" t="s">
        <v>417</v>
      </c>
      <c r="G441" s="206">
        <v>0</v>
      </c>
      <c r="H441" s="206" t="s">
        <v>87</v>
      </c>
      <c r="I441" s="206">
        <v>0</v>
      </c>
      <c r="J441" s="206">
        <v>0</v>
      </c>
      <c r="K441" s="313">
        <v>0</v>
      </c>
      <c r="L441" s="206">
        <v>0</v>
      </c>
      <c r="M441" s="206">
        <v>0</v>
      </c>
      <c r="N441" s="314">
        <v>0</v>
      </c>
      <c r="O441" s="314">
        <v>0</v>
      </c>
      <c r="P441" s="314">
        <v>0</v>
      </c>
      <c r="Q441" s="206">
        <v>0</v>
      </c>
      <c r="R441" s="116" t="s">
        <v>87</v>
      </c>
      <c r="S441" s="124" t="s">
        <v>87</v>
      </c>
      <c r="U441" s="406"/>
      <c r="V441" s="406"/>
      <c r="W441" s="234"/>
      <c r="X441" s="234"/>
      <c r="Y441" s="234"/>
      <c r="Z441" s="234"/>
      <c r="AA441" s="234"/>
      <c r="AB441" s="234"/>
      <c r="AC441" s="234"/>
      <c r="AD441" s="302"/>
    </row>
    <row r="442" spans="3:30" ht="30" customHeight="1" outlineLevel="2" x14ac:dyDescent="0.25">
      <c r="C442" s="114" t="str">
        <f>C440</f>
        <v>H-5</v>
      </c>
      <c r="D442" s="115" t="s">
        <v>46</v>
      </c>
      <c r="E442" s="202">
        <v>1975</v>
      </c>
      <c r="F442" s="116" t="s">
        <v>417</v>
      </c>
      <c r="G442" s="206">
        <v>126.72</v>
      </c>
      <c r="H442" s="206" t="s">
        <v>40</v>
      </c>
      <c r="I442" s="118">
        <v>3.4</v>
      </c>
      <c r="J442" s="119">
        <f t="shared" si="91"/>
        <v>2090.4900000000002</v>
      </c>
      <c r="K442" s="120">
        <f>R442-E442</f>
        <v>46</v>
      </c>
      <c r="L442" s="116">
        <v>10</v>
      </c>
      <c r="M442" s="116">
        <v>5</v>
      </c>
      <c r="N442" s="122">
        <f>+I442*G442</f>
        <v>430.84800000000001</v>
      </c>
      <c r="O442" s="122">
        <f>+N442/L442</f>
        <v>43.084800000000001</v>
      </c>
      <c r="P442" s="122">
        <f>(N442/L442)*M442</f>
        <v>215.42400000000001</v>
      </c>
      <c r="Q442" s="116" t="s">
        <v>41</v>
      </c>
      <c r="R442" s="116">
        <v>2021</v>
      </c>
      <c r="S442" s="124" t="s">
        <v>52</v>
      </c>
      <c r="U442" s="406"/>
      <c r="V442" s="406"/>
      <c r="W442" s="234"/>
      <c r="X442" s="234"/>
      <c r="Y442" s="234"/>
      <c r="Z442" s="234"/>
      <c r="AA442" s="234"/>
      <c r="AB442" s="234"/>
      <c r="AC442" s="234"/>
      <c r="AD442" s="302"/>
    </row>
    <row r="443" spans="3:30" ht="30" customHeight="1" outlineLevel="2" thickBot="1" x14ac:dyDescent="0.3">
      <c r="C443" s="159" t="str">
        <f>C440</f>
        <v>H-5</v>
      </c>
      <c r="D443" s="160" t="s">
        <v>48</v>
      </c>
      <c r="E443" s="428">
        <v>1975</v>
      </c>
      <c r="F443" s="161" t="s">
        <v>417</v>
      </c>
      <c r="G443" s="162">
        <v>189.51</v>
      </c>
      <c r="H443" s="218" t="s">
        <v>40</v>
      </c>
      <c r="I443" s="261">
        <f>+J443/$S$2</f>
        <v>196.56295333552654</v>
      </c>
      <c r="J443" s="97">
        <f t="shared" ref="J443" si="96">+((95000^(0.364-(0.00000133*G443)))/(G443^(0.364-(0.00000133*95000))))*6500</f>
        <v>120856.7318583485</v>
      </c>
      <c r="K443" s="163" t="s">
        <v>41</v>
      </c>
      <c r="L443" s="163" t="s">
        <v>41</v>
      </c>
      <c r="M443" s="163" t="s">
        <v>41</v>
      </c>
      <c r="N443" s="163" t="s">
        <v>41</v>
      </c>
      <c r="O443" s="163" t="s">
        <v>41</v>
      </c>
      <c r="P443" s="163" t="s">
        <v>41</v>
      </c>
      <c r="Q443" s="171">
        <f>I443*G443</f>
        <v>37250.645286615632</v>
      </c>
      <c r="R443" s="161">
        <v>2021</v>
      </c>
      <c r="S443" s="165" t="s">
        <v>52</v>
      </c>
      <c r="U443" s="407"/>
      <c r="V443" s="407"/>
      <c r="W443" s="240"/>
      <c r="X443" s="240"/>
      <c r="Y443" s="240"/>
      <c r="Z443" s="240"/>
      <c r="AA443" s="240"/>
      <c r="AB443" s="240"/>
      <c r="AC443" s="240"/>
      <c r="AD443" s="306"/>
    </row>
    <row r="444" spans="3:30" ht="30" customHeight="1" outlineLevel="1" x14ac:dyDescent="0.25">
      <c r="C444" s="103" t="s">
        <v>446</v>
      </c>
      <c r="D444" s="104" t="s">
        <v>447</v>
      </c>
      <c r="E444" s="427">
        <v>2010</v>
      </c>
      <c r="F444" s="105" t="s">
        <v>417</v>
      </c>
      <c r="G444" s="203">
        <f>G447</f>
        <v>247.54</v>
      </c>
      <c r="H444" s="203" t="s">
        <v>40</v>
      </c>
      <c r="I444" s="107">
        <v>800</v>
      </c>
      <c r="J444" s="108">
        <f t="shared" si="91"/>
        <v>491880</v>
      </c>
      <c r="K444" s="109">
        <f>R444-E444</f>
        <v>11</v>
      </c>
      <c r="L444" s="105">
        <v>50</v>
      </c>
      <c r="M444" s="105">
        <v>40</v>
      </c>
      <c r="N444" s="111">
        <f>+I444*G444</f>
        <v>198032</v>
      </c>
      <c r="O444" s="111">
        <f>+N444/L444</f>
        <v>3960.64</v>
      </c>
      <c r="P444" s="111">
        <f>(N444/L444)*M444</f>
        <v>158425.60000000001</v>
      </c>
      <c r="Q444" s="105" t="s">
        <v>41</v>
      </c>
      <c r="R444" s="105">
        <v>2021</v>
      </c>
      <c r="S444" s="113" t="s">
        <v>52</v>
      </c>
      <c r="U444" s="176" t="s">
        <v>446</v>
      </c>
      <c r="V444" s="421">
        <v>42718</v>
      </c>
      <c r="W444" s="178">
        <v>301038068.32999998</v>
      </c>
      <c r="X444" s="178">
        <v>0</v>
      </c>
      <c r="Y444" s="178">
        <v>33600000</v>
      </c>
      <c r="Z444" s="178">
        <v>18564014.09</v>
      </c>
      <c r="AA444" s="178">
        <v>1966555.15</v>
      </c>
      <c r="AB444" s="178">
        <v>314107499.09000003</v>
      </c>
      <c r="AC444" s="205" t="s">
        <v>448</v>
      </c>
      <c r="AD444" s="429">
        <v>900369</v>
      </c>
    </row>
    <row r="445" spans="3:30" ht="30" customHeight="1" outlineLevel="2" x14ac:dyDescent="0.25">
      <c r="C445" s="114" t="str">
        <f>C444</f>
        <v>H-6</v>
      </c>
      <c r="D445" s="115" t="s">
        <v>44</v>
      </c>
      <c r="E445" s="202">
        <v>2010</v>
      </c>
      <c r="F445" s="116" t="s">
        <v>417</v>
      </c>
      <c r="G445" s="206">
        <v>81.89</v>
      </c>
      <c r="H445" s="206" t="s">
        <v>40</v>
      </c>
      <c r="I445" s="118">
        <v>30.54</v>
      </c>
      <c r="J445" s="119">
        <f t="shared" si="91"/>
        <v>18777.519</v>
      </c>
      <c r="K445" s="120">
        <f>R445-E445</f>
        <v>11</v>
      </c>
      <c r="L445" s="116">
        <v>15</v>
      </c>
      <c r="M445" s="116">
        <v>11</v>
      </c>
      <c r="N445" s="122">
        <f>+I445*G445</f>
        <v>2500.9205999999999</v>
      </c>
      <c r="O445" s="122">
        <f>+N445/L445</f>
        <v>166.72803999999999</v>
      </c>
      <c r="P445" s="122">
        <f>(N445/L445)*M445</f>
        <v>1834.0084399999998</v>
      </c>
      <c r="Q445" s="116" t="s">
        <v>41</v>
      </c>
      <c r="R445" s="116">
        <v>2021</v>
      </c>
      <c r="S445" s="124" t="s">
        <v>52</v>
      </c>
      <c r="U445" s="180"/>
      <c r="V445" s="422"/>
      <c r="W445" s="156"/>
      <c r="X445" s="156"/>
      <c r="Y445" s="156"/>
      <c r="Z445" s="156"/>
      <c r="AA445" s="156"/>
      <c r="AB445" s="156"/>
      <c r="AC445" s="184"/>
      <c r="AD445" s="430"/>
    </row>
    <row r="446" spans="3:30" ht="30" customHeight="1" outlineLevel="2" x14ac:dyDescent="0.25">
      <c r="C446" s="114" t="str">
        <f>C444</f>
        <v>H-6</v>
      </c>
      <c r="D446" s="115" t="s">
        <v>46</v>
      </c>
      <c r="E446" s="202">
        <v>2010</v>
      </c>
      <c r="F446" s="116" t="s">
        <v>417</v>
      </c>
      <c r="G446" s="206">
        <v>174.11</v>
      </c>
      <c r="H446" s="206" t="s">
        <v>40</v>
      </c>
      <c r="I446" s="118">
        <v>3.4</v>
      </c>
      <c r="J446" s="119">
        <f t="shared" si="91"/>
        <v>2090.4900000000002</v>
      </c>
      <c r="K446" s="120">
        <f>R446-E446</f>
        <v>11</v>
      </c>
      <c r="L446" s="116">
        <v>10</v>
      </c>
      <c r="M446" s="116">
        <v>7</v>
      </c>
      <c r="N446" s="122">
        <f>+I446*G446</f>
        <v>591.97400000000005</v>
      </c>
      <c r="O446" s="122">
        <f>+N446/L446</f>
        <v>59.197400000000002</v>
      </c>
      <c r="P446" s="122">
        <f>(N446/L446)*M446</f>
        <v>414.3818</v>
      </c>
      <c r="Q446" s="116" t="s">
        <v>41</v>
      </c>
      <c r="R446" s="116">
        <v>2021</v>
      </c>
      <c r="S446" s="124" t="s">
        <v>52</v>
      </c>
      <c r="U446" s="180"/>
      <c r="V446" s="422"/>
      <c r="W446" s="156"/>
      <c r="X446" s="156"/>
      <c r="Y446" s="156"/>
      <c r="Z446" s="156"/>
      <c r="AA446" s="156"/>
      <c r="AB446" s="156"/>
      <c r="AC446" s="184"/>
      <c r="AD446" s="430"/>
    </row>
    <row r="447" spans="3:30" ht="30" customHeight="1" outlineLevel="2" thickBot="1" x14ac:dyDescent="0.3">
      <c r="C447" s="159" t="str">
        <f>C444</f>
        <v>H-6</v>
      </c>
      <c r="D447" s="160" t="s">
        <v>48</v>
      </c>
      <c r="E447" s="428">
        <v>2010</v>
      </c>
      <c r="F447" s="161" t="s">
        <v>417</v>
      </c>
      <c r="G447" s="162">
        <v>247.54</v>
      </c>
      <c r="H447" s="218" t="s">
        <v>40</v>
      </c>
      <c r="I447" s="261">
        <f>+J447/$S$2</f>
        <v>184.30916792948349</v>
      </c>
      <c r="J447" s="97">
        <f t="shared" ref="J447" si="97">+((95000^(0.364-(0.00000133*G447)))/(G447^(0.364-(0.00000133*95000))))*6500</f>
        <v>113322.49190144293</v>
      </c>
      <c r="K447" s="163" t="s">
        <v>41</v>
      </c>
      <c r="L447" s="163" t="s">
        <v>41</v>
      </c>
      <c r="M447" s="163" t="s">
        <v>41</v>
      </c>
      <c r="N447" s="163" t="s">
        <v>41</v>
      </c>
      <c r="O447" s="163" t="s">
        <v>41</v>
      </c>
      <c r="P447" s="163" t="s">
        <v>41</v>
      </c>
      <c r="Q447" s="171">
        <f>I447*G447</f>
        <v>45623.891429264346</v>
      </c>
      <c r="R447" s="161">
        <v>2021</v>
      </c>
      <c r="S447" s="165" t="s">
        <v>52</v>
      </c>
      <c r="U447" s="180"/>
      <c r="V447" s="422"/>
      <c r="W447" s="156"/>
      <c r="X447" s="156"/>
      <c r="Y447" s="156"/>
      <c r="Z447" s="156"/>
      <c r="AA447" s="156"/>
      <c r="AB447" s="156"/>
      <c r="AC447" s="184"/>
      <c r="AD447" s="431"/>
    </row>
    <row r="448" spans="3:30" ht="30" customHeight="1" outlineLevel="1" x14ac:dyDescent="0.25">
      <c r="C448" s="103" t="s">
        <v>449</v>
      </c>
      <c r="D448" s="104" t="s">
        <v>450</v>
      </c>
      <c r="E448" s="427">
        <v>2014</v>
      </c>
      <c r="F448" s="105" t="s">
        <v>417</v>
      </c>
      <c r="G448" s="203">
        <f>G451</f>
        <v>582.92999999999995</v>
      </c>
      <c r="H448" s="203" t="s">
        <v>40</v>
      </c>
      <c r="I448" s="107">
        <v>875</v>
      </c>
      <c r="J448" s="108">
        <f t="shared" si="91"/>
        <v>537993.75</v>
      </c>
      <c r="K448" s="109">
        <f>R448-E448</f>
        <v>7</v>
      </c>
      <c r="L448" s="105">
        <v>50</v>
      </c>
      <c r="M448" s="105">
        <v>44</v>
      </c>
      <c r="N448" s="111">
        <f>+I448*G448</f>
        <v>510063.74999999994</v>
      </c>
      <c r="O448" s="111">
        <f>+N448/L448</f>
        <v>10201.275</v>
      </c>
      <c r="P448" s="111">
        <f>(N448/L448)*M448</f>
        <v>448856.1</v>
      </c>
      <c r="Q448" s="105" t="s">
        <v>41</v>
      </c>
      <c r="R448" s="105">
        <v>2021</v>
      </c>
      <c r="S448" s="113" t="s">
        <v>52</v>
      </c>
      <c r="U448" s="176" t="s">
        <v>451</v>
      </c>
      <c r="V448" s="421">
        <v>40847</v>
      </c>
      <c r="W448" s="178">
        <v>114350076.5</v>
      </c>
      <c r="X448" s="178">
        <v>0</v>
      </c>
      <c r="Y448" s="178">
        <v>14579258.23</v>
      </c>
      <c r="Z448" s="178">
        <v>18867762.57</v>
      </c>
      <c r="AA448" s="178">
        <v>1225034.28</v>
      </c>
      <c r="AB448" s="178">
        <v>108836537.88</v>
      </c>
      <c r="AC448" s="205" t="s">
        <v>452</v>
      </c>
      <c r="AD448" s="432">
        <v>900339</v>
      </c>
    </row>
    <row r="449" spans="3:30" ht="30" customHeight="1" outlineLevel="2" x14ac:dyDescent="0.25">
      <c r="C449" s="114" t="str">
        <f>C448</f>
        <v>H7</v>
      </c>
      <c r="D449" s="115" t="s">
        <v>44</v>
      </c>
      <c r="E449" s="202">
        <v>2014</v>
      </c>
      <c r="F449" s="116" t="s">
        <v>417</v>
      </c>
      <c r="G449" s="206">
        <v>129.33000000000001</v>
      </c>
      <c r="H449" s="206" t="s">
        <v>40</v>
      </c>
      <c r="I449" s="118">
        <v>30.54</v>
      </c>
      <c r="J449" s="119">
        <f t="shared" si="91"/>
        <v>18777.519</v>
      </c>
      <c r="K449" s="120">
        <f>R449-E449</f>
        <v>7</v>
      </c>
      <c r="L449" s="116">
        <v>15</v>
      </c>
      <c r="M449" s="116">
        <v>11</v>
      </c>
      <c r="N449" s="122">
        <f>+I449*G449</f>
        <v>3949.7382000000002</v>
      </c>
      <c r="O449" s="122">
        <f>+N449/L449</f>
        <v>263.31587999999999</v>
      </c>
      <c r="P449" s="122">
        <f>(N449/L449)*M449</f>
        <v>2896.4746799999998</v>
      </c>
      <c r="Q449" s="116" t="s">
        <v>41</v>
      </c>
      <c r="R449" s="116">
        <v>2021</v>
      </c>
      <c r="S449" s="124" t="s">
        <v>52</v>
      </c>
      <c r="U449" s="330"/>
      <c r="V449" s="423"/>
      <c r="W449" s="332"/>
      <c r="X449" s="332"/>
      <c r="Y449" s="332"/>
      <c r="Z449" s="332"/>
      <c r="AA449" s="332"/>
      <c r="AB449" s="332"/>
      <c r="AC449" s="333"/>
      <c r="AD449" s="431"/>
    </row>
    <row r="450" spans="3:30" ht="30" customHeight="1" outlineLevel="2" x14ac:dyDescent="0.25">
      <c r="C450" s="114" t="str">
        <f>C448</f>
        <v>H7</v>
      </c>
      <c r="D450" s="115" t="s">
        <v>46</v>
      </c>
      <c r="E450" s="202">
        <v>2014</v>
      </c>
      <c r="F450" s="116" t="s">
        <v>417</v>
      </c>
      <c r="G450" s="206">
        <v>264.73</v>
      </c>
      <c r="H450" s="206" t="s">
        <v>40</v>
      </c>
      <c r="I450" s="118">
        <v>3.4</v>
      </c>
      <c r="J450" s="119">
        <f t="shared" si="91"/>
        <v>2090.4900000000002</v>
      </c>
      <c r="K450" s="120">
        <f>R450-E450</f>
        <v>7</v>
      </c>
      <c r="L450" s="116">
        <v>10</v>
      </c>
      <c r="M450" s="116">
        <v>7</v>
      </c>
      <c r="N450" s="122">
        <f>+I450*G450</f>
        <v>900.08199999999999</v>
      </c>
      <c r="O450" s="122">
        <f>+N450/L450</f>
        <v>90.008200000000002</v>
      </c>
      <c r="P450" s="122">
        <f>(N450/L450)*M450</f>
        <v>630.05740000000003</v>
      </c>
      <c r="Q450" s="116" t="s">
        <v>41</v>
      </c>
      <c r="R450" s="116">
        <v>2021</v>
      </c>
      <c r="S450" s="124" t="s">
        <v>52</v>
      </c>
      <c r="U450" s="226" t="s">
        <v>451</v>
      </c>
      <c r="V450" s="150">
        <v>39022</v>
      </c>
      <c r="W450" s="151">
        <v>103640.45</v>
      </c>
      <c r="X450" s="151">
        <v>0</v>
      </c>
      <c r="Y450" s="151">
        <v>0</v>
      </c>
      <c r="Z450" s="151">
        <v>103640.45</v>
      </c>
      <c r="AA450" s="151">
        <v>0</v>
      </c>
      <c r="AB450" s="151">
        <v>0</v>
      </c>
      <c r="AC450" s="227" t="s">
        <v>453</v>
      </c>
      <c r="AD450" s="432">
        <v>900227</v>
      </c>
    </row>
    <row r="451" spans="3:30" ht="30" customHeight="1" outlineLevel="2" thickBot="1" x14ac:dyDescent="0.3">
      <c r="C451" s="159" t="str">
        <f>C448</f>
        <v>H7</v>
      </c>
      <c r="D451" s="160" t="s">
        <v>48</v>
      </c>
      <c r="E451" s="428">
        <v>2014</v>
      </c>
      <c r="F451" s="161" t="s">
        <v>417</v>
      </c>
      <c r="G451" s="162">
        <v>582.92999999999995</v>
      </c>
      <c r="H451" s="218" t="s">
        <v>40</v>
      </c>
      <c r="I451" s="261">
        <f>+J451/$S$2</f>
        <v>149.59863088329584</v>
      </c>
      <c r="J451" s="97">
        <f t="shared" ref="J451" si="98">+((95000^(0.364-(0.00000133*G451)))/(G451^(0.364-(0.00000133*95000))))*6500</f>
        <v>91980.718198594448</v>
      </c>
      <c r="K451" s="163" t="s">
        <v>41</v>
      </c>
      <c r="L451" s="163" t="s">
        <v>41</v>
      </c>
      <c r="M451" s="163" t="s">
        <v>41</v>
      </c>
      <c r="N451" s="163" t="s">
        <v>41</v>
      </c>
      <c r="O451" s="163" t="s">
        <v>41</v>
      </c>
      <c r="P451" s="163" t="s">
        <v>41</v>
      </c>
      <c r="Q451" s="171">
        <f>I451*G451</f>
        <v>87205.529900799636</v>
      </c>
      <c r="R451" s="161">
        <v>2021</v>
      </c>
      <c r="S451" s="165" t="s">
        <v>52</v>
      </c>
      <c r="U451" s="180"/>
      <c r="V451" s="155"/>
      <c r="W451" s="156"/>
      <c r="X451" s="156"/>
      <c r="Y451" s="156"/>
      <c r="Z451" s="156"/>
      <c r="AA451" s="156"/>
      <c r="AB451" s="156"/>
      <c r="AC451" s="184"/>
      <c r="AD451" s="430"/>
    </row>
    <row r="452" spans="3:30" ht="30" customHeight="1" outlineLevel="1" x14ac:dyDescent="0.25">
      <c r="C452" s="103" t="s">
        <v>454</v>
      </c>
      <c r="D452" s="104" t="s">
        <v>455</v>
      </c>
      <c r="E452" s="427">
        <v>1990</v>
      </c>
      <c r="F452" s="105" t="s">
        <v>417</v>
      </c>
      <c r="G452" s="203">
        <f>G455</f>
        <v>310.93</v>
      </c>
      <c r="H452" s="203" t="s">
        <v>40</v>
      </c>
      <c r="I452" s="107">
        <v>400</v>
      </c>
      <c r="J452" s="108">
        <f t="shared" si="91"/>
        <v>245940</v>
      </c>
      <c r="K452" s="109">
        <f>R452-E452</f>
        <v>31</v>
      </c>
      <c r="L452" s="105">
        <v>40</v>
      </c>
      <c r="M452" s="105">
        <v>30</v>
      </c>
      <c r="N452" s="111">
        <f>+I452*G452</f>
        <v>124372</v>
      </c>
      <c r="O452" s="111">
        <f>+N452/L452</f>
        <v>3109.3</v>
      </c>
      <c r="P452" s="111">
        <f>(N452/L452)*M452</f>
        <v>93279</v>
      </c>
      <c r="Q452" s="105" t="s">
        <v>41</v>
      </c>
      <c r="R452" s="105">
        <v>2021</v>
      </c>
      <c r="S452" s="113" t="s">
        <v>52</v>
      </c>
      <c r="U452" s="176" t="s">
        <v>456</v>
      </c>
      <c r="V452" s="421" t="s">
        <v>297</v>
      </c>
      <c r="W452" s="178">
        <v>549500</v>
      </c>
      <c r="X452" s="178">
        <v>0</v>
      </c>
      <c r="Y452" s="178">
        <v>0</v>
      </c>
      <c r="Z452" s="178">
        <v>308635.65999999997</v>
      </c>
      <c r="AA452" s="178">
        <v>0</v>
      </c>
      <c r="AB452" s="178">
        <v>240864.34000000003</v>
      </c>
      <c r="AC452" s="177" t="s">
        <v>457</v>
      </c>
      <c r="AD452" s="205">
        <v>900256</v>
      </c>
    </row>
    <row r="453" spans="3:30" ht="30" customHeight="1" outlineLevel="2" x14ac:dyDescent="0.25">
      <c r="C453" s="114" t="str">
        <f>C452</f>
        <v>H8</v>
      </c>
      <c r="D453" s="115" t="s">
        <v>44</v>
      </c>
      <c r="E453" s="202">
        <v>1990</v>
      </c>
      <c r="F453" s="116" t="s">
        <v>417</v>
      </c>
      <c r="G453" s="206">
        <v>95.51</v>
      </c>
      <c r="H453" s="206" t="s">
        <v>40</v>
      </c>
      <c r="I453" s="118">
        <v>30.54</v>
      </c>
      <c r="J453" s="119">
        <f t="shared" si="91"/>
        <v>18777.519</v>
      </c>
      <c r="K453" s="120">
        <f>R453-E453</f>
        <v>31</v>
      </c>
      <c r="L453" s="116">
        <v>15</v>
      </c>
      <c r="M453" s="116">
        <v>5</v>
      </c>
      <c r="N453" s="122">
        <f>+I453*G453</f>
        <v>2916.8753999999999</v>
      </c>
      <c r="O453" s="122">
        <f>+N453/L453</f>
        <v>194.45836</v>
      </c>
      <c r="P453" s="122">
        <f>(N453/L453)*M453</f>
        <v>972.29179999999997</v>
      </c>
      <c r="Q453" s="116" t="s">
        <v>41</v>
      </c>
      <c r="R453" s="116">
        <v>2021</v>
      </c>
      <c r="S453" s="124" t="s">
        <v>52</v>
      </c>
      <c r="U453" s="180"/>
      <c r="V453" s="422"/>
      <c r="W453" s="156"/>
      <c r="X453" s="156"/>
      <c r="Y453" s="156"/>
      <c r="Z453" s="156"/>
      <c r="AA453" s="156"/>
      <c r="AB453" s="156"/>
      <c r="AC453" s="157"/>
      <c r="AD453" s="184"/>
    </row>
    <row r="454" spans="3:30" ht="30" customHeight="1" outlineLevel="2" x14ac:dyDescent="0.25">
      <c r="C454" s="114" t="str">
        <f>C452</f>
        <v>H8</v>
      </c>
      <c r="D454" s="115" t="s">
        <v>86</v>
      </c>
      <c r="E454" s="202">
        <v>1990</v>
      </c>
      <c r="F454" s="116" t="s">
        <v>417</v>
      </c>
      <c r="G454" s="206">
        <v>0</v>
      </c>
      <c r="H454" s="206" t="s">
        <v>87</v>
      </c>
      <c r="I454" s="206">
        <v>0</v>
      </c>
      <c r="J454" s="206">
        <v>0</v>
      </c>
      <c r="K454" s="313">
        <v>0</v>
      </c>
      <c r="L454" s="206">
        <v>0</v>
      </c>
      <c r="M454" s="116">
        <v>0</v>
      </c>
      <c r="N454" s="122">
        <v>0</v>
      </c>
      <c r="O454" s="122">
        <v>0</v>
      </c>
      <c r="P454" s="122">
        <v>0</v>
      </c>
      <c r="Q454" s="116">
        <v>0</v>
      </c>
      <c r="R454" s="116" t="s">
        <v>87</v>
      </c>
      <c r="S454" s="124" t="s">
        <v>52</v>
      </c>
      <c r="U454" s="180"/>
      <c r="V454" s="422"/>
      <c r="W454" s="156"/>
      <c r="X454" s="156"/>
      <c r="Y454" s="156"/>
      <c r="Z454" s="156"/>
      <c r="AA454" s="156"/>
      <c r="AB454" s="156"/>
      <c r="AC454" s="157"/>
      <c r="AD454" s="184"/>
    </row>
    <row r="455" spans="3:30" ht="30" customHeight="1" outlineLevel="2" thickBot="1" x14ac:dyDescent="0.3">
      <c r="C455" s="159" t="str">
        <f>C452</f>
        <v>H8</v>
      </c>
      <c r="D455" s="160" t="s">
        <v>48</v>
      </c>
      <c r="E455" s="428">
        <v>1990</v>
      </c>
      <c r="F455" s="161" t="s">
        <v>417</v>
      </c>
      <c r="G455" s="162">
        <v>310.93</v>
      </c>
      <c r="H455" s="218" t="s">
        <v>40</v>
      </c>
      <c r="I455" s="261">
        <f>+J455/$S$2</f>
        <v>174.41981677481397</v>
      </c>
      <c r="J455" s="97">
        <f t="shared" ref="J455" si="99">+((95000^(0.364-(0.00000133*G455)))/(G455^(0.364-(0.00000133*95000))))*6500</f>
        <v>107242.02434399437</v>
      </c>
      <c r="K455" s="163" t="s">
        <v>41</v>
      </c>
      <c r="L455" s="163" t="s">
        <v>41</v>
      </c>
      <c r="M455" s="163" t="s">
        <v>41</v>
      </c>
      <c r="N455" s="163" t="s">
        <v>41</v>
      </c>
      <c r="O455" s="163" t="s">
        <v>41</v>
      </c>
      <c r="P455" s="163" t="s">
        <v>41</v>
      </c>
      <c r="Q455" s="171">
        <f>I455*G455</f>
        <v>54232.353629792909</v>
      </c>
      <c r="R455" s="161">
        <v>2021</v>
      </c>
      <c r="S455" s="165" t="s">
        <v>87</v>
      </c>
      <c r="U455" s="181"/>
      <c r="V455" s="420"/>
      <c r="W455" s="168"/>
      <c r="X455" s="168"/>
      <c r="Y455" s="168"/>
      <c r="Z455" s="168"/>
      <c r="AA455" s="168"/>
      <c r="AB455" s="168"/>
      <c r="AC455" s="169"/>
      <c r="AD455" s="188"/>
    </row>
    <row r="456" spans="3:30" ht="30" customHeight="1" outlineLevel="1" x14ac:dyDescent="0.25">
      <c r="C456" s="103" t="s">
        <v>458</v>
      </c>
      <c r="D456" s="104" t="s">
        <v>459</v>
      </c>
      <c r="E456" s="427">
        <v>1985</v>
      </c>
      <c r="F456" s="105" t="s">
        <v>417</v>
      </c>
      <c r="G456" s="203">
        <f>G459</f>
        <v>126.49</v>
      </c>
      <c r="H456" s="203" t="s">
        <v>40</v>
      </c>
      <c r="I456" s="107">
        <v>230</v>
      </c>
      <c r="J456" s="108">
        <f>I456*$S$2</f>
        <v>141415.5</v>
      </c>
      <c r="K456" s="109">
        <f>R456-E456</f>
        <v>36</v>
      </c>
      <c r="L456" s="105">
        <v>40</v>
      </c>
      <c r="M456" s="105">
        <v>30</v>
      </c>
      <c r="N456" s="111">
        <f>+I456*G456</f>
        <v>29092.699999999997</v>
      </c>
      <c r="O456" s="111">
        <f>+N456/L456</f>
        <v>727.31749999999988</v>
      </c>
      <c r="P456" s="111">
        <f>(N456/L456)*M456</f>
        <v>21819.524999999998</v>
      </c>
      <c r="Q456" s="105" t="s">
        <v>41</v>
      </c>
      <c r="R456" s="105">
        <v>2021</v>
      </c>
      <c r="S456" s="113" t="s">
        <v>52</v>
      </c>
      <c r="U456" s="299" t="s">
        <v>460</v>
      </c>
      <c r="V456" s="229" t="s">
        <v>140</v>
      </c>
      <c r="W456" s="230"/>
      <c r="X456" s="230"/>
      <c r="Y456" s="230"/>
      <c r="Z456" s="230"/>
      <c r="AA456" s="230"/>
      <c r="AB456" s="230"/>
      <c r="AC456" s="230"/>
      <c r="AD456" s="300"/>
    </row>
    <row r="457" spans="3:30" ht="30" customHeight="1" outlineLevel="2" x14ac:dyDescent="0.25">
      <c r="C457" s="114" t="str">
        <f>C456</f>
        <v>H9</v>
      </c>
      <c r="D457" s="115" t="s">
        <v>165</v>
      </c>
      <c r="E457" s="202">
        <v>1985</v>
      </c>
      <c r="F457" s="116" t="s">
        <v>417</v>
      </c>
      <c r="G457" s="206">
        <v>0</v>
      </c>
      <c r="H457" s="206" t="s">
        <v>87</v>
      </c>
      <c r="I457" s="206">
        <v>0</v>
      </c>
      <c r="J457" s="206">
        <v>0</v>
      </c>
      <c r="K457" s="313">
        <v>0</v>
      </c>
      <c r="L457" s="206">
        <v>0</v>
      </c>
      <c r="M457" s="116">
        <v>0</v>
      </c>
      <c r="N457" s="122">
        <v>0</v>
      </c>
      <c r="O457" s="122">
        <v>0</v>
      </c>
      <c r="P457" s="122">
        <v>0</v>
      </c>
      <c r="Q457" s="116">
        <v>0</v>
      </c>
      <c r="R457" s="116" t="s">
        <v>87</v>
      </c>
      <c r="S457" s="124" t="s">
        <v>87</v>
      </c>
      <c r="U457" s="301"/>
      <c r="V457" s="233"/>
      <c r="W457" s="234"/>
      <c r="X457" s="234"/>
      <c r="Y457" s="234"/>
      <c r="Z457" s="234"/>
      <c r="AA457" s="234"/>
      <c r="AB457" s="234"/>
      <c r="AC457" s="234"/>
      <c r="AD457" s="302"/>
    </row>
    <row r="458" spans="3:30" ht="30" customHeight="1" outlineLevel="2" x14ac:dyDescent="0.25">
      <c r="C458" s="114" t="str">
        <f>C456</f>
        <v>H9</v>
      </c>
      <c r="D458" s="115" t="s">
        <v>46</v>
      </c>
      <c r="E458" s="202">
        <v>1985</v>
      </c>
      <c r="F458" s="116" t="s">
        <v>417</v>
      </c>
      <c r="G458" s="206">
        <v>108</v>
      </c>
      <c r="H458" s="206" t="s">
        <v>40</v>
      </c>
      <c r="I458" s="118">
        <v>3.4</v>
      </c>
      <c r="J458" s="119">
        <f>I458*$S$2</f>
        <v>2090.4900000000002</v>
      </c>
      <c r="K458" s="120">
        <f>R458-E458</f>
        <v>36</v>
      </c>
      <c r="L458" s="116">
        <v>10</v>
      </c>
      <c r="M458" s="116">
        <v>5</v>
      </c>
      <c r="N458" s="122">
        <f>+I458*G458</f>
        <v>367.2</v>
      </c>
      <c r="O458" s="122">
        <f>+N458/L458</f>
        <v>36.72</v>
      </c>
      <c r="P458" s="122">
        <f>(N458/L458)*M458</f>
        <v>183.6</v>
      </c>
      <c r="Q458" s="116" t="s">
        <v>41</v>
      </c>
      <c r="R458" s="116">
        <v>2021</v>
      </c>
      <c r="S458" s="124" t="s">
        <v>52</v>
      </c>
      <c r="U458" s="301"/>
      <c r="V458" s="233"/>
      <c r="W458" s="234"/>
      <c r="X458" s="234"/>
      <c r="Y458" s="234"/>
      <c r="Z458" s="234"/>
      <c r="AA458" s="234"/>
      <c r="AB458" s="234"/>
      <c r="AC458" s="234"/>
      <c r="AD458" s="302"/>
    </row>
    <row r="459" spans="3:30" ht="30" customHeight="1" outlineLevel="2" thickBot="1" x14ac:dyDescent="0.3">
      <c r="C459" s="159" t="str">
        <f>C456</f>
        <v>H9</v>
      </c>
      <c r="D459" s="160" t="s">
        <v>48</v>
      </c>
      <c r="E459" s="428">
        <v>1985</v>
      </c>
      <c r="F459" s="161" t="s">
        <v>417</v>
      </c>
      <c r="G459" s="162">
        <v>126.49</v>
      </c>
      <c r="H459" s="218" t="s">
        <v>40</v>
      </c>
      <c r="I459" s="261">
        <f>+J459/$S$2</f>
        <v>216.59304480267784</v>
      </c>
      <c r="J459" s="97">
        <f>+((95000^(0.364-(0.00000133*G459)))/(G459^(0.364-(0.00000133*95000))))*6500</f>
        <v>133172.23359692647</v>
      </c>
      <c r="K459" s="163" t="s">
        <v>41</v>
      </c>
      <c r="L459" s="163" t="s">
        <v>41</v>
      </c>
      <c r="M459" s="163" t="s">
        <v>41</v>
      </c>
      <c r="N459" s="163" t="s">
        <v>41</v>
      </c>
      <c r="O459" s="163" t="s">
        <v>41</v>
      </c>
      <c r="P459" s="163" t="s">
        <v>41</v>
      </c>
      <c r="Q459" s="171">
        <f>I459*G459</f>
        <v>27396.85423709072</v>
      </c>
      <c r="R459" s="161">
        <v>2021</v>
      </c>
      <c r="S459" s="165" t="s">
        <v>52</v>
      </c>
      <c r="U459" s="305"/>
      <c r="V459" s="239"/>
      <c r="W459" s="240"/>
      <c r="X459" s="240"/>
      <c r="Y459" s="240"/>
      <c r="Z459" s="240"/>
      <c r="AA459" s="240"/>
      <c r="AB459" s="240"/>
      <c r="AC459" s="240"/>
      <c r="AD459" s="306"/>
    </row>
    <row r="460" spans="3:30" ht="30" customHeight="1" outlineLevel="1" x14ac:dyDescent="0.25">
      <c r="C460" s="103" t="s">
        <v>461</v>
      </c>
      <c r="D460" s="104" t="s">
        <v>462</v>
      </c>
      <c r="E460" s="427">
        <v>1980</v>
      </c>
      <c r="F460" s="105" t="s">
        <v>417</v>
      </c>
      <c r="G460" s="203">
        <f>G463</f>
        <v>738.89</v>
      </c>
      <c r="H460" s="203" t="s">
        <v>40</v>
      </c>
      <c r="I460" s="107">
        <v>100</v>
      </c>
      <c r="J460" s="108">
        <f t="shared" si="91"/>
        <v>61485</v>
      </c>
      <c r="K460" s="109">
        <f>R460-E460</f>
        <v>41</v>
      </c>
      <c r="L460" s="105">
        <v>40</v>
      </c>
      <c r="M460" s="105">
        <v>30</v>
      </c>
      <c r="N460" s="111">
        <f>+I460*G460</f>
        <v>73889</v>
      </c>
      <c r="O460" s="111">
        <f>+N460/L460</f>
        <v>1847.2249999999999</v>
      </c>
      <c r="P460" s="111">
        <f>(N460/L460)*M460</f>
        <v>55416.75</v>
      </c>
      <c r="Q460" s="105" t="s">
        <v>41</v>
      </c>
      <c r="R460" s="105">
        <v>2021</v>
      </c>
      <c r="S460" s="113" t="s">
        <v>52</v>
      </c>
      <c r="U460" s="424" t="s">
        <v>463</v>
      </c>
      <c r="V460" s="405" t="s">
        <v>140</v>
      </c>
      <c r="W460" s="230"/>
      <c r="X460" s="230"/>
      <c r="Y460" s="230"/>
      <c r="Z460" s="230"/>
      <c r="AA460" s="230"/>
      <c r="AB460" s="230"/>
      <c r="AC460" s="230"/>
      <c r="AD460" s="300"/>
    </row>
    <row r="461" spans="3:30" ht="30" customHeight="1" outlineLevel="2" x14ac:dyDescent="0.25">
      <c r="C461" s="114" t="str">
        <f>C460</f>
        <v>H10</v>
      </c>
      <c r="D461" s="115" t="s">
        <v>165</v>
      </c>
      <c r="E461" s="202">
        <v>1980</v>
      </c>
      <c r="F461" s="116" t="s">
        <v>417</v>
      </c>
      <c r="G461" s="206">
        <v>0</v>
      </c>
      <c r="H461" s="206" t="s">
        <v>87</v>
      </c>
      <c r="I461" s="206">
        <v>0</v>
      </c>
      <c r="J461" s="206">
        <v>0</v>
      </c>
      <c r="K461" s="313">
        <v>0</v>
      </c>
      <c r="L461" s="206">
        <v>0</v>
      </c>
      <c r="M461" s="116">
        <v>0</v>
      </c>
      <c r="N461" s="122">
        <v>0</v>
      </c>
      <c r="O461" s="122">
        <v>0</v>
      </c>
      <c r="P461" s="122">
        <v>0</v>
      </c>
      <c r="Q461" s="116">
        <v>0</v>
      </c>
      <c r="R461" s="116" t="s">
        <v>87</v>
      </c>
      <c r="S461" s="124" t="s">
        <v>87</v>
      </c>
      <c r="U461" s="425"/>
      <c r="V461" s="406"/>
      <c r="W461" s="234"/>
      <c r="X461" s="234"/>
      <c r="Y461" s="234"/>
      <c r="Z461" s="234"/>
      <c r="AA461" s="234"/>
      <c r="AB461" s="234"/>
      <c r="AC461" s="234"/>
      <c r="AD461" s="302"/>
    </row>
    <row r="462" spans="3:30" ht="30" customHeight="1" outlineLevel="2" x14ac:dyDescent="0.25">
      <c r="C462" s="114" t="str">
        <f>C460</f>
        <v>H10</v>
      </c>
      <c r="D462" s="115" t="s">
        <v>46</v>
      </c>
      <c r="E462" s="202">
        <v>1980</v>
      </c>
      <c r="F462" s="116" t="s">
        <v>417</v>
      </c>
      <c r="G462" s="206">
        <v>255.4</v>
      </c>
      <c r="H462" s="206" t="s">
        <v>40</v>
      </c>
      <c r="I462" s="118">
        <v>3.4</v>
      </c>
      <c r="J462" s="119">
        <f t="shared" si="91"/>
        <v>2090.4900000000002</v>
      </c>
      <c r="K462" s="120">
        <f>R462-E462</f>
        <v>41</v>
      </c>
      <c r="L462" s="116">
        <v>10</v>
      </c>
      <c r="M462" s="116">
        <v>5</v>
      </c>
      <c r="N462" s="122">
        <f>+I462*G462</f>
        <v>868.36</v>
      </c>
      <c r="O462" s="122">
        <f>+N462/L462</f>
        <v>86.835999999999999</v>
      </c>
      <c r="P462" s="122">
        <f>(N462/L462)*M462</f>
        <v>434.18</v>
      </c>
      <c r="Q462" s="116" t="s">
        <v>41</v>
      </c>
      <c r="R462" s="116">
        <v>2021</v>
      </c>
      <c r="S462" s="124" t="s">
        <v>52</v>
      </c>
      <c r="U462" s="425"/>
      <c r="V462" s="406"/>
      <c r="W462" s="234"/>
      <c r="X462" s="234"/>
      <c r="Y462" s="234"/>
      <c r="Z462" s="234"/>
      <c r="AA462" s="234"/>
      <c r="AB462" s="234"/>
      <c r="AC462" s="234"/>
      <c r="AD462" s="302"/>
    </row>
    <row r="463" spans="3:30" ht="30" customHeight="1" outlineLevel="2" thickBot="1" x14ac:dyDescent="0.3">
      <c r="C463" s="159" t="str">
        <f>C460</f>
        <v>H10</v>
      </c>
      <c r="D463" s="160" t="s">
        <v>48</v>
      </c>
      <c r="E463" s="428">
        <v>1980</v>
      </c>
      <c r="F463" s="161" t="s">
        <v>417</v>
      </c>
      <c r="G463" s="162">
        <v>738.89</v>
      </c>
      <c r="H463" s="218" t="s">
        <v>40</v>
      </c>
      <c r="I463" s="261">
        <f>+J463/$S$2</f>
        <v>141.06713878663643</v>
      </c>
      <c r="J463" s="97">
        <f t="shared" ref="J463" si="100">+((95000^(0.364-(0.00000133*G463)))/(G463^(0.364-(0.00000133*95000))))*6500</f>
        <v>86735.130282963422</v>
      </c>
      <c r="K463" s="163" t="s">
        <v>41</v>
      </c>
      <c r="L463" s="163" t="s">
        <v>41</v>
      </c>
      <c r="M463" s="163" t="s">
        <v>41</v>
      </c>
      <c r="N463" s="163" t="s">
        <v>41</v>
      </c>
      <c r="O463" s="163" t="s">
        <v>41</v>
      </c>
      <c r="P463" s="163" t="s">
        <v>41</v>
      </c>
      <c r="Q463" s="171">
        <f>I463*G463</f>
        <v>104233.09817805779</v>
      </c>
      <c r="R463" s="161">
        <v>2021</v>
      </c>
      <c r="S463" s="165" t="s">
        <v>52</v>
      </c>
      <c r="U463" s="426"/>
      <c r="V463" s="407"/>
      <c r="W463" s="240"/>
      <c r="X463" s="240"/>
      <c r="Y463" s="240"/>
      <c r="Z463" s="240"/>
      <c r="AA463" s="240"/>
      <c r="AB463" s="240"/>
      <c r="AC463" s="240"/>
      <c r="AD463" s="306"/>
    </row>
    <row r="464" spans="3:30" ht="30" customHeight="1" outlineLevel="1" x14ac:dyDescent="0.25">
      <c r="C464" s="103" t="s">
        <v>464</v>
      </c>
      <c r="D464" s="104" t="s">
        <v>462</v>
      </c>
      <c r="E464" s="427">
        <v>1980</v>
      </c>
      <c r="F464" s="105" t="s">
        <v>417</v>
      </c>
      <c r="G464" s="203">
        <f>G467</f>
        <v>646.88</v>
      </c>
      <c r="H464" s="203" t="s">
        <v>40</v>
      </c>
      <c r="I464" s="107">
        <v>100</v>
      </c>
      <c r="J464" s="108">
        <f t="shared" ref="J464" si="101">I464*$S$2</f>
        <v>61485</v>
      </c>
      <c r="K464" s="109">
        <f>R464-E464</f>
        <v>41</v>
      </c>
      <c r="L464" s="105">
        <v>40</v>
      </c>
      <c r="M464" s="105">
        <v>30</v>
      </c>
      <c r="N464" s="111">
        <f>+I464*G464</f>
        <v>64688</v>
      </c>
      <c r="O464" s="111">
        <f>+N464/L464</f>
        <v>1617.2</v>
      </c>
      <c r="P464" s="111">
        <f>(N464/L464)*M464</f>
        <v>48516</v>
      </c>
      <c r="Q464" s="105" t="s">
        <v>41</v>
      </c>
      <c r="R464" s="105">
        <v>2021</v>
      </c>
      <c r="S464" s="113" t="s">
        <v>52</v>
      </c>
      <c r="U464" s="424" t="s">
        <v>463</v>
      </c>
      <c r="V464" s="405" t="s">
        <v>140</v>
      </c>
      <c r="W464" s="230"/>
      <c r="X464" s="230"/>
      <c r="Y464" s="230"/>
      <c r="Z464" s="230"/>
      <c r="AA464" s="230"/>
      <c r="AB464" s="230"/>
      <c r="AC464" s="230"/>
      <c r="AD464" s="300"/>
    </row>
    <row r="465" spans="3:30" ht="30" customHeight="1" outlineLevel="2" x14ac:dyDescent="0.25">
      <c r="C465" s="114" t="str">
        <f>C464</f>
        <v>H11</v>
      </c>
      <c r="D465" s="115" t="s">
        <v>165</v>
      </c>
      <c r="E465" s="202">
        <v>1980</v>
      </c>
      <c r="F465" s="116" t="s">
        <v>417</v>
      </c>
      <c r="G465" s="206">
        <v>0</v>
      </c>
      <c r="H465" s="206" t="s">
        <v>87</v>
      </c>
      <c r="I465" s="206">
        <v>0</v>
      </c>
      <c r="J465" s="206">
        <v>0</v>
      </c>
      <c r="K465" s="313">
        <v>0</v>
      </c>
      <c r="L465" s="206">
        <v>0</v>
      </c>
      <c r="M465" s="116">
        <v>0</v>
      </c>
      <c r="N465" s="122">
        <v>0</v>
      </c>
      <c r="O465" s="122">
        <v>0</v>
      </c>
      <c r="P465" s="122">
        <v>0</v>
      </c>
      <c r="Q465" s="116">
        <v>0</v>
      </c>
      <c r="R465" s="116" t="s">
        <v>87</v>
      </c>
      <c r="S465" s="124" t="s">
        <v>87</v>
      </c>
      <c r="U465" s="425"/>
      <c r="V465" s="406"/>
      <c r="W465" s="234"/>
      <c r="X465" s="234"/>
      <c r="Y465" s="234"/>
      <c r="Z465" s="234"/>
      <c r="AA465" s="234"/>
      <c r="AB465" s="234"/>
      <c r="AC465" s="234"/>
      <c r="AD465" s="302"/>
    </row>
    <row r="466" spans="3:30" ht="30" customHeight="1" outlineLevel="2" x14ac:dyDescent="0.25">
      <c r="C466" s="114" t="str">
        <f>C464</f>
        <v>H11</v>
      </c>
      <c r="D466" s="115" t="s">
        <v>46</v>
      </c>
      <c r="E466" s="202">
        <v>1980</v>
      </c>
      <c r="F466" s="116" t="s">
        <v>417</v>
      </c>
      <c r="G466" s="206">
        <v>245.8</v>
      </c>
      <c r="H466" s="206" t="s">
        <v>40</v>
      </c>
      <c r="I466" s="118">
        <v>3.4</v>
      </c>
      <c r="J466" s="119">
        <f t="shared" ref="J466:J468" si="102">I466*$S$2</f>
        <v>2090.4900000000002</v>
      </c>
      <c r="K466" s="120">
        <f>R466-E466</f>
        <v>41</v>
      </c>
      <c r="L466" s="116">
        <v>10</v>
      </c>
      <c r="M466" s="116">
        <v>5</v>
      </c>
      <c r="N466" s="122">
        <f>+I466*G466</f>
        <v>835.72</v>
      </c>
      <c r="O466" s="122">
        <f>+N466/L466</f>
        <v>83.572000000000003</v>
      </c>
      <c r="P466" s="122">
        <f>(N466/L466)*M466</f>
        <v>417.86</v>
      </c>
      <c r="Q466" s="116" t="s">
        <v>41</v>
      </c>
      <c r="R466" s="116">
        <v>2021</v>
      </c>
      <c r="S466" s="124" t="s">
        <v>52</v>
      </c>
      <c r="U466" s="425"/>
      <c r="V466" s="406"/>
      <c r="W466" s="234"/>
      <c r="X466" s="234"/>
      <c r="Y466" s="234"/>
      <c r="Z466" s="234"/>
      <c r="AA466" s="234"/>
      <c r="AB466" s="234"/>
      <c r="AC466" s="234"/>
      <c r="AD466" s="302"/>
    </row>
    <row r="467" spans="3:30" ht="30" customHeight="1" outlineLevel="2" thickBot="1" x14ac:dyDescent="0.3">
      <c r="C467" s="159" t="str">
        <f>C464</f>
        <v>H11</v>
      </c>
      <c r="D467" s="160" t="s">
        <v>48</v>
      </c>
      <c r="E467" s="428">
        <v>1980</v>
      </c>
      <c r="F467" s="161" t="s">
        <v>417</v>
      </c>
      <c r="G467" s="162">
        <v>646.88</v>
      </c>
      <c r="H467" s="218" t="s">
        <v>40</v>
      </c>
      <c r="I467" s="261">
        <f>+J467/$S$2</f>
        <v>145.80107534309596</v>
      </c>
      <c r="J467" s="97">
        <f t="shared" ref="J467" si="103">+((95000^(0.364-(0.00000133*G467)))/(G467^(0.364-(0.00000133*95000))))*6500</f>
        <v>89645.79117470255</v>
      </c>
      <c r="K467" s="163" t="s">
        <v>41</v>
      </c>
      <c r="L467" s="163" t="s">
        <v>41</v>
      </c>
      <c r="M467" s="163" t="s">
        <v>41</v>
      </c>
      <c r="N467" s="163" t="s">
        <v>41</v>
      </c>
      <c r="O467" s="163" t="s">
        <v>41</v>
      </c>
      <c r="P467" s="163" t="s">
        <v>41</v>
      </c>
      <c r="Q467" s="171">
        <f>I467*G467</f>
        <v>94315.799617941913</v>
      </c>
      <c r="R467" s="161">
        <v>2021</v>
      </c>
      <c r="S467" s="165" t="s">
        <v>52</v>
      </c>
      <c r="U467" s="426"/>
      <c r="V467" s="407"/>
      <c r="W467" s="240"/>
      <c r="X467" s="240"/>
      <c r="Y467" s="240"/>
      <c r="Z467" s="240"/>
      <c r="AA467" s="240"/>
      <c r="AB467" s="240"/>
      <c r="AC467" s="240"/>
      <c r="AD467" s="306"/>
    </row>
    <row r="468" spans="3:30" ht="30" customHeight="1" outlineLevel="1" x14ac:dyDescent="0.25">
      <c r="C468" s="103" t="s">
        <v>465</v>
      </c>
      <c r="D468" s="104" t="s">
        <v>462</v>
      </c>
      <c r="E468" s="427">
        <v>1980</v>
      </c>
      <c r="F468" s="105" t="s">
        <v>417</v>
      </c>
      <c r="G468" s="203">
        <f>G471</f>
        <v>265.79000000000002</v>
      </c>
      <c r="H468" s="203" t="s">
        <v>40</v>
      </c>
      <c r="I468" s="107">
        <v>100</v>
      </c>
      <c r="J468" s="108">
        <f t="shared" si="102"/>
        <v>61485</v>
      </c>
      <c r="K468" s="109">
        <f>R468-E468</f>
        <v>41</v>
      </c>
      <c r="L468" s="105">
        <v>40</v>
      </c>
      <c r="M468" s="105">
        <v>30</v>
      </c>
      <c r="N468" s="111">
        <f>+I468*G468</f>
        <v>26579.000000000004</v>
      </c>
      <c r="O468" s="111">
        <f>+N468/L468</f>
        <v>664.47500000000014</v>
      </c>
      <c r="P468" s="111">
        <f>(N468/L468)*M468</f>
        <v>19934.250000000004</v>
      </c>
      <c r="Q468" s="105" t="s">
        <v>41</v>
      </c>
      <c r="R468" s="105">
        <v>2021</v>
      </c>
      <c r="S468" s="113" t="s">
        <v>52</v>
      </c>
      <c r="U468" s="424" t="s">
        <v>463</v>
      </c>
      <c r="V468" s="405" t="s">
        <v>140</v>
      </c>
      <c r="W468" s="230"/>
      <c r="X468" s="230"/>
      <c r="Y468" s="230"/>
      <c r="Z468" s="230"/>
      <c r="AA468" s="230"/>
      <c r="AB468" s="230"/>
      <c r="AC468" s="230"/>
      <c r="AD468" s="300"/>
    </row>
    <row r="469" spans="3:30" ht="30" customHeight="1" outlineLevel="2" x14ac:dyDescent="0.25">
      <c r="C469" s="114" t="str">
        <f>C468</f>
        <v>H12</v>
      </c>
      <c r="D469" s="115" t="s">
        <v>165</v>
      </c>
      <c r="E469" s="202">
        <v>1980</v>
      </c>
      <c r="F469" s="116" t="s">
        <v>417</v>
      </c>
      <c r="G469" s="206">
        <v>0</v>
      </c>
      <c r="H469" s="206" t="s">
        <v>87</v>
      </c>
      <c r="I469" s="206">
        <v>0</v>
      </c>
      <c r="J469" s="206">
        <v>0</v>
      </c>
      <c r="K469" s="313">
        <v>0</v>
      </c>
      <c r="L469" s="206">
        <v>0</v>
      </c>
      <c r="M469" s="116">
        <v>0</v>
      </c>
      <c r="N469" s="122">
        <v>0</v>
      </c>
      <c r="O469" s="122">
        <v>0</v>
      </c>
      <c r="P469" s="122">
        <v>0</v>
      </c>
      <c r="Q469" s="116">
        <v>0</v>
      </c>
      <c r="R469" s="116" t="s">
        <v>87</v>
      </c>
      <c r="S469" s="124" t="s">
        <v>87</v>
      </c>
      <c r="U469" s="425"/>
      <c r="V469" s="406"/>
      <c r="W469" s="234"/>
      <c r="X469" s="234"/>
      <c r="Y469" s="234"/>
      <c r="Z469" s="234"/>
      <c r="AA469" s="234"/>
      <c r="AB469" s="234"/>
      <c r="AC469" s="234"/>
      <c r="AD469" s="302"/>
    </row>
    <row r="470" spans="3:30" ht="30" customHeight="1" outlineLevel="2" x14ac:dyDescent="0.25">
      <c r="C470" s="114" t="str">
        <f>C468</f>
        <v>H12</v>
      </c>
      <c r="D470" s="115" t="s">
        <v>46</v>
      </c>
      <c r="E470" s="202">
        <v>1980</v>
      </c>
      <c r="F470" s="116" t="s">
        <v>417</v>
      </c>
      <c r="G470" s="206">
        <v>189.48</v>
      </c>
      <c r="H470" s="206" t="s">
        <v>40</v>
      </c>
      <c r="I470" s="118">
        <v>3.4</v>
      </c>
      <c r="J470" s="119">
        <f t="shared" ref="J470:J472" si="104">I470*$S$2</f>
        <v>2090.4900000000002</v>
      </c>
      <c r="K470" s="120">
        <f>R470-E470</f>
        <v>41</v>
      </c>
      <c r="L470" s="116">
        <v>10</v>
      </c>
      <c r="M470" s="116">
        <v>5</v>
      </c>
      <c r="N470" s="122">
        <f>+I470*G470</f>
        <v>644.23199999999997</v>
      </c>
      <c r="O470" s="122">
        <f>+N470/L470</f>
        <v>64.423199999999994</v>
      </c>
      <c r="P470" s="122">
        <f>(N470/L470)*M470</f>
        <v>322.11599999999999</v>
      </c>
      <c r="Q470" s="116" t="s">
        <v>41</v>
      </c>
      <c r="R470" s="116">
        <v>2021</v>
      </c>
      <c r="S470" s="124" t="s">
        <v>52</v>
      </c>
      <c r="U470" s="425"/>
      <c r="V470" s="406"/>
      <c r="W470" s="234"/>
      <c r="X470" s="234"/>
      <c r="Y470" s="234"/>
      <c r="Z470" s="234"/>
      <c r="AA470" s="234"/>
      <c r="AB470" s="234"/>
      <c r="AC470" s="234"/>
      <c r="AD470" s="302"/>
    </row>
    <row r="471" spans="3:30" ht="30" customHeight="1" outlineLevel="2" thickBot="1" x14ac:dyDescent="0.3">
      <c r="C471" s="159" t="str">
        <f>C468</f>
        <v>H12</v>
      </c>
      <c r="D471" s="160" t="s">
        <v>48</v>
      </c>
      <c r="E471" s="428">
        <v>1980</v>
      </c>
      <c r="F471" s="161" t="s">
        <v>417</v>
      </c>
      <c r="G471" s="162">
        <v>265.79000000000002</v>
      </c>
      <c r="H471" s="218" t="s">
        <v>40</v>
      </c>
      <c r="I471" s="261">
        <f>+J471/$S$2</f>
        <v>181.1691871123231</v>
      </c>
      <c r="J471" s="97">
        <f t="shared" ref="J471" si="105">+((95000^(0.364-(0.00000133*G471)))/(G471^(0.364-(0.00000133*95000))))*6500</f>
        <v>111391.87469601186</v>
      </c>
      <c r="K471" s="163" t="s">
        <v>41</v>
      </c>
      <c r="L471" s="163" t="s">
        <v>41</v>
      </c>
      <c r="M471" s="163" t="s">
        <v>41</v>
      </c>
      <c r="N471" s="163" t="s">
        <v>41</v>
      </c>
      <c r="O471" s="163" t="s">
        <v>41</v>
      </c>
      <c r="P471" s="163" t="s">
        <v>41</v>
      </c>
      <c r="Q471" s="171">
        <f>I471*G471</f>
        <v>48152.958242584362</v>
      </c>
      <c r="R471" s="161">
        <v>2021</v>
      </c>
      <c r="S471" s="165" t="s">
        <v>52</v>
      </c>
      <c r="U471" s="426"/>
      <c r="V471" s="407"/>
      <c r="W471" s="240"/>
      <c r="X471" s="240"/>
      <c r="Y471" s="240"/>
      <c r="Z471" s="240"/>
      <c r="AA471" s="240"/>
      <c r="AB471" s="240"/>
      <c r="AC471" s="240"/>
      <c r="AD471" s="306"/>
    </row>
    <row r="472" spans="3:30" ht="30" customHeight="1" outlineLevel="1" x14ac:dyDescent="0.25">
      <c r="C472" s="103" t="s">
        <v>466</v>
      </c>
      <c r="D472" s="104" t="s">
        <v>462</v>
      </c>
      <c r="E472" s="427">
        <v>1980</v>
      </c>
      <c r="F472" s="105" t="s">
        <v>417</v>
      </c>
      <c r="G472" s="203">
        <f>G475</f>
        <v>39.1</v>
      </c>
      <c r="H472" s="203" t="s">
        <v>40</v>
      </c>
      <c r="I472" s="107">
        <v>100</v>
      </c>
      <c r="J472" s="108">
        <f t="shared" si="104"/>
        <v>61485</v>
      </c>
      <c r="K472" s="109">
        <f>R472-E472</f>
        <v>41</v>
      </c>
      <c r="L472" s="105">
        <v>40</v>
      </c>
      <c r="M472" s="105">
        <v>30</v>
      </c>
      <c r="N472" s="111">
        <f>+I472*G472</f>
        <v>3910</v>
      </c>
      <c r="O472" s="111">
        <f>+N472/L472</f>
        <v>97.75</v>
      </c>
      <c r="P472" s="111">
        <f>(N472/L472)*M472</f>
        <v>2932.5</v>
      </c>
      <c r="Q472" s="105" t="s">
        <v>41</v>
      </c>
      <c r="R472" s="105">
        <v>2021</v>
      </c>
      <c r="S472" s="113" t="s">
        <v>52</v>
      </c>
      <c r="U472" s="424" t="s">
        <v>463</v>
      </c>
      <c r="V472" s="405" t="s">
        <v>140</v>
      </c>
      <c r="W472" s="230"/>
      <c r="X472" s="230"/>
      <c r="Y472" s="230"/>
      <c r="Z472" s="230"/>
      <c r="AA472" s="230"/>
      <c r="AB472" s="230"/>
      <c r="AC472" s="230"/>
      <c r="AD472" s="300"/>
    </row>
    <row r="473" spans="3:30" ht="30" customHeight="1" outlineLevel="2" x14ac:dyDescent="0.25">
      <c r="C473" s="114" t="str">
        <f>C472</f>
        <v>H13</v>
      </c>
      <c r="D473" s="115" t="s">
        <v>165</v>
      </c>
      <c r="E473" s="202">
        <v>1980</v>
      </c>
      <c r="F473" s="116" t="s">
        <v>417</v>
      </c>
      <c r="G473" s="206">
        <v>0</v>
      </c>
      <c r="H473" s="206" t="s">
        <v>87</v>
      </c>
      <c r="I473" s="206">
        <v>0</v>
      </c>
      <c r="J473" s="206">
        <v>0</v>
      </c>
      <c r="K473" s="313">
        <v>0</v>
      </c>
      <c r="L473" s="206">
        <v>0</v>
      </c>
      <c r="M473" s="116">
        <v>0</v>
      </c>
      <c r="N473" s="122">
        <v>0</v>
      </c>
      <c r="O473" s="122">
        <v>0</v>
      </c>
      <c r="P473" s="122">
        <v>0</v>
      </c>
      <c r="Q473" s="116">
        <v>0</v>
      </c>
      <c r="R473" s="116" t="s">
        <v>87</v>
      </c>
      <c r="S473" s="124" t="s">
        <v>87</v>
      </c>
      <c r="U473" s="425"/>
      <c r="V473" s="406"/>
      <c r="W473" s="234"/>
      <c r="X473" s="234"/>
      <c r="Y473" s="234"/>
      <c r="Z473" s="234"/>
      <c r="AA473" s="234"/>
      <c r="AB473" s="234"/>
      <c r="AC473" s="234"/>
      <c r="AD473" s="302"/>
    </row>
    <row r="474" spans="3:30" ht="30" customHeight="1" outlineLevel="2" x14ac:dyDescent="0.25">
      <c r="C474" s="114" t="str">
        <f>C472</f>
        <v>H13</v>
      </c>
      <c r="D474" s="115" t="s">
        <v>46</v>
      </c>
      <c r="E474" s="202">
        <v>1980</v>
      </c>
      <c r="F474" s="116" t="s">
        <v>417</v>
      </c>
      <c r="G474" s="206">
        <v>72.2</v>
      </c>
      <c r="H474" s="206" t="s">
        <v>40</v>
      </c>
      <c r="I474" s="118">
        <v>3.4</v>
      </c>
      <c r="J474" s="119">
        <f t="shared" ref="J474:J480" si="106">I474*$S$2</f>
        <v>2090.4900000000002</v>
      </c>
      <c r="K474" s="120">
        <f>R474-E474</f>
        <v>41</v>
      </c>
      <c r="L474" s="116">
        <v>10</v>
      </c>
      <c r="M474" s="116">
        <v>5</v>
      </c>
      <c r="N474" s="122">
        <f>+I474*G474</f>
        <v>245.48</v>
      </c>
      <c r="O474" s="122">
        <f>+N474/L474</f>
        <v>24.547999999999998</v>
      </c>
      <c r="P474" s="122">
        <f>(N474/L474)*M474</f>
        <v>122.74</v>
      </c>
      <c r="Q474" s="116" t="s">
        <v>41</v>
      </c>
      <c r="R474" s="116">
        <v>2021</v>
      </c>
      <c r="S474" s="124" t="s">
        <v>52</v>
      </c>
      <c r="U474" s="425"/>
      <c r="V474" s="406"/>
      <c r="W474" s="234"/>
      <c r="X474" s="234"/>
      <c r="Y474" s="234"/>
      <c r="Z474" s="234"/>
      <c r="AA474" s="234"/>
      <c r="AB474" s="234"/>
      <c r="AC474" s="234"/>
      <c r="AD474" s="302"/>
    </row>
    <row r="475" spans="3:30" ht="30" customHeight="1" outlineLevel="2" thickBot="1" x14ac:dyDescent="0.3">
      <c r="C475" s="159" t="str">
        <f>C472</f>
        <v>H13</v>
      </c>
      <c r="D475" s="160" t="s">
        <v>48</v>
      </c>
      <c r="E475" s="428">
        <v>1980</v>
      </c>
      <c r="F475" s="161" t="s">
        <v>417</v>
      </c>
      <c r="G475" s="162">
        <v>39.1</v>
      </c>
      <c r="H475" s="218" t="s">
        <v>40</v>
      </c>
      <c r="I475" s="261">
        <f>+J475/$S$2</f>
        <v>286.6790183214631</v>
      </c>
      <c r="J475" s="97">
        <f t="shared" ref="J475" si="107">+((95000^(0.364-(0.00000133*G475)))/(G475^(0.364-(0.00000133*95000))))*6500</f>
        <v>176264.5944149516</v>
      </c>
      <c r="K475" s="163" t="s">
        <v>41</v>
      </c>
      <c r="L475" s="163" t="s">
        <v>41</v>
      </c>
      <c r="M475" s="163" t="s">
        <v>41</v>
      </c>
      <c r="N475" s="163" t="s">
        <v>41</v>
      </c>
      <c r="O475" s="163" t="s">
        <v>41</v>
      </c>
      <c r="P475" s="163" t="s">
        <v>41</v>
      </c>
      <c r="Q475" s="171">
        <f>I475*G475</f>
        <v>11209.149616369208</v>
      </c>
      <c r="R475" s="161">
        <v>2021</v>
      </c>
      <c r="S475" s="165" t="s">
        <v>52</v>
      </c>
      <c r="U475" s="426"/>
      <c r="V475" s="407"/>
      <c r="W475" s="240"/>
      <c r="X475" s="240"/>
      <c r="Y475" s="240"/>
      <c r="Z475" s="240"/>
      <c r="AA475" s="240"/>
      <c r="AB475" s="240"/>
      <c r="AC475" s="240"/>
      <c r="AD475" s="306"/>
    </row>
    <row r="476" spans="3:30" ht="30" customHeight="1" outlineLevel="1" x14ac:dyDescent="0.25">
      <c r="C476" s="103" t="s">
        <v>467</v>
      </c>
      <c r="D476" s="433" t="s">
        <v>414</v>
      </c>
      <c r="E476" s="105">
        <v>1990</v>
      </c>
      <c r="F476" s="105" t="s">
        <v>39</v>
      </c>
      <c r="G476" s="203">
        <f>G479</f>
        <v>32.6</v>
      </c>
      <c r="H476" s="203" t="s">
        <v>40</v>
      </c>
      <c r="I476" s="107">
        <v>2000</v>
      </c>
      <c r="J476" s="108">
        <f t="shared" si="106"/>
        <v>1229700</v>
      </c>
      <c r="K476" s="109">
        <f>R476-E476</f>
        <v>31</v>
      </c>
      <c r="L476" s="105">
        <v>50</v>
      </c>
      <c r="M476" s="105">
        <v>30</v>
      </c>
      <c r="N476" s="111">
        <f>+I476*G476</f>
        <v>65200</v>
      </c>
      <c r="O476" s="111">
        <f>+N476/L476</f>
        <v>1304</v>
      </c>
      <c r="P476" s="111">
        <f>(N476/L476)*M476</f>
        <v>39120</v>
      </c>
      <c r="Q476" s="105" t="s">
        <v>41</v>
      </c>
      <c r="R476" s="105">
        <v>2021</v>
      </c>
      <c r="S476" s="113" t="s">
        <v>52</v>
      </c>
      <c r="T476" s="219" t="s">
        <v>403</v>
      </c>
      <c r="U476" s="424" t="s">
        <v>413</v>
      </c>
      <c r="V476" s="405" t="s">
        <v>140</v>
      </c>
      <c r="W476" s="230"/>
      <c r="X476" s="230"/>
      <c r="Y476" s="230"/>
      <c r="Z476" s="230"/>
      <c r="AA476" s="230"/>
      <c r="AB476" s="230"/>
      <c r="AC476" s="230"/>
      <c r="AD476" s="300"/>
    </row>
    <row r="477" spans="3:30" ht="30" customHeight="1" outlineLevel="2" x14ac:dyDescent="0.25">
      <c r="C477" s="114" t="str">
        <f>C476</f>
        <v>H14</v>
      </c>
      <c r="D477" s="434" t="s">
        <v>165</v>
      </c>
      <c r="E477" s="116">
        <v>1990</v>
      </c>
      <c r="F477" s="116" t="s">
        <v>39</v>
      </c>
      <c r="G477" s="206">
        <v>0</v>
      </c>
      <c r="H477" s="206" t="s">
        <v>87</v>
      </c>
      <c r="I477" s="206">
        <v>0</v>
      </c>
      <c r="J477" s="206">
        <v>0</v>
      </c>
      <c r="K477" s="313">
        <v>0</v>
      </c>
      <c r="L477" s="206">
        <v>0</v>
      </c>
      <c r="M477" s="206">
        <v>0</v>
      </c>
      <c r="N477" s="314">
        <v>0</v>
      </c>
      <c r="O477" s="314">
        <v>0</v>
      </c>
      <c r="P477" s="314">
        <v>0</v>
      </c>
      <c r="Q477" s="116" t="s">
        <v>41</v>
      </c>
      <c r="R477" s="116" t="s">
        <v>87</v>
      </c>
      <c r="S477" s="124" t="s">
        <v>87</v>
      </c>
      <c r="T477" s="219" t="s">
        <v>403</v>
      </c>
      <c r="U477" s="425"/>
      <c r="V477" s="406"/>
      <c r="W477" s="234"/>
      <c r="X477" s="234"/>
      <c r="Y477" s="234"/>
      <c r="Z477" s="234"/>
      <c r="AA477" s="234"/>
      <c r="AB477" s="234"/>
      <c r="AC477" s="234"/>
      <c r="AD477" s="302"/>
    </row>
    <row r="478" spans="3:30" ht="30" customHeight="1" outlineLevel="2" x14ac:dyDescent="0.25">
      <c r="C478" s="114" t="str">
        <f>C476</f>
        <v>H14</v>
      </c>
      <c r="D478" s="434" t="s">
        <v>46</v>
      </c>
      <c r="E478" s="116">
        <v>1990</v>
      </c>
      <c r="F478" s="116" t="s">
        <v>39</v>
      </c>
      <c r="G478" s="206">
        <v>64.400000000000006</v>
      </c>
      <c r="H478" s="206" t="s">
        <v>40</v>
      </c>
      <c r="I478" s="118">
        <v>3.4</v>
      </c>
      <c r="J478" s="119">
        <f t="shared" ref="J478" si="108">I478*$S$2</f>
        <v>2090.4900000000002</v>
      </c>
      <c r="K478" s="120">
        <f>R478-E478</f>
        <v>31</v>
      </c>
      <c r="L478" s="116">
        <v>10</v>
      </c>
      <c r="M478" s="116">
        <v>5</v>
      </c>
      <c r="N478" s="122">
        <f>+I478*G478</f>
        <v>218.96</v>
      </c>
      <c r="O478" s="122">
        <f>+N478/L478</f>
        <v>21.896000000000001</v>
      </c>
      <c r="P478" s="122">
        <f>(N478/L478)*M478</f>
        <v>109.48</v>
      </c>
      <c r="Q478" s="116" t="s">
        <v>41</v>
      </c>
      <c r="R478" s="116">
        <v>2021</v>
      </c>
      <c r="S478" s="124" t="s">
        <v>52</v>
      </c>
      <c r="T478" s="219" t="s">
        <v>403</v>
      </c>
      <c r="U478" s="425"/>
      <c r="V478" s="406"/>
      <c r="W478" s="234"/>
      <c r="X478" s="234"/>
      <c r="Y478" s="234"/>
      <c r="Z478" s="234"/>
      <c r="AA478" s="234"/>
      <c r="AB478" s="234"/>
      <c r="AC478" s="234"/>
      <c r="AD478" s="302"/>
    </row>
    <row r="479" spans="3:30" ht="30" customHeight="1" outlineLevel="2" thickBot="1" x14ac:dyDescent="0.3">
      <c r="C479" s="159" t="str">
        <f>C476</f>
        <v>H14</v>
      </c>
      <c r="D479" s="435" t="s">
        <v>48</v>
      </c>
      <c r="E479" s="161">
        <v>1990</v>
      </c>
      <c r="F479" s="161" t="s">
        <v>39</v>
      </c>
      <c r="G479" s="162">
        <v>32.6</v>
      </c>
      <c r="H479" s="218" t="s">
        <v>40</v>
      </c>
      <c r="I479" s="261">
        <f>+J479/$S$2</f>
        <v>299.36676532870314</v>
      </c>
      <c r="J479" s="97">
        <f t="shared" ref="J479" si="109">+((95000^(0.364-(0.00000133*G479)))/(G479^(0.364-(0.00000133*95000))))*6500</f>
        <v>184065.65566235312</v>
      </c>
      <c r="K479" s="163" t="s">
        <v>41</v>
      </c>
      <c r="L479" s="163" t="s">
        <v>41</v>
      </c>
      <c r="M479" s="163" t="s">
        <v>41</v>
      </c>
      <c r="N479" s="163" t="s">
        <v>41</v>
      </c>
      <c r="O479" s="163" t="s">
        <v>41</v>
      </c>
      <c r="P479" s="163" t="s">
        <v>41</v>
      </c>
      <c r="Q479" s="171">
        <f>I479*G479</f>
        <v>9759.3565497157233</v>
      </c>
      <c r="R479" s="161">
        <v>2021</v>
      </c>
      <c r="S479" s="165" t="s">
        <v>52</v>
      </c>
      <c r="T479" s="219" t="s">
        <v>403</v>
      </c>
      <c r="U479" s="426"/>
      <c r="V479" s="407"/>
      <c r="W479" s="240"/>
      <c r="X479" s="240"/>
      <c r="Y479" s="240"/>
      <c r="Z479" s="240"/>
      <c r="AA479" s="240"/>
      <c r="AB479" s="240"/>
      <c r="AC479" s="240"/>
      <c r="AD479" s="306"/>
    </row>
    <row r="480" spans="3:30" ht="30" customHeight="1" outlineLevel="1" x14ac:dyDescent="0.25">
      <c r="C480" s="103" t="s">
        <v>468</v>
      </c>
      <c r="D480" s="104" t="s">
        <v>469</v>
      </c>
      <c r="E480" s="427">
        <v>1980</v>
      </c>
      <c r="F480" s="105" t="s">
        <v>417</v>
      </c>
      <c r="G480" s="203">
        <f>G483</f>
        <v>239.91</v>
      </c>
      <c r="H480" s="203" t="s">
        <v>40</v>
      </c>
      <c r="I480" s="107">
        <v>100</v>
      </c>
      <c r="J480" s="108">
        <f t="shared" si="106"/>
        <v>61485</v>
      </c>
      <c r="K480" s="109">
        <f>R480-E480</f>
        <v>41</v>
      </c>
      <c r="L480" s="105">
        <v>40</v>
      </c>
      <c r="M480" s="105">
        <v>30</v>
      </c>
      <c r="N480" s="111">
        <f>+I480*G480</f>
        <v>23991</v>
      </c>
      <c r="O480" s="111">
        <f>+N480/L480</f>
        <v>599.77499999999998</v>
      </c>
      <c r="P480" s="111">
        <f>(N480/L480)*M480</f>
        <v>17993.25</v>
      </c>
      <c r="Q480" s="105" t="s">
        <v>41</v>
      </c>
      <c r="R480" s="105">
        <v>2021</v>
      </c>
      <c r="S480" s="113" t="s">
        <v>52</v>
      </c>
      <c r="U480" s="424" t="s">
        <v>463</v>
      </c>
      <c r="V480" s="405" t="s">
        <v>140</v>
      </c>
      <c r="W480" s="230"/>
      <c r="X480" s="230"/>
      <c r="Y480" s="230"/>
      <c r="Z480" s="230"/>
      <c r="AA480" s="230"/>
      <c r="AB480" s="230"/>
      <c r="AC480" s="230"/>
      <c r="AD480" s="300"/>
    </row>
    <row r="481" spans="2:30" ht="30" customHeight="1" outlineLevel="2" x14ac:dyDescent="0.25">
      <c r="C481" s="114" t="str">
        <f>C480</f>
        <v>H15</v>
      </c>
      <c r="D481" s="115" t="s">
        <v>165</v>
      </c>
      <c r="E481" s="202">
        <v>1980</v>
      </c>
      <c r="F481" s="116" t="s">
        <v>417</v>
      </c>
      <c r="G481" s="206">
        <v>0</v>
      </c>
      <c r="H481" s="206" t="s">
        <v>87</v>
      </c>
      <c r="I481" s="206">
        <v>0</v>
      </c>
      <c r="J481" s="206">
        <v>0</v>
      </c>
      <c r="K481" s="313">
        <v>0</v>
      </c>
      <c r="L481" s="206">
        <v>0</v>
      </c>
      <c r="M481" s="116">
        <v>0</v>
      </c>
      <c r="N481" s="122">
        <v>0</v>
      </c>
      <c r="O481" s="122">
        <v>0</v>
      </c>
      <c r="P481" s="122">
        <v>0</v>
      </c>
      <c r="Q481" s="116">
        <v>0</v>
      </c>
      <c r="R481" s="116" t="s">
        <v>87</v>
      </c>
      <c r="S481" s="124" t="s">
        <v>87</v>
      </c>
      <c r="U481" s="425"/>
      <c r="V481" s="406"/>
      <c r="W481" s="234"/>
      <c r="X481" s="234"/>
      <c r="Y481" s="234"/>
      <c r="Z481" s="234"/>
      <c r="AA481" s="234"/>
      <c r="AB481" s="234"/>
      <c r="AC481" s="234"/>
      <c r="AD481" s="302"/>
    </row>
    <row r="482" spans="2:30" ht="30" customHeight="1" outlineLevel="2" x14ac:dyDescent="0.25">
      <c r="C482" s="114" t="str">
        <f>C480</f>
        <v>H15</v>
      </c>
      <c r="D482" s="115" t="s">
        <v>46</v>
      </c>
      <c r="E482" s="202">
        <v>1980</v>
      </c>
      <c r="F482" s="116" t="s">
        <v>417</v>
      </c>
      <c r="G482" s="206">
        <v>166.49</v>
      </c>
      <c r="H482" s="206" t="s">
        <v>40</v>
      </c>
      <c r="I482" s="118">
        <v>3.4</v>
      </c>
      <c r="J482" s="119">
        <f t="shared" ref="J482:J484" si="110">I482*$S$2</f>
        <v>2090.4900000000002</v>
      </c>
      <c r="K482" s="120">
        <f>R482-E482</f>
        <v>41</v>
      </c>
      <c r="L482" s="116">
        <v>10</v>
      </c>
      <c r="M482" s="116">
        <v>5</v>
      </c>
      <c r="N482" s="122">
        <f>+I482*G482</f>
        <v>566.06600000000003</v>
      </c>
      <c r="O482" s="122">
        <f>+N482/L482</f>
        <v>56.6066</v>
      </c>
      <c r="P482" s="122">
        <f>(N482/L482)*M482</f>
        <v>283.03300000000002</v>
      </c>
      <c r="Q482" s="116" t="s">
        <v>41</v>
      </c>
      <c r="R482" s="116">
        <v>2021</v>
      </c>
      <c r="S482" s="124" t="s">
        <v>52</v>
      </c>
      <c r="U482" s="425"/>
      <c r="V482" s="406"/>
      <c r="W482" s="234"/>
      <c r="X482" s="234"/>
      <c r="Y482" s="234"/>
      <c r="Z482" s="234"/>
      <c r="AA482" s="234"/>
      <c r="AB482" s="234"/>
      <c r="AC482" s="234"/>
      <c r="AD482" s="302"/>
    </row>
    <row r="483" spans="2:30" ht="30" customHeight="1" outlineLevel="2" thickBot="1" x14ac:dyDescent="0.3">
      <c r="C483" s="159" t="str">
        <f>C480</f>
        <v>H15</v>
      </c>
      <c r="D483" s="160" t="s">
        <v>48</v>
      </c>
      <c r="E483" s="428">
        <v>1980</v>
      </c>
      <c r="F483" s="161" t="s">
        <v>417</v>
      </c>
      <c r="G483" s="162">
        <v>239.91</v>
      </c>
      <c r="H483" s="218" t="s">
        <v>40</v>
      </c>
      <c r="I483" s="261">
        <f>+J483/$S$2</f>
        <v>185.70721946904678</v>
      </c>
      <c r="J483" s="97">
        <f t="shared" ref="J483" si="111">+((95000^(0.364-(0.00000133*G483)))/(G483^(0.364-(0.00000133*95000))))*6500</f>
        <v>114182.08389054341</v>
      </c>
      <c r="K483" s="163" t="s">
        <v>41</v>
      </c>
      <c r="L483" s="163" t="s">
        <v>41</v>
      </c>
      <c r="M483" s="163" t="s">
        <v>41</v>
      </c>
      <c r="N483" s="163" t="s">
        <v>41</v>
      </c>
      <c r="O483" s="163" t="s">
        <v>41</v>
      </c>
      <c r="P483" s="163" t="s">
        <v>41</v>
      </c>
      <c r="Q483" s="171">
        <f>I483*G483</f>
        <v>44553.019022819011</v>
      </c>
      <c r="R483" s="161">
        <v>2021</v>
      </c>
      <c r="S483" s="165" t="s">
        <v>52</v>
      </c>
      <c r="U483" s="426"/>
      <c r="V483" s="407"/>
      <c r="W483" s="240"/>
      <c r="X483" s="240"/>
      <c r="Y483" s="240"/>
      <c r="Z483" s="240"/>
      <c r="AA483" s="240"/>
      <c r="AB483" s="240"/>
      <c r="AC483" s="240"/>
      <c r="AD483" s="306"/>
    </row>
    <row r="484" spans="2:30" ht="30" customHeight="1" outlineLevel="1" collapsed="1" x14ac:dyDescent="0.25">
      <c r="C484" s="103" t="s">
        <v>470</v>
      </c>
      <c r="D484" s="104" t="s">
        <v>471</v>
      </c>
      <c r="E484" s="427">
        <v>1980</v>
      </c>
      <c r="F484" s="105" t="s">
        <v>417</v>
      </c>
      <c r="G484" s="203">
        <f>G487</f>
        <v>45.36</v>
      </c>
      <c r="H484" s="203" t="s">
        <v>40</v>
      </c>
      <c r="I484" s="107">
        <v>100</v>
      </c>
      <c r="J484" s="108">
        <f t="shared" si="110"/>
        <v>61485</v>
      </c>
      <c r="K484" s="109">
        <f>R484-E484</f>
        <v>41</v>
      </c>
      <c r="L484" s="105">
        <v>40</v>
      </c>
      <c r="M484" s="105">
        <v>30</v>
      </c>
      <c r="N484" s="111">
        <f>+I484*G484</f>
        <v>4536</v>
      </c>
      <c r="O484" s="111">
        <f>+N484/L484</f>
        <v>113.4</v>
      </c>
      <c r="P484" s="111">
        <f>(N484/L484)*M484</f>
        <v>3402</v>
      </c>
      <c r="Q484" s="105" t="s">
        <v>41</v>
      </c>
      <c r="R484" s="105">
        <v>2021</v>
      </c>
      <c r="S484" s="113" t="s">
        <v>52</v>
      </c>
      <c r="U484" s="424" t="s">
        <v>463</v>
      </c>
      <c r="V484" s="405" t="s">
        <v>140</v>
      </c>
      <c r="W484" s="230"/>
      <c r="X484" s="230"/>
      <c r="Y484" s="230"/>
      <c r="Z484" s="230"/>
      <c r="AA484" s="230"/>
      <c r="AB484" s="230"/>
      <c r="AC484" s="230"/>
      <c r="AD484" s="300"/>
    </row>
    <row r="485" spans="2:30" ht="30" customHeight="1" outlineLevel="1" x14ac:dyDescent="0.25">
      <c r="C485" s="114" t="str">
        <f>C484</f>
        <v>H16</v>
      </c>
      <c r="D485" s="115" t="s">
        <v>165</v>
      </c>
      <c r="E485" s="202">
        <v>1980</v>
      </c>
      <c r="F485" s="116" t="s">
        <v>417</v>
      </c>
      <c r="G485" s="206">
        <v>0</v>
      </c>
      <c r="H485" s="206" t="s">
        <v>87</v>
      </c>
      <c r="I485" s="206">
        <v>0</v>
      </c>
      <c r="J485" s="206">
        <v>0</v>
      </c>
      <c r="K485" s="313">
        <v>0</v>
      </c>
      <c r="L485" s="206">
        <v>0</v>
      </c>
      <c r="M485" s="116">
        <v>0</v>
      </c>
      <c r="N485" s="122">
        <v>0</v>
      </c>
      <c r="O485" s="122">
        <v>0</v>
      </c>
      <c r="P485" s="122">
        <v>0</v>
      </c>
      <c r="Q485" s="116">
        <v>0</v>
      </c>
      <c r="R485" s="116" t="s">
        <v>87</v>
      </c>
      <c r="S485" s="124" t="s">
        <v>87</v>
      </c>
      <c r="U485" s="425"/>
      <c r="V485" s="406"/>
      <c r="W485" s="234"/>
      <c r="X485" s="234"/>
      <c r="Y485" s="234"/>
      <c r="Z485" s="234"/>
      <c r="AA485" s="234"/>
      <c r="AB485" s="234"/>
      <c r="AC485" s="234"/>
      <c r="AD485" s="302"/>
    </row>
    <row r="486" spans="2:30" ht="30" customHeight="1" outlineLevel="1" x14ac:dyDescent="0.25">
      <c r="C486" s="114" t="str">
        <f>C484</f>
        <v>H16</v>
      </c>
      <c r="D486" s="115" t="s">
        <v>46</v>
      </c>
      <c r="E486" s="202">
        <v>1980</v>
      </c>
      <c r="F486" s="116" t="s">
        <v>417</v>
      </c>
      <c r="G486" s="206">
        <v>71.47</v>
      </c>
      <c r="H486" s="206" t="s">
        <v>40</v>
      </c>
      <c r="I486" s="118">
        <v>3.4</v>
      </c>
      <c r="J486" s="119">
        <f t="shared" ref="J486" si="112">I486*$S$2</f>
        <v>2090.4900000000002</v>
      </c>
      <c r="K486" s="120">
        <f>R486-E486</f>
        <v>41</v>
      </c>
      <c r="L486" s="116">
        <v>10</v>
      </c>
      <c r="M486" s="116">
        <v>5</v>
      </c>
      <c r="N486" s="122">
        <f>+I486*G486</f>
        <v>242.99799999999999</v>
      </c>
      <c r="O486" s="122">
        <f>+N486/L486</f>
        <v>24.299799999999998</v>
      </c>
      <c r="P486" s="122">
        <f>(N486/L486)*M486</f>
        <v>121.499</v>
      </c>
      <c r="Q486" s="116" t="s">
        <v>41</v>
      </c>
      <c r="R486" s="116">
        <v>2021</v>
      </c>
      <c r="S486" s="124" t="s">
        <v>52</v>
      </c>
      <c r="U486" s="425"/>
      <c r="V486" s="406"/>
      <c r="W486" s="234"/>
      <c r="X486" s="234"/>
      <c r="Y486" s="234"/>
      <c r="Z486" s="234"/>
      <c r="AA486" s="234"/>
      <c r="AB486" s="234"/>
      <c r="AC486" s="234"/>
      <c r="AD486" s="302"/>
    </row>
    <row r="487" spans="2:30" ht="30" customHeight="1" outlineLevel="1" thickBot="1" x14ac:dyDescent="0.3">
      <c r="B487" s="1">
        <v>16</v>
      </c>
      <c r="C487" s="159" t="str">
        <f>C484</f>
        <v>H16</v>
      </c>
      <c r="D487" s="160" t="s">
        <v>48</v>
      </c>
      <c r="E487" s="428">
        <v>1980</v>
      </c>
      <c r="F487" s="161" t="s">
        <v>417</v>
      </c>
      <c r="G487" s="162">
        <v>45.36</v>
      </c>
      <c r="H487" s="218" t="s">
        <v>40</v>
      </c>
      <c r="I487" s="261">
        <f>+J487/$S$2</f>
        <v>276.7113174934729</v>
      </c>
      <c r="J487" s="97">
        <f t="shared" ref="J487" si="113">+((95000^(0.364-(0.00000133*G487)))/(G487^(0.364-(0.00000133*95000))))*6500</f>
        <v>170135.95356086182</v>
      </c>
      <c r="K487" s="163" t="s">
        <v>41</v>
      </c>
      <c r="L487" s="163" t="s">
        <v>41</v>
      </c>
      <c r="M487" s="163" t="s">
        <v>41</v>
      </c>
      <c r="N487" s="163" t="s">
        <v>41</v>
      </c>
      <c r="O487" s="163" t="s">
        <v>41</v>
      </c>
      <c r="P487" s="163" t="s">
        <v>41</v>
      </c>
      <c r="Q487" s="171">
        <f>I487*G487</f>
        <v>12551.625361503931</v>
      </c>
      <c r="R487" s="161">
        <v>2021</v>
      </c>
      <c r="S487" s="165" t="s">
        <v>52</v>
      </c>
      <c r="U487" s="426"/>
      <c r="V487" s="407"/>
      <c r="W487" s="240"/>
      <c r="X487" s="240"/>
      <c r="Y487" s="240"/>
      <c r="Z487" s="240"/>
      <c r="AA487" s="240"/>
      <c r="AB487" s="240"/>
      <c r="AC487" s="240"/>
      <c r="AD487" s="306"/>
    </row>
    <row r="488" spans="2:30" ht="16.5" hidden="1" thickBot="1" x14ac:dyDescent="0.3">
      <c r="C488" s="212"/>
      <c r="D488" s="417" t="s">
        <v>472</v>
      </c>
      <c r="E488" s="212"/>
      <c r="F488" s="210"/>
      <c r="G488" s="210"/>
      <c r="H488" s="210"/>
      <c r="I488" s="213"/>
      <c r="J488" s="210"/>
      <c r="K488" s="210"/>
      <c r="L488" s="210"/>
      <c r="M488" s="210"/>
      <c r="N488" s="210"/>
      <c r="O488" s="210"/>
      <c r="P488" s="210"/>
      <c r="Q488" s="210"/>
      <c r="R488" s="210"/>
      <c r="S488" s="214"/>
      <c r="U488" s="264" t="s">
        <v>472</v>
      </c>
      <c r="V488" s="216"/>
      <c r="W488" s="216"/>
      <c r="X488" s="216"/>
      <c r="Y488" s="216"/>
      <c r="Z488" s="217"/>
      <c r="AA488" s="217"/>
      <c r="AB488" s="217"/>
      <c r="AC488" s="216"/>
      <c r="AD488" s="216"/>
    </row>
    <row r="489" spans="2:30" ht="30" customHeight="1" outlineLevel="1" x14ac:dyDescent="0.25">
      <c r="C489" s="103" t="s">
        <v>473</v>
      </c>
      <c r="D489" s="104" t="s">
        <v>474</v>
      </c>
      <c r="E489" s="105">
        <v>1985</v>
      </c>
      <c r="F489" s="105" t="s">
        <v>475</v>
      </c>
      <c r="G489" s="203">
        <f>G492+476.45</f>
        <v>1368.67</v>
      </c>
      <c r="H489" s="203" t="s">
        <v>40</v>
      </c>
      <c r="I489" s="107">
        <v>1200</v>
      </c>
      <c r="J489" s="108">
        <f t="shared" ref="J489:J523" si="114">I489*$S$2</f>
        <v>737820</v>
      </c>
      <c r="K489" s="109">
        <f>R489-E489</f>
        <v>36</v>
      </c>
      <c r="L489" s="105">
        <v>50</v>
      </c>
      <c r="M489" s="105">
        <v>30</v>
      </c>
      <c r="N489" s="111">
        <f>+I489*G489</f>
        <v>1642404</v>
      </c>
      <c r="O489" s="111">
        <f>+N489/L489</f>
        <v>32848.080000000002</v>
      </c>
      <c r="P489" s="111">
        <f>(N489/L489)*M489</f>
        <v>985442.4</v>
      </c>
      <c r="Q489" s="105" t="s">
        <v>41</v>
      </c>
      <c r="R489" s="105">
        <v>2021</v>
      </c>
      <c r="S489" s="113" t="s">
        <v>52</v>
      </c>
      <c r="U489" s="220" t="s">
        <v>476</v>
      </c>
      <c r="V489" s="72">
        <v>32172</v>
      </c>
      <c r="W489" s="73">
        <v>9932880.2100000009</v>
      </c>
      <c r="X489" s="73">
        <v>0</v>
      </c>
      <c r="Y489" s="73">
        <v>0</v>
      </c>
      <c r="Z489" s="73">
        <v>4393838.59</v>
      </c>
      <c r="AA489" s="73">
        <v>0</v>
      </c>
      <c r="AB489" s="73">
        <v>5539041.620000001</v>
      </c>
      <c r="AC489" s="74" t="s">
        <v>477</v>
      </c>
      <c r="AD489" s="221">
        <v>900196</v>
      </c>
    </row>
    <row r="490" spans="2:30" ht="30" customHeight="1" outlineLevel="2" x14ac:dyDescent="0.25">
      <c r="C490" s="114" t="str">
        <f>C489</f>
        <v>I -1</v>
      </c>
      <c r="D490" s="115" t="s">
        <v>44</v>
      </c>
      <c r="E490" s="116">
        <v>1985</v>
      </c>
      <c r="F490" s="116" t="s">
        <v>475</v>
      </c>
      <c r="G490" s="206">
        <v>122.72</v>
      </c>
      <c r="H490" s="206" t="s">
        <v>40</v>
      </c>
      <c r="I490" s="118">
        <v>30.54</v>
      </c>
      <c r="J490" s="119">
        <f t="shared" si="114"/>
        <v>18777.519</v>
      </c>
      <c r="K490" s="120">
        <f>R490-E490</f>
        <v>36</v>
      </c>
      <c r="L490" s="116">
        <v>15</v>
      </c>
      <c r="M490" s="116">
        <v>5</v>
      </c>
      <c r="N490" s="122">
        <f>+I490*G490</f>
        <v>3747.8687999999997</v>
      </c>
      <c r="O490" s="122">
        <f>+N490/L490</f>
        <v>249.85791999999998</v>
      </c>
      <c r="P490" s="122">
        <f>(N490/L490)*M490</f>
        <v>1249.2895999999998</v>
      </c>
      <c r="Q490" s="116" t="s">
        <v>41</v>
      </c>
      <c r="R490" s="116">
        <v>2021</v>
      </c>
      <c r="S490" s="124" t="s">
        <v>52</v>
      </c>
      <c r="U490" s="87" t="s">
        <v>476</v>
      </c>
      <c r="V490" s="225" t="s">
        <v>158</v>
      </c>
      <c r="W490" s="89">
        <v>686521.49</v>
      </c>
      <c r="X490" s="89">
        <v>0</v>
      </c>
      <c r="Y490" s="89">
        <v>0</v>
      </c>
      <c r="Z490" s="89">
        <v>419941.75</v>
      </c>
      <c r="AA490" s="89">
        <v>0</v>
      </c>
      <c r="AB490" s="89">
        <v>266579.74</v>
      </c>
      <c r="AC490" s="90" t="s">
        <v>266</v>
      </c>
      <c r="AD490" s="223">
        <v>900040</v>
      </c>
    </row>
    <row r="491" spans="2:30" ht="30" customHeight="1" outlineLevel="2" x14ac:dyDescent="0.25">
      <c r="C491" s="114" t="str">
        <f>C489</f>
        <v>I -1</v>
      </c>
      <c r="D491" s="115" t="s">
        <v>46</v>
      </c>
      <c r="E491" s="116">
        <v>1985</v>
      </c>
      <c r="F491" s="116" t="s">
        <v>475</v>
      </c>
      <c r="G491" s="206">
        <v>244.66</v>
      </c>
      <c r="H491" s="206" t="s">
        <v>40</v>
      </c>
      <c r="I491" s="118">
        <v>3.4</v>
      </c>
      <c r="J491" s="119">
        <f t="shared" si="114"/>
        <v>2090.4900000000002</v>
      </c>
      <c r="K491" s="120">
        <f>R491-E491</f>
        <v>36</v>
      </c>
      <c r="L491" s="116">
        <v>10</v>
      </c>
      <c r="M491" s="116">
        <v>5</v>
      </c>
      <c r="N491" s="122">
        <f>+I491*G491</f>
        <v>831.84399999999994</v>
      </c>
      <c r="O491" s="122">
        <f>+N491/L491</f>
        <v>83.184399999999997</v>
      </c>
      <c r="P491" s="122">
        <f>(N491/L491)*M491</f>
        <v>415.92199999999997</v>
      </c>
      <c r="Q491" s="116" t="s">
        <v>41</v>
      </c>
      <c r="R491" s="116">
        <v>2021</v>
      </c>
      <c r="S491" s="124" t="s">
        <v>52</v>
      </c>
      <c r="U491" s="87" t="s">
        <v>476</v>
      </c>
      <c r="V491" s="88">
        <v>32172</v>
      </c>
      <c r="W491" s="89">
        <v>1105900.43</v>
      </c>
      <c r="X491" s="89">
        <v>0</v>
      </c>
      <c r="Y491" s="89">
        <v>0</v>
      </c>
      <c r="Z491" s="89">
        <v>580922.67000000004</v>
      </c>
      <c r="AA491" s="89">
        <v>0</v>
      </c>
      <c r="AB491" s="89">
        <v>524977.75999999989</v>
      </c>
      <c r="AC491" s="90" t="s">
        <v>478</v>
      </c>
      <c r="AD491" s="223">
        <v>900224</v>
      </c>
    </row>
    <row r="492" spans="2:30" ht="30" customHeight="1" outlineLevel="2" thickBot="1" x14ac:dyDescent="0.3">
      <c r="C492" s="159" t="str">
        <f>C489</f>
        <v>I -1</v>
      </c>
      <c r="D492" s="160" t="s">
        <v>48</v>
      </c>
      <c r="E492" s="161">
        <v>1985</v>
      </c>
      <c r="F492" s="161" t="s">
        <v>475</v>
      </c>
      <c r="G492" s="162">
        <v>892.22</v>
      </c>
      <c r="H492" s="218" t="s">
        <v>40</v>
      </c>
      <c r="I492" s="261">
        <f>+J492/$S$2</f>
        <v>134.57025737600395</v>
      </c>
      <c r="J492" s="97">
        <f t="shared" ref="J492" si="115">+((95000^(0.364-(0.00000133*G492)))/(G492^(0.364-(0.00000133*95000))))*6500</f>
        <v>82740.522747636031</v>
      </c>
      <c r="K492" s="163" t="s">
        <v>41</v>
      </c>
      <c r="L492" s="163" t="s">
        <v>41</v>
      </c>
      <c r="M492" s="163" t="s">
        <v>41</v>
      </c>
      <c r="N492" s="163" t="s">
        <v>41</v>
      </c>
      <c r="O492" s="163" t="s">
        <v>41</v>
      </c>
      <c r="P492" s="163" t="s">
        <v>41</v>
      </c>
      <c r="Q492" s="171">
        <f>I492*G492</f>
        <v>120066.27503601825</v>
      </c>
      <c r="R492" s="161">
        <v>2021</v>
      </c>
      <c r="S492" s="165" t="s">
        <v>52</v>
      </c>
      <c r="U492" s="288" t="s">
        <v>476</v>
      </c>
      <c r="V492" s="289">
        <v>32719</v>
      </c>
      <c r="W492" s="174">
        <v>762774.55</v>
      </c>
      <c r="X492" s="174">
        <v>0</v>
      </c>
      <c r="Y492" s="174">
        <v>0</v>
      </c>
      <c r="Z492" s="174">
        <v>762774.55</v>
      </c>
      <c r="AA492" s="174">
        <v>0</v>
      </c>
      <c r="AB492" s="174">
        <v>0</v>
      </c>
      <c r="AC492" s="173" t="s">
        <v>479</v>
      </c>
      <c r="AD492" s="290">
        <v>900235</v>
      </c>
    </row>
    <row r="493" spans="2:30" ht="30" customHeight="1" outlineLevel="1" x14ac:dyDescent="0.25">
      <c r="C493" s="103" t="s">
        <v>480</v>
      </c>
      <c r="D493" s="104" t="s">
        <v>481</v>
      </c>
      <c r="E493" s="105">
        <v>1985</v>
      </c>
      <c r="F493" s="105" t="s">
        <v>475</v>
      </c>
      <c r="G493" s="203">
        <f>G496</f>
        <v>398</v>
      </c>
      <c r="H493" s="203" t="s">
        <v>40</v>
      </c>
      <c r="I493" s="107">
        <v>800</v>
      </c>
      <c r="J493" s="108">
        <f t="shared" si="114"/>
        <v>491880</v>
      </c>
      <c r="K493" s="109">
        <f>R493-E493</f>
        <v>36</v>
      </c>
      <c r="L493" s="105">
        <v>50</v>
      </c>
      <c r="M493" s="105">
        <v>30</v>
      </c>
      <c r="N493" s="111">
        <f>+I493*G493</f>
        <v>318400</v>
      </c>
      <c r="O493" s="111">
        <f>+N493/L493</f>
        <v>6368</v>
      </c>
      <c r="P493" s="111">
        <f>(N493/L493)*M493</f>
        <v>191040</v>
      </c>
      <c r="Q493" s="105" t="s">
        <v>41</v>
      </c>
      <c r="R493" s="105">
        <v>2021</v>
      </c>
      <c r="S493" s="113" t="s">
        <v>52</v>
      </c>
      <c r="U493" s="176" t="s">
        <v>482</v>
      </c>
      <c r="V493" s="189">
        <v>39022</v>
      </c>
      <c r="W493" s="178">
        <v>57387327.25</v>
      </c>
      <c r="X493" s="178">
        <v>0</v>
      </c>
      <c r="Y493" s="178">
        <v>349498835.32999998</v>
      </c>
      <c r="Z493" s="178">
        <v>15111996.359999999</v>
      </c>
      <c r="AA493" s="178">
        <v>30142636.98</v>
      </c>
      <c r="AB493" s="178">
        <v>361631529.23999995</v>
      </c>
      <c r="AC493" s="177" t="s">
        <v>483</v>
      </c>
      <c r="AD493" s="205">
        <v>900265</v>
      </c>
    </row>
    <row r="494" spans="2:30" ht="30" customHeight="1" outlineLevel="2" x14ac:dyDescent="0.25">
      <c r="C494" s="114" t="str">
        <f>C493</f>
        <v>I -2</v>
      </c>
      <c r="D494" s="115" t="s">
        <v>44</v>
      </c>
      <c r="E494" s="116">
        <v>1985</v>
      </c>
      <c r="F494" s="116" t="s">
        <v>475</v>
      </c>
      <c r="G494" s="206">
        <v>61.29</v>
      </c>
      <c r="H494" s="206" t="s">
        <v>40</v>
      </c>
      <c r="I494" s="118">
        <v>30.54</v>
      </c>
      <c r="J494" s="119">
        <f t="shared" si="114"/>
        <v>18777.519</v>
      </c>
      <c r="K494" s="120">
        <f>R494-E494</f>
        <v>36</v>
      </c>
      <c r="L494" s="116">
        <v>15</v>
      </c>
      <c r="M494" s="116">
        <v>5</v>
      </c>
      <c r="N494" s="122">
        <f>+I494*G494</f>
        <v>1871.7965999999999</v>
      </c>
      <c r="O494" s="122">
        <f>+N494/L494</f>
        <v>124.78644</v>
      </c>
      <c r="P494" s="122">
        <f>(N494/L494)*M494</f>
        <v>623.93219999999997</v>
      </c>
      <c r="Q494" s="116" t="s">
        <v>41</v>
      </c>
      <c r="R494" s="116">
        <v>2021</v>
      </c>
      <c r="S494" s="124" t="s">
        <v>52</v>
      </c>
      <c r="U494" s="180"/>
      <c r="V494" s="155"/>
      <c r="W494" s="156"/>
      <c r="X494" s="156"/>
      <c r="Y494" s="156"/>
      <c r="Z494" s="156"/>
      <c r="AA494" s="156"/>
      <c r="AB494" s="156"/>
      <c r="AC494" s="157"/>
      <c r="AD494" s="184"/>
    </row>
    <row r="495" spans="2:30" ht="30" customHeight="1" outlineLevel="2" x14ac:dyDescent="0.25">
      <c r="C495" s="114" t="str">
        <f>C493</f>
        <v>I -2</v>
      </c>
      <c r="D495" s="115" t="s">
        <v>46</v>
      </c>
      <c r="E495" s="116">
        <v>1985</v>
      </c>
      <c r="F495" s="116" t="s">
        <v>475</v>
      </c>
      <c r="G495" s="206">
        <v>126.58</v>
      </c>
      <c r="H495" s="206" t="s">
        <v>40</v>
      </c>
      <c r="I495" s="118">
        <v>3.4</v>
      </c>
      <c r="J495" s="119">
        <f t="shared" si="114"/>
        <v>2090.4900000000002</v>
      </c>
      <c r="K495" s="120">
        <f>R495-E495</f>
        <v>36</v>
      </c>
      <c r="L495" s="116">
        <v>10</v>
      </c>
      <c r="M495" s="116">
        <v>5</v>
      </c>
      <c r="N495" s="122">
        <f>+I495*G495</f>
        <v>430.37199999999996</v>
      </c>
      <c r="O495" s="122">
        <f>+N495/L495</f>
        <v>43.037199999999999</v>
      </c>
      <c r="P495" s="122">
        <f>(N495/L495)*M495</f>
        <v>215.18599999999998</v>
      </c>
      <c r="Q495" s="116" t="s">
        <v>41</v>
      </c>
      <c r="R495" s="116">
        <v>2021</v>
      </c>
      <c r="S495" s="124" t="s">
        <v>52</v>
      </c>
      <c r="U495" s="180"/>
      <c r="V495" s="155"/>
      <c r="W495" s="156"/>
      <c r="X495" s="156"/>
      <c r="Y495" s="156"/>
      <c r="Z495" s="156"/>
      <c r="AA495" s="156"/>
      <c r="AB495" s="156"/>
      <c r="AC495" s="157"/>
      <c r="AD495" s="184"/>
    </row>
    <row r="496" spans="2:30" ht="30" customHeight="1" outlineLevel="2" thickBot="1" x14ac:dyDescent="0.3">
      <c r="C496" s="159" t="str">
        <f>C493</f>
        <v>I -2</v>
      </c>
      <c r="D496" s="160" t="s">
        <v>48</v>
      </c>
      <c r="E496" s="161">
        <v>1985</v>
      </c>
      <c r="F496" s="161" t="s">
        <v>475</v>
      </c>
      <c r="G496" s="162">
        <v>398</v>
      </c>
      <c r="H496" s="218" t="s">
        <v>40</v>
      </c>
      <c r="I496" s="261">
        <f>+J496/$S$2</f>
        <v>164.26250869911021</v>
      </c>
      <c r="J496" s="97">
        <f t="shared" ref="J496" si="116">+((95000^(0.364-(0.00000133*G496)))/(G496^(0.364-(0.00000133*95000))))*6500</f>
        <v>100996.80347364792</v>
      </c>
      <c r="K496" s="163" t="s">
        <v>41</v>
      </c>
      <c r="L496" s="163" t="s">
        <v>41</v>
      </c>
      <c r="M496" s="163" t="s">
        <v>41</v>
      </c>
      <c r="N496" s="163" t="s">
        <v>41</v>
      </c>
      <c r="O496" s="163" t="s">
        <v>41</v>
      </c>
      <c r="P496" s="163" t="s">
        <v>41</v>
      </c>
      <c r="Q496" s="171">
        <f>I496*G496</f>
        <v>65376.478462245868</v>
      </c>
      <c r="R496" s="161">
        <v>2021</v>
      </c>
      <c r="S496" s="165" t="s">
        <v>52</v>
      </c>
      <c r="U496" s="181"/>
      <c r="V496" s="167"/>
      <c r="W496" s="168"/>
      <c r="X496" s="168"/>
      <c r="Y496" s="168"/>
      <c r="Z496" s="168"/>
      <c r="AA496" s="168"/>
      <c r="AB496" s="168"/>
      <c r="AC496" s="169"/>
      <c r="AD496" s="188"/>
    </row>
    <row r="497" spans="3:30" ht="30" customHeight="1" outlineLevel="1" x14ac:dyDescent="0.25">
      <c r="C497" s="103" t="s">
        <v>484</v>
      </c>
      <c r="D497" s="104" t="s">
        <v>485</v>
      </c>
      <c r="E497" s="105">
        <v>2009</v>
      </c>
      <c r="F497" s="105" t="s">
        <v>475</v>
      </c>
      <c r="G497" s="203">
        <f>G500+659.81</f>
        <v>1322.09</v>
      </c>
      <c r="H497" s="203" t="s">
        <v>40</v>
      </c>
      <c r="I497" s="107">
        <v>1400</v>
      </c>
      <c r="J497" s="108">
        <f t="shared" si="114"/>
        <v>860790</v>
      </c>
      <c r="K497" s="109">
        <f>R497-E497</f>
        <v>12</v>
      </c>
      <c r="L497" s="105">
        <v>50</v>
      </c>
      <c r="M497" s="105">
        <v>39</v>
      </c>
      <c r="N497" s="111">
        <f>+I497*G497</f>
        <v>1850926</v>
      </c>
      <c r="O497" s="111">
        <f>+N497/L497</f>
        <v>37018.519999999997</v>
      </c>
      <c r="P497" s="111">
        <f>(N497/L497)*M497</f>
        <v>1443722.2799999998</v>
      </c>
      <c r="Q497" s="105" t="s">
        <v>41</v>
      </c>
      <c r="R497" s="105">
        <v>2021</v>
      </c>
      <c r="S497" s="113" t="s">
        <v>52</v>
      </c>
      <c r="U497" s="176" t="s">
        <v>486</v>
      </c>
      <c r="V497" s="421" t="s">
        <v>487</v>
      </c>
      <c r="W497" s="178">
        <v>421006451.89999998</v>
      </c>
      <c r="X497" s="178">
        <v>0</v>
      </c>
      <c r="Y497" s="178">
        <v>103543957.01000001</v>
      </c>
      <c r="Z497" s="178">
        <v>87008000.069999993</v>
      </c>
      <c r="AA497" s="178">
        <v>9086019.6199999992</v>
      </c>
      <c r="AB497" s="178">
        <v>428456389.21999997</v>
      </c>
      <c r="AC497" s="177" t="s">
        <v>488</v>
      </c>
      <c r="AD497" s="205">
        <v>900323</v>
      </c>
    </row>
    <row r="498" spans="3:30" ht="30" customHeight="1" outlineLevel="2" x14ac:dyDescent="0.25">
      <c r="C498" s="114" t="str">
        <f>C497</f>
        <v>I -3</v>
      </c>
      <c r="D498" s="115" t="s">
        <v>44</v>
      </c>
      <c r="E498" s="116">
        <v>2009</v>
      </c>
      <c r="F498" s="116" t="s">
        <v>475</v>
      </c>
      <c r="G498" s="206">
        <v>147.09</v>
      </c>
      <c r="H498" s="206" t="s">
        <v>40</v>
      </c>
      <c r="I498" s="118">
        <v>30.54</v>
      </c>
      <c r="J498" s="119">
        <f t="shared" si="114"/>
        <v>18777.519</v>
      </c>
      <c r="K498" s="120">
        <f>R498-E498</f>
        <v>12</v>
      </c>
      <c r="L498" s="116">
        <v>15</v>
      </c>
      <c r="M498" s="116">
        <v>9</v>
      </c>
      <c r="N498" s="122">
        <f>+I498*G498</f>
        <v>4492.1286</v>
      </c>
      <c r="O498" s="122">
        <f>+N498/L498</f>
        <v>299.47523999999999</v>
      </c>
      <c r="P498" s="122">
        <f>(N498/L498)*M498</f>
        <v>2695.2771599999996</v>
      </c>
      <c r="Q498" s="116" t="s">
        <v>41</v>
      </c>
      <c r="R498" s="116">
        <v>2021</v>
      </c>
      <c r="S498" s="124" t="s">
        <v>52</v>
      </c>
      <c r="U498" s="330"/>
      <c r="V498" s="423"/>
      <c r="W498" s="332"/>
      <c r="X498" s="332"/>
      <c r="Y498" s="332"/>
      <c r="Z498" s="332"/>
      <c r="AA498" s="332"/>
      <c r="AB498" s="332"/>
      <c r="AC498" s="331"/>
      <c r="AD498" s="333"/>
    </row>
    <row r="499" spans="3:30" ht="30" customHeight="1" outlineLevel="2" x14ac:dyDescent="0.25">
      <c r="C499" s="114" t="str">
        <f>C497</f>
        <v>I -3</v>
      </c>
      <c r="D499" s="115" t="s">
        <v>46</v>
      </c>
      <c r="E499" s="116">
        <v>2009</v>
      </c>
      <c r="F499" s="116" t="s">
        <v>475</v>
      </c>
      <c r="G499" s="206">
        <v>301.32</v>
      </c>
      <c r="H499" s="206" t="s">
        <v>40</v>
      </c>
      <c r="I499" s="118">
        <v>3.4</v>
      </c>
      <c r="J499" s="119">
        <f t="shared" si="114"/>
        <v>2090.4900000000002</v>
      </c>
      <c r="K499" s="120">
        <f>R499-E499</f>
        <v>12</v>
      </c>
      <c r="L499" s="116">
        <v>10</v>
      </c>
      <c r="M499" s="116">
        <v>6</v>
      </c>
      <c r="N499" s="122">
        <f>+I499*G499</f>
        <v>1024.4880000000001</v>
      </c>
      <c r="O499" s="122">
        <f>+N499/L499</f>
        <v>102.44880000000001</v>
      </c>
      <c r="P499" s="122">
        <f>(N499/L499)*M499</f>
        <v>614.69280000000003</v>
      </c>
      <c r="Q499" s="116" t="s">
        <v>41</v>
      </c>
      <c r="R499" s="116">
        <v>2021</v>
      </c>
      <c r="S499" s="124" t="s">
        <v>52</v>
      </c>
      <c r="U499" s="226" t="s">
        <v>486</v>
      </c>
      <c r="V499" s="150">
        <v>39948</v>
      </c>
      <c r="W499" s="151">
        <v>55894390</v>
      </c>
      <c r="X499" s="151">
        <v>0</v>
      </c>
      <c r="Y499" s="151">
        <v>26950278.699999999</v>
      </c>
      <c r="Z499" s="151">
        <v>11924136.689999999</v>
      </c>
      <c r="AA499" s="151">
        <v>5347860.58</v>
      </c>
      <c r="AB499" s="151">
        <v>65572671.430000007</v>
      </c>
      <c r="AC499" s="152" t="s">
        <v>489</v>
      </c>
      <c r="AD499" s="227">
        <v>900331</v>
      </c>
    </row>
    <row r="500" spans="3:30" ht="30" customHeight="1" outlineLevel="2" thickBot="1" x14ac:dyDescent="0.3">
      <c r="C500" s="159" t="str">
        <f>C497</f>
        <v>I -3</v>
      </c>
      <c r="D500" s="160" t="s">
        <v>48</v>
      </c>
      <c r="E500" s="161">
        <v>2009</v>
      </c>
      <c r="F500" s="161" t="s">
        <v>475</v>
      </c>
      <c r="G500" s="162">
        <v>662.28</v>
      </c>
      <c r="H500" s="218" t="s">
        <v>40</v>
      </c>
      <c r="I500" s="261">
        <f>+J500/$S$2</f>
        <v>144.95409392175961</v>
      </c>
      <c r="J500" s="97">
        <f t="shared" ref="J500" si="117">+((95000^(0.364-(0.00000133*G500)))/(G500^(0.364-(0.00000133*95000))))*6500</f>
        <v>89125.024647793893</v>
      </c>
      <c r="K500" s="163" t="s">
        <v>41</v>
      </c>
      <c r="L500" s="163" t="s">
        <v>41</v>
      </c>
      <c r="M500" s="163" t="s">
        <v>41</v>
      </c>
      <c r="N500" s="163" t="s">
        <v>41</v>
      </c>
      <c r="O500" s="163" t="s">
        <v>41</v>
      </c>
      <c r="P500" s="163" t="s">
        <v>41</v>
      </c>
      <c r="Q500" s="171">
        <f>I500*G500</f>
        <v>96000.197322502951</v>
      </c>
      <c r="R500" s="161">
        <v>2021</v>
      </c>
      <c r="S500" s="165" t="s">
        <v>52</v>
      </c>
      <c r="U500" s="181"/>
      <c r="V500" s="167"/>
      <c r="W500" s="168"/>
      <c r="X500" s="168"/>
      <c r="Y500" s="168"/>
      <c r="Z500" s="168"/>
      <c r="AA500" s="168"/>
      <c r="AB500" s="168"/>
      <c r="AC500" s="169"/>
      <c r="AD500" s="188"/>
    </row>
    <row r="501" spans="3:30" ht="38.25" outlineLevel="1" x14ac:dyDescent="0.25">
      <c r="C501" s="103" t="s">
        <v>490</v>
      </c>
      <c r="D501" s="104" t="s">
        <v>491</v>
      </c>
      <c r="E501" s="105">
        <v>2011</v>
      </c>
      <c r="F501" s="105" t="s">
        <v>475</v>
      </c>
      <c r="G501" s="203">
        <f>G504</f>
        <v>348.61</v>
      </c>
      <c r="H501" s="203" t="s">
        <v>40</v>
      </c>
      <c r="I501" s="107">
        <v>1200</v>
      </c>
      <c r="J501" s="108">
        <f>I501*$S$2</f>
        <v>737820</v>
      </c>
      <c r="K501" s="109">
        <f>R501-E501</f>
        <v>10</v>
      </c>
      <c r="L501" s="105">
        <v>50</v>
      </c>
      <c r="M501" s="105">
        <v>41</v>
      </c>
      <c r="N501" s="111">
        <f>+I501*G501</f>
        <v>418332</v>
      </c>
      <c r="O501" s="111">
        <f>+N501/L501</f>
        <v>8366.64</v>
      </c>
      <c r="P501" s="111">
        <f>(N501/L501)*M501</f>
        <v>343032.24</v>
      </c>
      <c r="Q501" s="105" t="s">
        <v>41</v>
      </c>
      <c r="R501" s="105">
        <v>2021</v>
      </c>
      <c r="S501" s="113" t="s">
        <v>52</v>
      </c>
      <c r="U501" s="299" t="s">
        <v>492</v>
      </c>
      <c r="V501" s="229" t="s">
        <v>493</v>
      </c>
      <c r="W501" s="230"/>
      <c r="X501" s="230"/>
      <c r="Y501" s="230"/>
      <c r="Z501" s="230"/>
      <c r="AA501" s="230"/>
      <c r="AB501" s="230"/>
      <c r="AC501" s="230"/>
      <c r="AD501" s="300"/>
    </row>
    <row r="502" spans="3:30" ht="30" customHeight="1" outlineLevel="2" x14ac:dyDescent="0.25">
      <c r="C502" s="114" t="str">
        <f>C501</f>
        <v>I -4</v>
      </c>
      <c r="D502" s="115" t="s">
        <v>44</v>
      </c>
      <c r="E502" s="116">
        <v>2011</v>
      </c>
      <c r="F502" s="116" t="s">
        <v>475</v>
      </c>
      <c r="G502" s="206">
        <v>96.2</v>
      </c>
      <c r="H502" s="206" t="s">
        <v>40</v>
      </c>
      <c r="I502" s="118">
        <v>30.54</v>
      </c>
      <c r="J502" s="119">
        <f t="shared" si="114"/>
        <v>18777.519</v>
      </c>
      <c r="K502" s="120">
        <f>R502-E502</f>
        <v>10</v>
      </c>
      <c r="L502" s="116">
        <v>15</v>
      </c>
      <c r="M502" s="116">
        <v>10</v>
      </c>
      <c r="N502" s="122">
        <f>+I502*G502</f>
        <v>2937.9479999999999</v>
      </c>
      <c r="O502" s="122">
        <f>+N502/L502</f>
        <v>195.86319999999998</v>
      </c>
      <c r="P502" s="122">
        <f>(N502/L502)*M502</f>
        <v>1958.6319999999998</v>
      </c>
      <c r="Q502" s="116" t="s">
        <v>41</v>
      </c>
      <c r="R502" s="116">
        <v>2021</v>
      </c>
      <c r="S502" s="124" t="s">
        <v>52</v>
      </c>
      <c r="U502" s="301"/>
      <c r="V502" s="233"/>
      <c r="W502" s="234"/>
      <c r="X502" s="234"/>
      <c r="Y502" s="234"/>
      <c r="Z502" s="234"/>
      <c r="AA502" s="234"/>
      <c r="AB502" s="234"/>
      <c r="AC502" s="234"/>
      <c r="AD502" s="302"/>
    </row>
    <row r="503" spans="3:30" ht="30" customHeight="1" outlineLevel="2" x14ac:dyDescent="0.25">
      <c r="C503" s="114" t="str">
        <f>C501</f>
        <v>I -4</v>
      </c>
      <c r="D503" s="115" t="s">
        <v>46</v>
      </c>
      <c r="E503" s="116">
        <v>2011</v>
      </c>
      <c r="F503" s="116" t="s">
        <v>475</v>
      </c>
      <c r="G503" s="206">
        <v>198.49</v>
      </c>
      <c r="H503" s="206" t="s">
        <v>40</v>
      </c>
      <c r="I503" s="118">
        <v>3.4</v>
      </c>
      <c r="J503" s="119">
        <f t="shared" si="114"/>
        <v>2090.4900000000002</v>
      </c>
      <c r="K503" s="120">
        <f>R503-E503</f>
        <v>10</v>
      </c>
      <c r="L503" s="116">
        <v>10</v>
      </c>
      <c r="M503" s="116">
        <v>6</v>
      </c>
      <c r="N503" s="122">
        <f>+I503*G503</f>
        <v>674.86599999999999</v>
      </c>
      <c r="O503" s="122">
        <f>+N503/L503</f>
        <v>67.486599999999996</v>
      </c>
      <c r="P503" s="122">
        <f>(N503/L503)*M503</f>
        <v>404.91959999999995</v>
      </c>
      <c r="Q503" s="116" t="s">
        <v>41</v>
      </c>
      <c r="R503" s="116">
        <v>2021</v>
      </c>
      <c r="S503" s="124" t="s">
        <v>52</v>
      </c>
      <c r="U503" s="301"/>
      <c r="V503" s="233"/>
      <c r="W503" s="234"/>
      <c r="X503" s="234"/>
      <c r="Y503" s="234"/>
      <c r="Z503" s="234"/>
      <c r="AA503" s="234"/>
      <c r="AB503" s="234"/>
      <c r="AC503" s="234"/>
      <c r="AD503" s="302"/>
    </row>
    <row r="504" spans="3:30" ht="30" customHeight="1" outlineLevel="2" thickBot="1" x14ac:dyDescent="0.3">
      <c r="C504" s="159" t="str">
        <f>C501</f>
        <v>I -4</v>
      </c>
      <c r="D504" s="160" t="s">
        <v>48</v>
      </c>
      <c r="E504" s="161">
        <v>2011</v>
      </c>
      <c r="F504" s="161" t="s">
        <v>475</v>
      </c>
      <c r="G504" s="162">
        <v>348.61</v>
      </c>
      <c r="H504" s="218" t="s">
        <v>40</v>
      </c>
      <c r="I504" s="261">
        <f>+J504/$S$2</f>
        <v>169.64481106638991</v>
      </c>
      <c r="J504" s="97">
        <f t="shared" ref="J504" si="118">+((95000^(0.364-(0.00000133*G504)))/(G504^(0.364-(0.00000133*95000))))*6500</f>
        <v>104306.11208416984</v>
      </c>
      <c r="K504" s="163" t="s">
        <v>41</v>
      </c>
      <c r="L504" s="163" t="s">
        <v>41</v>
      </c>
      <c r="M504" s="163" t="s">
        <v>41</v>
      </c>
      <c r="N504" s="163" t="s">
        <v>41</v>
      </c>
      <c r="O504" s="163" t="s">
        <v>41</v>
      </c>
      <c r="P504" s="163" t="s">
        <v>41</v>
      </c>
      <c r="Q504" s="171">
        <f>I504*G504</f>
        <v>59139.877585854185</v>
      </c>
      <c r="R504" s="161">
        <v>2021</v>
      </c>
      <c r="S504" s="165" t="s">
        <v>52</v>
      </c>
      <c r="U504" s="305"/>
      <c r="V504" s="239"/>
      <c r="W504" s="240"/>
      <c r="X504" s="240"/>
      <c r="Y504" s="240"/>
      <c r="Z504" s="240"/>
      <c r="AA504" s="240"/>
      <c r="AB504" s="240"/>
      <c r="AC504" s="240"/>
      <c r="AD504" s="306"/>
    </row>
    <row r="505" spans="3:30" ht="30" customHeight="1" outlineLevel="1" x14ac:dyDescent="0.25">
      <c r="C505" s="103" t="s">
        <v>494</v>
      </c>
      <c r="D505" s="104" t="s">
        <v>495</v>
      </c>
      <c r="E505" s="105">
        <v>2014</v>
      </c>
      <c r="F505" s="105" t="s">
        <v>475</v>
      </c>
      <c r="G505" s="203">
        <f>G508</f>
        <v>436.81</v>
      </c>
      <c r="H505" s="203" t="s">
        <v>40</v>
      </c>
      <c r="I505" s="107">
        <v>725</v>
      </c>
      <c r="J505" s="108">
        <f t="shared" si="114"/>
        <v>445766.25</v>
      </c>
      <c r="K505" s="109">
        <f>R505-E505</f>
        <v>7</v>
      </c>
      <c r="L505" s="105">
        <v>50</v>
      </c>
      <c r="M505" s="105">
        <v>44</v>
      </c>
      <c r="N505" s="111">
        <f>+I505*G505</f>
        <v>316687.25</v>
      </c>
      <c r="O505" s="111">
        <f>+N505/L505</f>
        <v>6333.7449999999999</v>
      </c>
      <c r="P505" s="111">
        <f>(N505/L505)*M505</f>
        <v>278684.77999999997</v>
      </c>
      <c r="Q505" s="105" t="s">
        <v>41</v>
      </c>
      <c r="R505" s="105">
        <v>2021</v>
      </c>
      <c r="S505" s="113" t="s">
        <v>52</v>
      </c>
      <c r="T505" s="219" t="s">
        <v>148</v>
      </c>
      <c r="U505" s="176" t="s">
        <v>494</v>
      </c>
      <c r="V505" s="421" t="s">
        <v>496</v>
      </c>
      <c r="W505" s="178">
        <v>169789473.68000001</v>
      </c>
      <c r="X505" s="178">
        <v>0</v>
      </c>
      <c r="Y505" s="178">
        <v>0</v>
      </c>
      <c r="Z505" s="178">
        <v>11885263.289999999</v>
      </c>
      <c r="AA505" s="178">
        <v>0</v>
      </c>
      <c r="AB505" s="178">
        <v>157904210.39000002</v>
      </c>
      <c r="AC505" s="177" t="s">
        <v>497</v>
      </c>
      <c r="AD505" s="205">
        <v>900368</v>
      </c>
    </row>
    <row r="506" spans="3:30" ht="30" customHeight="1" outlineLevel="2" x14ac:dyDescent="0.25">
      <c r="C506" s="114" t="str">
        <f>C505</f>
        <v>I-6</v>
      </c>
      <c r="D506" s="115" t="s">
        <v>44</v>
      </c>
      <c r="E506" s="116">
        <v>2014</v>
      </c>
      <c r="F506" s="116" t="s">
        <v>475</v>
      </c>
      <c r="G506" s="206">
        <v>100.4</v>
      </c>
      <c r="H506" s="206" t="s">
        <v>40</v>
      </c>
      <c r="I506" s="118">
        <v>30.54</v>
      </c>
      <c r="J506" s="119">
        <f t="shared" si="114"/>
        <v>18777.519</v>
      </c>
      <c r="K506" s="120">
        <f>R506-E506</f>
        <v>7</v>
      </c>
      <c r="L506" s="116">
        <v>15</v>
      </c>
      <c r="M506" s="116">
        <v>11</v>
      </c>
      <c r="N506" s="122">
        <f>+I506*G506</f>
        <v>3066.2159999999999</v>
      </c>
      <c r="O506" s="122">
        <f>+N506/L506</f>
        <v>204.4144</v>
      </c>
      <c r="P506" s="122">
        <f>(N506/L506)*M506</f>
        <v>2248.5583999999999</v>
      </c>
      <c r="Q506" s="116" t="s">
        <v>41</v>
      </c>
      <c r="R506" s="116">
        <v>2021</v>
      </c>
      <c r="S506" s="124" t="s">
        <v>52</v>
      </c>
      <c r="T506" s="219" t="s">
        <v>148</v>
      </c>
      <c r="U506" s="180"/>
      <c r="V506" s="422"/>
      <c r="W506" s="156"/>
      <c r="X506" s="156"/>
      <c r="Y506" s="156"/>
      <c r="Z506" s="156"/>
      <c r="AA506" s="156"/>
      <c r="AB506" s="156"/>
      <c r="AC506" s="157"/>
      <c r="AD506" s="184"/>
    </row>
    <row r="507" spans="3:30" ht="30" customHeight="1" outlineLevel="2" x14ac:dyDescent="0.25">
      <c r="C507" s="114" t="str">
        <f>C505</f>
        <v>I-6</v>
      </c>
      <c r="D507" s="115" t="s">
        <v>46</v>
      </c>
      <c r="E507" s="116">
        <v>2014</v>
      </c>
      <c r="F507" s="116" t="s">
        <v>475</v>
      </c>
      <c r="G507" s="206">
        <v>208.8</v>
      </c>
      <c r="H507" s="206" t="s">
        <v>40</v>
      </c>
      <c r="I507" s="118">
        <v>3.4</v>
      </c>
      <c r="J507" s="119">
        <f t="shared" si="114"/>
        <v>2090.4900000000002</v>
      </c>
      <c r="K507" s="120">
        <f>R507-E507</f>
        <v>7</v>
      </c>
      <c r="L507" s="116">
        <v>10</v>
      </c>
      <c r="M507" s="116">
        <v>7</v>
      </c>
      <c r="N507" s="122">
        <f>+I507*G507</f>
        <v>709.92000000000007</v>
      </c>
      <c r="O507" s="122">
        <f>+N507/L507</f>
        <v>70.992000000000004</v>
      </c>
      <c r="P507" s="122">
        <f>(N507/L507)*M507</f>
        <v>496.94400000000002</v>
      </c>
      <c r="Q507" s="116" t="s">
        <v>41</v>
      </c>
      <c r="R507" s="116">
        <v>2021</v>
      </c>
      <c r="S507" s="124" t="s">
        <v>52</v>
      </c>
      <c r="T507" s="219" t="s">
        <v>148</v>
      </c>
      <c r="U507" s="180"/>
      <c r="V507" s="422"/>
      <c r="W507" s="156"/>
      <c r="X507" s="156"/>
      <c r="Y507" s="156"/>
      <c r="Z507" s="156"/>
      <c r="AA507" s="156"/>
      <c r="AB507" s="156"/>
      <c r="AC507" s="157"/>
      <c r="AD507" s="184"/>
    </row>
    <row r="508" spans="3:30" ht="30" customHeight="1" outlineLevel="2" thickBot="1" x14ac:dyDescent="0.3">
      <c r="C508" s="92" t="str">
        <f>C505</f>
        <v>I-6</v>
      </c>
      <c r="D508" s="236" t="s">
        <v>48</v>
      </c>
      <c r="E508" s="94">
        <v>2014</v>
      </c>
      <c r="F508" s="94" t="s">
        <v>475</v>
      </c>
      <c r="G508" s="95">
        <v>436.81</v>
      </c>
      <c r="H508" s="224" t="s">
        <v>40</v>
      </c>
      <c r="I508" s="261">
        <f>+J508/$S$2</f>
        <v>160.57509844459508</v>
      </c>
      <c r="J508" s="97">
        <f t="shared" ref="J508" si="119">+((95000^(0.364-(0.00000133*G508)))/(G508^(0.364-(0.00000133*95000))))*6500</f>
        <v>98729.599278659298</v>
      </c>
      <c r="K508" s="98" t="s">
        <v>41</v>
      </c>
      <c r="L508" s="98" t="s">
        <v>41</v>
      </c>
      <c r="M508" s="163" t="s">
        <v>41</v>
      </c>
      <c r="N508" s="163" t="s">
        <v>41</v>
      </c>
      <c r="O508" s="163" t="s">
        <v>41</v>
      </c>
      <c r="P508" s="163" t="s">
        <v>41</v>
      </c>
      <c r="Q508" s="171">
        <f>I508*G508</f>
        <v>70140.80875158358</v>
      </c>
      <c r="R508" s="94">
        <v>2021</v>
      </c>
      <c r="S508" s="102" t="s">
        <v>52</v>
      </c>
      <c r="T508" s="219" t="s">
        <v>148</v>
      </c>
      <c r="U508" s="181"/>
      <c r="V508" s="420"/>
      <c r="W508" s="168"/>
      <c r="X508" s="168"/>
      <c r="Y508" s="168"/>
      <c r="Z508" s="168"/>
      <c r="AA508" s="168"/>
      <c r="AB508" s="168"/>
      <c r="AC508" s="169"/>
      <c r="AD508" s="188"/>
    </row>
    <row r="509" spans="3:30" ht="30" customHeight="1" outlineLevel="1" x14ac:dyDescent="0.25">
      <c r="C509" s="103" t="s">
        <v>498</v>
      </c>
      <c r="D509" s="104" t="s">
        <v>499</v>
      </c>
      <c r="E509" s="105">
        <v>2017</v>
      </c>
      <c r="F509" s="105" t="s">
        <v>475</v>
      </c>
      <c r="G509" s="203">
        <f>G512</f>
        <v>511.11</v>
      </c>
      <c r="H509" s="203" t="s">
        <v>40</v>
      </c>
      <c r="I509" s="107">
        <v>1350</v>
      </c>
      <c r="J509" s="108">
        <f t="shared" si="114"/>
        <v>830047.5</v>
      </c>
      <c r="K509" s="109">
        <f>R509-E509</f>
        <v>4</v>
      </c>
      <c r="L509" s="109">
        <v>50</v>
      </c>
      <c r="M509" s="105">
        <v>47</v>
      </c>
      <c r="N509" s="111">
        <f t="shared" ref="N509:N511" si="120">+I509*G509</f>
        <v>689998.5</v>
      </c>
      <c r="O509" s="111">
        <f t="shared" ref="O509:O511" si="121">+N509/L509</f>
        <v>13799.97</v>
      </c>
      <c r="P509" s="111">
        <f t="shared" ref="P509:P511" si="122">(N509/L509)*M509</f>
        <v>648598.59</v>
      </c>
      <c r="Q509" s="105" t="s">
        <v>41</v>
      </c>
      <c r="R509" s="105">
        <v>2021</v>
      </c>
      <c r="S509" s="113" t="s">
        <v>500</v>
      </c>
      <c r="U509" s="176" t="s">
        <v>498</v>
      </c>
      <c r="V509" s="189" t="s">
        <v>501</v>
      </c>
      <c r="W509" s="178">
        <v>385586552.42000002</v>
      </c>
      <c r="X509" s="178">
        <v>0</v>
      </c>
      <c r="Y509" s="178">
        <v>41160647</v>
      </c>
      <c r="Z509" s="178">
        <v>13495529.25</v>
      </c>
      <c r="AA509" s="178">
        <v>1092496.3500000001</v>
      </c>
      <c r="AB509" s="178">
        <v>412159173.81999999</v>
      </c>
      <c r="AC509" s="177" t="s">
        <v>502</v>
      </c>
      <c r="AD509" s="205">
        <v>900389</v>
      </c>
    </row>
    <row r="510" spans="3:30" ht="30" customHeight="1" outlineLevel="2" x14ac:dyDescent="0.25">
      <c r="C510" s="114" t="str">
        <f>C509</f>
        <v>I-7</v>
      </c>
      <c r="D510" s="336" t="s">
        <v>44</v>
      </c>
      <c r="E510" s="116">
        <v>2017</v>
      </c>
      <c r="F510" s="116" t="s">
        <v>475</v>
      </c>
      <c r="G510" s="206">
        <v>116.8</v>
      </c>
      <c r="H510" s="206" t="s">
        <v>40</v>
      </c>
      <c r="I510" s="118">
        <v>30.54</v>
      </c>
      <c r="J510" s="119">
        <f t="shared" si="114"/>
        <v>18777.519</v>
      </c>
      <c r="K510" s="120">
        <f>R510-E510</f>
        <v>4</v>
      </c>
      <c r="L510" s="120">
        <v>15</v>
      </c>
      <c r="M510" s="116">
        <v>12</v>
      </c>
      <c r="N510" s="122">
        <f t="shared" si="120"/>
        <v>3567.0719999999997</v>
      </c>
      <c r="O510" s="122">
        <f t="shared" si="121"/>
        <v>237.80479999999997</v>
      </c>
      <c r="P510" s="122">
        <f t="shared" si="122"/>
        <v>2853.6575999999995</v>
      </c>
      <c r="Q510" s="116" t="s">
        <v>41</v>
      </c>
      <c r="R510" s="116">
        <v>2021</v>
      </c>
      <c r="S510" s="124" t="s">
        <v>500</v>
      </c>
      <c r="U510" s="180"/>
      <c r="V510" s="155"/>
      <c r="W510" s="156"/>
      <c r="X510" s="156"/>
      <c r="Y510" s="156"/>
      <c r="Z510" s="156"/>
      <c r="AA510" s="156"/>
      <c r="AB510" s="156"/>
      <c r="AC510" s="157"/>
      <c r="AD510" s="184"/>
    </row>
    <row r="511" spans="3:30" ht="30" customHeight="1" outlineLevel="2" x14ac:dyDescent="0.25">
      <c r="C511" s="114" t="str">
        <f>C509</f>
        <v>I-7</v>
      </c>
      <c r="D511" s="336" t="s">
        <v>46</v>
      </c>
      <c r="E511" s="116">
        <v>2017</v>
      </c>
      <c r="F511" s="116" t="s">
        <v>475</v>
      </c>
      <c r="G511" s="206">
        <v>241.29</v>
      </c>
      <c r="H511" s="206" t="s">
        <v>40</v>
      </c>
      <c r="I511" s="118">
        <v>3.4</v>
      </c>
      <c r="J511" s="119">
        <f t="shared" si="114"/>
        <v>2090.4900000000002</v>
      </c>
      <c r="K511" s="120">
        <f>R511-E511</f>
        <v>4</v>
      </c>
      <c r="L511" s="120">
        <v>10</v>
      </c>
      <c r="M511" s="116">
        <v>10</v>
      </c>
      <c r="N511" s="122">
        <f t="shared" si="120"/>
        <v>820.38599999999997</v>
      </c>
      <c r="O511" s="122">
        <f t="shared" si="121"/>
        <v>82.038600000000002</v>
      </c>
      <c r="P511" s="122">
        <f t="shared" si="122"/>
        <v>820.38599999999997</v>
      </c>
      <c r="Q511" s="116" t="s">
        <v>41</v>
      </c>
      <c r="R511" s="116">
        <v>2021</v>
      </c>
      <c r="S511" s="124" t="s">
        <v>500</v>
      </c>
      <c r="U511" s="180"/>
      <c r="V511" s="155"/>
      <c r="W511" s="156"/>
      <c r="X511" s="156"/>
      <c r="Y511" s="156"/>
      <c r="Z511" s="156"/>
      <c r="AA511" s="156"/>
      <c r="AB511" s="156"/>
      <c r="AC511" s="157"/>
      <c r="AD511" s="184"/>
    </row>
    <row r="512" spans="3:30" ht="30" customHeight="1" outlineLevel="2" thickBot="1" x14ac:dyDescent="0.3">
      <c r="C512" s="159" t="str">
        <f>C509</f>
        <v>I-7</v>
      </c>
      <c r="D512" s="338" t="s">
        <v>48</v>
      </c>
      <c r="E512" s="161">
        <v>2017</v>
      </c>
      <c r="F512" s="161" t="s">
        <v>475</v>
      </c>
      <c r="G512" s="162">
        <v>511.11</v>
      </c>
      <c r="H512" s="218" t="s">
        <v>40</v>
      </c>
      <c r="I512" s="261">
        <f>+J512/$S$2</f>
        <v>154.51597658485352</v>
      </c>
      <c r="J512" s="97">
        <f t="shared" ref="J512" si="123">+((95000^(0.364-(0.00000133*G512)))/(G512^(0.364-(0.00000133*95000))))*6500</f>
        <v>95004.148203197183</v>
      </c>
      <c r="K512" s="163" t="s">
        <v>41</v>
      </c>
      <c r="L512" s="163" t="s">
        <v>41</v>
      </c>
      <c r="M512" s="163" t="s">
        <v>41</v>
      </c>
      <c r="N512" s="163" t="s">
        <v>41</v>
      </c>
      <c r="O512" s="163" t="s">
        <v>41</v>
      </c>
      <c r="P512" s="163" t="s">
        <v>41</v>
      </c>
      <c r="Q512" s="171">
        <f>I512*G512</f>
        <v>78974.660792284485</v>
      </c>
      <c r="R512" s="161">
        <v>2021</v>
      </c>
      <c r="S512" s="165" t="s">
        <v>500</v>
      </c>
      <c r="U512" s="181"/>
      <c r="V512" s="167"/>
      <c r="W512" s="168"/>
      <c r="X512" s="168"/>
      <c r="Y512" s="168"/>
      <c r="Z512" s="168"/>
      <c r="AA512" s="168"/>
      <c r="AB512" s="168"/>
      <c r="AC512" s="169"/>
      <c r="AD512" s="188"/>
    </row>
    <row r="513" spans="2:30" ht="38.25" outlineLevel="1" x14ac:dyDescent="0.25">
      <c r="C513" s="252" t="s">
        <v>503</v>
      </c>
      <c r="D513" s="253" t="s">
        <v>504</v>
      </c>
      <c r="E513" s="254">
        <v>2018</v>
      </c>
      <c r="F513" s="254" t="s">
        <v>475</v>
      </c>
      <c r="G513" s="255">
        <f>G516</f>
        <v>72.290000000000006</v>
      </c>
      <c r="H513" s="255" t="s">
        <v>40</v>
      </c>
      <c r="I513" s="256">
        <v>1550.53</v>
      </c>
      <c r="J513" s="257">
        <f t="shared" si="114"/>
        <v>953343.37049999996</v>
      </c>
      <c r="K513" s="258">
        <f>R513-E513</f>
        <v>3</v>
      </c>
      <c r="L513" s="254">
        <v>50</v>
      </c>
      <c r="M513" s="105">
        <v>48</v>
      </c>
      <c r="N513" s="111">
        <f>+I513*G513</f>
        <v>112087.81370000001</v>
      </c>
      <c r="O513" s="111">
        <f>+N513/L513</f>
        <v>2241.7562740000003</v>
      </c>
      <c r="P513" s="111">
        <f>(N513/L513)*M513</f>
        <v>107604.30115200001</v>
      </c>
      <c r="Q513" s="105" t="s">
        <v>41</v>
      </c>
      <c r="R513" s="254">
        <v>2021</v>
      </c>
      <c r="S513" s="340" t="s">
        <v>52</v>
      </c>
      <c r="T513" s="219" t="s">
        <v>403</v>
      </c>
      <c r="U513" s="176" t="s">
        <v>503</v>
      </c>
      <c r="V513" s="189">
        <v>43663</v>
      </c>
      <c r="W513" s="178">
        <v>235227687.16</v>
      </c>
      <c r="X513" s="178">
        <v>0</v>
      </c>
      <c r="Y513" s="178">
        <v>0</v>
      </c>
      <c r="Z513" s="178">
        <v>2352276.85</v>
      </c>
      <c r="AA513" s="178">
        <v>0</v>
      </c>
      <c r="AB513" s="178">
        <v>232875410.31</v>
      </c>
      <c r="AC513" s="177" t="s">
        <v>505</v>
      </c>
      <c r="AD513" s="205">
        <v>900419</v>
      </c>
    </row>
    <row r="514" spans="2:30" ht="30" customHeight="1" outlineLevel="2" x14ac:dyDescent="0.25">
      <c r="C514" s="114" t="str">
        <f>C513</f>
        <v>I-8</v>
      </c>
      <c r="D514" s="115" t="s">
        <v>44</v>
      </c>
      <c r="E514" s="116">
        <v>2018</v>
      </c>
      <c r="F514" s="116" t="s">
        <v>475</v>
      </c>
      <c r="G514" s="206">
        <v>45.46</v>
      </c>
      <c r="H514" s="206" t="s">
        <v>40</v>
      </c>
      <c r="I514" s="118">
        <v>30.54</v>
      </c>
      <c r="J514" s="119">
        <f t="shared" si="114"/>
        <v>18777.519</v>
      </c>
      <c r="K514" s="120">
        <f>R514-E514</f>
        <v>3</v>
      </c>
      <c r="L514" s="116">
        <v>15</v>
      </c>
      <c r="M514" s="116">
        <v>15</v>
      </c>
      <c r="N514" s="122">
        <f>+I514*G514</f>
        <v>1388.3484000000001</v>
      </c>
      <c r="O514" s="122">
        <f>+N514/L514</f>
        <v>92.556560000000005</v>
      </c>
      <c r="P514" s="122">
        <f>(N514/L514)*M514</f>
        <v>1388.3484000000001</v>
      </c>
      <c r="Q514" s="116" t="s">
        <v>41</v>
      </c>
      <c r="R514" s="116">
        <v>2021</v>
      </c>
      <c r="S514" s="124" t="s">
        <v>52</v>
      </c>
      <c r="T514" s="219" t="s">
        <v>403</v>
      </c>
      <c r="U514" s="180"/>
      <c r="V514" s="155"/>
      <c r="W514" s="156"/>
      <c r="X514" s="156"/>
      <c r="Y514" s="156"/>
      <c r="Z514" s="156"/>
      <c r="AA514" s="156"/>
      <c r="AB514" s="156"/>
      <c r="AC514" s="157"/>
      <c r="AD514" s="184"/>
    </row>
    <row r="515" spans="2:30" ht="30" customHeight="1" outlineLevel="2" x14ac:dyDescent="0.25">
      <c r="C515" s="114" t="str">
        <f>C513</f>
        <v>I-8</v>
      </c>
      <c r="D515" s="115" t="s">
        <v>46</v>
      </c>
      <c r="E515" s="116">
        <v>2018</v>
      </c>
      <c r="F515" s="116" t="s">
        <v>475</v>
      </c>
      <c r="G515" s="206">
        <v>98.23</v>
      </c>
      <c r="H515" s="206" t="s">
        <v>40</v>
      </c>
      <c r="I515" s="118">
        <v>3.4</v>
      </c>
      <c r="J515" s="119">
        <f t="shared" si="114"/>
        <v>2090.4900000000002</v>
      </c>
      <c r="K515" s="120">
        <f>R515-E515</f>
        <v>3</v>
      </c>
      <c r="L515" s="116">
        <v>10</v>
      </c>
      <c r="M515" s="116">
        <v>10</v>
      </c>
      <c r="N515" s="122">
        <f>+I515*G515</f>
        <v>333.98200000000003</v>
      </c>
      <c r="O515" s="122">
        <f>+N515/L515</f>
        <v>33.398200000000003</v>
      </c>
      <c r="P515" s="122">
        <f>(N515/L515)*M515</f>
        <v>333.98200000000003</v>
      </c>
      <c r="Q515" s="116" t="s">
        <v>41</v>
      </c>
      <c r="R515" s="116">
        <v>2021</v>
      </c>
      <c r="S515" s="124" t="s">
        <v>52</v>
      </c>
      <c r="T515" s="219" t="s">
        <v>403</v>
      </c>
      <c r="U515" s="180"/>
      <c r="V515" s="155"/>
      <c r="W515" s="156"/>
      <c r="X515" s="156"/>
      <c r="Y515" s="156"/>
      <c r="Z515" s="156"/>
      <c r="AA515" s="156"/>
      <c r="AB515" s="156"/>
      <c r="AC515" s="157"/>
      <c r="AD515" s="184"/>
    </row>
    <row r="516" spans="2:30" ht="30" customHeight="1" outlineLevel="2" thickBot="1" x14ac:dyDescent="0.3">
      <c r="C516" s="159" t="str">
        <f>C513</f>
        <v>I-8</v>
      </c>
      <c r="D516" s="160" t="s">
        <v>48</v>
      </c>
      <c r="E516" s="161">
        <v>2018</v>
      </c>
      <c r="F516" s="161" t="s">
        <v>475</v>
      </c>
      <c r="G516" s="162">
        <v>72.290000000000006</v>
      </c>
      <c r="H516" s="218" t="s">
        <v>40</v>
      </c>
      <c r="I516" s="261">
        <f>+J516/$S$2</f>
        <v>247.59795009398925</v>
      </c>
      <c r="J516" s="97">
        <f t="shared" ref="J516" si="124">+((95000^(0.364-(0.00000133*G516)))/(G516^(0.364-(0.00000133*95000))))*6500</f>
        <v>152235.59961528931</v>
      </c>
      <c r="K516" s="163" t="s">
        <v>41</v>
      </c>
      <c r="L516" s="163" t="s">
        <v>41</v>
      </c>
      <c r="M516" s="163" t="s">
        <v>41</v>
      </c>
      <c r="N516" s="163" t="s">
        <v>41</v>
      </c>
      <c r="O516" s="163" t="s">
        <v>41</v>
      </c>
      <c r="P516" s="163" t="s">
        <v>41</v>
      </c>
      <c r="Q516" s="171">
        <f>I516*G516</f>
        <v>17898.855812294485</v>
      </c>
      <c r="R516" s="161">
        <v>2021</v>
      </c>
      <c r="S516" s="165" t="s">
        <v>52</v>
      </c>
      <c r="T516" s="219" t="s">
        <v>403</v>
      </c>
      <c r="U516" s="181"/>
      <c r="V516" s="167"/>
      <c r="W516" s="168"/>
      <c r="X516" s="168"/>
      <c r="Y516" s="168"/>
      <c r="Z516" s="168"/>
      <c r="AA516" s="168"/>
      <c r="AB516" s="168"/>
      <c r="AC516" s="169"/>
      <c r="AD516" s="188"/>
    </row>
    <row r="517" spans="2:30" ht="30" customHeight="1" outlineLevel="1" x14ac:dyDescent="0.25">
      <c r="C517" s="103" t="s">
        <v>506</v>
      </c>
      <c r="D517" s="104" t="s">
        <v>507</v>
      </c>
      <c r="E517" s="105">
        <v>2018</v>
      </c>
      <c r="F517" s="105" t="s">
        <v>475</v>
      </c>
      <c r="G517" s="203">
        <f>G520</f>
        <v>1500</v>
      </c>
      <c r="H517" s="203" t="s">
        <v>40</v>
      </c>
      <c r="I517" s="107">
        <v>38.662559999999999</v>
      </c>
      <c r="J517" s="108">
        <f t="shared" si="114"/>
        <v>23771.675016000001</v>
      </c>
      <c r="K517" s="109">
        <f>R517-E517</f>
        <v>3</v>
      </c>
      <c r="L517" s="105">
        <v>50</v>
      </c>
      <c r="M517" s="105">
        <v>48</v>
      </c>
      <c r="N517" s="111">
        <f>+I517*G517</f>
        <v>57993.84</v>
      </c>
      <c r="O517" s="111">
        <f>+N517/L517</f>
        <v>1159.8768</v>
      </c>
      <c r="P517" s="111">
        <f>(N517/L517)*M517</f>
        <v>55674.0864</v>
      </c>
      <c r="Q517" s="105" t="s">
        <v>41</v>
      </c>
      <c r="R517" s="105">
        <v>2021</v>
      </c>
      <c r="S517" s="113" t="s">
        <v>52</v>
      </c>
      <c r="T517" s="219" t="s">
        <v>403</v>
      </c>
      <c r="U517" s="176" t="s">
        <v>506</v>
      </c>
      <c r="V517" s="189">
        <v>43663</v>
      </c>
      <c r="W517" s="178">
        <v>44169877.43</v>
      </c>
      <c r="X517" s="178">
        <v>0</v>
      </c>
      <c r="Y517" s="178">
        <v>20688780</v>
      </c>
      <c r="Z517" s="178">
        <v>441698.76</v>
      </c>
      <c r="AA517" s="178">
        <v>96451.32</v>
      </c>
      <c r="AB517" s="178">
        <v>64320507.350000001</v>
      </c>
      <c r="AC517" s="177" t="s">
        <v>508</v>
      </c>
      <c r="AD517" s="205">
        <v>900420</v>
      </c>
    </row>
    <row r="518" spans="2:30" ht="30" customHeight="1" outlineLevel="2" x14ac:dyDescent="0.25">
      <c r="C518" s="114" t="str">
        <f>C517</f>
        <v>I-9</v>
      </c>
      <c r="D518" s="115" t="s">
        <v>165</v>
      </c>
      <c r="E518" s="116">
        <v>2018</v>
      </c>
      <c r="F518" s="116" t="s">
        <v>475</v>
      </c>
      <c r="G518" s="206">
        <v>0</v>
      </c>
      <c r="H518" s="206" t="s">
        <v>87</v>
      </c>
      <c r="I518" s="206">
        <v>0</v>
      </c>
      <c r="J518" s="206">
        <v>0</v>
      </c>
      <c r="K518" s="313">
        <v>0</v>
      </c>
      <c r="L518" s="206">
        <v>0</v>
      </c>
      <c r="M518" s="116">
        <v>0</v>
      </c>
      <c r="N518" s="122">
        <v>0</v>
      </c>
      <c r="O518" s="122">
        <v>0</v>
      </c>
      <c r="P518" s="122">
        <v>0</v>
      </c>
      <c r="Q518" s="116">
        <v>0</v>
      </c>
      <c r="R518" s="116" t="s">
        <v>87</v>
      </c>
      <c r="S518" s="124" t="s">
        <v>87</v>
      </c>
      <c r="T518" s="219" t="s">
        <v>403</v>
      </c>
      <c r="U518" s="180"/>
      <c r="V518" s="155"/>
      <c r="W518" s="156"/>
      <c r="X518" s="156"/>
      <c r="Y518" s="156"/>
      <c r="Z518" s="156"/>
      <c r="AA518" s="156"/>
      <c r="AB518" s="156"/>
      <c r="AC518" s="157"/>
      <c r="AD518" s="184"/>
    </row>
    <row r="519" spans="2:30" ht="30" customHeight="1" outlineLevel="2" x14ac:dyDescent="0.25">
      <c r="C519" s="114" t="str">
        <f>C517</f>
        <v>I-9</v>
      </c>
      <c r="D519" s="115" t="s">
        <v>46</v>
      </c>
      <c r="E519" s="116">
        <v>2018</v>
      </c>
      <c r="F519" s="116" t="s">
        <v>475</v>
      </c>
      <c r="G519" s="206">
        <v>345</v>
      </c>
      <c r="H519" s="206" t="s">
        <v>40</v>
      </c>
      <c r="I519" s="118">
        <v>3.4</v>
      </c>
      <c r="J519" s="119">
        <f t="shared" si="114"/>
        <v>2090.4900000000002</v>
      </c>
      <c r="K519" s="120">
        <f>R519-E519</f>
        <v>3</v>
      </c>
      <c r="L519" s="116">
        <v>10</v>
      </c>
      <c r="M519" s="116">
        <v>10</v>
      </c>
      <c r="N519" s="122">
        <f>+I519*G519</f>
        <v>1173</v>
      </c>
      <c r="O519" s="122">
        <f>+N519/L519</f>
        <v>117.3</v>
      </c>
      <c r="P519" s="122">
        <f>(N519/L519)*M519</f>
        <v>1173</v>
      </c>
      <c r="Q519" s="116" t="s">
        <v>41</v>
      </c>
      <c r="R519" s="116">
        <v>2021</v>
      </c>
      <c r="S519" s="124" t="s">
        <v>52</v>
      </c>
      <c r="T519" s="219" t="s">
        <v>403</v>
      </c>
      <c r="U519" s="180"/>
      <c r="V519" s="155"/>
      <c r="W519" s="156"/>
      <c r="X519" s="156"/>
      <c r="Y519" s="156"/>
      <c r="Z519" s="156"/>
      <c r="AA519" s="156"/>
      <c r="AB519" s="156"/>
      <c r="AC519" s="157"/>
      <c r="AD519" s="184"/>
    </row>
    <row r="520" spans="2:30" ht="30" customHeight="1" outlineLevel="2" thickBot="1" x14ac:dyDescent="0.3">
      <c r="C520" s="159" t="str">
        <f>C517</f>
        <v>I-9</v>
      </c>
      <c r="D520" s="160" t="s">
        <v>48</v>
      </c>
      <c r="E520" s="161">
        <v>2018</v>
      </c>
      <c r="F520" s="161" t="s">
        <v>475</v>
      </c>
      <c r="G520" s="162">
        <v>1500</v>
      </c>
      <c r="H520" s="218" t="s">
        <v>40</v>
      </c>
      <c r="I520" s="261">
        <f>+J520/$S$2</f>
        <v>117.84385072420888</v>
      </c>
      <c r="J520" s="97">
        <f t="shared" ref="J520" si="125">+((95000^(0.364-(0.00000133*G520)))/(G520^(0.364-(0.00000133*95000))))*6500</f>
        <v>72456.291617779832</v>
      </c>
      <c r="K520" s="163" t="s">
        <v>41</v>
      </c>
      <c r="L520" s="163" t="s">
        <v>41</v>
      </c>
      <c r="M520" s="163" t="s">
        <v>41</v>
      </c>
      <c r="N520" s="163" t="s">
        <v>41</v>
      </c>
      <c r="O520" s="163" t="s">
        <v>41</v>
      </c>
      <c r="P520" s="163" t="s">
        <v>41</v>
      </c>
      <c r="Q520" s="171">
        <f>I520*G520</f>
        <v>176765.77608631333</v>
      </c>
      <c r="R520" s="161">
        <v>2021</v>
      </c>
      <c r="S520" s="165" t="s">
        <v>52</v>
      </c>
      <c r="T520" s="219" t="s">
        <v>403</v>
      </c>
      <c r="U520" s="181"/>
      <c r="V520" s="167"/>
      <c r="W520" s="168"/>
      <c r="X520" s="168"/>
      <c r="Y520" s="168"/>
      <c r="Z520" s="168"/>
      <c r="AA520" s="168"/>
      <c r="AB520" s="168"/>
      <c r="AC520" s="169"/>
      <c r="AD520" s="188"/>
    </row>
    <row r="521" spans="2:30" ht="30" customHeight="1" outlineLevel="1" x14ac:dyDescent="0.25">
      <c r="C521" s="103" t="s">
        <v>509</v>
      </c>
      <c r="D521" s="104" t="s">
        <v>510</v>
      </c>
      <c r="E521" s="105">
        <v>2018</v>
      </c>
      <c r="F521" s="105" t="s">
        <v>417</v>
      </c>
      <c r="G521" s="203">
        <f>G524</f>
        <v>290.22000000000003</v>
      </c>
      <c r="H521" s="203" t="s">
        <v>40</v>
      </c>
      <c r="I521" s="107">
        <v>1560</v>
      </c>
      <c r="J521" s="108">
        <f t="shared" si="114"/>
        <v>959166</v>
      </c>
      <c r="K521" s="109">
        <f>R521-E521</f>
        <v>3</v>
      </c>
      <c r="L521" s="105">
        <v>50</v>
      </c>
      <c r="M521" s="105">
        <v>48</v>
      </c>
      <c r="N521" s="111">
        <f>+I521*G521</f>
        <v>452743.20000000007</v>
      </c>
      <c r="O521" s="111">
        <f>+N521/L521</f>
        <v>9054.8640000000014</v>
      </c>
      <c r="P521" s="111">
        <f>(N521/L521)*M521</f>
        <v>434633.47200000007</v>
      </c>
      <c r="Q521" s="105" t="s">
        <v>41</v>
      </c>
      <c r="R521" s="105">
        <v>2021</v>
      </c>
      <c r="S521" s="113" t="s">
        <v>52</v>
      </c>
      <c r="T521" s="219" t="s">
        <v>403</v>
      </c>
      <c r="U521" s="176" t="s">
        <v>509</v>
      </c>
      <c r="V521" s="189">
        <v>43497</v>
      </c>
      <c r="W521" s="178">
        <v>254189473.61000001</v>
      </c>
      <c r="X521" s="178">
        <v>0</v>
      </c>
      <c r="Y521" s="178">
        <v>0</v>
      </c>
      <c r="Z521" s="178">
        <v>4660140.32</v>
      </c>
      <c r="AA521" s="178">
        <v>0</v>
      </c>
      <c r="AB521" s="178">
        <v>249529333.29000002</v>
      </c>
      <c r="AC521" s="177" t="s">
        <v>511</v>
      </c>
      <c r="AD521" s="205">
        <v>900417</v>
      </c>
    </row>
    <row r="522" spans="2:30" ht="30" customHeight="1" outlineLevel="2" x14ac:dyDescent="0.25">
      <c r="C522" s="114" t="str">
        <f>C521</f>
        <v>I-10</v>
      </c>
      <c r="D522" s="115" t="s">
        <v>44</v>
      </c>
      <c r="E522" s="116">
        <v>2018</v>
      </c>
      <c r="F522" s="116" t="s">
        <v>417</v>
      </c>
      <c r="G522" s="206">
        <v>96.72</v>
      </c>
      <c r="H522" s="206" t="s">
        <v>40</v>
      </c>
      <c r="I522" s="118">
        <v>30.54</v>
      </c>
      <c r="J522" s="119">
        <f t="shared" si="114"/>
        <v>18777.519</v>
      </c>
      <c r="K522" s="120">
        <f>R522-E522</f>
        <v>3</v>
      </c>
      <c r="L522" s="116">
        <v>15</v>
      </c>
      <c r="M522" s="116">
        <v>15</v>
      </c>
      <c r="N522" s="122">
        <f>+I522*G522</f>
        <v>2953.8287999999998</v>
      </c>
      <c r="O522" s="122">
        <f>+N522/L522</f>
        <v>196.92191999999997</v>
      </c>
      <c r="P522" s="122">
        <f>(N522/L522)*M522</f>
        <v>2953.8287999999998</v>
      </c>
      <c r="Q522" s="116" t="s">
        <v>41</v>
      </c>
      <c r="R522" s="116">
        <v>2021</v>
      </c>
      <c r="S522" s="124" t="s">
        <v>52</v>
      </c>
      <c r="T522" s="219" t="s">
        <v>403</v>
      </c>
      <c r="U522" s="180"/>
      <c r="V522" s="155"/>
      <c r="W522" s="156"/>
      <c r="X522" s="156"/>
      <c r="Y522" s="156"/>
      <c r="Z522" s="156"/>
      <c r="AA522" s="156"/>
      <c r="AB522" s="156"/>
      <c r="AC522" s="157"/>
      <c r="AD522" s="184"/>
    </row>
    <row r="523" spans="2:30" ht="30" customHeight="1" outlineLevel="2" x14ac:dyDescent="0.25">
      <c r="C523" s="114" t="str">
        <f>C521</f>
        <v>I-10</v>
      </c>
      <c r="D523" s="115" t="s">
        <v>46</v>
      </c>
      <c r="E523" s="116">
        <v>2018</v>
      </c>
      <c r="F523" s="116" t="s">
        <v>417</v>
      </c>
      <c r="G523" s="206">
        <v>195.62</v>
      </c>
      <c r="H523" s="206" t="s">
        <v>40</v>
      </c>
      <c r="I523" s="118">
        <v>3.4</v>
      </c>
      <c r="J523" s="119">
        <f t="shared" si="114"/>
        <v>2090.4900000000002</v>
      </c>
      <c r="K523" s="120">
        <f>R523-E523</f>
        <v>3</v>
      </c>
      <c r="L523" s="116">
        <v>10</v>
      </c>
      <c r="M523" s="116">
        <v>10</v>
      </c>
      <c r="N523" s="122">
        <f>+I523*G523</f>
        <v>665.10799999999995</v>
      </c>
      <c r="O523" s="122">
        <f>+N523/L523</f>
        <v>66.510799999999989</v>
      </c>
      <c r="P523" s="122">
        <f>(N523/L523)*M523</f>
        <v>665.10799999999995</v>
      </c>
      <c r="Q523" s="116" t="s">
        <v>41</v>
      </c>
      <c r="R523" s="116">
        <v>2021</v>
      </c>
      <c r="S523" s="124" t="s">
        <v>52</v>
      </c>
      <c r="T523" s="219" t="s">
        <v>403</v>
      </c>
      <c r="U523" s="180"/>
      <c r="V523" s="155"/>
      <c r="W523" s="156"/>
      <c r="X523" s="156"/>
      <c r="Y523" s="156"/>
      <c r="Z523" s="156"/>
      <c r="AA523" s="156"/>
      <c r="AB523" s="156"/>
      <c r="AC523" s="157"/>
      <c r="AD523" s="184"/>
    </row>
    <row r="524" spans="2:30" ht="30" customHeight="1" outlineLevel="2" thickBot="1" x14ac:dyDescent="0.3">
      <c r="C524" s="159" t="str">
        <f>C521</f>
        <v>I-10</v>
      </c>
      <c r="D524" s="160" t="s">
        <v>48</v>
      </c>
      <c r="E524" s="161">
        <v>2018</v>
      </c>
      <c r="F524" s="161" t="s">
        <v>417</v>
      </c>
      <c r="G524" s="162">
        <v>290.22000000000003</v>
      </c>
      <c r="H524" s="218" t="s">
        <v>40</v>
      </c>
      <c r="I524" s="261">
        <f>+J524/$S$2</f>
        <v>177.35647777962723</v>
      </c>
      <c r="J524" s="97">
        <f t="shared" ref="J524" si="126">+((95000^(0.364-(0.00000133*G524)))/(G524^(0.364-(0.00000133*95000))))*6500</f>
        <v>109047.6303628038</v>
      </c>
      <c r="K524" s="163" t="s">
        <v>41</v>
      </c>
      <c r="L524" s="163" t="s">
        <v>41</v>
      </c>
      <c r="M524" s="163" t="s">
        <v>41</v>
      </c>
      <c r="N524" s="163" t="s">
        <v>41</v>
      </c>
      <c r="O524" s="163" t="s">
        <v>41</v>
      </c>
      <c r="P524" s="163" t="s">
        <v>41</v>
      </c>
      <c r="Q524" s="171">
        <f>I524*G524</f>
        <v>51472.396981203419</v>
      </c>
      <c r="R524" s="161">
        <v>2021</v>
      </c>
      <c r="S524" s="165" t="s">
        <v>52</v>
      </c>
      <c r="T524" s="219" t="s">
        <v>403</v>
      </c>
      <c r="U524" s="181"/>
      <c r="V524" s="167"/>
      <c r="W524" s="168"/>
      <c r="X524" s="168"/>
      <c r="Y524" s="168"/>
      <c r="Z524" s="168"/>
      <c r="AA524" s="168"/>
      <c r="AB524" s="168"/>
      <c r="AC524" s="169"/>
      <c r="AD524" s="188"/>
    </row>
    <row r="525" spans="2:30" ht="30" customHeight="1" outlineLevel="1" collapsed="1" x14ac:dyDescent="0.25">
      <c r="C525" s="252" t="s">
        <v>512</v>
      </c>
      <c r="D525" s="253" t="s">
        <v>513</v>
      </c>
      <c r="E525" s="254">
        <v>2018</v>
      </c>
      <c r="F525" s="254" t="s">
        <v>475</v>
      </c>
      <c r="G525" s="255">
        <f>G528+67.31</f>
        <v>180.14</v>
      </c>
      <c r="H525" s="255" t="s">
        <v>40</v>
      </c>
      <c r="I525" s="256">
        <v>1550.53</v>
      </c>
      <c r="J525" s="257">
        <f t="shared" ref="J525:J527" si="127">I525*$S$2</f>
        <v>953343.37049999996</v>
      </c>
      <c r="K525" s="258">
        <f>R525-E525</f>
        <v>3</v>
      </c>
      <c r="L525" s="254">
        <v>50</v>
      </c>
      <c r="M525" s="105">
        <v>48</v>
      </c>
      <c r="N525" s="111">
        <f>+I525*G525</f>
        <v>279312.4742</v>
      </c>
      <c r="O525" s="111">
        <f>+N525/L525</f>
        <v>5586.2494839999999</v>
      </c>
      <c r="P525" s="111">
        <f>(N525/L525)*M525</f>
        <v>268139.975232</v>
      </c>
      <c r="Q525" s="105" t="s">
        <v>41</v>
      </c>
      <c r="R525" s="254">
        <v>2021</v>
      </c>
      <c r="S525" s="340" t="s">
        <v>52</v>
      </c>
      <c r="T525" s="219" t="s">
        <v>403</v>
      </c>
      <c r="U525" s="176" t="s">
        <v>503</v>
      </c>
      <c r="V525" s="189">
        <v>43663</v>
      </c>
      <c r="W525" s="178">
        <v>235227687.16</v>
      </c>
      <c r="X525" s="178">
        <v>0</v>
      </c>
      <c r="Y525" s="178">
        <v>0</v>
      </c>
      <c r="Z525" s="178">
        <v>2352276.85</v>
      </c>
      <c r="AA525" s="178">
        <v>0</v>
      </c>
      <c r="AB525" s="178">
        <v>232875410.31</v>
      </c>
      <c r="AC525" s="177" t="s">
        <v>505</v>
      </c>
      <c r="AD525" s="205">
        <v>900419</v>
      </c>
    </row>
    <row r="526" spans="2:30" ht="30" customHeight="1" outlineLevel="1" x14ac:dyDescent="0.25">
      <c r="C526" s="114" t="str">
        <f>C525</f>
        <v>I-11</v>
      </c>
      <c r="D526" s="115" t="s">
        <v>44</v>
      </c>
      <c r="E526" s="116">
        <v>2018</v>
      </c>
      <c r="F526" s="116" t="s">
        <v>475</v>
      </c>
      <c r="G526" s="206">
        <v>51.23</v>
      </c>
      <c r="H526" s="206" t="s">
        <v>40</v>
      </c>
      <c r="I526" s="118">
        <v>30.54</v>
      </c>
      <c r="J526" s="119">
        <f t="shared" si="127"/>
        <v>18777.519</v>
      </c>
      <c r="K526" s="120">
        <f>R526-E526</f>
        <v>3</v>
      </c>
      <c r="L526" s="116">
        <v>15</v>
      </c>
      <c r="M526" s="116">
        <v>15</v>
      </c>
      <c r="N526" s="122">
        <f>+I526*G526</f>
        <v>1564.5641999999998</v>
      </c>
      <c r="O526" s="122">
        <f>+N526/L526</f>
        <v>104.30427999999999</v>
      </c>
      <c r="P526" s="122">
        <f>(N526/L526)*M526</f>
        <v>1564.5641999999998</v>
      </c>
      <c r="Q526" s="116" t="s">
        <v>41</v>
      </c>
      <c r="R526" s="116">
        <v>2021</v>
      </c>
      <c r="S526" s="124" t="s">
        <v>52</v>
      </c>
      <c r="T526" s="219" t="s">
        <v>403</v>
      </c>
      <c r="U526" s="180"/>
      <c r="V526" s="155"/>
      <c r="W526" s="156"/>
      <c r="X526" s="156"/>
      <c r="Y526" s="156"/>
      <c r="Z526" s="156"/>
      <c r="AA526" s="156"/>
      <c r="AB526" s="156"/>
      <c r="AC526" s="157"/>
      <c r="AD526" s="184"/>
    </row>
    <row r="527" spans="2:30" ht="30" customHeight="1" outlineLevel="1" x14ac:dyDescent="0.25">
      <c r="C527" s="114" t="str">
        <f>C525</f>
        <v>I-11</v>
      </c>
      <c r="D527" s="115" t="s">
        <v>46</v>
      </c>
      <c r="E527" s="116">
        <v>2018</v>
      </c>
      <c r="F527" s="116" t="s">
        <v>475</v>
      </c>
      <c r="G527" s="206">
        <v>110.46</v>
      </c>
      <c r="H527" s="206" t="s">
        <v>40</v>
      </c>
      <c r="I527" s="118">
        <v>3.4</v>
      </c>
      <c r="J527" s="119">
        <f t="shared" si="127"/>
        <v>2090.4900000000002</v>
      </c>
      <c r="K527" s="120">
        <f>R527-E527</f>
        <v>3</v>
      </c>
      <c r="L527" s="116">
        <v>10</v>
      </c>
      <c r="M527" s="116">
        <v>10</v>
      </c>
      <c r="N527" s="122">
        <f>+I527*G527</f>
        <v>375.56399999999996</v>
      </c>
      <c r="O527" s="122">
        <f>+N527/L527</f>
        <v>37.556399999999996</v>
      </c>
      <c r="P527" s="122">
        <f>(N527/L527)*M527</f>
        <v>375.56399999999996</v>
      </c>
      <c r="Q527" s="116" t="s">
        <v>41</v>
      </c>
      <c r="R527" s="116">
        <v>2021</v>
      </c>
      <c r="S527" s="124" t="s">
        <v>52</v>
      </c>
      <c r="T527" s="219" t="s">
        <v>403</v>
      </c>
      <c r="U527" s="180"/>
      <c r="V527" s="155"/>
      <c r="W527" s="156"/>
      <c r="X527" s="156"/>
      <c r="Y527" s="156"/>
      <c r="Z527" s="156"/>
      <c r="AA527" s="156"/>
      <c r="AB527" s="156"/>
      <c r="AC527" s="157"/>
      <c r="AD527" s="184"/>
    </row>
    <row r="528" spans="2:30" ht="30" customHeight="1" outlineLevel="1" thickBot="1" x14ac:dyDescent="0.3">
      <c r="B528" s="1">
        <v>11</v>
      </c>
      <c r="C528" s="159" t="str">
        <f>C525</f>
        <v>I-11</v>
      </c>
      <c r="D528" s="160" t="s">
        <v>48</v>
      </c>
      <c r="E528" s="161">
        <v>2018</v>
      </c>
      <c r="F528" s="161" t="s">
        <v>475</v>
      </c>
      <c r="G528" s="162">
        <v>112.83</v>
      </c>
      <c r="H528" s="218" t="s">
        <v>40</v>
      </c>
      <c r="I528" s="261">
        <f>+J528/$S$2</f>
        <v>222.60242522455314</v>
      </c>
      <c r="J528" s="97">
        <f t="shared" ref="J528" si="128">+((95000^(0.364-(0.00000133*G528)))/(G528^(0.364-(0.00000133*95000))))*6500</f>
        <v>136867.1011493165</v>
      </c>
      <c r="K528" s="163" t="s">
        <v>41</v>
      </c>
      <c r="L528" s="163" t="s">
        <v>41</v>
      </c>
      <c r="M528" s="163" t="s">
        <v>41</v>
      </c>
      <c r="N528" s="163" t="s">
        <v>41</v>
      </c>
      <c r="O528" s="163" t="s">
        <v>41</v>
      </c>
      <c r="P528" s="163" t="s">
        <v>41</v>
      </c>
      <c r="Q528" s="171">
        <f>I528*G528</f>
        <v>25116.23163808633</v>
      </c>
      <c r="R528" s="161">
        <v>2021</v>
      </c>
      <c r="S528" s="165" t="s">
        <v>52</v>
      </c>
      <c r="T528" s="219" t="s">
        <v>403</v>
      </c>
      <c r="U528" s="181"/>
      <c r="V528" s="167"/>
      <c r="W528" s="168"/>
      <c r="X528" s="168"/>
      <c r="Y528" s="168"/>
      <c r="Z528" s="168"/>
      <c r="AA528" s="168"/>
      <c r="AB528" s="168"/>
      <c r="AC528" s="169"/>
      <c r="AD528" s="188"/>
    </row>
    <row r="529" spans="3:30" ht="16.5" hidden="1" thickBot="1" x14ac:dyDescent="0.3">
      <c r="C529" s="262" t="s">
        <v>6</v>
      </c>
      <c r="D529" s="417" t="s">
        <v>514</v>
      </c>
      <c r="E529" s="212"/>
      <c r="F529" s="210"/>
      <c r="G529" s="210"/>
      <c r="H529" s="210"/>
      <c r="I529" s="213"/>
      <c r="J529" s="210"/>
      <c r="K529" s="210"/>
      <c r="L529" s="210"/>
      <c r="M529" s="210"/>
      <c r="N529" s="210"/>
      <c r="O529" s="210"/>
      <c r="P529" s="210"/>
      <c r="Q529" s="210"/>
      <c r="R529" s="210"/>
      <c r="S529" s="214"/>
      <c r="U529" s="264" t="s">
        <v>514</v>
      </c>
      <c r="V529" s="216"/>
      <c r="W529" s="216"/>
      <c r="X529" s="216"/>
      <c r="Y529" s="216"/>
      <c r="Z529" s="217"/>
      <c r="AA529" s="217"/>
      <c r="AB529" s="217"/>
      <c r="AC529" s="216"/>
      <c r="AD529" s="216"/>
    </row>
    <row r="530" spans="3:30" ht="30" customHeight="1" outlineLevel="1" x14ac:dyDescent="0.25">
      <c r="C530" s="103" t="s">
        <v>515</v>
      </c>
      <c r="D530" s="104" t="s">
        <v>516</v>
      </c>
      <c r="E530" s="105">
        <v>1988</v>
      </c>
      <c r="F530" s="105" t="s">
        <v>39</v>
      </c>
      <c r="G530" s="203">
        <f>G533</f>
        <v>850.03</v>
      </c>
      <c r="H530" s="203" t="s">
        <v>40</v>
      </c>
      <c r="I530" s="107">
        <v>1375</v>
      </c>
      <c r="J530" s="108">
        <f t="shared" ref="J530:J556" si="129">I530*$S$2</f>
        <v>845418.75</v>
      </c>
      <c r="K530" s="109">
        <f>R530-E530</f>
        <v>33</v>
      </c>
      <c r="L530" s="105">
        <v>50</v>
      </c>
      <c r="M530" s="105">
        <v>35</v>
      </c>
      <c r="N530" s="111">
        <f>+I530*G530</f>
        <v>1168791.25</v>
      </c>
      <c r="O530" s="111">
        <f>+N530/L530</f>
        <v>23375.825000000001</v>
      </c>
      <c r="P530" s="111">
        <f>(N530/L530)*M530</f>
        <v>818153.875</v>
      </c>
      <c r="Q530" s="105" t="s">
        <v>41</v>
      </c>
      <c r="R530" s="105">
        <v>2021</v>
      </c>
      <c r="S530" s="113" t="s">
        <v>52</v>
      </c>
      <c r="T530" s="219" t="s">
        <v>517</v>
      </c>
      <c r="U530" s="176" t="s">
        <v>515</v>
      </c>
      <c r="V530" s="421" t="s">
        <v>297</v>
      </c>
      <c r="W530" s="178">
        <v>16846647.440000001</v>
      </c>
      <c r="X530" s="178">
        <v>0</v>
      </c>
      <c r="Y530" s="178">
        <v>46172423.380000003</v>
      </c>
      <c r="Z530" s="178">
        <v>9462200.5099999998</v>
      </c>
      <c r="AA530" s="178">
        <v>7769703.8499999996</v>
      </c>
      <c r="AB530" s="178">
        <v>45787166.460000008</v>
      </c>
      <c r="AC530" s="177" t="s">
        <v>518</v>
      </c>
      <c r="AD530" s="205">
        <v>900257</v>
      </c>
    </row>
    <row r="531" spans="3:30" ht="30" customHeight="1" outlineLevel="2" x14ac:dyDescent="0.25">
      <c r="C531" s="114" t="str">
        <f>C530</f>
        <v>J-1</v>
      </c>
      <c r="D531" s="115" t="s">
        <v>44</v>
      </c>
      <c r="E531" s="116">
        <v>1988</v>
      </c>
      <c r="F531" s="116" t="s">
        <v>39</v>
      </c>
      <c r="G531" s="206">
        <v>152.74</v>
      </c>
      <c r="H531" s="206" t="s">
        <v>40</v>
      </c>
      <c r="I531" s="118">
        <v>30.54</v>
      </c>
      <c r="J531" s="119">
        <f t="shared" si="129"/>
        <v>18777.519</v>
      </c>
      <c r="K531" s="120">
        <f>R531-E531</f>
        <v>33</v>
      </c>
      <c r="L531" s="116">
        <v>15</v>
      </c>
      <c r="M531" s="116">
        <v>6</v>
      </c>
      <c r="N531" s="122">
        <f>+I531*G531</f>
        <v>4664.6796000000004</v>
      </c>
      <c r="O531" s="122">
        <f>+N531/L531</f>
        <v>310.97864000000004</v>
      </c>
      <c r="P531" s="122">
        <f>(N531/L531)*M531</f>
        <v>1865.8718400000002</v>
      </c>
      <c r="Q531" s="116" t="s">
        <v>41</v>
      </c>
      <c r="R531" s="116">
        <v>2021</v>
      </c>
      <c r="S531" s="124" t="s">
        <v>52</v>
      </c>
      <c r="T531" s="219" t="s">
        <v>517</v>
      </c>
      <c r="U531" s="180"/>
      <c r="V531" s="422"/>
      <c r="W531" s="156"/>
      <c r="X531" s="156"/>
      <c r="Y531" s="156"/>
      <c r="Z531" s="156"/>
      <c r="AA531" s="156"/>
      <c r="AB531" s="156"/>
      <c r="AC531" s="157"/>
      <c r="AD531" s="184"/>
    </row>
    <row r="532" spans="3:30" ht="30" customHeight="1" outlineLevel="2" x14ac:dyDescent="0.25">
      <c r="C532" s="114" t="str">
        <f>C530</f>
        <v>J-1</v>
      </c>
      <c r="D532" s="115" t="s">
        <v>46</v>
      </c>
      <c r="E532" s="116">
        <v>1988</v>
      </c>
      <c r="F532" s="116" t="s">
        <v>39</v>
      </c>
      <c r="G532" s="206">
        <v>313.48</v>
      </c>
      <c r="H532" s="206" t="s">
        <v>40</v>
      </c>
      <c r="I532" s="118">
        <v>3.4</v>
      </c>
      <c r="J532" s="119">
        <f t="shared" si="129"/>
        <v>2090.4900000000002</v>
      </c>
      <c r="K532" s="120">
        <f>R532-E532</f>
        <v>33</v>
      </c>
      <c r="L532" s="116">
        <v>10</v>
      </c>
      <c r="M532" s="116">
        <v>6</v>
      </c>
      <c r="N532" s="122">
        <f>+I532*G532</f>
        <v>1065.8320000000001</v>
      </c>
      <c r="O532" s="122">
        <f>+N532/L532</f>
        <v>106.58320000000001</v>
      </c>
      <c r="P532" s="122">
        <f>(N532/L532)*M532</f>
        <v>639.49919999999997</v>
      </c>
      <c r="Q532" s="116" t="s">
        <v>41</v>
      </c>
      <c r="R532" s="116">
        <v>2021</v>
      </c>
      <c r="S532" s="124" t="s">
        <v>52</v>
      </c>
      <c r="T532" s="219" t="s">
        <v>517</v>
      </c>
      <c r="U532" s="180"/>
      <c r="V532" s="422"/>
      <c r="W532" s="156"/>
      <c r="X532" s="156"/>
      <c r="Y532" s="156"/>
      <c r="Z532" s="156"/>
      <c r="AA532" s="156"/>
      <c r="AB532" s="156"/>
      <c r="AC532" s="157"/>
      <c r="AD532" s="184"/>
    </row>
    <row r="533" spans="3:30" ht="30" customHeight="1" outlineLevel="2" thickBot="1" x14ac:dyDescent="0.3">
      <c r="C533" s="159" t="str">
        <f>C530</f>
        <v>J-1</v>
      </c>
      <c r="D533" s="160" t="s">
        <v>48</v>
      </c>
      <c r="E533" s="161">
        <v>1988</v>
      </c>
      <c r="F533" s="161" t="s">
        <v>39</v>
      </c>
      <c r="G533" s="162">
        <v>850.03</v>
      </c>
      <c r="H533" s="218" t="s">
        <v>40</v>
      </c>
      <c r="I533" s="261">
        <f>+J533/$S$2</f>
        <v>136.21596333025641</v>
      </c>
      <c r="J533" s="97">
        <f t="shared" ref="J533" si="130">+((95000^(0.364-(0.00000133*G533)))/(G533^(0.364-(0.00000133*95000))))*6500</f>
        <v>83752.385053608159</v>
      </c>
      <c r="K533" s="161" t="s">
        <v>41</v>
      </c>
      <c r="L533" s="161" t="s">
        <v>41</v>
      </c>
      <c r="M533" s="163" t="s">
        <v>41</v>
      </c>
      <c r="N533" s="163" t="s">
        <v>41</v>
      </c>
      <c r="O533" s="163" t="s">
        <v>41</v>
      </c>
      <c r="P533" s="163" t="s">
        <v>41</v>
      </c>
      <c r="Q533" s="171">
        <f>I533*G533</f>
        <v>115787.65530961785</v>
      </c>
      <c r="R533" s="161">
        <v>2021</v>
      </c>
      <c r="S533" s="165" t="s">
        <v>52</v>
      </c>
      <c r="T533" s="219" t="s">
        <v>517</v>
      </c>
      <c r="U533" s="181"/>
      <c r="V533" s="420"/>
      <c r="W533" s="168"/>
      <c r="X533" s="168"/>
      <c r="Y533" s="168"/>
      <c r="Z533" s="168"/>
      <c r="AA533" s="168"/>
      <c r="AB533" s="168"/>
      <c r="AC533" s="169"/>
      <c r="AD533" s="188"/>
    </row>
    <row r="534" spans="3:30" ht="30" customHeight="1" outlineLevel="1" x14ac:dyDescent="0.25">
      <c r="C534" s="103" t="s">
        <v>519</v>
      </c>
      <c r="D534" s="104" t="s">
        <v>520</v>
      </c>
      <c r="E534" s="105">
        <v>1988</v>
      </c>
      <c r="F534" s="105" t="s">
        <v>39</v>
      </c>
      <c r="G534" s="203">
        <f>G537</f>
        <v>100.57</v>
      </c>
      <c r="H534" s="203" t="s">
        <v>40</v>
      </c>
      <c r="I534" s="107">
        <v>1075</v>
      </c>
      <c r="J534" s="108">
        <f t="shared" si="129"/>
        <v>660963.75</v>
      </c>
      <c r="K534" s="109">
        <f>R534-E534</f>
        <v>33</v>
      </c>
      <c r="L534" s="105">
        <v>50</v>
      </c>
      <c r="M534" s="105">
        <v>35</v>
      </c>
      <c r="N534" s="111">
        <f>+I534*G534</f>
        <v>108112.74999999999</v>
      </c>
      <c r="O534" s="111">
        <f>+N534/L534</f>
        <v>2162.2549999999997</v>
      </c>
      <c r="P534" s="111">
        <f>(N534/L534)*M534</f>
        <v>75678.924999999988</v>
      </c>
      <c r="Q534" s="105" t="s">
        <v>41</v>
      </c>
      <c r="R534" s="105">
        <v>2021</v>
      </c>
      <c r="S534" s="113" t="s">
        <v>52</v>
      </c>
      <c r="T534" s="219" t="s">
        <v>517</v>
      </c>
      <c r="U534" s="176" t="s">
        <v>519</v>
      </c>
      <c r="V534" s="421" t="s">
        <v>521</v>
      </c>
      <c r="W534" s="178">
        <v>3009112.6</v>
      </c>
      <c r="X534" s="178">
        <v>0</v>
      </c>
      <c r="Y534" s="178">
        <v>12144295.439999999</v>
      </c>
      <c r="Z534" s="178">
        <v>792399.78</v>
      </c>
      <c r="AA534" s="178">
        <v>1404051.11</v>
      </c>
      <c r="AB534" s="178">
        <v>12956957.15</v>
      </c>
      <c r="AC534" s="177" t="s">
        <v>522</v>
      </c>
      <c r="AD534" s="205">
        <v>900259</v>
      </c>
    </row>
    <row r="535" spans="3:30" ht="30" customHeight="1" outlineLevel="2" x14ac:dyDescent="0.25">
      <c r="C535" s="114" t="str">
        <f>C534</f>
        <v>J-2</v>
      </c>
      <c r="D535" s="115" t="s">
        <v>44</v>
      </c>
      <c r="E535" s="116">
        <v>1988</v>
      </c>
      <c r="F535" s="116" t="s">
        <v>39</v>
      </c>
      <c r="G535" s="206">
        <v>55.48</v>
      </c>
      <c r="H535" s="206" t="s">
        <v>40</v>
      </c>
      <c r="I535" s="118">
        <v>30.54</v>
      </c>
      <c r="J535" s="119">
        <f t="shared" si="129"/>
        <v>18777.519</v>
      </c>
      <c r="K535" s="120">
        <f>R535-E535</f>
        <v>33</v>
      </c>
      <c r="L535" s="116">
        <v>15</v>
      </c>
      <c r="M535" s="116">
        <v>6</v>
      </c>
      <c r="N535" s="122">
        <f>+I535*G535</f>
        <v>1694.3591999999999</v>
      </c>
      <c r="O535" s="122">
        <f>+N535/L535</f>
        <v>112.95728</v>
      </c>
      <c r="P535" s="122">
        <f>(N535/L535)*M535</f>
        <v>677.74368000000004</v>
      </c>
      <c r="Q535" s="116" t="s">
        <v>41</v>
      </c>
      <c r="R535" s="116">
        <v>2021</v>
      </c>
      <c r="S535" s="124" t="s">
        <v>52</v>
      </c>
      <c r="T535" s="219" t="s">
        <v>517</v>
      </c>
      <c r="U535" s="180"/>
      <c r="V535" s="422"/>
      <c r="W535" s="156"/>
      <c r="X535" s="156"/>
      <c r="Y535" s="156"/>
      <c r="Z535" s="156"/>
      <c r="AA535" s="156"/>
      <c r="AB535" s="156"/>
      <c r="AC535" s="157"/>
      <c r="AD535" s="184"/>
    </row>
    <row r="536" spans="3:30" ht="30" customHeight="1" outlineLevel="2" x14ac:dyDescent="0.25">
      <c r="C536" s="114" t="str">
        <f>C534</f>
        <v>J-2</v>
      </c>
      <c r="D536" s="115" t="s">
        <v>46</v>
      </c>
      <c r="E536" s="116">
        <v>1988</v>
      </c>
      <c r="F536" s="116" t="s">
        <v>39</v>
      </c>
      <c r="G536" s="206">
        <v>118.96</v>
      </c>
      <c r="H536" s="206" t="s">
        <v>40</v>
      </c>
      <c r="I536" s="118">
        <v>3.4</v>
      </c>
      <c r="J536" s="119">
        <f t="shared" si="129"/>
        <v>2090.4900000000002</v>
      </c>
      <c r="K536" s="120">
        <f>R536-E536</f>
        <v>33</v>
      </c>
      <c r="L536" s="116">
        <v>10</v>
      </c>
      <c r="M536" s="116">
        <v>6</v>
      </c>
      <c r="N536" s="122">
        <f>+I536*G536</f>
        <v>404.46399999999994</v>
      </c>
      <c r="O536" s="122">
        <f>+N536/L536</f>
        <v>40.446399999999997</v>
      </c>
      <c r="P536" s="122">
        <f>(N536/L536)*M536</f>
        <v>242.67839999999998</v>
      </c>
      <c r="Q536" s="116" t="s">
        <v>41</v>
      </c>
      <c r="R536" s="116">
        <v>2021</v>
      </c>
      <c r="S536" s="124" t="s">
        <v>52</v>
      </c>
      <c r="T536" s="219" t="s">
        <v>517</v>
      </c>
      <c r="U536" s="180"/>
      <c r="V536" s="422"/>
      <c r="W536" s="156"/>
      <c r="X536" s="156"/>
      <c r="Y536" s="156"/>
      <c r="Z536" s="156"/>
      <c r="AA536" s="156"/>
      <c r="AB536" s="156"/>
      <c r="AC536" s="157"/>
      <c r="AD536" s="184"/>
    </row>
    <row r="537" spans="3:30" ht="30" customHeight="1" outlineLevel="2" thickBot="1" x14ac:dyDescent="0.3">
      <c r="C537" s="159" t="str">
        <f>C534</f>
        <v>J-2</v>
      </c>
      <c r="D537" s="160" t="s">
        <v>48</v>
      </c>
      <c r="E537" s="161">
        <v>1988</v>
      </c>
      <c r="F537" s="161" t="s">
        <v>39</v>
      </c>
      <c r="G537" s="162">
        <v>100.57</v>
      </c>
      <c r="H537" s="218" t="s">
        <v>40</v>
      </c>
      <c r="I537" s="261">
        <f>+J537/$S$2</f>
        <v>228.81428466463063</v>
      </c>
      <c r="J537" s="97">
        <f t="shared" ref="J537" si="131">+((95000^(0.364-(0.00000133*G537)))/(G537^(0.364-(0.00000133*95000))))*6500</f>
        <v>140686.46292604815</v>
      </c>
      <c r="K537" s="161" t="s">
        <v>41</v>
      </c>
      <c r="L537" s="161" t="s">
        <v>41</v>
      </c>
      <c r="M537" s="163" t="s">
        <v>41</v>
      </c>
      <c r="N537" s="163" t="s">
        <v>41</v>
      </c>
      <c r="O537" s="163" t="s">
        <v>41</v>
      </c>
      <c r="P537" s="163" t="s">
        <v>41</v>
      </c>
      <c r="Q537" s="171">
        <f>I537*G537</f>
        <v>23011.8526087219</v>
      </c>
      <c r="R537" s="161">
        <v>2021</v>
      </c>
      <c r="S537" s="165" t="s">
        <v>52</v>
      </c>
      <c r="T537" s="219" t="s">
        <v>517</v>
      </c>
      <c r="U537" s="181"/>
      <c r="V537" s="420"/>
      <c r="W537" s="168"/>
      <c r="X537" s="168"/>
      <c r="Y537" s="168"/>
      <c r="Z537" s="168"/>
      <c r="AA537" s="168"/>
      <c r="AB537" s="168"/>
      <c r="AC537" s="169"/>
      <c r="AD537" s="188"/>
    </row>
    <row r="538" spans="3:30" ht="30" customHeight="1" outlineLevel="1" x14ac:dyDescent="0.25">
      <c r="C538" s="103" t="s">
        <v>523</v>
      </c>
      <c r="D538" s="104" t="s">
        <v>516</v>
      </c>
      <c r="E538" s="105">
        <v>1988</v>
      </c>
      <c r="F538" s="105" t="s">
        <v>39</v>
      </c>
      <c r="G538" s="203">
        <f>G541</f>
        <v>850.03</v>
      </c>
      <c r="H538" s="203" t="s">
        <v>40</v>
      </c>
      <c r="I538" s="107">
        <v>1375</v>
      </c>
      <c r="J538" s="108">
        <f t="shared" si="129"/>
        <v>845418.75</v>
      </c>
      <c r="K538" s="109">
        <f>R538-E538</f>
        <v>33</v>
      </c>
      <c r="L538" s="105">
        <v>50</v>
      </c>
      <c r="M538" s="105">
        <v>35</v>
      </c>
      <c r="N538" s="111">
        <f>+I538*G538</f>
        <v>1168791.25</v>
      </c>
      <c r="O538" s="111">
        <f>+N538/L538</f>
        <v>23375.825000000001</v>
      </c>
      <c r="P538" s="111">
        <f>(N538/L538)*M538</f>
        <v>818153.875</v>
      </c>
      <c r="Q538" s="105" t="s">
        <v>41</v>
      </c>
      <c r="R538" s="105">
        <v>2021</v>
      </c>
      <c r="S538" s="113" t="s">
        <v>52</v>
      </c>
      <c r="T538" s="219" t="s">
        <v>517</v>
      </c>
      <c r="U538" s="176" t="s">
        <v>523</v>
      </c>
      <c r="V538" s="421" t="s">
        <v>297</v>
      </c>
      <c r="W538" s="178">
        <v>16846647.440000001</v>
      </c>
      <c r="X538" s="178">
        <v>0</v>
      </c>
      <c r="Y538" s="178">
        <v>42193331.770000003</v>
      </c>
      <c r="Z538" s="178">
        <v>9462200.5099999998</v>
      </c>
      <c r="AA538" s="178">
        <v>6890784.5499999998</v>
      </c>
      <c r="AB538" s="178">
        <v>42686994.150000013</v>
      </c>
      <c r="AC538" s="177" t="s">
        <v>524</v>
      </c>
      <c r="AD538" s="205">
        <v>900258</v>
      </c>
    </row>
    <row r="539" spans="3:30" ht="30" customHeight="1" outlineLevel="2" x14ac:dyDescent="0.25">
      <c r="C539" s="114" t="str">
        <f>C538</f>
        <v>J-3</v>
      </c>
      <c r="D539" s="115" t="s">
        <v>44</v>
      </c>
      <c r="E539" s="116">
        <v>1988</v>
      </c>
      <c r="F539" s="116" t="s">
        <v>39</v>
      </c>
      <c r="G539" s="206">
        <v>152.74</v>
      </c>
      <c r="H539" s="206" t="s">
        <v>40</v>
      </c>
      <c r="I539" s="118">
        <v>30.54</v>
      </c>
      <c r="J539" s="119">
        <f t="shared" si="129"/>
        <v>18777.519</v>
      </c>
      <c r="K539" s="120">
        <f>R539-E539</f>
        <v>33</v>
      </c>
      <c r="L539" s="116">
        <v>15</v>
      </c>
      <c r="M539" s="116">
        <v>6</v>
      </c>
      <c r="N539" s="122">
        <f>+I539*G539</f>
        <v>4664.6796000000004</v>
      </c>
      <c r="O539" s="122">
        <f>+N539/L539</f>
        <v>310.97864000000004</v>
      </c>
      <c r="P539" s="122">
        <f>(N539/L539)*M539</f>
        <v>1865.8718400000002</v>
      </c>
      <c r="Q539" s="116" t="s">
        <v>41</v>
      </c>
      <c r="R539" s="116">
        <v>2021</v>
      </c>
      <c r="S539" s="124" t="s">
        <v>52</v>
      </c>
      <c r="T539" s="219" t="s">
        <v>517</v>
      </c>
      <c r="U539" s="180"/>
      <c r="V539" s="422"/>
      <c r="W539" s="156"/>
      <c r="X539" s="156"/>
      <c r="Y539" s="156"/>
      <c r="Z539" s="156"/>
      <c r="AA539" s="156"/>
      <c r="AB539" s="156"/>
      <c r="AC539" s="157"/>
      <c r="AD539" s="184"/>
    </row>
    <row r="540" spans="3:30" ht="30" customHeight="1" outlineLevel="2" x14ac:dyDescent="0.25">
      <c r="C540" s="114" t="str">
        <f>C538</f>
        <v>J-3</v>
      </c>
      <c r="D540" s="115" t="s">
        <v>46</v>
      </c>
      <c r="E540" s="116">
        <v>1988</v>
      </c>
      <c r="F540" s="116" t="s">
        <v>39</v>
      </c>
      <c r="G540" s="206">
        <v>313.48</v>
      </c>
      <c r="H540" s="206" t="s">
        <v>40</v>
      </c>
      <c r="I540" s="118">
        <v>3.4</v>
      </c>
      <c r="J540" s="119">
        <f t="shared" si="129"/>
        <v>2090.4900000000002</v>
      </c>
      <c r="K540" s="120">
        <f>R540-E540</f>
        <v>33</v>
      </c>
      <c r="L540" s="116">
        <v>10</v>
      </c>
      <c r="M540" s="116">
        <v>6</v>
      </c>
      <c r="N540" s="122">
        <f>+I540*G540</f>
        <v>1065.8320000000001</v>
      </c>
      <c r="O540" s="122">
        <f>+N540/L540</f>
        <v>106.58320000000001</v>
      </c>
      <c r="P540" s="122">
        <f>(N540/L540)*M540</f>
        <v>639.49919999999997</v>
      </c>
      <c r="Q540" s="116" t="s">
        <v>41</v>
      </c>
      <c r="R540" s="116">
        <v>2021</v>
      </c>
      <c r="S540" s="124" t="s">
        <v>52</v>
      </c>
      <c r="T540" s="219" t="s">
        <v>517</v>
      </c>
      <c r="U540" s="180"/>
      <c r="V540" s="422"/>
      <c r="W540" s="156"/>
      <c r="X540" s="156"/>
      <c r="Y540" s="156"/>
      <c r="Z540" s="156"/>
      <c r="AA540" s="156"/>
      <c r="AB540" s="156"/>
      <c r="AC540" s="157"/>
      <c r="AD540" s="184"/>
    </row>
    <row r="541" spans="3:30" ht="30" customHeight="1" outlineLevel="2" thickBot="1" x14ac:dyDescent="0.3">
      <c r="C541" s="159" t="str">
        <f>C538</f>
        <v>J-3</v>
      </c>
      <c r="D541" s="160" t="s">
        <v>48</v>
      </c>
      <c r="E541" s="161">
        <v>1988</v>
      </c>
      <c r="F541" s="161" t="s">
        <v>39</v>
      </c>
      <c r="G541" s="162">
        <v>850.03</v>
      </c>
      <c r="H541" s="218" t="s">
        <v>40</v>
      </c>
      <c r="I541" s="261">
        <f>+J541/$S$2</f>
        <v>136.21596333025641</v>
      </c>
      <c r="J541" s="97">
        <f t="shared" ref="J541" si="132">+((95000^(0.364-(0.00000133*G541)))/(G541^(0.364-(0.00000133*95000))))*6500</f>
        <v>83752.385053608159</v>
      </c>
      <c r="K541" s="161" t="s">
        <v>41</v>
      </c>
      <c r="L541" s="161" t="s">
        <v>41</v>
      </c>
      <c r="M541" s="163" t="s">
        <v>41</v>
      </c>
      <c r="N541" s="163" t="s">
        <v>41</v>
      </c>
      <c r="O541" s="163" t="s">
        <v>41</v>
      </c>
      <c r="P541" s="163" t="s">
        <v>41</v>
      </c>
      <c r="Q541" s="171">
        <f>I541*G541</f>
        <v>115787.65530961785</v>
      </c>
      <c r="R541" s="161">
        <v>2021</v>
      </c>
      <c r="S541" s="165" t="s">
        <v>52</v>
      </c>
      <c r="T541" s="219" t="s">
        <v>517</v>
      </c>
      <c r="U541" s="181"/>
      <c r="V541" s="420"/>
      <c r="W541" s="168"/>
      <c r="X541" s="168"/>
      <c r="Y541" s="168"/>
      <c r="Z541" s="168"/>
      <c r="AA541" s="168"/>
      <c r="AB541" s="168"/>
      <c r="AC541" s="169"/>
      <c r="AD541" s="188"/>
    </row>
    <row r="542" spans="3:30" ht="30" customHeight="1" outlineLevel="1" x14ac:dyDescent="0.25">
      <c r="C542" s="103" t="s">
        <v>525</v>
      </c>
      <c r="D542" s="104" t="s">
        <v>526</v>
      </c>
      <c r="E542" s="105">
        <v>2000</v>
      </c>
      <c r="F542" s="105" t="s">
        <v>39</v>
      </c>
      <c r="G542" s="203">
        <f>G545</f>
        <v>50.92</v>
      </c>
      <c r="H542" s="203" t="s">
        <v>40</v>
      </c>
      <c r="I542" s="107">
        <v>800</v>
      </c>
      <c r="J542" s="108">
        <f t="shared" si="129"/>
        <v>491880</v>
      </c>
      <c r="K542" s="109">
        <f>R542-E542</f>
        <v>21</v>
      </c>
      <c r="L542" s="105">
        <v>50</v>
      </c>
      <c r="M542" s="105">
        <v>35</v>
      </c>
      <c r="N542" s="111">
        <f>+I542*G542</f>
        <v>40736</v>
      </c>
      <c r="O542" s="111">
        <f>+N542/L542</f>
        <v>814.72</v>
      </c>
      <c r="P542" s="111">
        <f>(N542/L542)*M542</f>
        <v>28515.200000000001</v>
      </c>
      <c r="Q542" s="105" t="s">
        <v>41</v>
      </c>
      <c r="R542" s="105">
        <v>2021</v>
      </c>
      <c r="S542" s="113" t="s">
        <v>52</v>
      </c>
      <c r="T542" s="219" t="s">
        <v>517</v>
      </c>
      <c r="U542" s="176" t="s">
        <v>525</v>
      </c>
      <c r="V542" s="189" t="s">
        <v>527</v>
      </c>
      <c r="W542" s="178">
        <v>2972430</v>
      </c>
      <c r="X542" s="178">
        <v>0</v>
      </c>
      <c r="Y542" s="178">
        <v>11278244.630000001</v>
      </c>
      <c r="Z542" s="178">
        <v>1253374.6499999999</v>
      </c>
      <c r="AA542" s="178">
        <v>1680496.29</v>
      </c>
      <c r="AB542" s="178">
        <v>11316803.690000001</v>
      </c>
      <c r="AC542" s="177" t="s">
        <v>528</v>
      </c>
      <c r="AD542" s="205">
        <v>900260</v>
      </c>
    </row>
    <row r="543" spans="3:30" ht="30" customHeight="1" outlineLevel="2" x14ac:dyDescent="0.25">
      <c r="C543" s="114" t="str">
        <f>C542</f>
        <v>J-4</v>
      </c>
      <c r="D543" s="115" t="s">
        <v>44</v>
      </c>
      <c r="E543" s="116">
        <v>2000</v>
      </c>
      <c r="F543" s="116" t="s">
        <v>39</v>
      </c>
      <c r="G543" s="206">
        <v>35.42</v>
      </c>
      <c r="H543" s="206" t="s">
        <v>40</v>
      </c>
      <c r="I543" s="118">
        <v>30.54</v>
      </c>
      <c r="J543" s="119">
        <f t="shared" si="129"/>
        <v>18777.519</v>
      </c>
      <c r="K543" s="120">
        <f>R543-E543</f>
        <v>21</v>
      </c>
      <c r="L543" s="116">
        <v>15</v>
      </c>
      <c r="M543" s="116">
        <v>6</v>
      </c>
      <c r="N543" s="122">
        <f>+I543*G543</f>
        <v>1081.7267999999999</v>
      </c>
      <c r="O543" s="122">
        <f>+N543/L543</f>
        <v>72.11511999999999</v>
      </c>
      <c r="P543" s="122">
        <f>(N543/L543)*M543</f>
        <v>432.69071999999994</v>
      </c>
      <c r="Q543" s="116" t="s">
        <v>41</v>
      </c>
      <c r="R543" s="116">
        <v>2021</v>
      </c>
      <c r="S543" s="124" t="s">
        <v>52</v>
      </c>
      <c r="T543" s="219" t="s">
        <v>517</v>
      </c>
      <c r="U543" s="180"/>
      <c r="V543" s="155"/>
      <c r="W543" s="156"/>
      <c r="X543" s="156"/>
      <c r="Y543" s="156"/>
      <c r="Z543" s="156"/>
      <c r="AA543" s="156"/>
      <c r="AB543" s="156"/>
      <c r="AC543" s="157"/>
      <c r="AD543" s="184"/>
    </row>
    <row r="544" spans="3:30" ht="30" customHeight="1" outlineLevel="2" x14ac:dyDescent="0.25">
      <c r="C544" s="114" t="str">
        <f>C542</f>
        <v>J-4</v>
      </c>
      <c r="D544" s="115" t="s">
        <v>46</v>
      </c>
      <c r="E544" s="116">
        <v>2000</v>
      </c>
      <c r="F544" s="116" t="s">
        <v>39</v>
      </c>
      <c r="G544" s="206">
        <v>78.86</v>
      </c>
      <c r="H544" s="206" t="s">
        <v>40</v>
      </c>
      <c r="I544" s="118">
        <v>3.4</v>
      </c>
      <c r="J544" s="119">
        <f t="shared" si="129"/>
        <v>2090.4900000000002</v>
      </c>
      <c r="K544" s="120">
        <f>R544-E544</f>
        <v>21</v>
      </c>
      <c r="L544" s="116">
        <v>10</v>
      </c>
      <c r="M544" s="116">
        <v>6</v>
      </c>
      <c r="N544" s="122">
        <f>+I544*G544</f>
        <v>268.12399999999997</v>
      </c>
      <c r="O544" s="122">
        <f>+N544/L544</f>
        <v>26.812399999999997</v>
      </c>
      <c r="P544" s="122">
        <f>(N544/L544)*M544</f>
        <v>160.87439999999998</v>
      </c>
      <c r="Q544" s="116" t="s">
        <v>41</v>
      </c>
      <c r="R544" s="116">
        <v>2021</v>
      </c>
      <c r="S544" s="124" t="s">
        <v>52</v>
      </c>
      <c r="T544" s="219" t="s">
        <v>517</v>
      </c>
      <c r="U544" s="180"/>
      <c r="V544" s="155"/>
      <c r="W544" s="156"/>
      <c r="X544" s="156"/>
      <c r="Y544" s="156"/>
      <c r="Z544" s="156"/>
      <c r="AA544" s="156"/>
      <c r="AB544" s="156"/>
      <c r="AC544" s="157"/>
      <c r="AD544" s="184"/>
    </row>
    <row r="545" spans="3:30" ht="30" customHeight="1" outlineLevel="2" thickBot="1" x14ac:dyDescent="0.3">
      <c r="C545" s="159" t="str">
        <f>C542</f>
        <v>J-4</v>
      </c>
      <c r="D545" s="160" t="s">
        <v>48</v>
      </c>
      <c r="E545" s="161">
        <v>2000</v>
      </c>
      <c r="F545" s="161" t="s">
        <v>39</v>
      </c>
      <c r="G545" s="162">
        <v>50.92</v>
      </c>
      <c r="H545" s="218" t="s">
        <v>40</v>
      </c>
      <c r="I545" s="261">
        <f>+J545/$S$2</f>
        <v>269.18845829125911</v>
      </c>
      <c r="J545" s="97">
        <f t="shared" ref="J545" si="133">+((95000^(0.364-(0.00000133*G545)))/(G545^(0.364-(0.00000133*95000))))*6500</f>
        <v>165510.52358038069</v>
      </c>
      <c r="K545" s="161" t="s">
        <v>41</v>
      </c>
      <c r="L545" s="161" t="s">
        <v>41</v>
      </c>
      <c r="M545" s="163" t="s">
        <v>41</v>
      </c>
      <c r="N545" s="163" t="s">
        <v>41</v>
      </c>
      <c r="O545" s="163" t="s">
        <v>41</v>
      </c>
      <c r="P545" s="163" t="s">
        <v>41</v>
      </c>
      <c r="Q545" s="171">
        <f>I545*G545</f>
        <v>13707.076296190915</v>
      </c>
      <c r="R545" s="161">
        <v>2021</v>
      </c>
      <c r="S545" s="165" t="s">
        <v>52</v>
      </c>
      <c r="T545" s="219" t="s">
        <v>517</v>
      </c>
      <c r="U545" s="181"/>
      <c r="V545" s="167"/>
      <c r="W545" s="168"/>
      <c r="X545" s="168"/>
      <c r="Y545" s="168"/>
      <c r="Z545" s="168"/>
      <c r="AA545" s="168"/>
      <c r="AB545" s="168"/>
      <c r="AC545" s="169"/>
      <c r="AD545" s="188"/>
    </row>
    <row r="546" spans="3:30" ht="30" customHeight="1" outlineLevel="1" x14ac:dyDescent="0.25">
      <c r="C546" s="103" t="s">
        <v>529</v>
      </c>
      <c r="D546" s="104" t="s">
        <v>530</v>
      </c>
      <c r="E546" s="105">
        <v>2000</v>
      </c>
      <c r="F546" s="105" t="s">
        <v>39</v>
      </c>
      <c r="G546" s="203">
        <v>763</v>
      </c>
      <c r="H546" s="203" t="s">
        <v>40</v>
      </c>
      <c r="I546" s="107">
        <v>1300</v>
      </c>
      <c r="J546" s="108">
        <f t="shared" si="129"/>
        <v>799305</v>
      </c>
      <c r="K546" s="109">
        <f>R546-E546</f>
        <v>21</v>
      </c>
      <c r="L546" s="105">
        <v>50</v>
      </c>
      <c r="M546" s="105">
        <v>35</v>
      </c>
      <c r="N546" s="111">
        <f>+I546*G546</f>
        <v>991900</v>
      </c>
      <c r="O546" s="111">
        <f>+N546/L546</f>
        <v>19838</v>
      </c>
      <c r="P546" s="111">
        <f>(N546/L546)*M546</f>
        <v>694330</v>
      </c>
      <c r="Q546" s="105" t="s">
        <v>41</v>
      </c>
      <c r="R546" s="105">
        <v>2021</v>
      </c>
      <c r="S546" s="113" t="s">
        <v>52</v>
      </c>
      <c r="T546" s="219" t="s">
        <v>517</v>
      </c>
      <c r="U546" s="176" t="s">
        <v>529</v>
      </c>
      <c r="V546" s="421" t="s">
        <v>94</v>
      </c>
      <c r="W546" s="178">
        <v>76302357.599999994</v>
      </c>
      <c r="X546" s="178">
        <v>0</v>
      </c>
      <c r="Y546" s="178">
        <v>25790624.309999999</v>
      </c>
      <c r="Z546" s="178">
        <v>27596019.52</v>
      </c>
      <c r="AA546" s="178">
        <v>3949948.52</v>
      </c>
      <c r="AB546" s="178">
        <v>70547013.870000005</v>
      </c>
      <c r="AC546" s="177" t="s">
        <v>531</v>
      </c>
      <c r="AD546" s="205">
        <v>900261</v>
      </c>
    </row>
    <row r="547" spans="3:30" ht="30" customHeight="1" outlineLevel="2" x14ac:dyDescent="0.25">
      <c r="C547" s="114" t="str">
        <f>C546</f>
        <v>J-5</v>
      </c>
      <c r="D547" s="115" t="s">
        <v>44</v>
      </c>
      <c r="E547" s="116">
        <v>2000</v>
      </c>
      <c r="F547" s="116" t="s">
        <v>39</v>
      </c>
      <c r="G547" s="206">
        <v>183.69</v>
      </c>
      <c r="H547" s="206" t="s">
        <v>40</v>
      </c>
      <c r="I547" s="118">
        <v>30.54</v>
      </c>
      <c r="J547" s="119">
        <f t="shared" si="129"/>
        <v>18777.519</v>
      </c>
      <c r="K547" s="120">
        <f>R547-E547</f>
        <v>21</v>
      </c>
      <c r="L547" s="116">
        <v>15</v>
      </c>
      <c r="M547" s="116">
        <v>6</v>
      </c>
      <c r="N547" s="122">
        <f>+I547*G547</f>
        <v>5609.8926000000001</v>
      </c>
      <c r="O547" s="122">
        <f>+N547/L547</f>
        <v>373.99284</v>
      </c>
      <c r="P547" s="122">
        <f>(N547/L547)*M547</f>
        <v>2243.9570400000002</v>
      </c>
      <c r="Q547" s="116" t="s">
        <v>41</v>
      </c>
      <c r="R547" s="116">
        <v>2021</v>
      </c>
      <c r="S547" s="124" t="s">
        <v>52</v>
      </c>
      <c r="T547" s="219" t="s">
        <v>517</v>
      </c>
      <c r="U547" s="180"/>
      <c r="V547" s="422"/>
      <c r="W547" s="156"/>
      <c r="X547" s="156"/>
      <c r="Y547" s="156"/>
      <c r="Z547" s="156"/>
      <c r="AA547" s="156"/>
      <c r="AB547" s="156"/>
      <c r="AC547" s="157"/>
      <c r="AD547" s="184"/>
    </row>
    <row r="548" spans="3:30" ht="30" customHeight="1" outlineLevel="2" x14ac:dyDescent="0.25">
      <c r="C548" s="114" t="str">
        <f>C546</f>
        <v>J-5</v>
      </c>
      <c r="D548" s="115" t="s">
        <v>46</v>
      </c>
      <c r="E548" s="116">
        <v>2000</v>
      </c>
      <c r="F548" s="116" t="s">
        <v>39</v>
      </c>
      <c r="G548" s="206">
        <v>370.05</v>
      </c>
      <c r="H548" s="206" t="s">
        <v>40</v>
      </c>
      <c r="I548" s="118">
        <v>3.4</v>
      </c>
      <c r="J548" s="119">
        <f t="shared" si="129"/>
        <v>2090.4900000000002</v>
      </c>
      <c r="K548" s="120">
        <f>R548-E548</f>
        <v>21</v>
      </c>
      <c r="L548" s="116">
        <v>10</v>
      </c>
      <c r="M548" s="116">
        <v>6</v>
      </c>
      <c r="N548" s="122">
        <f>+I548*G548</f>
        <v>1258.17</v>
      </c>
      <c r="O548" s="122">
        <f>+N548/L548</f>
        <v>125.81700000000001</v>
      </c>
      <c r="P548" s="122">
        <f>(N548/L548)*M548</f>
        <v>754.90200000000004</v>
      </c>
      <c r="Q548" s="116" t="s">
        <v>41</v>
      </c>
      <c r="R548" s="116">
        <v>2021</v>
      </c>
      <c r="S548" s="124" t="s">
        <v>52</v>
      </c>
      <c r="T548" s="219" t="s">
        <v>517</v>
      </c>
      <c r="U548" s="180"/>
      <c r="V548" s="422"/>
      <c r="W548" s="156"/>
      <c r="X548" s="156"/>
      <c r="Y548" s="156"/>
      <c r="Z548" s="156"/>
      <c r="AA548" s="156"/>
      <c r="AB548" s="156"/>
      <c r="AC548" s="157"/>
      <c r="AD548" s="184"/>
    </row>
    <row r="549" spans="3:30" ht="30" customHeight="1" outlineLevel="2" thickBot="1" x14ac:dyDescent="0.3">
      <c r="C549" s="159" t="str">
        <f>C546</f>
        <v>J-5</v>
      </c>
      <c r="D549" s="160" t="s">
        <v>48</v>
      </c>
      <c r="E549" s="161">
        <v>2000</v>
      </c>
      <c r="F549" s="161" t="s">
        <v>39</v>
      </c>
      <c r="G549" s="162">
        <v>771.49</v>
      </c>
      <c r="H549" s="218" t="s">
        <v>40</v>
      </c>
      <c r="I549" s="261">
        <f>+J549/$S$2</f>
        <v>139.55775496452574</v>
      </c>
      <c r="J549" s="97">
        <f t="shared" ref="J549" si="134">+((95000^(0.364-(0.00000133*G549)))/(G549^(0.364-(0.00000133*95000))))*6500</f>
        <v>85807.085639938654</v>
      </c>
      <c r="K549" s="161" t="s">
        <v>41</v>
      </c>
      <c r="L549" s="161" t="s">
        <v>41</v>
      </c>
      <c r="M549" s="163" t="s">
        <v>41</v>
      </c>
      <c r="N549" s="163" t="s">
        <v>41</v>
      </c>
      <c r="O549" s="163" t="s">
        <v>41</v>
      </c>
      <c r="P549" s="163" t="s">
        <v>41</v>
      </c>
      <c r="Q549" s="171">
        <f>I549*G549</f>
        <v>107667.41237758196</v>
      </c>
      <c r="R549" s="161">
        <v>2021</v>
      </c>
      <c r="S549" s="165" t="s">
        <v>52</v>
      </c>
      <c r="T549" s="219" t="s">
        <v>517</v>
      </c>
      <c r="U549" s="181"/>
      <c r="V549" s="420"/>
      <c r="W549" s="168"/>
      <c r="X549" s="168"/>
      <c r="Y549" s="168"/>
      <c r="Z549" s="168"/>
      <c r="AA549" s="168"/>
      <c r="AB549" s="168"/>
      <c r="AC549" s="169"/>
      <c r="AD549" s="188"/>
    </row>
    <row r="550" spans="3:30" ht="30" customHeight="1" outlineLevel="1" x14ac:dyDescent="0.25">
      <c r="C550" s="103" t="s">
        <v>532</v>
      </c>
      <c r="D550" s="104" t="s">
        <v>530</v>
      </c>
      <c r="E550" s="105">
        <v>2000</v>
      </c>
      <c r="F550" s="105" t="s">
        <v>39</v>
      </c>
      <c r="G550" s="203">
        <f>G553</f>
        <v>771.49</v>
      </c>
      <c r="H550" s="203" t="s">
        <v>40</v>
      </c>
      <c r="I550" s="107">
        <v>1300</v>
      </c>
      <c r="J550" s="108">
        <f t="shared" si="129"/>
        <v>799305</v>
      </c>
      <c r="K550" s="109">
        <f>R550-E550</f>
        <v>21</v>
      </c>
      <c r="L550" s="105">
        <v>50</v>
      </c>
      <c r="M550" s="105">
        <v>35</v>
      </c>
      <c r="N550" s="111">
        <f>+I550*G550</f>
        <v>1002937</v>
      </c>
      <c r="O550" s="111">
        <f>+N550/L550</f>
        <v>20058.740000000002</v>
      </c>
      <c r="P550" s="111">
        <f>(N550/L550)*M550</f>
        <v>702055.9</v>
      </c>
      <c r="Q550" s="105" t="s">
        <v>41</v>
      </c>
      <c r="R550" s="105">
        <v>2021</v>
      </c>
      <c r="S550" s="113" t="s">
        <v>52</v>
      </c>
      <c r="T550" s="219" t="s">
        <v>517</v>
      </c>
      <c r="U550" s="176" t="s">
        <v>532</v>
      </c>
      <c r="V550" s="421" t="s">
        <v>94</v>
      </c>
      <c r="W550" s="178">
        <v>76302357.599999994</v>
      </c>
      <c r="X550" s="178">
        <v>0</v>
      </c>
      <c r="Y550" s="178">
        <v>21301532.719999999</v>
      </c>
      <c r="Z550" s="178">
        <v>27596019.52</v>
      </c>
      <c r="AA550" s="178">
        <v>3109049.7</v>
      </c>
      <c r="AB550" s="178">
        <v>66898821.099999994</v>
      </c>
      <c r="AC550" s="177" t="s">
        <v>533</v>
      </c>
      <c r="AD550" s="205">
        <v>900262</v>
      </c>
    </row>
    <row r="551" spans="3:30" ht="30" customHeight="1" outlineLevel="2" x14ac:dyDescent="0.25">
      <c r="C551" s="114" t="str">
        <f>C550</f>
        <v>J-6</v>
      </c>
      <c r="D551" s="115" t="s">
        <v>44</v>
      </c>
      <c r="E551" s="116">
        <v>2000</v>
      </c>
      <c r="F551" s="116" t="s">
        <v>39</v>
      </c>
      <c r="G551" s="206">
        <v>183.69</v>
      </c>
      <c r="H551" s="206" t="s">
        <v>40</v>
      </c>
      <c r="I551" s="118">
        <v>30.54</v>
      </c>
      <c r="J551" s="119">
        <f t="shared" si="129"/>
        <v>18777.519</v>
      </c>
      <c r="K551" s="120">
        <f>R551-E551</f>
        <v>21</v>
      </c>
      <c r="L551" s="116">
        <v>15</v>
      </c>
      <c r="M551" s="116">
        <v>6</v>
      </c>
      <c r="N551" s="122">
        <f>+I551*G551</f>
        <v>5609.8926000000001</v>
      </c>
      <c r="O551" s="122">
        <f>+N551/L551</f>
        <v>373.99284</v>
      </c>
      <c r="P551" s="122">
        <f>(N551/L551)*M551</f>
        <v>2243.9570400000002</v>
      </c>
      <c r="Q551" s="116" t="s">
        <v>41</v>
      </c>
      <c r="R551" s="116">
        <v>2021</v>
      </c>
      <c r="S551" s="124" t="s">
        <v>52</v>
      </c>
      <c r="T551" s="219" t="s">
        <v>517</v>
      </c>
      <c r="U551" s="180"/>
      <c r="V551" s="422"/>
      <c r="W551" s="156"/>
      <c r="X551" s="156"/>
      <c r="Y551" s="156"/>
      <c r="Z551" s="156"/>
      <c r="AA551" s="156"/>
      <c r="AB551" s="156"/>
      <c r="AC551" s="157"/>
      <c r="AD551" s="184"/>
    </row>
    <row r="552" spans="3:30" ht="30" customHeight="1" outlineLevel="2" x14ac:dyDescent="0.25">
      <c r="C552" s="114" t="str">
        <f>C550</f>
        <v>J-6</v>
      </c>
      <c r="D552" s="115" t="s">
        <v>46</v>
      </c>
      <c r="E552" s="116">
        <v>2000</v>
      </c>
      <c r="F552" s="116" t="s">
        <v>39</v>
      </c>
      <c r="G552" s="206">
        <v>370.05</v>
      </c>
      <c r="H552" s="206" t="s">
        <v>40</v>
      </c>
      <c r="I552" s="118">
        <v>3.4</v>
      </c>
      <c r="J552" s="119">
        <f t="shared" si="129"/>
        <v>2090.4900000000002</v>
      </c>
      <c r="K552" s="120">
        <f>R552-E552</f>
        <v>21</v>
      </c>
      <c r="L552" s="116">
        <v>10</v>
      </c>
      <c r="M552" s="116">
        <v>6</v>
      </c>
      <c r="N552" s="122">
        <f>+I552*G552</f>
        <v>1258.17</v>
      </c>
      <c r="O552" s="122">
        <f>+N552/L552</f>
        <v>125.81700000000001</v>
      </c>
      <c r="P552" s="122">
        <f>(N552/L552)*M552</f>
        <v>754.90200000000004</v>
      </c>
      <c r="Q552" s="116" t="s">
        <v>41</v>
      </c>
      <c r="R552" s="116">
        <v>2021</v>
      </c>
      <c r="S552" s="124" t="s">
        <v>52</v>
      </c>
      <c r="T552" s="219" t="s">
        <v>517</v>
      </c>
      <c r="U552" s="180"/>
      <c r="V552" s="422"/>
      <c r="W552" s="156"/>
      <c r="X552" s="156"/>
      <c r="Y552" s="156"/>
      <c r="Z552" s="156"/>
      <c r="AA552" s="156"/>
      <c r="AB552" s="156"/>
      <c r="AC552" s="157"/>
      <c r="AD552" s="184"/>
    </row>
    <row r="553" spans="3:30" ht="30" customHeight="1" outlineLevel="2" thickBot="1" x14ac:dyDescent="0.3">
      <c r="C553" s="159" t="str">
        <f>C550</f>
        <v>J-6</v>
      </c>
      <c r="D553" s="160" t="s">
        <v>48</v>
      </c>
      <c r="E553" s="161">
        <v>2000</v>
      </c>
      <c r="F553" s="161" t="s">
        <v>39</v>
      </c>
      <c r="G553" s="162">
        <v>771.49</v>
      </c>
      <c r="H553" s="218" t="s">
        <v>40</v>
      </c>
      <c r="I553" s="261">
        <f>+J553/$S$2</f>
        <v>139.55775496452574</v>
      </c>
      <c r="J553" s="97">
        <f t="shared" ref="J553" si="135">+((95000^(0.364-(0.00000133*G553)))/(G553^(0.364-(0.00000133*95000))))*6500</f>
        <v>85807.085639938654</v>
      </c>
      <c r="K553" s="161" t="s">
        <v>41</v>
      </c>
      <c r="L553" s="161" t="s">
        <v>41</v>
      </c>
      <c r="M553" s="163" t="s">
        <v>41</v>
      </c>
      <c r="N553" s="163" t="s">
        <v>41</v>
      </c>
      <c r="O553" s="163" t="s">
        <v>41</v>
      </c>
      <c r="P553" s="163" t="s">
        <v>41</v>
      </c>
      <c r="Q553" s="171">
        <f>I553*G553</f>
        <v>107667.41237758196</v>
      </c>
      <c r="R553" s="161">
        <v>2021</v>
      </c>
      <c r="S553" s="165" t="s">
        <v>52</v>
      </c>
      <c r="T553" s="219" t="s">
        <v>517</v>
      </c>
      <c r="U553" s="181"/>
      <c r="V553" s="420"/>
      <c r="W553" s="168"/>
      <c r="X553" s="168"/>
      <c r="Y553" s="168"/>
      <c r="Z553" s="168"/>
      <c r="AA553" s="168"/>
      <c r="AB553" s="168"/>
      <c r="AC553" s="169"/>
      <c r="AD553" s="188"/>
    </row>
    <row r="554" spans="3:30" ht="30" customHeight="1" outlineLevel="1" x14ac:dyDescent="0.25">
      <c r="C554" s="103" t="s">
        <v>534</v>
      </c>
      <c r="D554" s="104" t="s">
        <v>535</v>
      </c>
      <c r="E554" s="105">
        <v>2016</v>
      </c>
      <c r="F554" s="105" t="s">
        <v>39</v>
      </c>
      <c r="G554" s="203">
        <f>G557+970.66+969.19+969.19</f>
        <v>3849.13</v>
      </c>
      <c r="H554" s="203" t="s">
        <v>40</v>
      </c>
      <c r="I554" s="107">
        <v>1550</v>
      </c>
      <c r="J554" s="108">
        <f t="shared" si="129"/>
        <v>953017.5</v>
      </c>
      <c r="K554" s="109">
        <f>R554-E554</f>
        <v>5</v>
      </c>
      <c r="L554" s="105">
        <v>50</v>
      </c>
      <c r="M554" s="105">
        <v>46</v>
      </c>
      <c r="N554" s="111">
        <f>+I554*G554</f>
        <v>5966151.5</v>
      </c>
      <c r="O554" s="111">
        <f>+N554/L554</f>
        <v>119323.03</v>
      </c>
      <c r="P554" s="111">
        <f>(N554/L554)*M554</f>
        <v>5488859.3799999999</v>
      </c>
      <c r="Q554" s="105" t="s">
        <v>41</v>
      </c>
      <c r="R554" s="105">
        <v>2021</v>
      </c>
      <c r="S554" s="113" t="s">
        <v>52</v>
      </c>
      <c r="T554" s="219" t="s">
        <v>517</v>
      </c>
      <c r="U554" s="176" t="s">
        <v>534</v>
      </c>
      <c r="V554" s="189" t="s">
        <v>536</v>
      </c>
      <c r="W554" s="178">
        <v>3262613222.8000002</v>
      </c>
      <c r="X554" s="178">
        <v>0</v>
      </c>
      <c r="Y554" s="178">
        <v>0</v>
      </c>
      <c r="Z554" s="178">
        <v>195756793.25</v>
      </c>
      <c r="AA554" s="178">
        <v>0</v>
      </c>
      <c r="AB554" s="178">
        <v>3066856429.5500002</v>
      </c>
      <c r="AC554" s="177" t="s">
        <v>537</v>
      </c>
      <c r="AD554" s="205">
        <v>900379</v>
      </c>
    </row>
    <row r="555" spans="3:30" ht="30" customHeight="1" outlineLevel="2" x14ac:dyDescent="0.25">
      <c r="C555" s="114" t="str">
        <f>C554</f>
        <v>J-7</v>
      </c>
      <c r="D555" s="115" t="s">
        <v>44</v>
      </c>
      <c r="E555" s="116">
        <v>2016</v>
      </c>
      <c r="F555" s="116" t="s">
        <v>39</v>
      </c>
      <c r="G555" s="206">
        <v>519.51</v>
      </c>
      <c r="H555" s="206" t="s">
        <v>40</v>
      </c>
      <c r="I555" s="118">
        <v>30.54</v>
      </c>
      <c r="J555" s="119">
        <f t="shared" si="129"/>
        <v>18777.519</v>
      </c>
      <c r="K555" s="120">
        <f>R555-E555</f>
        <v>5</v>
      </c>
      <c r="L555" s="116">
        <v>15</v>
      </c>
      <c r="M555" s="116">
        <v>12</v>
      </c>
      <c r="N555" s="122">
        <f>+I555*G555</f>
        <v>15865.8354</v>
      </c>
      <c r="O555" s="122">
        <f>+N555/L555</f>
        <v>1057.72236</v>
      </c>
      <c r="P555" s="122">
        <f>(N555/L555)*M555</f>
        <v>12692.668320000001</v>
      </c>
      <c r="Q555" s="116" t="s">
        <v>41</v>
      </c>
      <c r="R555" s="116">
        <v>2021</v>
      </c>
      <c r="S555" s="124" t="s">
        <v>52</v>
      </c>
      <c r="T555" s="219" t="s">
        <v>517</v>
      </c>
      <c r="U555" s="180"/>
      <c r="V555" s="155"/>
      <c r="W555" s="156"/>
      <c r="X555" s="156"/>
      <c r="Y555" s="156"/>
      <c r="Z555" s="156"/>
      <c r="AA555" s="156"/>
      <c r="AB555" s="156"/>
      <c r="AC555" s="157"/>
      <c r="AD555" s="184"/>
    </row>
    <row r="556" spans="3:30" ht="30" customHeight="1" outlineLevel="2" x14ac:dyDescent="0.25">
      <c r="C556" s="114" t="str">
        <f>C554</f>
        <v>J-7</v>
      </c>
      <c r="D556" s="115" t="s">
        <v>46</v>
      </c>
      <c r="E556" s="116">
        <v>2016</v>
      </c>
      <c r="F556" s="116" t="s">
        <v>39</v>
      </c>
      <c r="G556" s="206">
        <v>745.54</v>
      </c>
      <c r="H556" s="206" t="s">
        <v>40</v>
      </c>
      <c r="I556" s="118">
        <v>3.4</v>
      </c>
      <c r="J556" s="119">
        <f t="shared" si="129"/>
        <v>2090.4900000000002</v>
      </c>
      <c r="K556" s="120">
        <f>R556-E556</f>
        <v>5</v>
      </c>
      <c r="L556" s="116">
        <v>10</v>
      </c>
      <c r="M556" s="116">
        <v>8</v>
      </c>
      <c r="N556" s="122">
        <f>+I556*G556</f>
        <v>2534.8359999999998</v>
      </c>
      <c r="O556" s="122">
        <f>+N556/L556</f>
        <v>253.48359999999997</v>
      </c>
      <c r="P556" s="122">
        <f>(N556/L556)*M556</f>
        <v>2027.8687999999997</v>
      </c>
      <c r="Q556" s="116" t="s">
        <v>41</v>
      </c>
      <c r="R556" s="116">
        <v>2021</v>
      </c>
      <c r="S556" s="124" t="s">
        <v>52</v>
      </c>
      <c r="T556" s="219" t="s">
        <v>517</v>
      </c>
      <c r="U556" s="180"/>
      <c r="V556" s="155"/>
      <c r="W556" s="156"/>
      <c r="X556" s="156"/>
      <c r="Y556" s="156"/>
      <c r="Z556" s="156"/>
      <c r="AA556" s="156"/>
      <c r="AB556" s="156"/>
      <c r="AC556" s="157"/>
      <c r="AD556" s="184"/>
    </row>
    <row r="557" spans="3:30" ht="30" customHeight="1" outlineLevel="2" thickBot="1" x14ac:dyDescent="0.3">
      <c r="C557" s="159" t="str">
        <f>C554</f>
        <v>J-7</v>
      </c>
      <c r="D557" s="160" t="s">
        <v>48</v>
      </c>
      <c r="E557" s="161">
        <v>2016</v>
      </c>
      <c r="F557" s="161" t="s">
        <v>39</v>
      </c>
      <c r="G557" s="162">
        <v>940.09</v>
      </c>
      <c r="H557" s="218" t="s">
        <v>40</v>
      </c>
      <c r="I557" s="261">
        <f>+J557/$S$2</f>
        <v>132.81224257654037</v>
      </c>
      <c r="J557" s="97">
        <f t="shared" ref="J557" si="136">+((95000^(0.364-(0.00000133*G557)))/(G557^(0.364-(0.00000133*95000))))*6500</f>
        <v>81659.607348185848</v>
      </c>
      <c r="K557" s="161" t="s">
        <v>41</v>
      </c>
      <c r="L557" s="161" t="s">
        <v>41</v>
      </c>
      <c r="M557" s="163" t="s">
        <v>41</v>
      </c>
      <c r="N557" s="163" t="s">
        <v>41</v>
      </c>
      <c r="O557" s="163" t="s">
        <v>41</v>
      </c>
      <c r="P557" s="163" t="s">
        <v>41</v>
      </c>
      <c r="Q557" s="171">
        <f>I557*G557</f>
        <v>124855.46112377984</v>
      </c>
      <c r="R557" s="161">
        <v>2021</v>
      </c>
      <c r="S557" s="165" t="s">
        <v>52</v>
      </c>
      <c r="T557" s="219" t="s">
        <v>517</v>
      </c>
      <c r="U557" s="181"/>
      <c r="V557" s="167"/>
      <c r="W557" s="168"/>
      <c r="X557" s="168"/>
      <c r="Y557" s="168"/>
      <c r="Z557" s="168"/>
      <c r="AA557" s="168"/>
      <c r="AB557" s="168"/>
      <c r="AC557" s="169"/>
      <c r="AD557" s="188"/>
    </row>
    <row r="558" spans="3:30" ht="30" customHeight="1" outlineLevel="1" x14ac:dyDescent="0.25">
      <c r="C558" s="103" t="s">
        <v>538</v>
      </c>
      <c r="D558" s="104" t="s">
        <v>539</v>
      </c>
      <c r="E558" s="105">
        <v>2016</v>
      </c>
      <c r="F558" s="105" t="s">
        <v>39</v>
      </c>
      <c r="G558" s="203">
        <f>G561</f>
        <v>55.5</v>
      </c>
      <c r="H558" s="203" t="s">
        <v>40</v>
      </c>
      <c r="I558" s="107">
        <v>1550</v>
      </c>
      <c r="J558" s="108">
        <f t="shared" ref="J558:J564" si="137">I558*$S$2</f>
        <v>953017.5</v>
      </c>
      <c r="K558" s="109">
        <f>R558-E558</f>
        <v>5</v>
      </c>
      <c r="L558" s="105">
        <v>50</v>
      </c>
      <c r="M558" s="105">
        <v>46</v>
      </c>
      <c r="N558" s="111">
        <f>+I558*G558</f>
        <v>86025</v>
      </c>
      <c r="O558" s="111">
        <f>+N558/L558</f>
        <v>1720.5</v>
      </c>
      <c r="P558" s="111">
        <f>(N558/L558)*M558</f>
        <v>79143</v>
      </c>
      <c r="Q558" s="105" t="s">
        <v>41</v>
      </c>
      <c r="R558" s="105">
        <v>2021</v>
      </c>
      <c r="S558" s="113" t="s">
        <v>52</v>
      </c>
      <c r="T558" s="219" t="s">
        <v>517</v>
      </c>
      <c r="U558" s="176" t="s">
        <v>534</v>
      </c>
      <c r="V558" s="189" t="s">
        <v>536</v>
      </c>
      <c r="W558" s="178">
        <v>3262613222.8000002</v>
      </c>
      <c r="X558" s="178">
        <v>0</v>
      </c>
      <c r="Y558" s="178">
        <v>0</v>
      </c>
      <c r="Z558" s="178">
        <v>195756793.25</v>
      </c>
      <c r="AA558" s="178">
        <v>0</v>
      </c>
      <c r="AB558" s="178">
        <v>3066856429.5500002</v>
      </c>
      <c r="AC558" s="177" t="s">
        <v>537</v>
      </c>
      <c r="AD558" s="205">
        <v>900379</v>
      </c>
    </row>
    <row r="559" spans="3:30" ht="30" customHeight="1" outlineLevel="2" x14ac:dyDescent="0.25">
      <c r="C559" s="114" t="str">
        <f>C558</f>
        <v>J-8</v>
      </c>
      <c r="D559" s="115" t="s">
        <v>44</v>
      </c>
      <c r="E559" s="116">
        <v>2016</v>
      </c>
      <c r="F559" s="116" t="s">
        <v>39</v>
      </c>
      <c r="G559" s="206">
        <v>42.61</v>
      </c>
      <c r="H559" s="206" t="s">
        <v>40</v>
      </c>
      <c r="I559" s="118">
        <v>30.54</v>
      </c>
      <c r="J559" s="119">
        <f t="shared" si="137"/>
        <v>18777.519</v>
      </c>
      <c r="K559" s="120">
        <f>R559-E559</f>
        <v>5</v>
      </c>
      <c r="L559" s="116">
        <v>15</v>
      </c>
      <c r="M559" s="116">
        <v>12</v>
      </c>
      <c r="N559" s="122">
        <f>+I559*G559</f>
        <v>1301.3093999999999</v>
      </c>
      <c r="O559" s="122">
        <f>+N559/L559</f>
        <v>86.753959999999992</v>
      </c>
      <c r="P559" s="122">
        <f>(N559/L559)*M559</f>
        <v>1041.0475199999998</v>
      </c>
      <c r="Q559" s="116" t="s">
        <v>41</v>
      </c>
      <c r="R559" s="116">
        <v>2021</v>
      </c>
      <c r="S559" s="124" t="s">
        <v>52</v>
      </c>
      <c r="T559" s="219" t="s">
        <v>517</v>
      </c>
      <c r="U559" s="180"/>
      <c r="V559" s="155"/>
      <c r="W559" s="156"/>
      <c r="X559" s="156"/>
      <c r="Y559" s="156"/>
      <c r="Z559" s="156"/>
      <c r="AA559" s="156"/>
      <c r="AB559" s="156"/>
      <c r="AC559" s="157"/>
      <c r="AD559" s="184"/>
    </row>
    <row r="560" spans="3:30" ht="30" customHeight="1" outlineLevel="2" x14ac:dyDescent="0.25">
      <c r="C560" s="114" t="str">
        <f>C558</f>
        <v>J-8</v>
      </c>
      <c r="D560" s="115" t="s">
        <v>46</v>
      </c>
      <c r="E560" s="116">
        <v>2016</v>
      </c>
      <c r="F560" s="116" t="s">
        <v>39</v>
      </c>
      <c r="G560" s="206">
        <v>93.23</v>
      </c>
      <c r="H560" s="206" t="s">
        <v>40</v>
      </c>
      <c r="I560" s="118">
        <v>3.4</v>
      </c>
      <c r="J560" s="119">
        <f t="shared" si="137"/>
        <v>2090.4900000000002</v>
      </c>
      <c r="K560" s="120">
        <f>R560-E560</f>
        <v>5</v>
      </c>
      <c r="L560" s="116">
        <v>10</v>
      </c>
      <c r="M560" s="116">
        <v>8</v>
      </c>
      <c r="N560" s="122">
        <f>+I560*G560</f>
        <v>316.98200000000003</v>
      </c>
      <c r="O560" s="122">
        <f>+N560/L560</f>
        <v>31.698200000000003</v>
      </c>
      <c r="P560" s="122">
        <f>(N560/L560)*M560</f>
        <v>253.58560000000003</v>
      </c>
      <c r="Q560" s="116" t="s">
        <v>41</v>
      </c>
      <c r="R560" s="116">
        <v>2021</v>
      </c>
      <c r="S560" s="124" t="s">
        <v>52</v>
      </c>
      <c r="T560" s="219" t="s">
        <v>517</v>
      </c>
      <c r="U560" s="180"/>
      <c r="V560" s="155"/>
      <c r="W560" s="156"/>
      <c r="X560" s="156"/>
      <c r="Y560" s="156"/>
      <c r="Z560" s="156"/>
      <c r="AA560" s="156"/>
      <c r="AB560" s="156"/>
      <c r="AC560" s="157"/>
      <c r="AD560" s="184"/>
    </row>
    <row r="561" spans="2:30" ht="30" customHeight="1" outlineLevel="2" thickBot="1" x14ac:dyDescent="0.3">
      <c r="C561" s="159" t="str">
        <f>C558</f>
        <v>J-8</v>
      </c>
      <c r="D561" s="160" t="s">
        <v>48</v>
      </c>
      <c r="E561" s="161">
        <v>2016</v>
      </c>
      <c r="F561" s="161" t="s">
        <v>39</v>
      </c>
      <c r="G561" s="162">
        <v>55.5</v>
      </c>
      <c r="H561" s="218" t="s">
        <v>40</v>
      </c>
      <c r="I561" s="261">
        <f>+J561/$S$2</f>
        <v>263.71626333870722</v>
      </c>
      <c r="J561" s="97">
        <f t="shared" ref="J561" si="138">+((95000^(0.364-(0.00000133*G561)))/(G561^(0.364-(0.00000133*95000))))*6500</f>
        <v>162145.94451380413</v>
      </c>
      <c r="K561" s="161" t="s">
        <v>41</v>
      </c>
      <c r="L561" s="161" t="s">
        <v>41</v>
      </c>
      <c r="M561" s="163" t="s">
        <v>41</v>
      </c>
      <c r="N561" s="163" t="s">
        <v>41</v>
      </c>
      <c r="O561" s="163" t="s">
        <v>41</v>
      </c>
      <c r="P561" s="163" t="s">
        <v>41</v>
      </c>
      <c r="Q561" s="171">
        <f>I561*G561</f>
        <v>14636.25261529825</v>
      </c>
      <c r="R561" s="161">
        <v>2021</v>
      </c>
      <c r="S561" s="165" t="s">
        <v>52</v>
      </c>
      <c r="T561" s="219" t="s">
        <v>517</v>
      </c>
      <c r="U561" s="181"/>
      <c r="V561" s="167"/>
      <c r="W561" s="168"/>
      <c r="X561" s="168"/>
      <c r="Y561" s="168"/>
      <c r="Z561" s="168"/>
      <c r="AA561" s="168"/>
      <c r="AB561" s="168"/>
      <c r="AC561" s="169"/>
      <c r="AD561" s="188"/>
    </row>
    <row r="562" spans="2:30" ht="30" customHeight="1" outlineLevel="1" collapsed="1" x14ac:dyDescent="0.25">
      <c r="C562" s="103" t="s">
        <v>540</v>
      </c>
      <c r="D562" s="104" t="s">
        <v>541</v>
      </c>
      <c r="E562" s="105">
        <v>2000</v>
      </c>
      <c r="F562" s="105" t="s">
        <v>39</v>
      </c>
      <c r="G562" s="203">
        <f>G565</f>
        <v>48.38</v>
      </c>
      <c r="H562" s="203" t="s">
        <v>40</v>
      </c>
      <c r="I562" s="107">
        <v>800</v>
      </c>
      <c r="J562" s="108">
        <f t="shared" si="137"/>
        <v>491880</v>
      </c>
      <c r="K562" s="109">
        <f>R562-E562</f>
        <v>21</v>
      </c>
      <c r="L562" s="105">
        <v>50</v>
      </c>
      <c r="M562" s="105">
        <v>35</v>
      </c>
      <c r="N562" s="111">
        <f>+I562*G562</f>
        <v>38704</v>
      </c>
      <c r="O562" s="111">
        <f>+N562/L562</f>
        <v>774.08</v>
      </c>
      <c r="P562" s="111">
        <f>(N562/L562)*M562</f>
        <v>27092.800000000003</v>
      </c>
      <c r="Q562" s="105" t="s">
        <v>41</v>
      </c>
      <c r="R562" s="105">
        <v>2021</v>
      </c>
      <c r="S562" s="113" t="s">
        <v>52</v>
      </c>
      <c r="T562" s="219" t="s">
        <v>517</v>
      </c>
      <c r="U562" s="176" t="s">
        <v>525</v>
      </c>
      <c r="V562" s="189" t="s">
        <v>527</v>
      </c>
      <c r="W562" s="178">
        <v>2972430</v>
      </c>
      <c r="X562" s="178">
        <v>0</v>
      </c>
      <c r="Y562" s="178">
        <v>11278244.630000001</v>
      </c>
      <c r="Z562" s="178">
        <v>1253374.6499999999</v>
      </c>
      <c r="AA562" s="178">
        <v>1680496.29</v>
      </c>
      <c r="AB562" s="178">
        <v>11316803.690000001</v>
      </c>
      <c r="AC562" s="177" t="s">
        <v>528</v>
      </c>
      <c r="AD562" s="205">
        <v>900260</v>
      </c>
    </row>
    <row r="563" spans="2:30" ht="30" customHeight="1" outlineLevel="1" x14ac:dyDescent="0.25">
      <c r="C563" s="114" t="str">
        <f>C562</f>
        <v>J-9</v>
      </c>
      <c r="D563" s="115" t="s">
        <v>44</v>
      </c>
      <c r="E563" s="116">
        <v>2000</v>
      </c>
      <c r="F563" s="116" t="s">
        <v>39</v>
      </c>
      <c r="G563" s="206">
        <v>81.14</v>
      </c>
      <c r="H563" s="206" t="s">
        <v>40</v>
      </c>
      <c r="I563" s="118">
        <v>30.54</v>
      </c>
      <c r="J563" s="119">
        <f t="shared" si="137"/>
        <v>18777.519</v>
      </c>
      <c r="K563" s="120">
        <f>R563-E563</f>
        <v>21</v>
      </c>
      <c r="L563" s="116">
        <v>15</v>
      </c>
      <c r="M563" s="116">
        <v>6</v>
      </c>
      <c r="N563" s="122">
        <f>+I563*G563</f>
        <v>2478.0155999999997</v>
      </c>
      <c r="O563" s="122">
        <f>+N563/L563</f>
        <v>165.20103999999998</v>
      </c>
      <c r="P563" s="122">
        <f>(N563/L563)*M563</f>
        <v>991.20623999999987</v>
      </c>
      <c r="Q563" s="116" t="s">
        <v>41</v>
      </c>
      <c r="R563" s="116">
        <v>2021</v>
      </c>
      <c r="S563" s="124" t="s">
        <v>52</v>
      </c>
      <c r="T563" s="219" t="s">
        <v>517</v>
      </c>
      <c r="U563" s="180"/>
      <c r="V563" s="155"/>
      <c r="W563" s="156"/>
      <c r="X563" s="156"/>
      <c r="Y563" s="156"/>
      <c r="Z563" s="156"/>
      <c r="AA563" s="156"/>
      <c r="AB563" s="156"/>
      <c r="AC563" s="157"/>
      <c r="AD563" s="184"/>
    </row>
    <row r="564" spans="2:30" ht="30" customHeight="1" outlineLevel="1" x14ac:dyDescent="0.25">
      <c r="C564" s="114" t="str">
        <f>C562</f>
        <v>J-9</v>
      </c>
      <c r="D564" s="115" t="s">
        <v>46</v>
      </c>
      <c r="E564" s="116">
        <v>2000</v>
      </c>
      <c r="F564" s="116" t="s">
        <v>39</v>
      </c>
      <c r="G564" s="206">
        <v>121.9</v>
      </c>
      <c r="H564" s="206" t="s">
        <v>40</v>
      </c>
      <c r="I564" s="118">
        <v>3.4</v>
      </c>
      <c r="J564" s="119">
        <f t="shared" si="137"/>
        <v>2090.4900000000002</v>
      </c>
      <c r="K564" s="120">
        <f>R564-E564</f>
        <v>21</v>
      </c>
      <c r="L564" s="116">
        <v>10</v>
      </c>
      <c r="M564" s="116">
        <v>6</v>
      </c>
      <c r="N564" s="122">
        <f>+I564*G564</f>
        <v>414.46000000000004</v>
      </c>
      <c r="O564" s="122">
        <f>+N564/L564</f>
        <v>41.446000000000005</v>
      </c>
      <c r="P564" s="122">
        <f>(N564/L564)*M564</f>
        <v>248.67600000000004</v>
      </c>
      <c r="Q564" s="116" t="s">
        <v>41</v>
      </c>
      <c r="R564" s="116">
        <v>2021</v>
      </c>
      <c r="S564" s="124" t="s">
        <v>52</v>
      </c>
      <c r="T564" s="219" t="s">
        <v>517</v>
      </c>
      <c r="U564" s="180"/>
      <c r="V564" s="155"/>
      <c r="W564" s="156"/>
      <c r="X564" s="156"/>
      <c r="Y564" s="156"/>
      <c r="Z564" s="156"/>
      <c r="AA564" s="156"/>
      <c r="AB564" s="156"/>
      <c r="AC564" s="157"/>
      <c r="AD564" s="184"/>
    </row>
    <row r="565" spans="2:30" ht="30" customHeight="1" outlineLevel="1" thickBot="1" x14ac:dyDescent="0.3">
      <c r="B565" s="1">
        <v>9</v>
      </c>
      <c r="C565" s="159" t="str">
        <f>C562</f>
        <v>J-9</v>
      </c>
      <c r="D565" s="160" t="s">
        <v>48</v>
      </c>
      <c r="E565" s="161">
        <v>2000</v>
      </c>
      <c r="F565" s="161" t="s">
        <v>39</v>
      </c>
      <c r="G565" s="162">
        <v>48.38</v>
      </c>
      <c r="H565" s="218" t="s">
        <v>40</v>
      </c>
      <c r="I565" s="261">
        <f>+J565/$S$2</f>
        <v>272.49242596528791</v>
      </c>
      <c r="J565" s="97">
        <f t="shared" ref="J565" si="139">+((95000^(0.364-(0.00000133*G565)))/(G565^(0.364-(0.00000133*95000))))*6500</f>
        <v>167541.96810475728</v>
      </c>
      <c r="K565" s="161" t="s">
        <v>41</v>
      </c>
      <c r="L565" s="161" t="s">
        <v>41</v>
      </c>
      <c r="M565" s="163" t="s">
        <v>41</v>
      </c>
      <c r="N565" s="163" t="s">
        <v>41</v>
      </c>
      <c r="O565" s="163" t="s">
        <v>41</v>
      </c>
      <c r="P565" s="163" t="s">
        <v>41</v>
      </c>
      <c r="Q565" s="171">
        <f>I565*G565</f>
        <v>13183.183568200629</v>
      </c>
      <c r="R565" s="161">
        <v>2021</v>
      </c>
      <c r="S565" s="165" t="s">
        <v>52</v>
      </c>
      <c r="T565" s="219" t="s">
        <v>517</v>
      </c>
      <c r="U565" s="181"/>
      <c r="V565" s="167"/>
      <c r="W565" s="168"/>
      <c r="X565" s="168"/>
      <c r="Y565" s="168"/>
      <c r="Z565" s="168"/>
      <c r="AA565" s="168"/>
      <c r="AB565" s="168"/>
      <c r="AC565" s="169"/>
      <c r="AD565" s="188"/>
    </row>
    <row r="566" spans="2:30" ht="16.5" hidden="1" thickBot="1" x14ac:dyDescent="0.3">
      <c r="C566" s="262" t="s">
        <v>6</v>
      </c>
      <c r="D566" s="417" t="s">
        <v>542</v>
      </c>
      <c r="E566" s="210"/>
      <c r="F566" s="210"/>
      <c r="G566" s="210"/>
      <c r="H566" s="210"/>
      <c r="I566" s="213"/>
      <c r="J566" s="210"/>
      <c r="K566" s="210"/>
      <c r="L566" s="210"/>
      <c r="M566" s="210"/>
      <c r="N566" s="210"/>
      <c r="O566" s="210"/>
      <c r="P566" s="210"/>
      <c r="Q566" s="210"/>
      <c r="R566" s="210"/>
      <c r="S566" s="214"/>
      <c r="U566" s="264" t="s">
        <v>542</v>
      </c>
      <c r="V566" s="216"/>
      <c r="W566" s="216"/>
      <c r="X566" s="216"/>
      <c r="Y566" s="216"/>
      <c r="Z566" s="217"/>
      <c r="AA566" s="217"/>
      <c r="AB566" s="217"/>
      <c r="AC566" s="216"/>
      <c r="AD566" s="216"/>
    </row>
    <row r="567" spans="2:30" s="7" customFormat="1" ht="30" customHeight="1" outlineLevel="1" x14ac:dyDescent="0.25">
      <c r="C567" s="436" t="s">
        <v>543</v>
      </c>
      <c r="D567" s="104" t="s">
        <v>544</v>
      </c>
      <c r="E567" s="323">
        <v>2017</v>
      </c>
      <c r="F567" s="323" t="s">
        <v>39</v>
      </c>
      <c r="G567" s="437">
        <f>G570+1020.94*4+1054.76</f>
        <v>6174.84</v>
      </c>
      <c r="H567" s="437" t="s">
        <v>40</v>
      </c>
      <c r="I567" s="438">
        <v>1268.02</v>
      </c>
      <c r="J567" s="439">
        <f t="shared" ref="J567:J605" si="140">I567*$S$2</f>
        <v>779642.09700000007</v>
      </c>
      <c r="K567" s="440">
        <f>R567-E567</f>
        <v>4</v>
      </c>
      <c r="L567" s="323">
        <v>50</v>
      </c>
      <c r="M567" s="323">
        <v>47</v>
      </c>
      <c r="N567" s="441">
        <f>+I567*G567</f>
        <v>7829820.6168</v>
      </c>
      <c r="O567" s="441">
        <f>+N567/L567</f>
        <v>156596.41233600001</v>
      </c>
      <c r="P567" s="441">
        <f>(N567/L567)*M567</f>
        <v>7360031.3797920002</v>
      </c>
      <c r="Q567" s="323" t="s">
        <v>41</v>
      </c>
      <c r="R567" s="323">
        <v>2021</v>
      </c>
      <c r="S567" s="113" t="s">
        <v>52</v>
      </c>
      <c r="U567" s="176" t="s">
        <v>543</v>
      </c>
      <c r="V567" s="421" t="s">
        <v>545</v>
      </c>
      <c r="W567" s="178">
        <v>3755501297.46</v>
      </c>
      <c r="X567" s="178">
        <v>0</v>
      </c>
      <c r="Y567" s="178">
        <v>2558709.33</v>
      </c>
      <c r="Z567" s="178">
        <v>194034233.69999999</v>
      </c>
      <c r="AA567" s="178">
        <v>4488.96</v>
      </c>
      <c r="AB567" s="178">
        <v>3564021284.1300001</v>
      </c>
      <c r="AC567" s="177" t="s">
        <v>546</v>
      </c>
      <c r="AD567" s="205">
        <v>900380</v>
      </c>
    </row>
    <row r="568" spans="2:30" s="7" customFormat="1" ht="30" customHeight="1" outlineLevel="2" x14ac:dyDescent="0.25">
      <c r="C568" s="442" t="str">
        <f>C567</f>
        <v>K-1</v>
      </c>
      <c r="D568" s="115" t="s">
        <v>44</v>
      </c>
      <c r="E568" s="187">
        <v>2017</v>
      </c>
      <c r="F568" s="187" t="s">
        <v>39</v>
      </c>
      <c r="G568" s="443">
        <v>251.94</v>
      </c>
      <c r="H568" s="443" t="s">
        <v>40</v>
      </c>
      <c r="I568" s="444">
        <v>30.54</v>
      </c>
      <c r="J568" s="445">
        <f t="shared" si="140"/>
        <v>18777.519</v>
      </c>
      <c r="K568" s="446">
        <f>R568-E568</f>
        <v>4</v>
      </c>
      <c r="L568" s="187">
        <v>15</v>
      </c>
      <c r="M568" s="187">
        <v>12</v>
      </c>
      <c r="N568" s="447">
        <f>+I568*G568</f>
        <v>7694.2475999999997</v>
      </c>
      <c r="O568" s="447">
        <f>+N568/L568</f>
        <v>512.94983999999999</v>
      </c>
      <c r="P568" s="447">
        <f>(N568/L568)*M568</f>
        <v>6155.3980799999999</v>
      </c>
      <c r="Q568" s="187" t="s">
        <v>41</v>
      </c>
      <c r="R568" s="187">
        <v>2021</v>
      </c>
      <c r="S568" s="124" t="s">
        <v>52</v>
      </c>
      <c r="U568" s="180"/>
      <c r="V568" s="422"/>
      <c r="W568" s="156"/>
      <c r="X568" s="156"/>
      <c r="Y568" s="156"/>
      <c r="Z568" s="156"/>
      <c r="AA568" s="156"/>
      <c r="AB568" s="156"/>
      <c r="AC568" s="157"/>
      <c r="AD568" s="184"/>
    </row>
    <row r="569" spans="2:30" s="7" customFormat="1" ht="30" customHeight="1" outlineLevel="2" x14ac:dyDescent="0.25">
      <c r="C569" s="442" t="str">
        <f>C567</f>
        <v>K-1</v>
      </c>
      <c r="D569" s="115" t="s">
        <v>46</v>
      </c>
      <c r="E569" s="187">
        <v>2017</v>
      </c>
      <c r="F569" s="187" t="s">
        <v>39</v>
      </c>
      <c r="G569" s="443">
        <v>503.47</v>
      </c>
      <c r="H569" s="443" t="s">
        <v>40</v>
      </c>
      <c r="I569" s="444">
        <v>3.4</v>
      </c>
      <c r="J569" s="445">
        <f t="shared" si="140"/>
        <v>2090.4900000000002</v>
      </c>
      <c r="K569" s="446">
        <f>R569-E569</f>
        <v>4</v>
      </c>
      <c r="L569" s="187">
        <v>10</v>
      </c>
      <c r="M569" s="187">
        <v>10</v>
      </c>
      <c r="N569" s="447">
        <f>+I569*G569</f>
        <v>1711.798</v>
      </c>
      <c r="O569" s="447">
        <f>+N569/L569</f>
        <v>171.1798</v>
      </c>
      <c r="P569" s="447">
        <f>(N569/L569)*M569</f>
        <v>1711.798</v>
      </c>
      <c r="Q569" s="187" t="s">
        <v>41</v>
      </c>
      <c r="R569" s="187">
        <v>2021</v>
      </c>
      <c r="S569" s="124" t="s">
        <v>52</v>
      </c>
      <c r="U569" s="180"/>
      <c r="V569" s="422"/>
      <c r="W569" s="156"/>
      <c r="X569" s="156"/>
      <c r="Y569" s="156"/>
      <c r="Z569" s="156"/>
      <c r="AA569" s="156"/>
      <c r="AB569" s="156"/>
      <c r="AC569" s="157"/>
      <c r="AD569" s="184"/>
    </row>
    <row r="570" spans="2:30" s="7" customFormat="1" ht="30" customHeight="1" outlineLevel="2" thickBot="1" x14ac:dyDescent="0.3">
      <c r="C570" s="448" t="str">
        <f>C567</f>
        <v>K-1</v>
      </c>
      <c r="D570" s="160" t="s">
        <v>48</v>
      </c>
      <c r="E570" s="339">
        <v>2017</v>
      </c>
      <c r="F570" s="339" t="s">
        <v>39</v>
      </c>
      <c r="G570" s="449">
        <v>1036.32</v>
      </c>
      <c r="H570" s="450" t="s">
        <v>40</v>
      </c>
      <c r="I570" s="261">
        <f>+J570/$S$2</f>
        <v>129.58138776720421</v>
      </c>
      <c r="J570" s="97">
        <f t="shared" ref="J570" si="141">+((95000^(0.364-(0.00000133*G570)))/(G570^(0.364-(0.00000133*95000))))*6500</f>
        <v>79673.116268665515</v>
      </c>
      <c r="K570" s="339" t="s">
        <v>41</v>
      </c>
      <c r="L570" s="339" t="s">
        <v>41</v>
      </c>
      <c r="M570" s="451" t="s">
        <v>41</v>
      </c>
      <c r="N570" s="451" t="s">
        <v>41</v>
      </c>
      <c r="O570" s="451" t="s">
        <v>41</v>
      </c>
      <c r="P570" s="451" t="s">
        <v>41</v>
      </c>
      <c r="Q570" s="452">
        <f>I570*G570</f>
        <v>134287.78377090907</v>
      </c>
      <c r="R570" s="339">
        <v>2021</v>
      </c>
      <c r="S570" s="165" t="s">
        <v>52</v>
      </c>
      <c r="U570" s="181"/>
      <c r="V570" s="420"/>
      <c r="W570" s="168"/>
      <c r="X570" s="168"/>
      <c r="Y570" s="168"/>
      <c r="Z570" s="168"/>
      <c r="AA570" s="168"/>
      <c r="AB570" s="168"/>
      <c r="AC570" s="169"/>
      <c r="AD570" s="188"/>
    </row>
    <row r="571" spans="2:30" s="7" customFormat="1" ht="30" customHeight="1" outlineLevel="1" x14ac:dyDescent="0.25">
      <c r="C571" s="436" t="s">
        <v>547</v>
      </c>
      <c r="D571" s="104" t="s">
        <v>548</v>
      </c>
      <c r="E571" s="323">
        <v>2017</v>
      </c>
      <c r="F571" s="323" t="s">
        <v>39</v>
      </c>
      <c r="G571" s="437">
        <v>1501</v>
      </c>
      <c r="H571" s="437" t="s">
        <v>40</v>
      </c>
      <c r="I571" s="438">
        <v>1072.07</v>
      </c>
      <c r="J571" s="439">
        <f t="shared" si="140"/>
        <v>659162.23950000003</v>
      </c>
      <c r="K571" s="440">
        <f>R571-E571</f>
        <v>4</v>
      </c>
      <c r="L571" s="323">
        <v>50</v>
      </c>
      <c r="M571" s="323">
        <v>47</v>
      </c>
      <c r="N571" s="441">
        <f>+I571*G571</f>
        <v>1609177.0699999998</v>
      </c>
      <c r="O571" s="441">
        <f>+N571/L571</f>
        <v>32183.541399999998</v>
      </c>
      <c r="P571" s="441">
        <f>(N571/L571)*M571</f>
        <v>1512626.4457999999</v>
      </c>
      <c r="Q571" s="323" t="s">
        <v>41</v>
      </c>
      <c r="R571" s="323">
        <v>2021</v>
      </c>
      <c r="S571" s="113" t="s">
        <v>52</v>
      </c>
      <c r="U571" s="176" t="s">
        <v>547</v>
      </c>
      <c r="V571" s="421" t="s">
        <v>545</v>
      </c>
      <c r="W571" s="178">
        <v>932031654.55999994</v>
      </c>
      <c r="X571" s="178">
        <v>0</v>
      </c>
      <c r="Y571" s="178">
        <v>0</v>
      </c>
      <c r="Z571" s="178">
        <v>48154968.780000001</v>
      </c>
      <c r="AA571" s="178">
        <v>0</v>
      </c>
      <c r="AB571" s="178">
        <v>883876685.77999997</v>
      </c>
      <c r="AC571" s="177" t="s">
        <v>549</v>
      </c>
      <c r="AD571" s="205">
        <v>900381</v>
      </c>
    </row>
    <row r="572" spans="2:30" s="7" customFormat="1" ht="30" customHeight="1" outlineLevel="2" x14ac:dyDescent="0.25">
      <c r="C572" s="442" t="str">
        <f>C571</f>
        <v>K-2</v>
      </c>
      <c r="D572" s="115" t="s">
        <v>44</v>
      </c>
      <c r="E572" s="187">
        <v>2017</v>
      </c>
      <c r="F572" s="187" t="s">
        <v>39</v>
      </c>
      <c r="G572" s="443">
        <v>152.13999999999999</v>
      </c>
      <c r="H572" s="443" t="s">
        <v>40</v>
      </c>
      <c r="I572" s="444">
        <v>30.54</v>
      </c>
      <c r="J572" s="445">
        <f t="shared" si="140"/>
        <v>18777.519</v>
      </c>
      <c r="K572" s="446">
        <f>R572-E572</f>
        <v>4</v>
      </c>
      <c r="L572" s="187">
        <v>15</v>
      </c>
      <c r="M572" s="187">
        <v>12</v>
      </c>
      <c r="N572" s="447">
        <f>+I572*G572</f>
        <v>4646.3555999999999</v>
      </c>
      <c r="O572" s="447">
        <f>+N572/L572</f>
        <v>309.75704000000002</v>
      </c>
      <c r="P572" s="447">
        <f>(N572/L572)*M572</f>
        <v>3717.0844800000004</v>
      </c>
      <c r="Q572" s="187" t="s">
        <v>41</v>
      </c>
      <c r="R572" s="187">
        <v>2021</v>
      </c>
      <c r="S572" s="124" t="s">
        <v>52</v>
      </c>
      <c r="U572" s="180"/>
      <c r="V572" s="422"/>
      <c r="W572" s="156"/>
      <c r="X572" s="156"/>
      <c r="Y572" s="156"/>
      <c r="Z572" s="156"/>
      <c r="AA572" s="156"/>
      <c r="AB572" s="156"/>
      <c r="AC572" s="157"/>
      <c r="AD572" s="184"/>
    </row>
    <row r="573" spans="2:30" s="7" customFormat="1" ht="30" customHeight="1" outlineLevel="2" x14ac:dyDescent="0.25">
      <c r="C573" s="442" t="str">
        <f>C571</f>
        <v>K-2</v>
      </c>
      <c r="D573" s="115" t="s">
        <v>46</v>
      </c>
      <c r="E573" s="187">
        <v>2017</v>
      </c>
      <c r="F573" s="187" t="s">
        <v>39</v>
      </c>
      <c r="G573" s="443">
        <v>303.08</v>
      </c>
      <c r="H573" s="443" t="s">
        <v>40</v>
      </c>
      <c r="I573" s="444">
        <v>3.4</v>
      </c>
      <c r="J573" s="445">
        <f t="shared" si="140"/>
        <v>2090.4900000000002</v>
      </c>
      <c r="K573" s="446">
        <f>R573-E573</f>
        <v>4</v>
      </c>
      <c r="L573" s="187">
        <v>10</v>
      </c>
      <c r="M573" s="187">
        <v>10</v>
      </c>
      <c r="N573" s="447">
        <f>+I573*G573</f>
        <v>1030.472</v>
      </c>
      <c r="O573" s="447">
        <f>+N573/L573</f>
        <v>103.0472</v>
      </c>
      <c r="P573" s="447">
        <f>(N573/L573)*M573</f>
        <v>1030.472</v>
      </c>
      <c r="Q573" s="187" t="s">
        <v>41</v>
      </c>
      <c r="R573" s="187">
        <v>2021</v>
      </c>
      <c r="S573" s="124" t="s">
        <v>52</v>
      </c>
      <c r="U573" s="180"/>
      <c r="V573" s="422"/>
      <c r="W573" s="156"/>
      <c r="X573" s="156"/>
      <c r="Y573" s="156"/>
      <c r="Z573" s="156"/>
      <c r="AA573" s="156"/>
      <c r="AB573" s="156"/>
      <c r="AC573" s="157"/>
      <c r="AD573" s="184"/>
    </row>
    <row r="574" spans="2:30" s="7" customFormat="1" ht="30" customHeight="1" outlineLevel="2" thickBot="1" x14ac:dyDescent="0.3">
      <c r="C574" s="448" t="str">
        <f>C571</f>
        <v>K-2</v>
      </c>
      <c r="D574" s="160" t="s">
        <v>48</v>
      </c>
      <c r="E574" s="339">
        <v>2017</v>
      </c>
      <c r="F574" s="339" t="s">
        <v>39</v>
      </c>
      <c r="G574" s="449">
        <v>682.07</v>
      </c>
      <c r="H574" s="450" t="s">
        <v>40</v>
      </c>
      <c r="I574" s="261">
        <f>+J574/$S$2</f>
        <v>143.89992404181774</v>
      </c>
      <c r="J574" s="97">
        <f t="shared" ref="J574" si="142">+((95000^(0.364-(0.00000133*G574)))/(G574^(0.364-(0.00000133*95000))))*6500</f>
        <v>88476.868297111636</v>
      </c>
      <c r="K574" s="339" t="s">
        <v>41</v>
      </c>
      <c r="L574" s="339" t="s">
        <v>41</v>
      </c>
      <c r="M574" s="451" t="s">
        <v>41</v>
      </c>
      <c r="N574" s="451" t="s">
        <v>41</v>
      </c>
      <c r="O574" s="451" t="s">
        <v>41</v>
      </c>
      <c r="P574" s="451" t="s">
        <v>41</v>
      </c>
      <c r="Q574" s="452">
        <f>I574*G574</f>
        <v>98149.821191202631</v>
      </c>
      <c r="R574" s="339">
        <v>2021</v>
      </c>
      <c r="S574" s="165" t="s">
        <v>52</v>
      </c>
      <c r="U574" s="181"/>
      <c r="V574" s="420"/>
      <c r="W574" s="168"/>
      <c r="X574" s="168"/>
      <c r="Y574" s="168"/>
      <c r="Z574" s="168"/>
      <c r="AA574" s="168"/>
      <c r="AB574" s="168"/>
      <c r="AC574" s="169"/>
      <c r="AD574" s="188"/>
    </row>
    <row r="575" spans="2:30" s="7" customFormat="1" ht="30" customHeight="1" outlineLevel="1" x14ac:dyDescent="0.25">
      <c r="C575" s="436" t="s">
        <v>550</v>
      </c>
      <c r="D575" s="104" t="s">
        <v>551</v>
      </c>
      <c r="E575" s="323">
        <v>2017</v>
      </c>
      <c r="F575" s="323" t="s">
        <v>39</v>
      </c>
      <c r="G575" s="437">
        <v>1115</v>
      </c>
      <c r="H575" s="437" t="s">
        <v>40</v>
      </c>
      <c r="I575" s="438">
        <v>2259.4699999999998</v>
      </c>
      <c r="J575" s="439">
        <f t="shared" si="140"/>
        <v>1389235.1295</v>
      </c>
      <c r="K575" s="440">
        <f>R575-E575</f>
        <v>4</v>
      </c>
      <c r="L575" s="323">
        <v>50</v>
      </c>
      <c r="M575" s="323">
        <v>47</v>
      </c>
      <c r="N575" s="441">
        <f>+I575*G575</f>
        <v>2519309.0499999998</v>
      </c>
      <c r="O575" s="441">
        <f>+N575/L575</f>
        <v>50386.180999999997</v>
      </c>
      <c r="P575" s="441">
        <f>(N575/L575)*M575</f>
        <v>2368150.5069999998</v>
      </c>
      <c r="Q575" s="323" t="s">
        <v>41</v>
      </c>
      <c r="R575" s="323">
        <v>2021</v>
      </c>
      <c r="S575" s="113" t="s">
        <v>52</v>
      </c>
      <c r="T575" s="453" t="s">
        <v>517</v>
      </c>
      <c r="U575" s="176" t="s">
        <v>550</v>
      </c>
      <c r="V575" s="189" t="s">
        <v>552</v>
      </c>
      <c r="W575" s="178">
        <v>2063561367.48</v>
      </c>
      <c r="X575" s="178">
        <v>0</v>
      </c>
      <c r="Y575" s="178">
        <v>6235734.0300000003</v>
      </c>
      <c r="Z575" s="178">
        <v>106617337.19</v>
      </c>
      <c r="AA575" s="178">
        <v>10939.88</v>
      </c>
      <c r="AB575" s="178">
        <v>1963168824.4399998</v>
      </c>
      <c r="AC575" s="177" t="s">
        <v>553</v>
      </c>
      <c r="AD575" s="205">
        <v>900382</v>
      </c>
    </row>
    <row r="576" spans="2:30" s="7" customFormat="1" ht="30" customHeight="1" outlineLevel="2" x14ac:dyDescent="0.25">
      <c r="C576" s="442" t="str">
        <f>C575</f>
        <v>K-3</v>
      </c>
      <c r="D576" s="115" t="s">
        <v>44</v>
      </c>
      <c r="E576" s="187">
        <v>2017</v>
      </c>
      <c r="F576" s="187" t="s">
        <v>39</v>
      </c>
      <c r="G576" s="443">
        <v>141.19</v>
      </c>
      <c r="H576" s="443" t="s">
        <v>40</v>
      </c>
      <c r="I576" s="444">
        <v>30.54</v>
      </c>
      <c r="J576" s="445">
        <f t="shared" si="140"/>
        <v>18777.519</v>
      </c>
      <c r="K576" s="446">
        <f>R576-E576</f>
        <v>4</v>
      </c>
      <c r="L576" s="187">
        <v>15</v>
      </c>
      <c r="M576" s="187">
        <v>12</v>
      </c>
      <c r="N576" s="447">
        <f>+I576*G576</f>
        <v>4311.9425999999994</v>
      </c>
      <c r="O576" s="447">
        <f>+N576/L576</f>
        <v>287.46283999999997</v>
      </c>
      <c r="P576" s="447">
        <f>(N576/L576)*M576</f>
        <v>3449.5540799999999</v>
      </c>
      <c r="Q576" s="187" t="s">
        <v>41</v>
      </c>
      <c r="R576" s="187">
        <v>2021</v>
      </c>
      <c r="S576" s="124" t="s">
        <v>52</v>
      </c>
      <c r="T576" s="453" t="s">
        <v>517</v>
      </c>
      <c r="U576" s="180"/>
      <c r="V576" s="155"/>
      <c r="W576" s="156"/>
      <c r="X576" s="156"/>
      <c r="Y576" s="156"/>
      <c r="Z576" s="156"/>
      <c r="AA576" s="156"/>
      <c r="AB576" s="156"/>
      <c r="AC576" s="157"/>
      <c r="AD576" s="184"/>
    </row>
    <row r="577" spans="3:30" s="7" customFormat="1" ht="30" customHeight="1" outlineLevel="2" x14ac:dyDescent="0.25">
      <c r="C577" s="442" t="str">
        <f>C575</f>
        <v>K-3</v>
      </c>
      <c r="D577" s="115" t="s">
        <v>46</v>
      </c>
      <c r="E577" s="187">
        <v>2017</v>
      </c>
      <c r="F577" s="187" t="s">
        <v>39</v>
      </c>
      <c r="G577" s="443">
        <v>287.93</v>
      </c>
      <c r="H577" s="443" t="s">
        <v>40</v>
      </c>
      <c r="I577" s="444">
        <v>3.4</v>
      </c>
      <c r="J577" s="445">
        <f t="shared" si="140"/>
        <v>2090.4900000000002</v>
      </c>
      <c r="K577" s="446">
        <f>R577-E577</f>
        <v>4</v>
      </c>
      <c r="L577" s="187">
        <v>10</v>
      </c>
      <c r="M577" s="187">
        <v>10</v>
      </c>
      <c r="N577" s="447">
        <f>+I577*G577</f>
        <v>978.96199999999999</v>
      </c>
      <c r="O577" s="447">
        <f>+N577/L577</f>
        <v>97.896199999999993</v>
      </c>
      <c r="P577" s="447">
        <f>(N577/L577)*M577</f>
        <v>978.96199999999999</v>
      </c>
      <c r="Q577" s="187" t="s">
        <v>41</v>
      </c>
      <c r="R577" s="187">
        <v>2021</v>
      </c>
      <c r="S577" s="124" t="s">
        <v>52</v>
      </c>
      <c r="T577" s="453" t="s">
        <v>517</v>
      </c>
      <c r="U577" s="180"/>
      <c r="V577" s="155"/>
      <c r="W577" s="156"/>
      <c r="X577" s="156"/>
      <c r="Y577" s="156"/>
      <c r="Z577" s="156"/>
      <c r="AA577" s="156"/>
      <c r="AB577" s="156"/>
      <c r="AC577" s="157"/>
      <c r="AD577" s="184"/>
    </row>
    <row r="578" spans="3:30" s="7" customFormat="1" ht="30" customHeight="1" outlineLevel="2" thickBot="1" x14ac:dyDescent="0.3">
      <c r="C578" s="454" t="str">
        <f>C575</f>
        <v>K-3</v>
      </c>
      <c r="D578" s="132" t="s">
        <v>48</v>
      </c>
      <c r="E578" s="316">
        <v>2017</v>
      </c>
      <c r="F578" s="316" t="s">
        <v>39</v>
      </c>
      <c r="G578" s="455">
        <v>782.86</v>
      </c>
      <c r="H578" s="456" t="s">
        <v>40</v>
      </c>
      <c r="I578" s="261">
        <f>+J578/$S$2</f>
        <v>139.04927207553925</v>
      </c>
      <c r="J578" s="97">
        <f t="shared" ref="J578" si="143">+((95000^(0.364-(0.00000133*G578)))/(G578^(0.364-(0.00000133*95000))))*6500</f>
        <v>85494.444935645311</v>
      </c>
      <c r="K578" s="316" t="s">
        <v>41</v>
      </c>
      <c r="L578" s="316" t="s">
        <v>41</v>
      </c>
      <c r="M578" s="451" t="s">
        <v>41</v>
      </c>
      <c r="N578" s="451" t="s">
        <v>41</v>
      </c>
      <c r="O578" s="451" t="s">
        <v>41</v>
      </c>
      <c r="P578" s="451" t="s">
        <v>41</v>
      </c>
      <c r="Q578" s="452">
        <f>I578*G578</f>
        <v>108856.11313705666</v>
      </c>
      <c r="R578" s="316">
        <v>2021</v>
      </c>
      <c r="S578" s="137" t="s">
        <v>52</v>
      </c>
      <c r="T578" s="453" t="s">
        <v>517</v>
      </c>
      <c r="U578" s="180"/>
      <c r="V578" s="155"/>
      <c r="W578" s="156"/>
      <c r="X578" s="156"/>
      <c r="Y578" s="156"/>
      <c r="Z578" s="156"/>
      <c r="AA578" s="156"/>
      <c r="AB578" s="156"/>
      <c r="AC578" s="157"/>
      <c r="AD578" s="184"/>
    </row>
    <row r="579" spans="3:30" s="7" customFormat="1" ht="30" customHeight="1" outlineLevel="1" x14ac:dyDescent="0.25">
      <c r="C579" s="457" t="s">
        <v>554</v>
      </c>
      <c r="D579" s="139" t="s">
        <v>555</v>
      </c>
      <c r="E579" s="308">
        <v>2017</v>
      </c>
      <c r="F579" s="308" t="s">
        <v>39</v>
      </c>
      <c r="G579" s="458">
        <f>G582</f>
        <v>5300</v>
      </c>
      <c r="H579" s="458" t="s">
        <v>40</v>
      </c>
      <c r="I579" s="459">
        <v>201.65</v>
      </c>
      <c r="J579" s="460">
        <f t="shared" si="140"/>
        <v>123984.5025</v>
      </c>
      <c r="K579" s="461">
        <f>R579-E579</f>
        <v>4</v>
      </c>
      <c r="L579" s="308">
        <v>50</v>
      </c>
      <c r="M579" s="323">
        <v>47</v>
      </c>
      <c r="N579" s="441">
        <f>+I579*G579</f>
        <v>1068745</v>
      </c>
      <c r="O579" s="441">
        <f>+N579/L579</f>
        <v>21374.9</v>
      </c>
      <c r="P579" s="441">
        <f>(N579/L579)*M579</f>
        <v>1004620.3</v>
      </c>
      <c r="Q579" s="323" t="s">
        <v>41</v>
      </c>
      <c r="R579" s="308">
        <v>2021</v>
      </c>
      <c r="S579" s="148" t="s">
        <v>79</v>
      </c>
      <c r="U579" s="180"/>
      <c r="V579" s="155"/>
      <c r="W579" s="156"/>
      <c r="X579" s="156"/>
      <c r="Y579" s="156"/>
      <c r="Z579" s="156"/>
      <c r="AA579" s="156"/>
      <c r="AB579" s="156"/>
      <c r="AC579" s="157"/>
      <c r="AD579" s="184"/>
    </row>
    <row r="580" spans="3:30" s="7" customFormat="1" ht="30" customHeight="1" outlineLevel="2" x14ac:dyDescent="0.25">
      <c r="C580" s="442" t="str">
        <f>C579</f>
        <v>K´-3</v>
      </c>
      <c r="D580" s="115" t="s">
        <v>556</v>
      </c>
      <c r="E580" s="187">
        <v>2017</v>
      </c>
      <c r="F580" s="187" t="s">
        <v>39</v>
      </c>
      <c r="G580" s="443">
        <v>0</v>
      </c>
      <c r="H580" s="443" t="s">
        <v>87</v>
      </c>
      <c r="I580" s="443">
        <v>0</v>
      </c>
      <c r="J580" s="443">
        <v>0</v>
      </c>
      <c r="K580" s="462">
        <v>0</v>
      </c>
      <c r="L580" s="443">
        <v>0</v>
      </c>
      <c r="M580" s="187">
        <v>0</v>
      </c>
      <c r="N580" s="447">
        <v>0</v>
      </c>
      <c r="O580" s="447">
        <v>0</v>
      </c>
      <c r="P580" s="447">
        <v>0</v>
      </c>
      <c r="Q580" s="187">
        <v>0</v>
      </c>
      <c r="R580" s="187" t="s">
        <v>87</v>
      </c>
      <c r="S580" s="124" t="s">
        <v>87</v>
      </c>
      <c r="U580" s="180"/>
      <c r="V580" s="155"/>
      <c r="W580" s="156"/>
      <c r="X580" s="156"/>
      <c r="Y580" s="156"/>
      <c r="Z580" s="156"/>
      <c r="AA580" s="156"/>
      <c r="AB580" s="156"/>
      <c r="AC580" s="157"/>
      <c r="AD580" s="184"/>
    </row>
    <row r="581" spans="3:30" s="7" customFormat="1" ht="30" customHeight="1" outlineLevel="2" x14ac:dyDescent="0.25">
      <c r="C581" s="442" t="str">
        <f>C579</f>
        <v>K´-3</v>
      </c>
      <c r="D581" s="115" t="s">
        <v>86</v>
      </c>
      <c r="E581" s="187">
        <v>2017</v>
      </c>
      <c r="F581" s="187" t="s">
        <v>39</v>
      </c>
      <c r="G581" s="443">
        <v>0</v>
      </c>
      <c r="H581" s="443" t="s">
        <v>87</v>
      </c>
      <c r="I581" s="443">
        <v>0</v>
      </c>
      <c r="J581" s="443">
        <v>0</v>
      </c>
      <c r="K581" s="462">
        <v>0</v>
      </c>
      <c r="L581" s="443">
        <v>0</v>
      </c>
      <c r="M581" s="187">
        <v>0</v>
      </c>
      <c r="N581" s="447">
        <v>0</v>
      </c>
      <c r="O581" s="447">
        <v>0</v>
      </c>
      <c r="P581" s="447">
        <v>0</v>
      </c>
      <c r="Q581" s="187">
        <v>0</v>
      </c>
      <c r="R581" s="187" t="s">
        <v>87</v>
      </c>
      <c r="S581" s="124" t="s">
        <v>87</v>
      </c>
      <c r="U581" s="180"/>
      <c r="V581" s="155"/>
      <c r="W581" s="156"/>
      <c r="X581" s="156"/>
      <c r="Y581" s="156"/>
      <c r="Z581" s="156"/>
      <c r="AA581" s="156"/>
      <c r="AB581" s="156"/>
      <c r="AC581" s="157"/>
      <c r="AD581" s="184"/>
    </row>
    <row r="582" spans="3:30" s="7" customFormat="1" ht="30" customHeight="1" outlineLevel="2" thickBot="1" x14ac:dyDescent="0.3">
      <c r="C582" s="448" t="str">
        <f>C579</f>
        <v>K´-3</v>
      </c>
      <c r="D582" s="160" t="s">
        <v>48</v>
      </c>
      <c r="E582" s="339">
        <v>2017</v>
      </c>
      <c r="F582" s="339" t="s">
        <v>39</v>
      </c>
      <c r="G582" s="449">
        <v>5300</v>
      </c>
      <c r="H582" s="450" t="s">
        <v>40</v>
      </c>
      <c r="I582" s="261">
        <f>+J582/$S$2</f>
        <v>82.389797889643702</v>
      </c>
      <c r="J582" s="97">
        <f t="shared" ref="J582" si="144">+((95000^(0.364-(0.00000133*G582)))/(G582^(0.364-(0.00000133*95000))))*6500</f>
        <v>50657.367232447432</v>
      </c>
      <c r="K582" s="339" t="s">
        <v>41</v>
      </c>
      <c r="L582" s="339" t="s">
        <v>41</v>
      </c>
      <c r="M582" s="451" t="s">
        <v>41</v>
      </c>
      <c r="N582" s="451" t="s">
        <v>41</v>
      </c>
      <c r="O582" s="451" t="s">
        <v>41</v>
      </c>
      <c r="P582" s="451" t="s">
        <v>41</v>
      </c>
      <c r="Q582" s="452">
        <f>I582*G582</f>
        <v>436665.92881511163</v>
      </c>
      <c r="R582" s="339">
        <v>2021</v>
      </c>
      <c r="S582" s="165" t="s">
        <v>79</v>
      </c>
      <c r="U582" s="181"/>
      <c r="V582" s="167"/>
      <c r="W582" s="168"/>
      <c r="X582" s="168"/>
      <c r="Y582" s="168"/>
      <c r="Z582" s="168"/>
      <c r="AA582" s="168"/>
      <c r="AB582" s="168"/>
      <c r="AC582" s="169"/>
      <c r="AD582" s="188"/>
    </row>
    <row r="583" spans="3:30" s="7" customFormat="1" ht="30" customHeight="1" outlineLevel="1" x14ac:dyDescent="0.25">
      <c r="C583" s="436" t="s">
        <v>557</v>
      </c>
      <c r="D583" s="104" t="s">
        <v>558</v>
      </c>
      <c r="E583" s="323">
        <v>2018</v>
      </c>
      <c r="F583" s="323" t="s">
        <v>39</v>
      </c>
      <c r="G583" s="437">
        <v>1643</v>
      </c>
      <c r="H583" s="437" t="s">
        <v>40</v>
      </c>
      <c r="I583" s="438">
        <v>1252.6500000000001</v>
      </c>
      <c r="J583" s="439">
        <f t="shared" si="140"/>
        <v>770191.85250000004</v>
      </c>
      <c r="K583" s="440">
        <f>R583-E583</f>
        <v>3</v>
      </c>
      <c r="L583" s="323">
        <v>50</v>
      </c>
      <c r="M583" s="323">
        <v>48</v>
      </c>
      <c r="N583" s="441">
        <f>+I583*G583</f>
        <v>2058103.9500000002</v>
      </c>
      <c r="O583" s="441">
        <f>+N583/L583</f>
        <v>41162.079000000005</v>
      </c>
      <c r="P583" s="441">
        <f>(N583/L583)*M583</f>
        <v>1975779.7920000004</v>
      </c>
      <c r="Q583" s="323" t="s">
        <v>41</v>
      </c>
      <c r="R583" s="323">
        <v>2021</v>
      </c>
      <c r="S583" s="113" t="s">
        <v>79</v>
      </c>
      <c r="U583" s="176" t="s">
        <v>557</v>
      </c>
      <c r="V583" s="189" t="s">
        <v>559</v>
      </c>
      <c r="W583" s="178">
        <v>1274997008.55</v>
      </c>
      <c r="X583" s="178">
        <v>0</v>
      </c>
      <c r="Y583" s="178">
        <v>83093002.349999994</v>
      </c>
      <c r="Z583" s="178">
        <v>46749890.229999997</v>
      </c>
      <c r="AA583" s="178">
        <v>1097268.67</v>
      </c>
      <c r="AB583" s="178">
        <v>1310242851.9999998</v>
      </c>
      <c r="AC583" s="177" t="s">
        <v>560</v>
      </c>
      <c r="AD583" s="205">
        <v>900393</v>
      </c>
    </row>
    <row r="584" spans="3:30" s="7" customFormat="1" ht="30" customHeight="1" outlineLevel="2" x14ac:dyDescent="0.25">
      <c r="C584" s="442" t="str">
        <f>C583</f>
        <v>K-4</v>
      </c>
      <c r="D584" s="115" t="s">
        <v>165</v>
      </c>
      <c r="E584" s="187">
        <v>2018</v>
      </c>
      <c r="F584" s="187" t="s">
        <v>39</v>
      </c>
      <c r="G584" s="443">
        <v>0</v>
      </c>
      <c r="H584" s="443" t="s">
        <v>87</v>
      </c>
      <c r="I584" s="443">
        <v>0</v>
      </c>
      <c r="J584" s="443">
        <v>0</v>
      </c>
      <c r="K584" s="462">
        <v>0</v>
      </c>
      <c r="L584" s="443">
        <v>0</v>
      </c>
      <c r="M584" s="187">
        <v>0</v>
      </c>
      <c r="N584" s="447">
        <v>0</v>
      </c>
      <c r="O584" s="447">
        <v>0</v>
      </c>
      <c r="P584" s="447">
        <v>0</v>
      </c>
      <c r="Q584" s="187">
        <v>0</v>
      </c>
      <c r="R584" s="187" t="s">
        <v>87</v>
      </c>
      <c r="S584" s="124" t="s">
        <v>87</v>
      </c>
      <c r="U584" s="180"/>
      <c r="V584" s="155"/>
      <c r="W584" s="156"/>
      <c r="X584" s="156"/>
      <c r="Y584" s="156"/>
      <c r="Z584" s="156"/>
      <c r="AA584" s="156"/>
      <c r="AB584" s="156"/>
      <c r="AC584" s="157"/>
      <c r="AD584" s="184"/>
    </row>
    <row r="585" spans="3:30" s="7" customFormat="1" ht="30" customHeight="1" outlineLevel="2" x14ac:dyDescent="0.25">
      <c r="C585" s="442" t="str">
        <f>C583</f>
        <v>K-4</v>
      </c>
      <c r="D585" s="115" t="s">
        <v>46</v>
      </c>
      <c r="E585" s="187">
        <v>2018</v>
      </c>
      <c r="F585" s="187" t="s">
        <v>39</v>
      </c>
      <c r="G585" s="443">
        <v>282</v>
      </c>
      <c r="H585" s="443" t="s">
        <v>40</v>
      </c>
      <c r="I585" s="444">
        <v>3.4</v>
      </c>
      <c r="J585" s="445">
        <f t="shared" si="140"/>
        <v>2090.4900000000002</v>
      </c>
      <c r="K585" s="446">
        <f>R585-E585</f>
        <v>3</v>
      </c>
      <c r="L585" s="187">
        <v>10</v>
      </c>
      <c r="M585" s="187">
        <v>15</v>
      </c>
      <c r="N585" s="447">
        <f>+I585*G585</f>
        <v>958.8</v>
      </c>
      <c r="O585" s="447">
        <f>+N585/L585</f>
        <v>95.88</v>
      </c>
      <c r="P585" s="447">
        <f>(N585/L585)*M585</f>
        <v>1438.1999999999998</v>
      </c>
      <c r="Q585" s="187" t="s">
        <v>41</v>
      </c>
      <c r="R585" s="187">
        <v>2021</v>
      </c>
      <c r="S585" s="124" t="s">
        <v>79</v>
      </c>
      <c r="U585" s="180"/>
      <c r="V585" s="155"/>
      <c r="W585" s="156"/>
      <c r="X585" s="156"/>
      <c r="Y585" s="156"/>
      <c r="Z585" s="156"/>
      <c r="AA585" s="156"/>
      <c r="AB585" s="156"/>
      <c r="AC585" s="157"/>
      <c r="AD585" s="184"/>
    </row>
    <row r="586" spans="3:30" s="7" customFormat="1" ht="30" customHeight="1" outlineLevel="2" thickBot="1" x14ac:dyDescent="0.3">
      <c r="C586" s="448" t="str">
        <f>C583</f>
        <v>K-4</v>
      </c>
      <c r="D586" s="160" t="s">
        <v>48</v>
      </c>
      <c r="E586" s="339">
        <v>2018</v>
      </c>
      <c r="F586" s="339" t="s">
        <v>39</v>
      </c>
      <c r="G586" s="449">
        <v>667.3</v>
      </c>
      <c r="H586" s="450" t="s">
        <v>40</v>
      </c>
      <c r="I586" s="261">
        <f>+J586/$S$2</f>
        <v>144.68312543005371</v>
      </c>
      <c r="J586" s="97">
        <f t="shared" ref="J586" si="145">+((95000^(0.364-(0.00000133*G586)))/(G586^(0.364-(0.00000133*95000))))*6500</f>
        <v>88958.419670668532</v>
      </c>
      <c r="K586" s="339" t="s">
        <v>41</v>
      </c>
      <c r="L586" s="339" t="s">
        <v>41</v>
      </c>
      <c r="M586" s="451">
        <v>10</v>
      </c>
      <c r="N586" s="451" t="s">
        <v>41</v>
      </c>
      <c r="O586" s="451" t="s">
        <v>41</v>
      </c>
      <c r="P586" s="451" t="s">
        <v>41</v>
      </c>
      <c r="Q586" s="452">
        <f>I586*G586</f>
        <v>96547.049599474834</v>
      </c>
      <c r="R586" s="339">
        <v>2021</v>
      </c>
      <c r="S586" s="165" t="s">
        <v>79</v>
      </c>
      <c r="U586" s="181"/>
      <c r="V586" s="167"/>
      <c r="W586" s="168"/>
      <c r="X586" s="168"/>
      <c r="Y586" s="168"/>
      <c r="Z586" s="168"/>
      <c r="AA586" s="168"/>
      <c r="AB586" s="168"/>
      <c r="AC586" s="169"/>
      <c r="AD586" s="188"/>
    </row>
    <row r="587" spans="3:30" s="7" customFormat="1" ht="30" customHeight="1" outlineLevel="1" x14ac:dyDescent="0.25">
      <c r="C587" s="436" t="s">
        <v>561</v>
      </c>
      <c r="D587" s="104" t="s">
        <v>562</v>
      </c>
      <c r="E587" s="323">
        <v>2018</v>
      </c>
      <c r="F587" s="323" t="s">
        <v>39</v>
      </c>
      <c r="G587" s="437">
        <v>4182</v>
      </c>
      <c r="H587" s="437" t="s">
        <v>40</v>
      </c>
      <c r="I587" s="438">
        <v>1929.82</v>
      </c>
      <c r="J587" s="439">
        <f t="shared" si="140"/>
        <v>1186549.827</v>
      </c>
      <c r="K587" s="440">
        <f>R587-E587</f>
        <v>3</v>
      </c>
      <c r="L587" s="323">
        <v>50</v>
      </c>
      <c r="M587" s="323">
        <v>48</v>
      </c>
      <c r="N587" s="441">
        <f>+I587*G587</f>
        <v>8070507.2399999993</v>
      </c>
      <c r="O587" s="441">
        <f>+N587/L587</f>
        <v>161410.14479999998</v>
      </c>
      <c r="P587" s="441">
        <f>(N587/L587)*M587</f>
        <v>7747686.9503999986</v>
      </c>
      <c r="Q587" s="323" t="s">
        <v>41</v>
      </c>
      <c r="R587" s="323">
        <v>2021</v>
      </c>
      <c r="S587" s="113" t="s">
        <v>52</v>
      </c>
      <c r="U587" s="176" t="s">
        <v>561</v>
      </c>
      <c r="V587" s="421" t="s">
        <v>563</v>
      </c>
      <c r="W587" s="178">
        <v>4594832847.75</v>
      </c>
      <c r="X587" s="178">
        <v>0</v>
      </c>
      <c r="Y587" s="178">
        <v>146538131.56</v>
      </c>
      <c r="Z587" s="178">
        <v>176135259.03999999</v>
      </c>
      <c r="AA587" s="178">
        <v>3082622.95</v>
      </c>
      <c r="AB587" s="178">
        <v>4562153097.3200006</v>
      </c>
      <c r="AC587" s="177" t="s">
        <v>564</v>
      </c>
      <c r="AD587" s="205">
        <v>900392</v>
      </c>
    </row>
    <row r="588" spans="3:30" s="7" customFormat="1" ht="30" customHeight="1" outlineLevel="2" x14ac:dyDescent="0.25">
      <c r="C588" s="442" t="str">
        <f>C587</f>
        <v>K-5</v>
      </c>
      <c r="D588" s="115" t="s">
        <v>44</v>
      </c>
      <c r="E588" s="187">
        <v>2018</v>
      </c>
      <c r="F588" s="187" t="s">
        <v>39</v>
      </c>
      <c r="G588" s="443">
        <v>251.44</v>
      </c>
      <c r="H588" s="443" t="s">
        <v>40</v>
      </c>
      <c r="I588" s="444">
        <v>30.54</v>
      </c>
      <c r="J588" s="445">
        <f t="shared" si="140"/>
        <v>18777.519</v>
      </c>
      <c r="K588" s="446">
        <f>R588-E588</f>
        <v>3</v>
      </c>
      <c r="L588" s="187">
        <v>15</v>
      </c>
      <c r="M588" s="187">
        <v>15</v>
      </c>
      <c r="N588" s="447">
        <f>+I588*G588</f>
        <v>7678.9776000000002</v>
      </c>
      <c r="O588" s="447">
        <f>+N588/L588</f>
        <v>511.93184000000002</v>
      </c>
      <c r="P588" s="447">
        <f>(N588/L588)*M588</f>
        <v>7678.9776000000002</v>
      </c>
      <c r="Q588" s="187" t="s">
        <v>41</v>
      </c>
      <c r="R588" s="187">
        <v>2021</v>
      </c>
      <c r="S588" s="124" t="s">
        <v>52</v>
      </c>
      <c r="U588" s="180"/>
      <c r="V588" s="422"/>
      <c r="W588" s="156"/>
      <c r="X588" s="156"/>
      <c r="Y588" s="156"/>
      <c r="Z588" s="156"/>
      <c r="AA588" s="156"/>
      <c r="AB588" s="156"/>
      <c r="AC588" s="157"/>
      <c r="AD588" s="184"/>
    </row>
    <row r="589" spans="3:30" s="7" customFormat="1" ht="30" customHeight="1" outlineLevel="2" x14ac:dyDescent="0.25">
      <c r="C589" s="442" t="str">
        <f>C587</f>
        <v>K-5</v>
      </c>
      <c r="D589" s="115" t="s">
        <v>46</v>
      </c>
      <c r="E589" s="187">
        <v>2018</v>
      </c>
      <c r="F589" s="187" t="s">
        <v>39</v>
      </c>
      <c r="G589" s="443">
        <v>1987.97</v>
      </c>
      <c r="H589" s="443" t="s">
        <v>40</v>
      </c>
      <c r="I589" s="444">
        <v>3.4</v>
      </c>
      <c r="J589" s="445">
        <f t="shared" si="140"/>
        <v>2090.4900000000002</v>
      </c>
      <c r="K589" s="446">
        <f>R589-E589</f>
        <v>3</v>
      </c>
      <c r="L589" s="187">
        <v>10</v>
      </c>
      <c r="M589" s="187">
        <v>10</v>
      </c>
      <c r="N589" s="447">
        <f>+I589*G589</f>
        <v>6759.098</v>
      </c>
      <c r="O589" s="447">
        <f>+N589/L589</f>
        <v>675.90980000000002</v>
      </c>
      <c r="P589" s="447">
        <f>(N589/L589)*M589</f>
        <v>6759.098</v>
      </c>
      <c r="Q589" s="187" t="s">
        <v>41</v>
      </c>
      <c r="R589" s="187">
        <v>2021</v>
      </c>
      <c r="S589" s="124" t="s">
        <v>52</v>
      </c>
      <c r="U589" s="180"/>
      <c r="V589" s="422"/>
      <c r="W589" s="156"/>
      <c r="X589" s="156"/>
      <c r="Y589" s="156"/>
      <c r="Z589" s="156"/>
      <c r="AA589" s="156"/>
      <c r="AB589" s="156"/>
      <c r="AC589" s="157"/>
      <c r="AD589" s="184"/>
    </row>
    <row r="590" spans="3:30" s="7" customFormat="1" ht="30" customHeight="1" outlineLevel="2" thickBot="1" x14ac:dyDescent="0.3">
      <c r="C590" s="448" t="str">
        <f>C587</f>
        <v>K-5</v>
      </c>
      <c r="D590" s="160" t="s">
        <v>48</v>
      </c>
      <c r="E590" s="339">
        <v>2018</v>
      </c>
      <c r="F590" s="339" t="s">
        <v>39</v>
      </c>
      <c r="G590" s="449">
        <v>1502.99</v>
      </c>
      <c r="H590" s="450" t="s">
        <v>40</v>
      </c>
      <c r="I590" s="261">
        <f>+J590/$S$2</f>
        <v>117.78272640763993</v>
      </c>
      <c r="J590" s="97">
        <f t="shared" ref="J590" si="146">+((95000^(0.364-(0.00000133*G590)))/(G590^(0.364-(0.00000133*95000))))*6500</f>
        <v>72418.709331737409</v>
      </c>
      <c r="K590" s="339" t="s">
        <v>41</v>
      </c>
      <c r="L590" s="339" t="s">
        <v>41</v>
      </c>
      <c r="M590" s="451" t="s">
        <v>41</v>
      </c>
      <c r="N590" s="451" t="s">
        <v>41</v>
      </c>
      <c r="O590" s="451" t="s">
        <v>41</v>
      </c>
      <c r="P590" s="451" t="s">
        <v>41</v>
      </c>
      <c r="Q590" s="452">
        <f>I590*G590</f>
        <v>177026.25996341874</v>
      </c>
      <c r="R590" s="339">
        <v>2021</v>
      </c>
      <c r="S590" s="165" t="s">
        <v>52</v>
      </c>
      <c r="U590" s="181"/>
      <c r="V590" s="420"/>
      <c r="W590" s="168"/>
      <c r="X590" s="168"/>
      <c r="Y590" s="168"/>
      <c r="Z590" s="168"/>
      <c r="AA590" s="168"/>
      <c r="AB590" s="168"/>
      <c r="AC590" s="169"/>
      <c r="AD590" s="188"/>
    </row>
    <row r="591" spans="3:30" s="7" customFormat="1" ht="30" customHeight="1" outlineLevel="1" x14ac:dyDescent="0.25">
      <c r="C591" s="436" t="s">
        <v>565</v>
      </c>
      <c r="D591" s="104" t="s">
        <v>566</v>
      </c>
      <c r="E591" s="323">
        <v>2018</v>
      </c>
      <c r="F591" s="323" t="s">
        <v>39</v>
      </c>
      <c r="G591" s="437">
        <v>1310</v>
      </c>
      <c r="H591" s="437" t="s">
        <v>40</v>
      </c>
      <c r="I591" s="438">
        <v>1719.75</v>
      </c>
      <c r="J591" s="439">
        <f t="shared" si="140"/>
        <v>1057388.2875000001</v>
      </c>
      <c r="K591" s="440">
        <f>R591-E591</f>
        <v>3</v>
      </c>
      <c r="L591" s="323">
        <v>50</v>
      </c>
      <c r="M591" s="323">
        <v>48</v>
      </c>
      <c r="N591" s="441">
        <f>+I591*G591</f>
        <v>2252872.5</v>
      </c>
      <c r="O591" s="441">
        <f>+N591/L591</f>
        <v>45057.45</v>
      </c>
      <c r="P591" s="441">
        <f>(N591/L591)*M591</f>
        <v>2162757.5999999996</v>
      </c>
      <c r="Q591" s="323" t="s">
        <v>41</v>
      </c>
      <c r="R591" s="323">
        <v>2021</v>
      </c>
      <c r="S591" s="113" t="s">
        <v>52</v>
      </c>
      <c r="U591" s="176" t="s">
        <v>565</v>
      </c>
      <c r="V591" s="421" t="s">
        <v>567</v>
      </c>
      <c r="W591" s="178">
        <v>1266124405.9000001</v>
      </c>
      <c r="X591" s="178">
        <v>0</v>
      </c>
      <c r="Y591" s="178">
        <v>12594769.9</v>
      </c>
      <c r="Z591" s="178">
        <v>73857256.920000002</v>
      </c>
      <c r="AA591" s="178">
        <v>22252.240000000002</v>
      </c>
      <c r="AB591" s="178">
        <v>1204839666.6400001</v>
      </c>
      <c r="AC591" s="177" t="s">
        <v>568</v>
      </c>
      <c r="AD591" s="205">
        <v>900386</v>
      </c>
    </row>
    <row r="592" spans="3:30" s="7" customFormat="1" ht="30" customHeight="1" outlineLevel="2" x14ac:dyDescent="0.25">
      <c r="C592" s="442" t="str">
        <f>C591</f>
        <v>K-6</v>
      </c>
      <c r="D592" s="115" t="s">
        <v>44</v>
      </c>
      <c r="E592" s="187">
        <v>2018</v>
      </c>
      <c r="F592" s="187" t="s">
        <v>39</v>
      </c>
      <c r="G592" s="443">
        <v>179.65</v>
      </c>
      <c r="H592" s="443" t="s">
        <v>40</v>
      </c>
      <c r="I592" s="444">
        <v>30.54</v>
      </c>
      <c r="J592" s="445">
        <f t="shared" si="140"/>
        <v>18777.519</v>
      </c>
      <c r="K592" s="446">
        <f>R592-E592</f>
        <v>3</v>
      </c>
      <c r="L592" s="187">
        <v>15</v>
      </c>
      <c r="M592" s="187">
        <v>15</v>
      </c>
      <c r="N592" s="447">
        <f>+I592*G592</f>
        <v>5486.5110000000004</v>
      </c>
      <c r="O592" s="447">
        <f>+N592/L592</f>
        <v>365.76740000000001</v>
      </c>
      <c r="P592" s="447">
        <f>(N592/L592)*M592</f>
        <v>5486.5110000000004</v>
      </c>
      <c r="Q592" s="187" t="s">
        <v>41</v>
      </c>
      <c r="R592" s="187">
        <v>2021</v>
      </c>
      <c r="S592" s="124" t="s">
        <v>52</v>
      </c>
      <c r="U592" s="180"/>
      <c r="V592" s="422"/>
      <c r="W592" s="156"/>
      <c r="X592" s="156"/>
      <c r="Y592" s="156"/>
      <c r="Z592" s="156"/>
      <c r="AA592" s="156"/>
      <c r="AB592" s="156"/>
      <c r="AC592" s="157"/>
      <c r="AD592" s="184"/>
    </row>
    <row r="593" spans="2:30" s="7" customFormat="1" ht="30" customHeight="1" outlineLevel="2" x14ac:dyDescent="0.25">
      <c r="C593" s="442" t="str">
        <f>C591</f>
        <v>K-6</v>
      </c>
      <c r="D593" s="115" t="s">
        <v>46</v>
      </c>
      <c r="E593" s="187">
        <v>2018</v>
      </c>
      <c r="F593" s="187" t="s">
        <v>39</v>
      </c>
      <c r="G593" s="443">
        <v>1269.71</v>
      </c>
      <c r="H593" s="443" t="s">
        <v>40</v>
      </c>
      <c r="I593" s="444">
        <v>3.4</v>
      </c>
      <c r="J593" s="445">
        <f t="shared" si="140"/>
        <v>2090.4900000000002</v>
      </c>
      <c r="K593" s="446">
        <f>R593-E593</f>
        <v>3</v>
      </c>
      <c r="L593" s="187">
        <v>10</v>
      </c>
      <c r="M593" s="187">
        <v>10</v>
      </c>
      <c r="N593" s="447">
        <f>+I593*G593</f>
        <v>4317.0140000000001</v>
      </c>
      <c r="O593" s="447">
        <f>+N593/L593</f>
        <v>431.70140000000004</v>
      </c>
      <c r="P593" s="447">
        <f>(N593/L593)*M593</f>
        <v>4317.0140000000001</v>
      </c>
      <c r="Q593" s="187" t="s">
        <v>41</v>
      </c>
      <c r="R593" s="187">
        <v>2021</v>
      </c>
      <c r="S593" s="124" t="s">
        <v>52</v>
      </c>
      <c r="U593" s="180"/>
      <c r="V593" s="422"/>
      <c r="W593" s="156"/>
      <c r="X593" s="156"/>
      <c r="Y593" s="156"/>
      <c r="Z593" s="156"/>
      <c r="AA593" s="156"/>
      <c r="AB593" s="156"/>
      <c r="AC593" s="157"/>
      <c r="AD593" s="184"/>
    </row>
    <row r="594" spans="2:30" s="7" customFormat="1" ht="30" customHeight="1" outlineLevel="2" thickBot="1" x14ac:dyDescent="0.3">
      <c r="C594" s="448" t="str">
        <f>C591</f>
        <v>K-6</v>
      </c>
      <c r="D594" s="160" t="s">
        <v>48</v>
      </c>
      <c r="E594" s="339">
        <v>2018</v>
      </c>
      <c r="F594" s="339" t="s">
        <v>39</v>
      </c>
      <c r="G594" s="449">
        <v>903.97</v>
      </c>
      <c r="H594" s="450" t="s">
        <v>40</v>
      </c>
      <c r="I594" s="261">
        <f>+J594/$S$2</f>
        <v>134.1284640083513</v>
      </c>
      <c r="J594" s="97">
        <f t="shared" ref="J594" si="147">+((95000^(0.364-(0.00000133*G594)))/(G594^(0.364-(0.00000133*95000))))*6500</f>
        <v>82468.886095534792</v>
      </c>
      <c r="K594" s="339" t="s">
        <v>41</v>
      </c>
      <c r="L594" s="339" t="s">
        <v>41</v>
      </c>
      <c r="M594" s="451" t="s">
        <v>41</v>
      </c>
      <c r="N594" s="451" t="s">
        <v>41</v>
      </c>
      <c r="O594" s="451" t="s">
        <v>41</v>
      </c>
      <c r="P594" s="451" t="s">
        <v>41</v>
      </c>
      <c r="Q594" s="452">
        <f>I594*G594</f>
        <v>121248.10760962933</v>
      </c>
      <c r="R594" s="339">
        <v>2021</v>
      </c>
      <c r="S594" s="165" t="s">
        <v>52</v>
      </c>
      <c r="U594" s="181"/>
      <c r="V594" s="420"/>
      <c r="W594" s="168"/>
      <c r="X594" s="168"/>
      <c r="Y594" s="168"/>
      <c r="Z594" s="168"/>
      <c r="AA594" s="168"/>
      <c r="AB594" s="168"/>
      <c r="AC594" s="169"/>
      <c r="AD594" s="188"/>
    </row>
    <row r="595" spans="2:30" s="7" customFormat="1" ht="30" customHeight="1" outlineLevel="1" x14ac:dyDescent="0.25">
      <c r="C595" s="436" t="s">
        <v>569</v>
      </c>
      <c r="D595" s="104" t="s">
        <v>570</v>
      </c>
      <c r="E595" s="323">
        <v>2018</v>
      </c>
      <c r="F595" s="323" t="s">
        <v>39</v>
      </c>
      <c r="G595" s="437">
        <v>360</v>
      </c>
      <c r="H595" s="437" t="s">
        <v>40</v>
      </c>
      <c r="I595" s="438">
        <v>959.18</v>
      </c>
      <c r="J595" s="439">
        <f t="shared" si="140"/>
        <v>589751.82299999997</v>
      </c>
      <c r="K595" s="440">
        <f>R595-E595</f>
        <v>3</v>
      </c>
      <c r="L595" s="323">
        <v>50</v>
      </c>
      <c r="M595" s="323">
        <v>48</v>
      </c>
      <c r="N595" s="441">
        <f>+I595*G595</f>
        <v>345304.8</v>
      </c>
      <c r="O595" s="441">
        <f>+N595/L595</f>
        <v>6906.0959999999995</v>
      </c>
      <c r="P595" s="441">
        <f>(N595/L595)*M595</f>
        <v>331492.60800000001</v>
      </c>
      <c r="Q595" s="323" t="s">
        <v>41</v>
      </c>
      <c r="R595" s="323">
        <v>2021</v>
      </c>
      <c r="S595" s="113" t="s">
        <v>571</v>
      </c>
      <c r="U595" s="176" t="s">
        <v>569</v>
      </c>
      <c r="V595" s="189">
        <v>43298</v>
      </c>
      <c r="W595" s="178">
        <v>196278302.28</v>
      </c>
      <c r="X595" s="178">
        <v>0</v>
      </c>
      <c r="Y595" s="178">
        <v>0</v>
      </c>
      <c r="Z595" s="178">
        <v>5888349.0199999996</v>
      </c>
      <c r="AA595" s="178">
        <v>0</v>
      </c>
      <c r="AB595" s="178">
        <v>190389953.25999999</v>
      </c>
      <c r="AC595" s="177" t="s">
        <v>572</v>
      </c>
      <c r="AD595" s="205">
        <v>900415</v>
      </c>
    </row>
    <row r="596" spans="2:30" s="7" customFormat="1" ht="30" customHeight="1" outlineLevel="2" x14ac:dyDescent="0.25">
      <c r="C596" s="442" t="str">
        <f>C595</f>
        <v>K-7</v>
      </c>
      <c r="D596" s="115" t="s">
        <v>44</v>
      </c>
      <c r="E596" s="187">
        <v>2018</v>
      </c>
      <c r="F596" s="187" t="s">
        <v>39</v>
      </c>
      <c r="G596" s="443">
        <v>121.27</v>
      </c>
      <c r="H596" s="443" t="s">
        <v>40</v>
      </c>
      <c r="I596" s="444">
        <v>30.54</v>
      </c>
      <c r="J596" s="445">
        <f t="shared" si="140"/>
        <v>18777.519</v>
      </c>
      <c r="K596" s="446">
        <f>R596-E596</f>
        <v>3</v>
      </c>
      <c r="L596" s="187">
        <v>15</v>
      </c>
      <c r="M596" s="187">
        <v>15</v>
      </c>
      <c r="N596" s="447">
        <f>+I596*G596</f>
        <v>3703.5857999999998</v>
      </c>
      <c r="O596" s="447">
        <f>+N596/L596</f>
        <v>246.90572</v>
      </c>
      <c r="P596" s="447">
        <f>(N596/L596)*M596</f>
        <v>3703.5857999999998</v>
      </c>
      <c r="Q596" s="187" t="s">
        <v>41</v>
      </c>
      <c r="R596" s="187">
        <v>2021</v>
      </c>
      <c r="S596" s="124" t="s">
        <v>571</v>
      </c>
      <c r="U596" s="180"/>
      <c r="V596" s="155"/>
      <c r="W596" s="156"/>
      <c r="X596" s="156"/>
      <c r="Y596" s="156"/>
      <c r="Z596" s="156"/>
      <c r="AA596" s="156"/>
      <c r="AB596" s="156"/>
      <c r="AC596" s="157"/>
      <c r="AD596" s="184"/>
    </row>
    <row r="597" spans="2:30" s="7" customFormat="1" ht="30" customHeight="1" outlineLevel="2" x14ac:dyDescent="0.25">
      <c r="C597" s="442" t="str">
        <f>C595</f>
        <v>K-7</v>
      </c>
      <c r="D597" s="115" t="s">
        <v>46</v>
      </c>
      <c r="E597" s="187">
        <v>2018</v>
      </c>
      <c r="F597" s="187" t="s">
        <v>39</v>
      </c>
      <c r="G597" s="443">
        <v>697.23</v>
      </c>
      <c r="H597" s="443" t="s">
        <v>40</v>
      </c>
      <c r="I597" s="444">
        <v>3.4</v>
      </c>
      <c r="J597" s="445">
        <f t="shared" si="140"/>
        <v>2090.4900000000002</v>
      </c>
      <c r="K597" s="446">
        <f>R597-E597</f>
        <v>3</v>
      </c>
      <c r="L597" s="187">
        <v>10</v>
      </c>
      <c r="M597" s="187">
        <v>10</v>
      </c>
      <c r="N597" s="447">
        <f>+I597*G597</f>
        <v>2370.5819999999999</v>
      </c>
      <c r="O597" s="447">
        <f>+N597/L597</f>
        <v>237.0582</v>
      </c>
      <c r="P597" s="447">
        <f>(N597/L597)*M597</f>
        <v>2370.5819999999999</v>
      </c>
      <c r="Q597" s="187" t="s">
        <v>41</v>
      </c>
      <c r="R597" s="187">
        <v>2021</v>
      </c>
      <c r="S597" s="124" t="s">
        <v>571</v>
      </c>
      <c r="U597" s="180"/>
      <c r="V597" s="155"/>
      <c r="W597" s="156"/>
      <c r="X597" s="156"/>
      <c r="Y597" s="156"/>
      <c r="Z597" s="156"/>
      <c r="AA597" s="156"/>
      <c r="AB597" s="156"/>
      <c r="AC597" s="157"/>
      <c r="AD597" s="184"/>
    </row>
    <row r="598" spans="2:30" s="7" customFormat="1" ht="30" customHeight="1" outlineLevel="2" thickBot="1" x14ac:dyDescent="0.3">
      <c r="C598" s="448" t="str">
        <f>C595</f>
        <v>K-7</v>
      </c>
      <c r="D598" s="160" t="s">
        <v>48</v>
      </c>
      <c r="E598" s="339">
        <v>2018</v>
      </c>
      <c r="F598" s="339" t="s">
        <v>39</v>
      </c>
      <c r="G598" s="449">
        <v>450.88</v>
      </c>
      <c r="H598" s="450" t="s">
        <v>40</v>
      </c>
      <c r="I598" s="261">
        <f>+J598/$S$2</f>
        <v>159.33566168557752</v>
      </c>
      <c r="J598" s="97">
        <f t="shared" ref="J598" si="148">+((95000^(0.364-(0.00000133*G598)))/(G598^(0.364-(0.00000133*95000))))*6500</f>
        <v>97967.531587377336</v>
      </c>
      <c r="K598" s="339" t="s">
        <v>41</v>
      </c>
      <c r="L598" s="339" t="s">
        <v>41</v>
      </c>
      <c r="M598" s="451" t="s">
        <v>41</v>
      </c>
      <c r="N598" s="451" t="s">
        <v>41</v>
      </c>
      <c r="O598" s="451" t="s">
        <v>41</v>
      </c>
      <c r="P598" s="451" t="s">
        <v>41</v>
      </c>
      <c r="Q598" s="452">
        <f>I598*G598</f>
        <v>71841.263140793191</v>
      </c>
      <c r="R598" s="339">
        <v>2021</v>
      </c>
      <c r="S598" s="165" t="s">
        <v>571</v>
      </c>
      <c r="T598" s="7" t="s">
        <v>6</v>
      </c>
      <c r="U598" s="181"/>
      <c r="V598" s="167"/>
      <c r="W598" s="168"/>
      <c r="X598" s="168"/>
      <c r="Y598" s="168"/>
      <c r="Z598" s="168"/>
      <c r="AA598" s="168"/>
      <c r="AB598" s="168"/>
      <c r="AC598" s="169"/>
      <c r="AD598" s="188"/>
    </row>
    <row r="599" spans="2:30" s="7" customFormat="1" ht="30" customHeight="1" outlineLevel="1" x14ac:dyDescent="0.25">
      <c r="C599" s="436" t="s">
        <v>573</v>
      </c>
      <c r="D599" s="104" t="s">
        <v>574</v>
      </c>
      <c r="E599" s="323">
        <v>1980</v>
      </c>
      <c r="F599" s="323" t="s">
        <v>417</v>
      </c>
      <c r="G599" s="437">
        <f>G602</f>
        <v>3087.06</v>
      </c>
      <c r="H599" s="437" t="s">
        <v>40</v>
      </c>
      <c r="I599" s="438">
        <v>258.95999999999998</v>
      </c>
      <c r="J599" s="439">
        <f t="shared" si="140"/>
        <v>159221.55599999998</v>
      </c>
      <c r="K599" s="440">
        <f>R599-E599</f>
        <v>41</v>
      </c>
      <c r="L599" s="323">
        <v>50</v>
      </c>
      <c r="M599" s="323">
        <v>30</v>
      </c>
      <c r="N599" s="441">
        <f>+I599*G599</f>
        <v>799425.05759999994</v>
      </c>
      <c r="O599" s="441">
        <f>+N599/L599</f>
        <v>15988.501151999999</v>
      </c>
      <c r="P599" s="441">
        <f>(N599/L599)*M599</f>
        <v>479655.03455999994</v>
      </c>
      <c r="Q599" s="323" t="s">
        <v>41</v>
      </c>
      <c r="R599" s="323">
        <v>2021</v>
      </c>
      <c r="S599" s="113" t="s">
        <v>79</v>
      </c>
      <c r="T599" s="453" t="s">
        <v>162</v>
      </c>
      <c r="U599" s="176" t="s">
        <v>573</v>
      </c>
      <c r="V599" s="421" t="s">
        <v>575</v>
      </c>
      <c r="W599" s="178">
        <v>367031.22</v>
      </c>
      <c r="X599" s="178">
        <v>0</v>
      </c>
      <c r="Y599" s="178">
        <v>63969015.420000002</v>
      </c>
      <c r="Z599" s="178">
        <v>367031.22</v>
      </c>
      <c r="AA599" s="178">
        <v>26560639.079999998</v>
      </c>
      <c r="AB599" s="178">
        <v>37408376.340000004</v>
      </c>
      <c r="AC599" s="177" t="s">
        <v>576</v>
      </c>
      <c r="AD599" s="205">
        <v>900084</v>
      </c>
    </row>
    <row r="600" spans="2:30" s="7" customFormat="1" ht="30" customHeight="1" outlineLevel="2" x14ac:dyDescent="0.25">
      <c r="C600" s="442" t="str">
        <f>C599</f>
        <v>K-8</v>
      </c>
      <c r="D600" s="115" t="s">
        <v>165</v>
      </c>
      <c r="E600" s="187">
        <v>1980</v>
      </c>
      <c r="F600" s="187" t="s">
        <v>417</v>
      </c>
      <c r="G600" s="443">
        <v>0</v>
      </c>
      <c r="H600" s="443" t="s">
        <v>87</v>
      </c>
      <c r="I600" s="443">
        <v>0</v>
      </c>
      <c r="J600" s="443">
        <v>0</v>
      </c>
      <c r="K600" s="462">
        <v>0</v>
      </c>
      <c r="L600" s="443">
        <v>0</v>
      </c>
      <c r="M600" s="187">
        <v>0</v>
      </c>
      <c r="N600" s="447">
        <v>0</v>
      </c>
      <c r="O600" s="447">
        <v>0</v>
      </c>
      <c r="P600" s="447">
        <v>0</v>
      </c>
      <c r="Q600" s="187">
        <v>0</v>
      </c>
      <c r="R600" s="187" t="s">
        <v>87</v>
      </c>
      <c r="S600" s="124" t="s">
        <v>87</v>
      </c>
      <c r="T600" s="453" t="s">
        <v>162</v>
      </c>
      <c r="U600" s="180"/>
      <c r="V600" s="422"/>
      <c r="W600" s="156"/>
      <c r="X600" s="156"/>
      <c r="Y600" s="156"/>
      <c r="Z600" s="156"/>
      <c r="AA600" s="156"/>
      <c r="AB600" s="156"/>
      <c r="AC600" s="157"/>
      <c r="AD600" s="184"/>
    </row>
    <row r="601" spans="2:30" s="7" customFormat="1" ht="30" customHeight="1" outlineLevel="2" x14ac:dyDescent="0.25">
      <c r="C601" s="442" t="str">
        <f>C599</f>
        <v>K-8</v>
      </c>
      <c r="D601" s="115" t="s">
        <v>86</v>
      </c>
      <c r="E601" s="187">
        <v>1980</v>
      </c>
      <c r="F601" s="187" t="s">
        <v>417</v>
      </c>
      <c r="G601" s="443">
        <v>0</v>
      </c>
      <c r="H601" s="443" t="s">
        <v>87</v>
      </c>
      <c r="I601" s="443">
        <v>0</v>
      </c>
      <c r="J601" s="443">
        <v>0</v>
      </c>
      <c r="K601" s="462">
        <v>0</v>
      </c>
      <c r="L601" s="443">
        <v>0</v>
      </c>
      <c r="M601" s="187">
        <v>0</v>
      </c>
      <c r="N601" s="447">
        <v>0</v>
      </c>
      <c r="O601" s="447">
        <v>0</v>
      </c>
      <c r="P601" s="447">
        <v>0</v>
      </c>
      <c r="Q601" s="187">
        <v>0</v>
      </c>
      <c r="R601" s="187" t="s">
        <v>87</v>
      </c>
      <c r="S601" s="124" t="s">
        <v>87</v>
      </c>
      <c r="T601" s="453" t="s">
        <v>162</v>
      </c>
      <c r="U601" s="180"/>
      <c r="V601" s="422"/>
      <c r="W601" s="156"/>
      <c r="X601" s="156"/>
      <c r="Y601" s="156"/>
      <c r="Z601" s="156"/>
      <c r="AA601" s="156"/>
      <c r="AB601" s="156"/>
      <c r="AC601" s="157"/>
      <c r="AD601" s="184"/>
    </row>
    <row r="602" spans="2:30" s="7" customFormat="1" ht="30" customHeight="1" outlineLevel="2" thickBot="1" x14ac:dyDescent="0.3">
      <c r="C602" s="448" t="str">
        <f>C599</f>
        <v>K-8</v>
      </c>
      <c r="D602" s="160" t="s">
        <v>48</v>
      </c>
      <c r="E602" s="339">
        <v>1980</v>
      </c>
      <c r="F602" s="339" t="s">
        <v>417</v>
      </c>
      <c r="G602" s="449">
        <v>3087.06</v>
      </c>
      <c r="H602" s="450" t="s">
        <v>40</v>
      </c>
      <c r="I602" s="261">
        <f>+J602/$S$2</f>
        <v>96.896412676043624</v>
      </c>
      <c r="J602" s="97">
        <f t="shared" ref="J602" si="149">+((95000^(0.364-(0.00000133*G602)))/(G602^(0.364-(0.00000133*95000))))*6500</f>
        <v>59576.759333865426</v>
      </c>
      <c r="K602" s="339" t="s">
        <v>41</v>
      </c>
      <c r="L602" s="339" t="s">
        <v>41</v>
      </c>
      <c r="M602" s="451" t="s">
        <v>41</v>
      </c>
      <c r="N602" s="451" t="s">
        <v>41</v>
      </c>
      <c r="O602" s="451" t="s">
        <v>41</v>
      </c>
      <c r="P602" s="451" t="s">
        <v>41</v>
      </c>
      <c r="Q602" s="452">
        <f>I602*G602</f>
        <v>299125.03971570724</v>
      </c>
      <c r="R602" s="339">
        <v>2021</v>
      </c>
      <c r="S602" s="165" t="s">
        <v>79</v>
      </c>
      <c r="T602" s="453" t="s">
        <v>162</v>
      </c>
      <c r="U602" s="181"/>
      <c r="V602" s="420"/>
      <c r="W602" s="168"/>
      <c r="X602" s="168"/>
      <c r="Y602" s="168"/>
      <c r="Z602" s="168"/>
      <c r="AA602" s="168"/>
      <c r="AB602" s="168"/>
      <c r="AC602" s="169"/>
      <c r="AD602" s="188"/>
    </row>
    <row r="603" spans="2:30" s="7" customFormat="1" ht="30" customHeight="1" outlineLevel="1" collapsed="1" x14ac:dyDescent="0.25">
      <c r="C603" s="436" t="s">
        <v>577</v>
      </c>
      <c r="D603" s="104" t="s">
        <v>578</v>
      </c>
      <c r="E603" s="323">
        <v>2012</v>
      </c>
      <c r="F603" s="323" t="s">
        <v>39</v>
      </c>
      <c r="G603" s="437">
        <f>G606</f>
        <v>92.87</v>
      </c>
      <c r="H603" s="437" t="s">
        <v>40</v>
      </c>
      <c r="I603" s="438">
        <v>143.88</v>
      </c>
      <c r="J603" s="439">
        <f t="shared" si="140"/>
        <v>88464.618000000002</v>
      </c>
      <c r="K603" s="440">
        <f>R603-E603</f>
        <v>9</v>
      </c>
      <c r="L603" s="323">
        <v>50</v>
      </c>
      <c r="M603" s="323">
        <v>42</v>
      </c>
      <c r="N603" s="441">
        <f>+I603*G603</f>
        <v>13362.1356</v>
      </c>
      <c r="O603" s="441">
        <f>+N603/L603</f>
        <v>267.24271199999998</v>
      </c>
      <c r="P603" s="441">
        <f>(N603/L603)*M603</f>
        <v>11224.193904</v>
      </c>
      <c r="Q603" s="323" t="s">
        <v>41</v>
      </c>
      <c r="R603" s="323">
        <v>2021</v>
      </c>
      <c r="S603" s="113" t="s">
        <v>79</v>
      </c>
      <c r="U603" s="176" t="s">
        <v>577</v>
      </c>
      <c r="V603" s="421" t="s">
        <v>579</v>
      </c>
      <c r="W603" s="178">
        <v>9044232.75</v>
      </c>
      <c r="X603" s="178">
        <v>0</v>
      </c>
      <c r="Y603" s="178">
        <v>12955767.25</v>
      </c>
      <c r="Z603" s="178">
        <v>406990.44</v>
      </c>
      <c r="AA603" s="178">
        <v>562353.75</v>
      </c>
      <c r="AB603" s="178">
        <v>21030655.809999999</v>
      </c>
      <c r="AC603" s="177" t="s">
        <v>580</v>
      </c>
      <c r="AD603" s="205">
        <v>900372</v>
      </c>
    </row>
    <row r="604" spans="2:30" s="7" customFormat="1" ht="30" customHeight="1" outlineLevel="1" x14ac:dyDescent="0.25">
      <c r="C604" s="442" t="str">
        <f>C603</f>
        <v>K-9</v>
      </c>
      <c r="D604" s="115" t="s">
        <v>44</v>
      </c>
      <c r="E604" s="187">
        <v>2012</v>
      </c>
      <c r="F604" s="187" t="s">
        <v>39</v>
      </c>
      <c r="G604" s="443">
        <v>42.6</v>
      </c>
      <c r="H604" s="443" t="s">
        <v>40</v>
      </c>
      <c r="I604" s="444">
        <v>30.54</v>
      </c>
      <c r="J604" s="445">
        <f t="shared" si="140"/>
        <v>18777.519</v>
      </c>
      <c r="K604" s="446">
        <f>R604-E604</f>
        <v>9</v>
      </c>
      <c r="L604" s="187">
        <v>15</v>
      </c>
      <c r="M604" s="187">
        <v>10</v>
      </c>
      <c r="N604" s="447">
        <f>+I604*G604</f>
        <v>1301.0039999999999</v>
      </c>
      <c r="O604" s="447">
        <f>+N604/L604</f>
        <v>86.733599999999996</v>
      </c>
      <c r="P604" s="447">
        <f>(N604/L604)*M604</f>
        <v>867.33600000000001</v>
      </c>
      <c r="Q604" s="187" t="s">
        <v>41</v>
      </c>
      <c r="R604" s="187">
        <v>2021</v>
      </c>
      <c r="S604" s="124" t="s">
        <v>79</v>
      </c>
      <c r="U604" s="180"/>
      <c r="V604" s="422"/>
      <c r="W604" s="156"/>
      <c r="X604" s="156"/>
      <c r="Y604" s="156"/>
      <c r="Z604" s="156"/>
      <c r="AA604" s="156"/>
      <c r="AB604" s="156"/>
      <c r="AC604" s="157"/>
      <c r="AD604" s="184"/>
    </row>
    <row r="605" spans="2:30" s="7" customFormat="1" ht="30" customHeight="1" outlineLevel="1" x14ac:dyDescent="0.25">
      <c r="C605" s="442" t="str">
        <f>C603</f>
        <v>K-9</v>
      </c>
      <c r="D605" s="115" t="s">
        <v>46</v>
      </c>
      <c r="E605" s="187">
        <v>2012</v>
      </c>
      <c r="F605" s="187" t="s">
        <v>39</v>
      </c>
      <c r="G605" s="443">
        <v>186.07</v>
      </c>
      <c r="H605" s="443" t="s">
        <v>40</v>
      </c>
      <c r="I605" s="444">
        <v>3.4</v>
      </c>
      <c r="J605" s="445">
        <f t="shared" si="140"/>
        <v>2090.4900000000002</v>
      </c>
      <c r="K605" s="446">
        <f>R605-E605</f>
        <v>9</v>
      </c>
      <c r="L605" s="187">
        <v>10</v>
      </c>
      <c r="M605" s="187">
        <v>6</v>
      </c>
      <c r="N605" s="447">
        <f>+I605*G605</f>
        <v>632.63799999999992</v>
      </c>
      <c r="O605" s="447">
        <f>+N605/L605</f>
        <v>63.263799999999989</v>
      </c>
      <c r="P605" s="447">
        <f>(N605/L605)*M605</f>
        <v>379.58279999999991</v>
      </c>
      <c r="Q605" s="187" t="s">
        <v>41</v>
      </c>
      <c r="R605" s="187">
        <v>2021</v>
      </c>
      <c r="S605" s="124" t="s">
        <v>79</v>
      </c>
      <c r="U605" s="180"/>
      <c r="V605" s="422"/>
      <c r="W605" s="156"/>
      <c r="X605" s="156"/>
      <c r="Y605" s="156"/>
      <c r="Z605" s="156"/>
      <c r="AA605" s="156"/>
      <c r="AB605" s="156"/>
      <c r="AC605" s="157"/>
      <c r="AD605" s="184"/>
    </row>
    <row r="606" spans="2:30" s="7" customFormat="1" ht="30" customHeight="1" outlineLevel="1" thickBot="1" x14ac:dyDescent="0.3">
      <c r="B606" s="7">
        <v>9</v>
      </c>
      <c r="C606" s="448" t="str">
        <f>C603</f>
        <v>K-9</v>
      </c>
      <c r="D606" s="160" t="s">
        <v>48</v>
      </c>
      <c r="E606" s="339">
        <v>2012</v>
      </c>
      <c r="F606" s="339" t="s">
        <v>39</v>
      </c>
      <c r="G606" s="449">
        <v>92.87</v>
      </c>
      <c r="H606" s="450" t="s">
        <v>40</v>
      </c>
      <c r="I606" s="261">
        <f>+J606/$S$2</f>
        <v>233.21427929404069</v>
      </c>
      <c r="J606" s="208">
        <f t="shared" ref="J606" si="150">+((95000^(0.364-(0.00000133*G606)))/(G606^(0.364-(0.00000133*95000))))*6500</f>
        <v>143391.79962394093</v>
      </c>
      <c r="K606" s="339" t="s">
        <v>41</v>
      </c>
      <c r="L606" s="339" t="s">
        <v>41</v>
      </c>
      <c r="M606" s="451" t="s">
        <v>41</v>
      </c>
      <c r="N606" s="451" t="s">
        <v>41</v>
      </c>
      <c r="O606" s="451" t="s">
        <v>41</v>
      </c>
      <c r="P606" s="451" t="s">
        <v>41</v>
      </c>
      <c r="Q606" s="452">
        <f>I606*G606</f>
        <v>21658.610118037559</v>
      </c>
      <c r="R606" s="339">
        <v>2021</v>
      </c>
      <c r="S606" s="165" t="s">
        <v>79</v>
      </c>
      <c r="U606" s="181"/>
      <c r="V606" s="420"/>
      <c r="W606" s="168"/>
      <c r="X606" s="168"/>
      <c r="Y606" s="168"/>
      <c r="Z606" s="168"/>
      <c r="AA606" s="168"/>
      <c r="AB606" s="168"/>
      <c r="AC606" s="169"/>
      <c r="AD606" s="188"/>
    </row>
    <row r="607" spans="2:30" ht="16.5" hidden="1" thickBot="1" x14ac:dyDescent="0.3">
      <c r="C607" s="262" t="s">
        <v>6</v>
      </c>
      <c r="D607" s="417" t="s">
        <v>581</v>
      </c>
      <c r="E607" s="210"/>
      <c r="F607" s="210"/>
      <c r="G607" s="210"/>
      <c r="H607" s="210"/>
      <c r="I607" s="213"/>
      <c r="J607" s="210"/>
      <c r="K607" s="210"/>
      <c r="L607" s="210"/>
      <c r="M607" s="210"/>
      <c r="N607" s="210"/>
      <c r="O607" s="210"/>
      <c r="P607" s="210"/>
      <c r="Q607" s="210"/>
      <c r="R607" s="210"/>
      <c r="S607" s="214"/>
      <c r="U607" s="264" t="s">
        <v>581</v>
      </c>
      <c r="V607" s="216"/>
      <c r="W607" s="216"/>
      <c r="X607" s="216"/>
      <c r="Y607" s="216"/>
      <c r="Z607" s="217"/>
      <c r="AA607" s="217"/>
      <c r="AB607" s="217"/>
      <c r="AC607" s="216"/>
      <c r="AD607" s="216"/>
    </row>
    <row r="608" spans="2:30" ht="38.25" outlineLevel="1" x14ac:dyDescent="0.25">
      <c r="C608" s="103" t="s">
        <v>582</v>
      </c>
      <c r="D608" s="104" t="s">
        <v>583</v>
      </c>
      <c r="E608" s="105">
        <v>1995</v>
      </c>
      <c r="F608" s="105" t="s">
        <v>584</v>
      </c>
      <c r="G608" s="203">
        <f>G611</f>
        <v>970.57</v>
      </c>
      <c r="H608" s="203" t="s">
        <v>40</v>
      </c>
      <c r="I608" s="107">
        <v>1275</v>
      </c>
      <c r="J608" s="108">
        <f t="shared" ref="J608:J634" si="151">I608*$S$2</f>
        <v>783933.75</v>
      </c>
      <c r="K608" s="109">
        <f>R608-E608</f>
        <v>26</v>
      </c>
      <c r="L608" s="105">
        <v>50</v>
      </c>
      <c r="M608" s="105">
        <v>30</v>
      </c>
      <c r="N608" s="111">
        <f>+I608*G608</f>
        <v>1237476.75</v>
      </c>
      <c r="O608" s="111">
        <f>+N608/L608</f>
        <v>24749.535</v>
      </c>
      <c r="P608" s="111">
        <f>(N608/L608)*M608</f>
        <v>742486.05</v>
      </c>
      <c r="Q608" s="105" t="s">
        <v>41</v>
      </c>
      <c r="R608" s="105">
        <v>2021</v>
      </c>
      <c r="S608" s="113" t="s">
        <v>52</v>
      </c>
      <c r="U608" s="176" t="s">
        <v>582</v>
      </c>
      <c r="V608" s="421" t="s">
        <v>75</v>
      </c>
      <c r="W608" s="178">
        <v>29837901</v>
      </c>
      <c r="X608" s="178">
        <v>0</v>
      </c>
      <c r="Y608" s="178">
        <v>125362279.23999999</v>
      </c>
      <c r="Z608" s="178">
        <v>14371922.32</v>
      </c>
      <c r="AA608" s="178">
        <v>11172179.23</v>
      </c>
      <c r="AB608" s="178">
        <v>129656078.69000001</v>
      </c>
      <c r="AC608" s="177" t="s">
        <v>585</v>
      </c>
      <c r="AD608" s="205">
        <v>900263</v>
      </c>
    </row>
    <row r="609" spans="3:30" ht="30" customHeight="1" outlineLevel="2" x14ac:dyDescent="0.25">
      <c r="C609" s="114" t="str">
        <f>C608</f>
        <v>L-1</v>
      </c>
      <c r="D609" s="115" t="s">
        <v>44</v>
      </c>
      <c r="E609" s="116">
        <v>1995</v>
      </c>
      <c r="F609" s="116" t="s">
        <v>584</v>
      </c>
      <c r="G609" s="206">
        <v>156.94</v>
      </c>
      <c r="H609" s="206" t="s">
        <v>40</v>
      </c>
      <c r="I609" s="118">
        <v>30.54</v>
      </c>
      <c r="J609" s="119">
        <f>I609*$S$2</f>
        <v>18777.519</v>
      </c>
      <c r="K609" s="120">
        <f>R609-E609</f>
        <v>26</v>
      </c>
      <c r="L609" s="116">
        <v>15</v>
      </c>
      <c r="M609" s="116">
        <v>5</v>
      </c>
      <c r="N609" s="122">
        <f>+I609*G609</f>
        <v>4792.9475999999995</v>
      </c>
      <c r="O609" s="122">
        <f>+N609/L609</f>
        <v>319.52983999999998</v>
      </c>
      <c r="P609" s="122">
        <f>(N609/L609)*M609</f>
        <v>1597.6491999999998</v>
      </c>
      <c r="Q609" s="116" t="s">
        <v>41</v>
      </c>
      <c r="R609" s="116">
        <v>2021</v>
      </c>
      <c r="S609" s="124" t="s">
        <v>52</v>
      </c>
      <c r="U609" s="330"/>
      <c r="V609" s="423"/>
      <c r="W609" s="332"/>
      <c r="X609" s="332"/>
      <c r="Y609" s="332"/>
      <c r="Z609" s="332"/>
      <c r="AA609" s="332"/>
      <c r="AB609" s="332"/>
      <c r="AC609" s="331"/>
      <c r="AD609" s="333"/>
    </row>
    <row r="610" spans="3:30" ht="30" customHeight="1" outlineLevel="2" x14ac:dyDescent="0.25">
      <c r="C610" s="114" t="str">
        <f>C608</f>
        <v>L-1</v>
      </c>
      <c r="D610" s="115" t="s">
        <v>46</v>
      </c>
      <c r="E610" s="116">
        <v>1995</v>
      </c>
      <c r="F610" s="116" t="s">
        <v>584</v>
      </c>
      <c r="G610" s="206">
        <v>337.52</v>
      </c>
      <c r="H610" s="206" t="s">
        <v>40</v>
      </c>
      <c r="I610" s="118">
        <v>3.4</v>
      </c>
      <c r="J610" s="119">
        <f>I610*$S$2</f>
        <v>2090.4900000000002</v>
      </c>
      <c r="K610" s="120">
        <f>R610-E610</f>
        <v>26</v>
      </c>
      <c r="L610" s="116">
        <v>10</v>
      </c>
      <c r="M610" s="116">
        <v>5</v>
      </c>
      <c r="N610" s="122">
        <f>+I610*G610</f>
        <v>1147.568</v>
      </c>
      <c r="O610" s="122">
        <f>+N610/L610</f>
        <v>114.7568</v>
      </c>
      <c r="P610" s="122">
        <f>(N610/L610)*M610</f>
        <v>573.78399999999999</v>
      </c>
      <c r="Q610" s="116" t="s">
        <v>41</v>
      </c>
      <c r="R610" s="116">
        <v>2021</v>
      </c>
      <c r="S610" s="124" t="s">
        <v>52</v>
      </c>
      <c r="T610" s="1" t="s">
        <v>6</v>
      </c>
      <c r="U610" s="226" t="s">
        <v>582</v>
      </c>
      <c r="V610" s="150">
        <v>39022</v>
      </c>
      <c r="W610" s="151">
        <v>6773542.6299999999</v>
      </c>
      <c r="X610" s="151">
        <v>0</v>
      </c>
      <c r="Y610" s="151">
        <v>0</v>
      </c>
      <c r="Z610" s="151">
        <v>4459248.84</v>
      </c>
      <c r="AA610" s="151">
        <v>0</v>
      </c>
      <c r="AB610" s="151">
        <v>2314293.79</v>
      </c>
      <c r="AC610" s="152" t="s">
        <v>586</v>
      </c>
      <c r="AD610" s="227">
        <v>900278</v>
      </c>
    </row>
    <row r="611" spans="3:30" ht="30" customHeight="1" outlineLevel="2" thickBot="1" x14ac:dyDescent="0.3">
      <c r="C611" s="159" t="str">
        <f>C608</f>
        <v>L-1</v>
      </c>
      <c r="D611" s="160" t="s">
        <v>48</v>
      </c>
      <c r="E611" s="161">
        <v>1995</v>
      </c>
      <c r="F611" s="161" t="s">
        <v>584</v>
      </c>
      <c r="G611" s="162">
        <v>970.57</v>
      </c>
      <c r="H611" s="218" t="s">
        <v>40</v>
      </c>
      <c r="I611" s="261">
        <f>+J611/$S$2</f>
        <v>131.74771835125912</v>
      </c>
      <c r="J611" s="97">
        <f>+((95000^(0.364-(0.00000133*G611)))/(G611^(0.364-(0.00000133*95000))))*6500</f>
        <v>81005.084628271667</v>
      </c>
      <c r="K611" s="161" t="s">
        <v>41</v>
      </c>
      <c r="L611" s="161" t="s">
        <v>41</v>
      </c>
      <c r="M611" s="163" t="s">
        <v>41</v>
      </c>
      <c r="N611" s="163" t="s">
        <v>41</v>
      </c>
      <c r="O611" s="163" t="s">
        <v>41</v>
      </c>
      <c r="P611" s="163" t="s">
        <v>41</v>
      </c>
      <c r="Q611" s="171">
        <f>I611*G611</f>
        <v>127870.38300018158</v>
      </c>
      <c r="R611" s="161">
        <v>2021</v>
      </c>
      <c r="S611" s="165" t="s">
        <v>52</v>
      </c>
      <c r="U611" s="181"/>
      <c r="V611" s="167"/>
      <c r="W611" s="168"/>
      <c r="X611" s="168"/>
      <c r="Y611" s="168"/>
      <c r="Z611" s="168"/>
      <c r="AA611" s="168"/>
      <c r="AB611" s="168"/>
      <c r="AC611" s="169"/>
      <c r="AD611" s="188"/>
    </row>
    <row r="612" spans="3:30" ht="38.25" outlineLevel="1" x14ac:dyDescent="0.25">
      <c r="C612" s="103" t="s">
        <v>587</v>
      </c>
      <c r="D612" s="104" t="s">
        <v>588</v>
      </c>
      <c r="E612" s="105">
        <v>1981</v>
      </c>
      <c r="F612" s="105" t="s">
        <v>584</v>
      </c>
      <c r="G612" s="203">
        <f>G615</f>
        <v>604.54</v>
      </c>
      <c r="H612" s="203" t="s">
        <v>40</v>
      </c>
      <c r="I612" s="107">
        <v>1350</v>
      </c>
      <c r="J612" s="108">
        <f t="shared" si="151"/>
        <v>830047.5</v>
      </c>
      <c r="K612" s="109">
        <f>R612-E612</f>
        <v>40</v>
      </c>
      <c r="L612" s="105">
        <v>50</v>
      </c>
      <c r="M612" s="105">
        <v>30</v>
      </c>
      <c r="N612" s="111">
        <f>+I612*G612</f>
        <v>816129</v>
      </c>
      <c r="O612" s="111">
        <f>+N612/L612</f>
        <v>16322.58</v>
      </c>
      <c r="P612" s="111">
        <f>(N612/L612)*M612</f>
        <v>489677.4</v>
      </c>
      <c r="Q612" s="105" t="s">
        <v>41</v>
      </c>
      <c r="R612" s="105">
        <v>2021</v>
      </c>
      <c r="S612" s="113" t="s">
        <v>52</v>
      </c>
      <c r="U612" s="176" t="s">
        <v>587</v>
      </c>
      <c r="V612" s="421" t="s">
        <v>231</v>
      </c>
      <c r="W612" s="178">
        <v>777496.52</v>
      </c>
      <c r="X612" s="178">
        <v>0</v>
      </c>
      <c r="Y612" s="178">
        <v>43048857.979999997</v>
      </c>
      <c r="Z612" s="178">
        <v>488325.89</v>
      </c>
      <c r="AA612" s="178">
        <v>7890248.2400000002</v>
      </c>
      <c r="AB612" s="178">
        <v>35447780.369999997</v>
      </c>
      <c r="AC612" s="177" t="s">
        <v>589</v>
      </c>
      <c r="AD612" s="205">
        <v>900030</v>
      </c>
    </row>
    <row r="613" spans="3:30" ht="30" customHeight="1" outlineLevel="2" x14ac:dyDescent="0.25">
      <c r="C613" s="114" t="str">
        <f>C612</f>
        <v>L-2</v>
      </c>
      <c r="D613" s="115" t="s">
        <v>44</v>
      </c>
      <c r="E613" s="116">
        <v>1981</v>
      </c>
      <c r="F613" s="116" t="s">
        <v>584</v>
      </c>
      <c r="G613" s="206">
        <v>126.3</v>
      </c>
      <c r="H613" s="206" t="s">
        <v>40</v>
      </c>
      <c r="I613" s="118">
        <v>30.54</v>
      </c>
      <c r="J613" s="119">
        <f t="shared" si="151"/>
        <v>18777.519</v>
      </c>
      <c r="K613" s="120">
        <f>R613-E613</f>
        <v>40</v>
      </c>
      <c r="L613" s="116">
        <v>15</v>
      </c>
      <c r="M613" s="116">
        <v>5</v>
      </c>
      <c r="N613" s="122">
        <f>+I613*G613</f>
        <v>3857.2019999999998</v>
      </c>
      <c r="O613" s="122">
        <f>+N613/L613</f>
        <v>257.14679999999998</v>
      </c>
      <c r="P613" s="122">
        <f>(N613/L613)*M613</f>
        <v>1285.7339999999999</v>
      </c>
      <c r="Q613" s="116" t="s">
        <v>41</v>
      </c>
      <c r="R613" s="116">
        <v>2021</v>
      </c>
      <c r="S613" s="124" t="s">
        <v>52</v>
      </c>
      <c r="U613" s="180"/>
      <c r="V613" s="422"/>
      <c r="W613" s="156"/>
      <c r="X613" s="156"/>
      <c r="Y613" s="156"/>
      <c r="Z613" s="156"/>
      <c r="AA613" s="156"/>
      <c r="AB613" s="156"/>
      <c r="AC613" s="157"/>
      <c r="AD613" s="184"/>
    </row>
    <row r="614" spans="3:30" ht="30" customHeight="1" outlineLevel="2" x14ac:dyDescent="0.25">
      <c r="C614" s="114" t="str">
        <f>C612</f>
        <v>L-2</v>
      </c>
      <c r="D614" s="115" t="s">
        <v>46</v>
      </c>
      <c r="E614" s="116">
        <v>1981</v>
      </c>
      <c r="F614" s="116" t="s">
        <v>584</v>
      </c>
      <c r="G614" s="206">
        <v>254</v>
      </c>
      <c r="H614" s="206" t="s">
        <v>40</v>
      </c>
      <c r="I614" s="118">
        <v>3.4</v>
      </c>
      <c r="J614" s="119">
        <f t="shared" si="151"/>
        <v>2090.4900000000002</v>
      </c>
      <c r="K614" s="120">
        <f>R614-E614</f>
        <v>40</v>
      </c>
      <c r="L614" s="116">
        <v>10</v>
      </c>
      <c r="M614" s="116">
        <v>5</v>
      </c>
      <c r="N614" s="122">
        <f>+I614*G614</f>
        <v>863.6</v>
      </c>
      <c r="O614" s="122">
        <f>+N614/L614</f>
        <v>86.36</v>
      </c>
      <c r="P614" s="122">
        <f>(N614/L614)*M614</f>
        <v>431.8</v>
      </c>
      <c r="Q614" s="116" t="s">
        <v>41</v>
      </c>
      <c r="R614" s="116">
        <v>2021</v>
      </c>
      <c r="S614" s="124" t="s">
        <v>52</v>
      </c>
      <c r="U614" s="180"/>
      <c r="V614" s="422"/>
      <c r="W614" s="156"/>
      <c r="X614" s="156"/>
      <c r="Y614" s="156"/>
      <c r="Z614" s="156"/>
      <c r="AA614" s="156"/>
      <c r="AB614" s="156"/>
      <c r="AC614" s="157"/>
      <c r="AD614" s="184"/>
    </row>
    <row r="615" spans="3:30" ht="30" customHeight="1" outlineLevel="2" thickBot="1" x14ac:dyDescent="0.3">
      <c r="C615" s="159" t="str">
        <f>C612</f>
        <v>L-2</v>
      </c>
      <c r="D615" s="160" t="s">
        <v>48</v>
      </c>
      <c r="E615" s="161">
        <v>1981</v>
      </c>
      <c r="F615" s="161" t="s">
        <v>584</v>
      </c>
      <c r="G615" s="162">
        <v>604.54</v>
      </c>
      <c r="H615" s="218" t="s">
        <v>40</v>
      </c>
      <c r="I615" s="261">
        <f>+J615/$S$2</f>
        <v>148.26124083288528</v>
      </c>
      <c r="J615" s="97">
        <f t="shared" ref="J615" si="152">+((95000^(0.364-(0.00000133*G615)))/(G615^(0.364-(0.00000133*95000))))*6500</f>
        <v>91158.423926099509</v>
      </c>
      <c r="K615" s="161" t="s">
        <v>41</v>
      </c>
      <c r="L615" s="161" t="s">
        <v>41</v>
      </c>
      <c r="M615" s="163" t="s">
        <v>41</v>
      </c>
      <c r="N615" s="163" t="s">
        <v>41</v>
      </c>
      <c r="O615" s="163" t="s">
        <v>41</v>
      </c>
      <c r="P615" s="163" t="s">
        <v>41</v>
      </c>
      <c r="Q615" s="171">
        <f>I615*G615</f>
        <v>89629.850533112462</v>
      </c>
      <c r="R615" s="161">
        <v>2021</v>
      </c>
      <c r="S615" s="165" t="s">
        <v>52</v>
      </c>
      <c r="U615" s="181"/>
      <c r="V615" s="420"/>
      <c r="W615" s="168"/>
      <c r="X615" s="168"/>
      <c r="Y615" s="168"/>
      <c r="Z615" s="168"/>
      <c r="AA615" s="168"/>
      <c r="AB615" s="168"/>
      <c r="AC615" s="169"/>
      <c r="AD615" s="188"/>
    </row>
    <row r="616" spans="3:30" ht="38.25" outlineLevel="1" x14ac:dyDescent="0.25">
      <c r="C616" s="103" t="s">
        <v>590</v>
      </c>
      <c r="D616" s="104" t="s">
        <v>591</v>
      </c>
      <c r="E616" s="105">
        <v>1981</v>
      </c>
      <c r="F616" s="105" t="s">
        <v>584</v>
      </c>
      <c r="G616" s="203">
        <f>G619+763.17</f>
        <v>1526.8899999999999</v>
      </c>
      <c r="H616" s="203" t="s">
        <v>40</v>
      </c>
      <c r="I616" s="107">
        <v>1200</v>
      </c>
      <c r="J616" s="108">
        <f t="shared" si="151"/>
        <v>737820</v>
      </c>
      <c r="K616" s="109">
        <f>R616-E616</f>
        <v>40</v>
      </c>
      <c r="L616" s="105">
        <v>50</v>
      </c>
      <c r="M616" s="105">
        <v>30</v>
      </c>
      <c r="N616" s="111">
        <f>+I616*G616</f>
        <v>1832267.9999999998</v>
      </c>
      <c r="O616" s="111">
        <f>+N616/L616</f>
        <v>36645.359999999993</v>
      </c>
      <c r="P616" s="111">
        <f>(N616/L616)*M616</f>
        <v>1099360.7999999998</v>
      </c>
      <c r="Q616" s="105" t="s">
        <v>41</v>
      </c>
      <c r="R616" s="105">
        <v>2021</v>
      </c>
      <c r="S616" s="113" t="s">
        <v>52</v>
      </c>
      <c r="U616" s="176" t="s">
        <v>590</v>
      </c>
      <c r="V616" s="421" t="s">
        <v>84</v>
      </c>
      <c r="W616" s="178">
        <v>10006251.699999999</v>
      </c>
      <c r="X616" s="178">
        <v>0</v>
      </c>
      <c r="Y616" s="178">
        <v>574767713.46000004</v>
      </c>
      <c r="Z616" s="178">
        <v>6205049.71</v>
      </c>
      <c r="AA616" s="178">
        <v>48776384.810000002</v>
      </c>
      <c r="AB616" s="178">
        <v>529792530.64000005</v>
      </c>
      <c r="AC616" s="177" t="s">
        <v>592</v>
      </c>
      <c r="AD616" s="205">
        <v>900207</v>
      </c>
    </row>
    <row r="617" spans="3:30" ht="30" customHeight="1" outlineLevel="2" x14ac:dyDescent="0.25">
      <c r="C617" s="114" t="str">
        <f>C616</f>
        <v>L-3</v>
      </c>
      <c r="D617" s="115" t="s">
        <v>44</v>
      </c>
      <c r="E617" s="116">
        <v>1981</v>
      </c>
      <c r="F617" s="116" t="s">
        <v>584</v>
      </c>
      <c r="G617" s="206">
        <v>133.66</v>
      </c>
      <c r="H617" s="206" t="s">
        <v>40</v>
      </c>
      <c r="I617" s="118">
        <v>30.54</v>
      </c>
      <c r="J617" s="119">
        <f t="shared" si="151"/>
        <v>18777.519</v>
      </c>
      <c r="K617" s="120">
        <f>R617-E617</f>
        <v>40</v>
      </c>
      <c r="L617" s="116">
        <v>15</v>
      </c>
      <c r="M617" s="116">
        <v>5</v>
      </c>
      <c r="N617" s="122">
        <f>+I617*G617</f>
        <v>4081.9763999999996</v>
      </c>
      <c r="O617" s="122">
        <f>+N617/L617</f>
        <v>272.13175999999999</v>
      </c>
      <c r="P617" s="122">
        <f>(N617/L617)*M617</f>
        <v>1360.6587999999999</v>
      </c>
      <c r="Q617" s="116" t="s">
        <v>41</v>
      </c>
      <c r="R617" s="116">
        <v>2021</v>
      </c>
      <c r="S617" s="124" t="s">
        <v>52</v>
      </c>
      <c r="U617" s="180"/>
      <c r="V617" s="422"/>
      <c r="W617" s="156"/>
      <c r="X617" s="156"/>
      <c r="Y617" s="156"/>
      <c r="Z617" s="156"/>
      <c r="AA617" s="156"/>
      <c r="AB617" s="156"/>
      <c r="AC617" s="157"/>
      <c r="AD617" s="184"/>
    </row>
    <row r="618" spans="3:30" ht="30" customHeight="1" outlineLevel="2" x14ac:dyDescent="0.25">
      <c r="C618" s="114" t="str">
        <f>C616</f>
        <v>L-3</v>
      </c>
      <c r="D618" s="115" t="s">
        <v>46</v>
      </c>
      <c r="E618" s="116">
        <v>1981</v>
      </c>
      <c r="F618" s="116" t="s">
        <v>584</v>
      </c>
      <c r="G618" s="206">
        <v>274.52999999999997</v>
      </c>
      <c r="H618" s="206" t="s">
        <v>40</v>
      </c>
      <c r="I618" s="118">
        <v>3.4</v>
      </c>
      <c r="J618" s="119">
        <f t="shared" si="151"/>
        <v>2090.4900000000002</v>
      </c>
      <c r="K618" s="120">
        <f>R618-E618</f>
        <v>40</v>
      </c>
      <c r="L618" s="116">
        <v>10</v>
      </c>
      <c r="M618" s="116">
        <v>5</v>
      </c>
      <c r="N618" s="122">
        <f>+I618*G618</f>
        <v>933.40199999999993</v>
      </c>
      <c r="O618" s="122">
        <f>+N618/L618</f>
        <v>93.340199999999996</v>
      </c>
      <c r="P618" s="122">
        <f>(N618/L618)*M618</f>
        <v>466.70099999999996</v>
      </c>
      <c r="Q618" s="116" t="s">
        <v>41</v>
      </c>
      <c r="R618" s="116">
        <v>2021</v>
      </c>
      <c r="S618" s="124" t="s">
        <v>52</v>
      </c>
      <c r="U618" s="180"/>
      <c r="V618" s="422"/>
      <c r="W618" s="156"/>
      <c r="X618" s="156"/>
      <c r="Y618" s="156"/>
      <c r="Z618" s="156"/>
      <c r="AA618" s="156"/>
      <c r="AB618" s="156"/>
      <c r="AC618" s="157"/>
      <c r="AD618" s="184"/>
    </row>
    <row r="619" spans="3:30" ht="30" customHeight="1" outlineLevel="2" thickBot="1" x14ac:dyDescent="0.3">
      <c r="C619" s="159" t="str">
        <f>C616</f>
        <v>L-3</v>
      </c>
      <c r="D619" s="160" t="s">
        <v>48</v>
      </c>
      <c r="E619" s="161">
        <v>1981</v>
      </c>
      <c r="F619" s="161" t="s">
        <v>584</v>
      </c>
      <c r="G619" s="162">
        <v>763.72</v>
      </c>
      <c r="H619" s="218" t="s">
        <v>40</v>
      </c>
      <c r="I619" s="261">
        <f>+J619/$S$2</f>
        <v>139.91045106638293</v>
      </c>
      <c r="J619" s="97">
        <f t="shared" ref="J619" si="153">+((95000^(0.364-(0.00000133*G619)))/(G619^(0.364-(0.00000133*95000))))*6500</f>
        <v>86023.940838165552</v>
      </c>
      <c r="K619" s="161" t="s">
        <v>41</v>
      </c>
      <c r="L619" s="161" t="s">
        <v>41</v>
      </c>
      <c r="M619" s="163" t="s">
        <v>41</v>
      </c>
      <c r="N619" s="163" t="s">
        <v>41</v>
      </c>
      <c r="O619" s="163" t="s">
        <v>41</v>
      </c>
      <c r="P619" s="163" t="s">
        <v>41</v>
      </c>
      <c r="Q619" s="171">
        <f>I619*G619</f>
        <v>106852.40968841797</v>
      </c>
      <c r="R619" s="161">
        <v>2021</v>
      </c>
      <c r="S619" s="165" t="s">
        <v>52</v>
      </c>
      <c r="U619" s="180"/>
      <c r="V619" s="422"/>
      <c r="W619" s="156"/>
      <c r="X619" s="156"/>
      <c r="Y619" s="156"/>
      <c r="Z619" s="156"/>
      <c r="AA619" s="156"/>
      <c r="AB619" s="156"/>
      <c r="AC619" s="157"/>
      <c r="AD619" s="184"/>
    </row>
    <row r="620" spans="3:30" ht="38.25" outlineLevel="1" x14ac:dyDescent="0.25">
      <c r="C620" s="103" t="s">
        <v>593</v>
      </c>
      <c r="D620" s="104" t="s">
        <v>594</v>
      </c>
      <c r="E620" s="105">
        <v>1981</v>
      </c>
      <c r="F620" s="105" t="s">
        <v>584</v>
      </c>
      <c r="G620" s="203">
        <f>G623</f>
        <v>603.54</v>
      </c>
      <c r="H620" s="203" t="s">
        <v>40</v>
      </c>
      <c r="I620" s="107">
        <v>1600</v>
      </c>
      <c r="J620" s="108">
        <f t="shared" si="151"/>
        <v>983760</v>
      </c>
      <c r="K620" s="109">
        <f>R620-E620</f>
        <v>40</v>
      </c>
      <c r="L620" s="105">
        <v>50</v>
      </c>
      <c r="M620" s="105">
        <v>30</v>
      </c>
      <c r="N620" s="111">
        <f>+I620*G620</f>
        <v>965664</v>
      </c>
      <c r="O620" s="111">
        <f>+N620/L620</f>
        <v>19313.28</v>
      </c>
      <c r="P620" s="111">
        <f>(N620/L620)*M620</f>
        <v>579398.39999999991</v>
      </c>
      <c r="Q620" s="105" t="s">
        <v>41</v>
      </c>
      <c r="R620" s="105">
        <v>2021</v>
      </c>
      <c r="S620" s="113" t="s">
        <v>52</v>
      </c>
      <c r="U620" s="220" t="s">
        <v>593</v>
      </c>
      <c r="V620" s="72" t="s">
        <v>231</v>
      </c>
      <c r="W620" s="73">
        <v>628716.13</v>
      </c>
      <c r="X620" s="73">
        <v>0</v>
      </c>
      <c r="Y620" s="73">
        <v>77186843.019999996</v>
      </c>
      <c r="Z620" s="73">
        <v>394880.71</v>
      </c>
      <c r="AA620" s="73">
        <v>6931849.29</v>
      </c>
      <c r="AB620" s="73">
        <v>70488829.149999991</v>
      </c>
      <c r="AC620" s="74" t="s">
        <v>595</v>
      </c>
      <c r="AD620" s="221">
        <v>900029</v>
      </c>
    </row>
    <row r="621" spans="3:30" ht="30" customHeight="1" outlineLevel="2" x14ac:dyDescent="0.25">
      <c r="C621" s="114" t="str">
        <f>C620</f>
        <v>L-4</v>
      </c>
      <c r="D621" s="115" t="s">
        <v>44</v>
      </c>
      <c r="E621" s="116">
        <v>1981</v>
      </c>
      <c r="F621" s="116" t="s">
        <v>584</v>
      </c>
      <c r="G621" s="206">
        <v>116.3</v>
      </c>
      <c r="H621" s="206" t="s">
        <v>40</v>
      </c>
      <c r="I621" s="118">
        <v>30.54</v>
      </c>
      <c r="J621" s="119">
        <f t="shared" si="151"/>
        <v>18777.519</v>
      </c>
      <c r="K621" s="120">
        <f>R621-E621</f>
        <v>40</v>
      </c>
      <c r="L621" s="116">
        <v>15</v>
      </c>
      <c r="M621" s="116">
        <v>5</v>
      </c>
      <c r="N621" s="122">
        <f>+I621*G621</f>
        <v>3551.8019999999997</v>
      </c>
      <c r="O621" s="122">
        <f>+N621/L621</f>
        <v>236.78679999999997</v>
      </c>
      <c r="P621" s="122">
        <f>(N621/L621)*M621</f>
        <v>1183.9339999999997</v>
      </c>
      <c r="Q621" s="116" t="s">
        <v>41</v>
      </c>
      <c r="R621" s="116">
        <v>2021</v>
      </c>
      <c r="S621" s="124" t="s">
        <v>52</v>
      </c>
      <c r="U621" s="87" t="s">
        <v>593</v>
      </c>
      <c r="V621" s="88">
        <v>31807</v>
      </c>
      <c r="W621" s="89">
        <v>805313.32</v>
      </c>
      <c r="X621" s="89">
        <v>0</v>
      </c>
      <c r="Y621" s="89">
        <v>0</v>
      </c>
      <c r="Z621" s="89">
        <v>363870.14</v>
      </c>
      <c r="AA621" s="89">
        <v>0</v>
      </c>
      <c r="AB621" s="89">
        <v>441443.17999999993</v>
      </c>
      <c r="AC621" s="90" t="s">
        <v>596</v>
      </c>
      <c r="AD621" s="223">
        <v>900139</v>
      </c>
    </row>
    <row r="622" spans="3:30" ht="30" customHeight="1" outlineLevel="2" x14ac:dyDescent="0.25">
      <c r="C622" s="114" t="str">
        <f>C620</f>
        <v>L-4</v>
      </c>
      <c r="D622" s="115" t="s">
        <v>46</v>
      </c>
      <c r="E622" s="116">
        <v>1981</v>
      </c>
      <c r="F622" s="116" t="s">
        <v>584</v>
      </c>
      <c r="G622" s="206">
        <v>236.64</v>
      </c>
      <c r="H622" s="206" t="s">
        <v>40</v>
      </c>
      <c r="I622" s="118">
        <v>3.4</v>
      </c>
      <c r="J622" s="119">
        <f t="shared" si="151"/>
        <v>2090.4900000000002</v>
      </c>
      <c r="K622" s="120">
        <f>R622-E622</f>
        <v>40</v>
      </c>
      <c r="L622" s="116">
        <v>10</v>
      </c>
      <c r="M622" s="116">
        <v>5</v>
      </c>
      <c r="N622" s="122">
        <f>+I622*G622</f>
        <v>804.57599999999991</v>
      </c>
      <c r="O622" s="122">
        <f>+N622/L622</f>
        <v>80.457599999999985</v>
      </c>
      <c r="P622" s="122">
        <f>(N622/L622)*M622</f>
        <v>402.2879999999999</v>
      </c>
      <c r="Q622" s="116" t="s">
        <v>41</v>
      </c>
      <c r="R622" s="116">
        <v>2021</v>
      </c>
      <c r="S622" s="124" t="s">
        <v>52</v>
      </c>
      <c r="U622" s="87" t="s">
        <v>593</v>
      </c>
      <c r="V622" s="88">
        <v>32172</v>
      </c>
      <c r="W622" s="89">
        <v>5747046</v>
      </c>
      <c r="X622" s="89">
        <v>0</v>
      </c>
      <c r="Y622" s="89">
        <v>0</v>
      </c>
      <c r="Z622" s="89">
        <v>2542222.6800000002</v>
      </c>
      <c r="AA622" s="89">
        <v>0</v>
      </c>
      <c r="AB622" s="89">
        <v>3204823.32</v>
      </c>
      <c r="AC622" s="90" t="s">
        <v>597</v>
      </c>
      <c r="AD622" s="223">
        <v>900206</v>
      </c>
    </row>
    <row r="623" spans="3:30" ht="30" customHeight="1" outlineLevel="2" thickBot="1" x14ac:dyDescent="0.3">
      <c r="C623" s="159" t="str">
        <f>C620</f>
        <v>L-4</v>
      </c>
      <c r="D623" s="160" t="s">
        <v>48</v>
      </c>
      <c r="E623" s="161">
        <v>1981</v>
      </c>
      <c r="F623" s="161" t="s">
        <v>584</v>
      </c>
      <c r="G623" s="162">
        <v>603.54</v>
      </c>
      <c r="H623" s="218" t="s">
        <v>40</v>
      </c>
      <c r="I623" s="261">
        <f>+J623/$S$2</f>
        <v>148.32184436317095</v>
      </c>
      <c r="J623" s="97">
        <f t="shared" ref="J623" si="154">+((95000^(0.364-(0.00000133*G623)))/(G623^(0.364-(0.00000133*95000))))*6500</f>
        <v>91195.686006695658</v>
      </c>
      <c r="K623" s="161" t="s">
        <v>41</v>
      </c>
      <c r="L623" s="161" t="s">
        <v>41</v>
      </c>
      <c r="M623" s="163" t="s">
        <v>41</v>
      </c>
      <c r="N623" s="163" t="s">
        <v>41</v>
      </c>
      <c r="O623" s="163" t="s">
        <v>41</v>
      </c>
      <c r="P623" s="163" t="s">
        <v>41</v>
      </c>
      <c r="Q623" s="171">
        <f>I623*G623</f>
        <v>89518.165946948197</v>
      </c>
      <c r="R623" s="161">
        <v>2021</v>
      </c>
      <c r="S623" s="165" t="s">
        <v>52</v>
      </c>
      <c r="U623" s="288" t="s">
        <v>593</v>
      </c>
      <c r="V623" s="289">
        <v>32172</v>
      </c>
      <c r="W623" s="174">
        <v>7517510.2400000002</v>
      </c>
      <c r="X623" s="174">
        <v>0</v>
      </c>
      <c r="Y623" s="174">
        <v>0</v>
      </c>
      <c r="Z623" s="174">
        <v>3325392.5</v>
      </c>
      <c r="AA623" s="174">
        <v>0</v>
      </c>
      <c r="AB623" s="174">
        <v>4192117.74</v>
      </c>
      <c r="AC623" s="173" t="s">
        <v>598</v>
      </c>
      <c r="AD623" s="290">
        <v>900208</v>
      </c>
    </row>
    <row r="624" spans="3:30" ht="30" customHeight="1" outlineLevel="1" x14ac:dyDescent="0.25">
      <c r="C624" s="103" t="s">
        <v>599</v>
      </c>
      <c r="D624" s="104" t="s">
        <v>600</v>
      </c>
      <c r="E624" s="105">
        <v>1981</v>
      </c>
      <c r="F624" s="105" t="s">
        <v>584</v>
      </c>
      <c r="G624" s="203">
        <f>G627</f>
        <v>62.25</v>
      </c>
      <c r="H624" s="203" t="s">
        <v>40</v>
      </c>
      <c r="I624" s="107">
        <v>1500</v>
      </c>
      <c r="J624" s="108">
        <f t="shared" si="151"/>
        <v>922275</v>
      </c>
      <c r="K624" s="109">
        <f>R624-E624</f>
        <v>40</v>
      </c>
      <c r="L624" s="105">
        <v>50</v>
      </c>
      <c r="M624" s="105">
        <v>30</v>
      </c>
      <c r="N624" s="111">
        <f>+I624*G624</f>
        <v>93375</v>
      </c>
      <c r="O624" s="111">
        <f>+N624/L624</f>
        <v>1867.5</v>
      </c>
      <c r="P624" s="111">
        <f>(N624/L624)*M624</f>
        <v>56025</v>
      </c>
      <c r="Q624" s="105" t="s">
        <v>41</v>
      </c>
      <c r="R624" s="105">
        <v>2021</v>
      </c>
      <c r="S624" s="113" t="s">
        <v>52</v>
      </c>
      <c r="U624" s="341" t="s">
        <v>599</v>
      </c>
      <c r="V624" s="463" t="s">
        <v>601</v>
      </c>
      <c r="W624" s="343">
        <v>47948.85</v>
      </c>
      <c r="X624" s="343">
        <v>0</v>
      </c>
      <c r="Y624" s="343">
        <v>221663.54</v>
      </c>
      <c r="Z624" s="343">
        <v>47948.85</v>
      </c>
      <c r="AA624" s="343">
        <v>144958.93</v>
      </c>
      <c r="AB624" s="343">
        <v>76704.610000000015</v>
      </c>
      <c r="AC624" s="342" t="s">
        <v>602</v>
      </c>
      <c r="AD624" s="344">
        <v>900079</v>
      </c>
    </row>
    <row r="625" spans="2:30" ht="30" customHeight="1" outlineLevel="2" x14ac:dyDescent="0.25">
      <c r="C625" s="114" t="str">
        <f>C624</f>
        <v>L-5</v>
      </c>
      <c r="D625" s="115" t="s">
        <v>44</v>
      </c>
      <c r="E625" s="116">
        <v>1981</v>
      </c>
      <c r="F625" s="116" t="s">
        <v>584</v>
      </c>
      <c r="G625" s="206">
        <v>36.99</v>
      </c>
      <c r="H625" s="206" t="s">
        <v>40</v>
      </c>
      <c r="I625" s="118">
        <v>30.54</v>
      </c>
      <c r="J625" s="119">
        <f t="shared" si="151"/>
        <v>18777.519</v>
      </c>
      <c r="K625" s="120">
        <f>R625-E625</f>
        <v>40</v>
      </c>
      <c r="L625" s="116">
        <v>15</v>
      </c>
      <c r="M625" s="116">
        <v>5</v>
      </c>
      <c r="N625" s="122">
        <f>+I625*G625</f>
        <v>1129.6746000000001</v>
      </c>
      <c r="O625" s="122">
        <f>+N625/L625</f>
        <v>75.311639999999997</v>
      </c>
      <c r="P625" s="122">
        <f>(N625/L625)*M625</f>
        <v>376.5582</v>
      </c>
      <c r="Q625" s="116" t="s">
        <v>41</v>
      </c>
      <c r="R625" s="116">
        <v>2021</v>
      </c>
      <c r="S625" s="124" t="s">
        <v>52</v>
      </c>
      <c r="U625" s="345"/>
      <c r="V625" s="349"/>
      <c r="W625" s="347"/>
      <c r="X625" s="347"/>
      <c r="Y625" s="347"/>
      <c r="Z625" s="347"/>
      <c r="AA625" s="347"/>
      <c r="AB625" s="347"/>
      <c r="AC625" s="346"/>
      <c r="AD625" s="348"/>
    </row>
    <row r="626" spans="2:30" ht="30" customHeight="1" outlineLevel="2" x14ac:dyDescent="0.25">
      <c r="C626" s="114" t="str">
        <f>C624</f>
        <v>L-5</v>
      </c>
      <c r="D626" s="115" t="s">
        <v>46</v>
      </c>
      <c r="E626" s="116">
        <v>1981</v>
      </c>
      <c r="F626" s="116" t="s">
        <v>584</v>
      </c>
      <c r="G626" s="206">
        <v>91.98</v>
      </c>
      <c r="H626" s="206" t="s">
        <v>40</v>
      </c>
      <c r="I626" s="118">
        <v>3.4</v>
      </c>
      <c r="J626" s="119">
        <f t="shared" si="151"/>
        <v>2090.4900000000002</v>
      </c>
      <c r="K626" s="120">
        <f>R626-E626</f>
        <v>40</v>
      </c>
      <c r="L626" s="116">
        <v>10</v>
      </c>
      <c r="M626" s="116">
        <v>5</v>
      </c>
      <c r="N626" s="122">
        <f>+I626*G626</f>
        <v>312.73200000000003</v>
      </c>
      <c r="O626" s="122">
        <f>+N626/L626</f>
        <v>31.273200000000003</v>
      </c>
      <c r="P626" s="122">
        <f>(N626/L626)*M626</f>
        <v>156.36600000000001</v>
      </c>
      <c r="Q626" s="116" t="s">
        <v>41</v>
      </c>
      <c r="R626" s="116">
        <v>2021</v>
      </c>
      <c r="S626" s="124" t="s">
        <v>52</v>
      </c>
      <c r="U626" s="345" t="s">
        <v>599</v>
      </c>
      <c r="V626" s="349">
        <v>29828</v>
      </c>
      <c r="W626" s="347">
        <v>289255.3</v>
      </c>
      <c r="X626" s="347">
        <v>0</v>
      </c>
      <c r="Y626" s="347">
        <v>0</v>
      </c>
      <c r="Z626" s="347">
        <v>289255.3</v>
      </c>
      <c r="AA626" s="347">
        <v>0</v>
      </c>
      <c r="AB626" s="347">
        <v>0</v>
      </c>
      <c r="AC626" s="346" t="s">
        <v>603</v>
      </c>
      <c r="AD626" s="348">
        <v>900248</v>
      </c>
    </row>
    <row r="627" spans="2:30" ht="30" customHeight="1" outlineLevel="2" thickBot="1" x14ac:dyDescent="0.3">
      <c r="C627" s="159" t="str">
        <f>C624</f>
        <v>L-5</v>
      </c>
      <c r="D627" s="160" t="s">
        <v>48</v>
      </c>
      <c r="E627" s="161">
        <v>1981</v>
      </c>
      <c r="F627" s="161" t="s">
        <v>584</v>
      </c>
      <c r="G627" s="162">
        <v>62.25</v>
      </c>
      <c r="H627" s="218" t="s">
        <v>40</v>
      </c>
      <c r="I627" s="261">
        <f>+J627/$S$2</f>
        <v>256.59384554068021</v>
      </c>
      <c r="J627" s="97">
        <f t="shared" ref="J627" si="155">+((95000^(0.364-(0.00000133*G627)))/(G627^(0.364-(0.00000133*95000))))*6500</f>
        <v>157766.72593068724</v>
      </c>
      <c r="K627" s="161" t="s">
        <v>41</v>
      </c>
      <c r="L627" s="161" t="s">
        <v>41</v>
      </c>
      <c r="M627" s="163" t="s">
        <v>41</v>
      </c>
      <c r="N627" s="163" t="s">
        <v>41</v>
      </c>
      <c r="O627" s="163" t="s">
        <v>41</v>
      </c>
      <c r="P627" s="163" t="s">
        <v>41</v>
      </c>
      <c r="Q627" s="171">
        <f>I627*G627</f>
        <v>15972.966884907342</v>
      </c>
      <c r="R627" s="161">
        <v>2021</v>
      </c>
      <c r="S627" s="165" t="s">
        <v>52</v>
      </c>
      <c r="U627" s="350"/>
      <c r="V627" s="351"/>
      <c r="W627" s="352"/>
      <c r="X627" s="352"/>
      <c r="Y627" s="352"/>
      <c r="Z627" s="352"/>
      <c r="AA627" s="352"/>
      <c r="AB627" s="352"/>
      <c r="AC627" s="353"/>
      <c r="AD627" s="354"/>
    </row>
    <row r="628" spans="2:30" ht="30" customHeight="1" outlineLevel="1" x14ac:dyDescent="0.25">
      <c r="C628" s="103" t="s">
        <v>604</v>
      </c>
      <c r="D628" s="104" t="s">
        <v>605</v>
      </c>
      <c r="E628" s="105">
        <v>2016</v>
      </c>
      <c r="F628" s="105" t="s">
        <v>584</v>
      </c>
      <c r="G628" s="203">
        <f>G631</f>
        <v>12.46</v>
      </c>
      <c r="H628" s="203" t="s">
        <v>40</v>
      </c>
      <c r="I628" s="107">
        <v>1150</v>
      </c>
      <c r="J628" s="108">
        <f t="shared" si="151"/>
        <v>707077.5</v>
      </c>
      <c r="K628" s="109">
        <f>R628-E628</f>
        <v>5</v>
      </c>
      <c r="L628" s="105">
        <v>50</v>
      </c>
      <c r="M628" s="105">
        <v>46</v>
      </c>
      <c r="N628" s="111">
        <f>+I628*G628</f>
        <v>14329.000000000002</v>
      </c>
      <c r="O628" s="111">
        <f>+N628/L628</f>
        <v>286.58000000000004</v>
      </c>
      <c r="P628" s="111">
        <f>(N628/L628)*M628</f>
        <v>13182.680000000002</v>
      </c>
      <c r="Q628" s="105" t="s">
        <v>41</v>
      </c>
      <c r="R628" s="105">
        <v>2021</v>
      </c>
      <c r="S628" s="113" t="s">
        <v>79</v>
      </c>
      <c r="U628" s="464" t="s">
        <v>604</v>
      </c>
      <c r="V628" s="465" t="s">
        <v>140</v>
      </c>
      <c r="W628" s="465"/>
      <c r="X628" s="465"/>
      <c r="Y628" s="465"/>
      <c r="Z628" s="465"/>
      <c r="AA628" s="465"/>
      <c r="AB628" s="465"/>
      <c r="AC628" s="465"/>
      <c r="AD628" s="466"/>
    </row>
    <row r="629" spans="2:30" ht="30" customHeight="1" outlineLevel="2" x14ac:dyDescent="0.25">
      <c r="C629" s="114" t="str">
        <f>C628</f>
        <v>L-6</v>
      </c>
      <c r="D629" s="115" t="s">
        <v>44</v>
      </c>
      <c r="E629" s="116">
        <v>2016</v>
      </c>
      <c r="F629" s="116" t="s">
        <v>584</v>
      </c>
      <c r="G629" s="206">
        <v>18.239999999999998</v>
      </c>
      <c r="H629" s="206" t="s">
        <v>40</v>
      </c>
      <c r="I629" s="118">
        <v>30.54</v>
      </c>
      <c r="J629" s="119">
        <f t="shared" si="151"/>
        <v>18777.519</v>
      </c>
      <c r="K629" s="120">
        <f>R629-E629</f>
        <v>5</v>
      </c>
      <c r="L629" s="116">
        <v>15</v>
      </c>
      <c r="M629" s="116">
        <v>12</v>
      </c>
      <c r="N629" s="122">
        <f>+I629*G629</f>
        <v>557.04959999999994</v>
      </c>
      <c r="O629" s="122">
        <f>+N629/L629</f>
        <v>37.136639999999993</v>
      </c>
      <c r="P629" s="122">
        <f>(N629/L629)*M629</f>
        <v>445.63967999999988</v>
      </c>
      <c r="Q629" s="116" t="s">
        <v>41</v>
      </c>
      <c r="R629" s="116">
        <v>2021</v>
      </c>
      <c r="S629" s="124" t="s">
        <v>79</v>
      </c>
      <c r="U629" s="467"/>
      <c r="V629" s="468"/>
      <c r="W629" s="468"/>
      <c r="X629" s="468"/>
      <c r="Y629" s="468"/>
      <c r="Z629" s="468"/>
      <c r="AA629" s="468"/>
      <c r="AB629" s="468"/>
      <c r="AC629" s="468"/>
      <c r="AD629" s="469"/>
    </row>
    <row r="630" spans="2:30" ht="30" customHeight="1" outlineLevel="2" x14ac:dyDescent="0.25">
      <c r="C630" s="114" t="str">
        <f>C628</f>
        <v>L-6</v>
      </c>
      <c r="D630" s="115" t="s">
        <v>46</v>
      </c>
      <c r="E630" s="116">
        <v>2016</v>
      </c>
      <c r="F630" s="116" t="s">
        <v>584</v>
      </c>
      <c r="G630" s="206">
        <v>44.48</v>
      </c>
      <c r="H630" s="206" t="s">
        <v>40</v>
      </c>
      <c r="I630" s="118">
        <v>3.4</v>
      </c>
      <c r="J630" s="119">
        <f t="shared" si="151"/>
        <v>2090.4900000000002</v>
      </c>
      <c r="K630" s="120">
        <f>R630-E630</f>
        <v>5</v>
      </c>
      <c r="L630" s="116">
        <v>10</v>
      </c>
      <c r="M630" s="116">
        <v>8</v>
      </c>
      <c r="N630" s="122">
        <f>+I630*G630</f>
        <v>151.232</v>
      </c>
      <c r="O630" s="122">
        <f>+N630/L630</f>
        <v>15.123200000000001</v>
      </c>
      <c r="P630" s="122">
        <f>(N630/L630)*M630</f>
        <v>120.98560000000001</v>
      </c>
      <c r="Q630" s="116" t="s">
        <v>41</v>
      </c>
      <c r="R630" s="116">
        <v>2021</v>
      </c>
      <c r="S630" s="124" t="s">
        <v>79</v>
      </c>
      <c r="U630" s="467"/>
      <c r="V630" s="468"/>
      <c r="W630" s="468"/>
      <c r="X630" s="468"/>
      <c r="Y630" s="468"/>
      <c r="Z630" s="468"/>
      <c r="AA630" s="468"/>
      <c r="AB630" s="468"/>
      <c r="AC630" s="468"/>
      <c r="AD630" s="469"/>
    </row>
    <row r="631" spans="2:30" ht="30" customHeight="1" outlineLevel="2" thickBot="1" x14ac:dyDescent="0.3">
      <c r="C631" s="159" t="str">
        <f>C628</f>
        <v>L-6</v>
      </c>
      <c r="D631" s="160" t="s">
        <v>48</v>
      </c>
      <c r="E631" s="161">
        <v>2016</v>
      </c>
      <c r="F631" s="161" t="s">
        <v>584</v>
      </c>
      <c r="G631" s="162">
        <v>12.46</v>
      </c>
      <c r="H631" s="218" t="s">
        <v>40</v>
      </c>
      <c r="I631" s="261">
        <f>+J631/$S$2</f>
        <v>376.35979126815198</v>
      </c>
      <c r="J631" s="97">
        <f t="shared" ref="J631" si="156">+((95000^(0.364-(0.00000133*G631)))/(G631^(0.364-(0.00000133*95000))))*6500</f>
        <v>231404.81766122326</v>
      </c>
      <c r="K631" s="161" t="s">
        <v>41</v>
      </c>
      <c r="L631" s="161" t="s">
        <v>41</v>
      </c>
      <c r="M631" s="163" t="s">
        <v>41</v>
      </c>
      <c r="N631" s="163" t="s">
        <v>41</v>
      </c>
      <c r="O631" s="163" t="s">
        <v>41</v>
      </c>
      <c r="P631" s="163" t="s">
        <v>41</v>
      </c>
      <c r="Q631" s="171">
        <f>I631*G631</f>
        <v>4689.4429992011737</v>
      </c>
      <c r="R631" s="161">
        <v>2021</v>
      </c>
      <c r="S631" s="165" t="s">
        <v>79</v>
      </c>
      <c r="U631" s="470"/>
      <c r="V631" s="471"/>
      <c r="W631" s="471"/>
      <c r="X631" s="471"/>
      <c r="Y631" s="471"/>
      <c r="Z631" s="471"/>
      <c r="AA631" s="471"/>
      <c r="AB631" s="471"/>
      <c r="AC631" s="471"/>
      <c r="AD631" s="472"/>
    </row>
    <row r="632" spans="2:30" ht="30" customHeight="1" outlineLevel="1" x14ac:dyDescent="0.25">
      <c r="C632" s="103" t="s">
        <v>606</v>
      </c>
      <c r="D632" s="104" t="s">
        <v>607</v>
      </c>
      <c r="E632" s="105">
        <v>2016</v>
      </c>
      <c r="F632" s="105" t="s">
        <v>584</v>
      </c>
      <c r="G632" s="203">
        <f>G635</f>
        <v>91.45</v>
      </c>
      <c r="H632" s="203" t="s">
        <v>40</v>
      </c>
      <c r="I632" s="107">
        <v>450</v>
      </c>
      <c r="J632" s="108">
        <f t="shared" si="151"/>
        <v>276682.5</v>
      </c>
      <c r="K632" s="109">
        <f>R632-E632</f>
        <v>5</v>
      </c>
      <c r="L632" s="105">
        <v>50</v>
      </c>
      <c r="M632" s="105">
        <v>46</v>
      </c>
      <c r="N632" s="111">
        <f>+I632*G632</f>
        <v>41152.5</v>
      </c>
      <c r="O632" s="111">
        <f>+N632/L632</f>
        <v>823.05</v>
      </c>
      <c r="P632" s="111">
        <f>(N632/L632)*M632</f>
        <v>37860.299999999996</v>
      </c>
      <c r="Q632" s="105" t="s">
        <v>41</v>
      </c>
      <c r="R632" s="105">
        <v>2021</v>
      </c>
      <c r="S632" s="113" t="s">
        <v>79</v>
      </c>
      <c r="U632" s="299" t="s">
        <v>606</v>
      </c>
      <c r="V632" s="229" t="s">
        <v>333</v>
      </c>
      <c r="W632" s="230"/>
      <c r="X632" s="230"/>
      <c r="Y632" s="230"/>
      <c r="Z632" s="230"/>
      <c r="AA632" s="230"/>
      <c r="AB632" s="230"/>
      <c r="AC632" s="230"/>
      <c r="AD632" s="300"/>
    </row>
    <row r="633" spans="2:30" ht="30" customHeight="1" outlineLevel="2" x14ac:dyDescent="0.25">
      <c r="C633" s="114" t="str">
        <f>C632</f>
        <v>L-7</v>
      </c>
      <c r="D633" s="115" t="s">
        <v>165</v>
      </c>
      <c r="E633" s="116">
        <v>2016</v>
      </c>
      <c r="F633" s="116" t="s">
        <v>584</v>
      </c>
      <c r="G633" s="206">
        <v>0</v>
      </c>
      <c r="H633" s="206" t="s">
        <v>87</v>
      </c>
      <c r="I633" s="206">
        <v>0</v>
      </c>
      <c r="J633" s="206">
        <v>0</v>
      </c>
      <c r="K633" s="313">
        <v>0</v>
      </c>
      <c r="L633" s="206">
        <v>0</v>
      </c>
      <c r="M633" s="116">
        <v>0</v>
      </c>
      <c r="N633" s="122">
        <v>0</v>
      </c>
      <c r="O633" s="122">
        <v>0</v>
      </c>
      <c r="P633" s="122">
        <v>0</v>
      </c>
      <c r="Q633" s="116">
        <v>0</v>
      </c>
      <c r="R633" s="116" t="s">
        <v>87</v>
      </c>
      <c r="S633" s="124" t="s">
        <v>87</v>
      </c>
      <c r="U633" s="301"/>
      <c r="V633" s="233"/>
      <c r="W633" s="234"/>
      <c r="X633" s="234"/>
      <c r="Y633" s="234"/>
      <c r="Z633" s="234"/>
      <c r="AA633" s="234"/>
      <c r="AB633" s="234"/>
      <c r="AC633" s="234"/>
      <c r="AD633" s="302"/>
    </row>
    <row r="634" spans="2:30" ht="30" customHeight="1" outlineLevel="2" x14ac:dyDescent="0.25">
      <c r="C634" s="114" t="str">
        <f>C632</f>
        <v>L-7</v>
      </c>
      <c r="D634" s="115" t="s">
        <v>46</v>
      </c>
      <c r="E634" s="116">
        <v>2016</v>
      </c>
      <c r="F634" s="116" t="s">
        <v>584</v>
      </c>
      <c r="G634" s="206">
        <v>96.81</v>
      </c>
      <c r="H634" s="206" t="s">
        <v>40</v>
      </c>
      <c r="I634" s="118">
        <v>3.4</v>
      </c>
      <c r="J634" s="119">
        <f t="shared" si="151"/>
        <v>2090.4900000000002</v>
      </c>
      <c r="K634" s="120">
        <f>R634-E634</f>
        <v>5</v>
      </c>
      <c r="L634" s="116">
        <v>10</v>
      </c>
      <c r="M634" s="116">
        <v>8</v>
      </c>
      <c r="N634" s="122">
        <f>+I634*G634</f>
        <v>329.154</v>
      </c>
      <c r="O634" s="122">
        <f>+N634/L634</f>
        <v>32.915399999999998</v>
      </c>
      <c r="P634" s="122">
        <f>(N634/L634)*M634</f>
        <v>263.32319999999999</v>
      </c>
      <c r="Q634" s="116" t="s">
        <v>41</v>
      </c>
      <c r="R634" s="116">
        <v>2021</v>
      </c>
      <c r="S634" s="124" t="s">
        <v>79</v>
      </c>
      <c r="U634" s="301"/>
      <c r="V634" s="233"/>
      <c r="W634" s="234"/>
      <c r="X634" s="234"/>
      <c r="Y634" s="234"/>
      <c r="Z634" s="234"/>
      <c r="AA634" s="234"/>
      <c r="AB634" s="234"/>
      <c r="AC634" s="234"/>
      <c r="AD634" s="302"/>
    </row>
    <row r="635" spans="2:30" ht="30" customHeight="1" outlineLevel="2" thickBot="1" x14ac:dyDescent="0.3">
      <c r="C635" s="159" t="str">
        <f>C632</f>
        <v>L-7</v>
      </c>
      <c r="D635" s="160" t="s">
        <v>48</v>
      </c>
      <c r="E635" s="161">
        <v>2016</v>
      </c>
      <c r="F635" s="161" t="s">
        <v>584</v>
      </c>
      <c r="G635" s="162">
        <v>91.45</v>
      </c>
      <c r="H635" s="218" t="s">
        <v>40</v>
      </c>
      <c r="I635" s="261">
        <f>+J635/$S$2</f>
        <v>234.07489104372382</v>
      </c>
      <c r="J635" s="97">
        <f t="shared" ref="J635" si="157">+((95000^(0.364-(0.00000133*G635)))/(G635^(0.364-(0.00000133*95000))))*6500</f>
        <v>143920.94675823359</v>
      </c>
      <c r="K635" s="161" t="s">
        <v>41</v>
      </c>
      <c r="L635" s="161" t="s">
        <v>41</v>
      </c>
      <c r="M635" s="163" t="s">
        <v>41</v>
      </c>
      <c r="N635" s="163" t="s">
        <v>41</v>
      </c>
      <c r="O635" s="163" t="s">
        <v>41</v>
      </c>
      <c r="P635" s="163" t="s">
        <v>41</v>
      </c>
      <c r="Q635" s="171">
        <f>I635*G635</f>
        <v>21406.148785948546</v>
      </c>
      <c r="R635" s="161">
        <v>2021</v>
      </c>
      <c r="S635" s="165" t="s">
        <v>79</v>
      </c>
      <c r="U635" s="305"/>
      <c r="V635" s="239"/>
      <c r="W635" s="240"/>
      <c r="X635" s="240"/>
      <c r="Y635" s="240"/>
      <c r="Z635" s="240"/>
      <c r="AA635" s="240"/>
      <c r="AB635" s="240"/>
      <c r="AC635" s="240"/>
      <c r="AD635" s="306"/>
    </row>
    <row r="636" spans="2:30" ht="30" customHeight="1" outlineLevel="1" collapsed="1" x14ac:dyDescent="0.25">
      <c r="C636" s="103" t="s">
        <v>608</v>
      </c>
      <c r="D636" s="104" t="s">
        <v>609</v>
      </c>
      <c r="E636" s="105">
        <v>2016</v>
      </c>
      <c r="F636" s="105" t="s">
        <v>584</v>
      </c>
      <c r="G636" s="203">
        <f>G639</f>
        <v>14.09</v>
      </c>
      <c r="H636" s="203" t="s">
        <v>40</v>
      </c>
      <c r="I636" s="107">
        <v>450</v>
      </c>
      <c r="J636" s="108">
        <f t="shared" ref="J636" si="158">I636*$S$2</f>
        <v>276682.5</v>
      </c>
      <c r="K636" s="109">
        <f>R636-E636</f>
        <v>5</v>
      </c>
      <c r="L636" s="105">
        <v>50</v>
      </c>
      <c r="M636" s="105">
        <v>46</v>
      </c>
      <c r="N636" s="111">
        <f>+I636*G636</f>
        <v>6340.5</v>
      </c>
      <c r="O636" s="111">
        <f>+N636/L636</f>
        <v>126.81</v>
      </c>
      <c r="P636" s="111">
        <f>(N636/L636)*M636</f>
        <v>5833.26</v>
      </c>
      <c r="Q636" s="105" t="s">
        <v>41</v>
      </c>
      <c r="R636" s="105">
        <v>2021</v>
      </c>
      <c r="S636" s="113" t="s">
        <v>79</v>
      </c>
      <c r="U636" s="299" t="s">
        <v>606</v>
      </c>
      <c r="V636" s="229" t="s">
        <v>333</v>
      </c>
      <c r="W636" s="230"/>
      <c r="X636" s="230"/>
      <c r="Y636" s="230"/>
      <c r="Z636" s="230"/>
      <c r="AA636" s="230"/>
      <c r="AB636" s="230"/>
      <c r="AC636" s="230"/>
      <c r="AD636" s="300"/>
    </row>
    <row r="637" spans="2:30" ht="30" customHeight="1" outlineLevel="1" x14ac:dyDescent="0.25">
      <c r="C637" s="114" t="str">
        <f>C636</f>
        <v>L-8</v>
      </c>
      <c r="D637" s="115" t="s">
        <v>165</v>
      </c>
      <c r="E637" s="116">
        <v>2016</v>
      </c>
      <c r="F637" s="116" t="s">
        <v>584</v>
      </c>
      <c r="G637" s="206">
        <v>19.010000000000002</v>
      </c>
      <c r="H637" s="206" t="s">
        <v>87</v>
      </c>
      <c r="I637" s="206">
        <v>0</v>
      </c>
      <c r="J637" s="206">
        <v>0</v>
      </c>
      <c r="K637" s="313">
        <v>0</v>
      </c>
      <c r="L637" s="206">
        <v>0</v>
      </c>
      <c r="M637" s="116">
        <v>0</v>
      </c>
      <c r="N637" s="122">
        <v>0</v>
      </c>
      <c r="O637" s="122">
        <v>0</v>
      </c>
      <c r="P637" s="122">
        <v>0</v>
      </c>
      <c r="Q637" s="116">
        <v>0</v>
      </c>
      <c r="R637" s="116" t="s">
        <v>87</v>
      </c>
      <c r="S637" s="124" t="s">
        <v>87</v>
      </c>
      <c r="U637" s="301"/>
      <c r="V637" s="233"/>
      <c r="W637" s="234"/>
      <c r="X637" s="234"/>
      <c r="Y637" s="234"/>
      <c r="Z637" s="234"/>
      <c r="AA637" s="234"/>
      <c r="AB637" s="234"/>
      <c r="AC637" s="234"/>
      <c r="AD637" s="302"/>
    </row>
    <row r="638" spans="2:30" ht="30" customHeight="1" outlineLevel="1" x14ac:dyDescent="0.25">
      <c r="C638" s="114" t="str">
        <f>C636</f>
        <v>L-8</v>
      </c>
      <c r="D638" s="115" t="s">
        <v>46</v>
      </c>
      <c r="E638" s="116">
        <v>2016</v>
      </c>
      <c r="F638" s="116" t="s">
        <v>584</v>
      </c>
      <c r="G638" s="206">
        <v>46.03</v>
      </c>
      <c r="H638" s="206" t="s">
        <v>40</v>
      </c>
      <c r="I638" s="118">
        <v>3.4</v>
      </c>
      <c r="J638" s="119">
        <f t="shared" ref="J638" si="159">I638*$S$2</f>
        <v>2090.4900000000002</v>
      </c>
      <c r="K638" s="120">
        <f>R638-E638</f>
        <v>5</v>
      </c>
      <c r="L638" s="116">
        <v>10</v>
      </c>
      <c r="M638" s="116">
        <v>8</v>
      </c>
      <c r="N638" s="122">
        <f>+I638*G638</f>
        <v>156.50200000000001</v>
      </c>
      <c r="O638" s="122">
        <f>+N638/L638</f>
        <v>15.650200000000002</v>
      </c>
      <c r="P638" s="122">
        <f>(N638/L638)*M638</f>
        <v>125.20160000000001</v>
      </c>
      <c r="Q638" s="116" t="s">
        <v>41</v>
      </c>
      <c r="R638" s="116">
        <v>2021</v>
      </c>
      <c r="S638" s="124" t="s">
        <v>79</v>
      </c>
      <c r="U638" s="301"/>
      <c r="V638" s="233"/>
      <c r="W638" s="234"/>
      <c r="X638" s="234"/>
      <c r="Y638" s="234"/>
      <c r="Z638" s="234"/>
      <c r="AA638" s="234"/>
      <c r="AB638" s="234"/>
      <c r="AC638" s="234"/>
      <c r="AD638" s="302"/>
    </row>
    <row r="639" spans="2:30" ht="30" customHeight="1" outlineLevel="1" thickBot="1" x14ac:dyDescent="0.3">
      <c r="B639" s="1">
        <v>8</v>
      </c>
      <c r="C639" s="159" t="str">
        <f>C636</f>
        <v>L-8</v>
      </c>
      <c r="D639" s="160" t="s">
        <v>48</v>
      </c>
      <c r="E639" s="161">
        <v>2016</v>
      </c>
      <c r="F639" s="161" t="s">
        <v>584</v>
      </c>
      <c r="G639" s="162">
        <v>14.09</v>
      </c>
      <c r="H639" s="218" t="s">
        <v>40</v>
      </c>
      <c r="I639" s="261">
        <f>+J639/$S$2</f>
        <v>365.51364397363483</v>
      </c>
      <c r="J639" s="208">
        <f t="shared" ref="J639" si="160">+((95000^(0.364-(0.00000133*G639)))/(G639^(0.364-(0.00000133*95000))))*6500</f>
        <v>224736.06399718937</v>
      </c>
      <c r="K639" s="161" t="s">
        <v>41</v>
      </c>
      <c r="L639" s="161" t="s">
        <v>41</v>
      </c>
      <c r="M639" s="163" t="s">
        <v>41</v>
      </c>
      <c r="N639" s="163" t="s">
        <v>41</v>
      </c>
      <c r="O639" s="163" t="s">
        <v>41</v>
      </c>
      <c r="P639" s="163" t="s">
        <v>41</v>
      </c>
      <c r="Q639" s="171">
        <f>I639*G639</f>
        <v>5150.0872435885149</v>
      </c>
      <c r="R639" s="161">
        <v>2021</v>
      </c>
      <c r="S639" s="165" t="s">
        <v>79</v>
      </c>
      <c r="U639" s="305"/>
      <c r="V639" s="239"/>
      <c r="W639" s="240"/>
      <c r="X639" s="240"/>
      <c r="Y639" s="240"/>
      <c r="Z639" s="240"/>
      <c r="AA639" s="240"/>
      <c r="AB639" s="240"/>
      <c r="AC639" s="240"/>
      <c r="AD639" s="306"/>
    </row>
    <row r="640" spans="2:30" ht="16.5" hidden="1" thickBot="1" x14ac:dyDescent="0.3">
      <c r="C640" s="262" t="s">
        <v>6</v>
      </c>
      <c r="D640" s="417" t="s">
        <v>610</v>
      </c>
      <c r="E640" s="210"/>
      <c r="F640" s="210"/>
      <c r="G640" s="210"/>
      <c r="H640" s="210"/>
      <c r="I640" s="213"/>
      <c r="J640" s="210"/>
      <c r="K640" s="210"/>
      <c r="L640" s="210"/>
      <c r="M640" s="210"/>
      <c r="N640" s="210"/>
      <c r="O640" s="210"/>
      <c r="P640" s="210"/>
      <c r="Q640" s="210"/>
      <c r="R640" s="210"/>
      <c r="S640" s="214"/>
      <c r="U640" s="264" t="s">
        <v>610</v>
      </c>
      <c r="V640" s="216"/>
      <c r="W640" s="216"/>
      <c r="X640" s="216"/>
      <c r="Y640" s="216"/>
      <c r="Z640" s="217"/>
      <c r="AA640" s="217"/>
      <c r="AB640" s="217"/>
      <c r="AC640" s="216"/>
      <c r="AD640" s="216"/>
    </row>
    <row r="641" spans="3:30" ht="30" customHeight="1" outlineLevel="1" x14ac:dyDescent="0.25">
      <c r="C641" s="190" t="s">
        <v>611</v>
      </c>
      <c r="D641" s="74" t="s">
        <v>612</v>
      </c>
      <c r="E641" s="105">
        <v>2015</v>
      </c>
      <c r="F641" s="105" t="s">
        <v>39</v>
      </c>
      <c r="G641" s="106">
        <f>G644</f>
        <v>265.43</v>
      </c>
      <c r="H641" s="106" t="s">
        <v>40</v>
      </c>
      <c r="I641" s="107">
        <v>400</v>
      </c>
      <c r="J641" s="108">
        <f t="shared" ref="J641:J679" si="161">I641*$S$2</f>
        <v>245940</v>
      </c>
      <c r="K641" s="109">
        <f>R641-E641</f>
        <v>6</v>
      </c>
      <c r="L641" s="105">
        <v>50</v>
      </c>
      <c r="M641" s="105">
        <v>45</v>
      </c>
      <c r="N641" s="111">
        <f>+I641*G641</f>
        <v>106172</v>
      </c>
      <c r="O641" s="111">
        <f>+N641/L641</f>
        <v>2123.44</v>
      </c>
      <c r="P641" s="111">
        <f>(N641/L641)*M641</f>
        <v>95554.8</v>
      </c>
      <c r="Q641" s="105" t="s">
        <v>41</v>
      </c>
      <c r="R641" s="105">
        <v>2021</v>
      </c>
      <c r="S641" s="113" t="s">
        <v>613</v>
      </c>
      <c r="T641" s="219" t="s">
        <v>614</v>
      </c>
      <c r="U641" s="176" t="s">
        <v>615</v>
      </c>
      <c r="V641" s="189" t="s">
        <v>84</v>
      </c>
      <c r="W641" s="178">
        <v>1435786.56</v>
      </c>
      <c r="X641" s="178">
        <v>0</v>
      </c>
      <c r="Y641" s="178">
        <v>36903819.079999998</v>
      </c>
      <c r="Z641" s="178">
        <v>1339003.8700000001</v>
      </c>
      <c r="AA641" s="178">
        <v>8779071.4399999995</v>
      </c>
      <c r="AB641" s="178">
        <v>28221530.330000006</v>
      </c>
      <c r="AC641" s="177" t="s">
        <v>616</v>
      </c>
      <c r="AD641" s="205">
        <v>900210</v>
      </c>
    </row>
    <row r="642" spans="3:30" ht="30" customHeight="1" outlineLevel="2" x14ac:dyDescent="0.25">
      <c r="C642" s="186" t="str">
        <f>C641</f>
        <v>M1</v>
      </c>
      <c r="D642" s="434" t="s">
        <v>44</v>
      </c>
      <c r="E642" s="116">
        <v>2015</v>
      </c>
      <c r="F642" s="116" t="s">
        <v>39</v>
      </c>
      <c r="G642" s="117">
        <v>92.88</v>
      </c>
      <c r="H642" s="117" t="s">
        <v>40</v>
      </c>
      <c r="I642" s="118">
        <v>30.54</v>
      </c>
      <c r="J642" s="119">
        <f t="shared" si="161"/>
        <v>18777.519</v>
      </c>
      <c r="K642" s="120">
        <f>R642-E642</f>
        <v>6</v>
      </c>
      <c r="L642" s="116">
        <v>15</v>
      </c>
      <c r="M642" s="116">
        <v>12</v>
      </c>
      <c r="N642" s="122">
        <f>+I642*G642</f>
        <v>2836.5551999999998</v>
      </c>
      <c r="O642" s="122">
        <f>+N642/L642</f>
        <v>189.10368</v>
      </c>
      <c r="P642" s="122">
        <f>(N642/L642)*M642</f>
        <v>2269.2441600000002</v>
      </c>
      <c r="Q642" s="116" t="s">
        <v>41</v>
      </c>
      <c r="R642" s="116">
        <v>2021</v>
      </c>
      <c r="S642" s="124" t="s">
        <v>613</v>
      </c>
      <c r="T642" s="219" t="s">
        <v>614</v>
      </c>
      <c r="U642" s="180"/>
      <c r="V642" s="155"/>
      <c r="W642" s="156"/>
      <c r="X642" s="156"/>
      <c r="Y642" s="156"/>
      <c r="Z642" s="156"/>
      <c r="AA642" s="156"/>
      <c r="AB642" s="156"/>
      <c r="AC642" s="157"/>
      <c r="AD642" s="184"/>
    </row>
    <row r="643" spans="3:30" ht="30" customHeight="1" outlineLevel="2" x14ac:dyDescent="0.25">
      <c r="C643" s="186" t="str">
        <f>C641</f>
        <v>M1</v>
      </c>
      <c r="D643" s="434" t="s">
        <v>46</v>
      </c>
      <c r="E643" s="116">
        <v>2015</v>
      </c>
      <c r="F643" s="116" t="s">
        <v>39</v>
      </c>
      <c r="G643" s="117">
        <v>193.1</v>
      </c>
      <c r="H643" s="117" t="s">
        <v>40</v>
      </c>
      <c r="I643" s="118">
        <v>3.4</v>
      </c>
      <c r="J643" s="119">
        <f t="shared" si="161"/>
        <v>2090.4900000000002</v>
      </c>
      <c r="K643" s="120">
        <f>R643-E643</f>
        <v>6</v>
      </c>
      <c r="L643" s="116">
        <v>10</v>
      </c>
      <c r="M643" s="116">
        <v>8</v>
      </c>
      <c r="N643" s="122">
        <f>+I643*G643</f>
        <v>656.54</v>
      </c>
      <c r="O643" s="122">
        <f>+N643/L643</f>
        <v>65.653999999999996</v>
      </c>
      <c r="P643" s="122">
        <f>(N643/L643)*M643</f>
        <v>525.23199999999997</v>
      </c>
      <c r="Q643" s="116" t="s">
        <v>41</v>
      </c>
      <c r="R643" s="116">
        <v>2021</v>
      </c>
      <c r="S643" s="124" t="s">
        <v>613</v>
      </c>
      <c r="T643" s="219" t="s">
        <v>614</v>
      </c>
      <c r="U643" s="180"/>
      <c r="V643" s="155"/>
      <c r="W643" s="156"/>
      <c r="X643" s="156"/>
      <c r="Y643" s="156"/>
      <c r="Z643" s="156"/>
      <c r="AA643" s="156"/>
      <c r="AB643" s="156"/>
      <c r="AC643" s="157"/>
      <c r="AD643" s="184"/>
    </row>
    <row r="644" spans="3:30" ht="30" customHeight="1" outlineLevel="2" thickBot="1" x14ac:dyDescent="0.3">
      <c r="C644" s="198" t="str">
        <f>C641</f>
        <v>M1</v>
      </c>
      <c r="D644" s="435" t="s">
        <v>48</v>
      </c>
      <c r="E644" s="161">
        <v>2015</v>
      </c>
      <c r="F644" s="161" t="s">
        <v>39</v>
      </c>
      <c r="G644" s="162">
        <v>265.43</v>
      </c>
      <c r="H644" s="162" t="s">
        <v>40</v>
      </c>
      <c r="I644" s="261">
        <f>+J644/$S$2</f>
        <v>181.22854635934661</v>
      </c>
      <c r="J644" s="97">
        <f t="shared" ref="J644" si="162">+((95000^(0.364-(0.00000133*G644)))/(G644^(0.364-(0.00000133*95000))))*6500</f>
        <v>111428.37172904427</v>
      </c>
      <c r="K644" s="161" t="s">
        <v>41</v>
      </c>
      <c r="L644" s="161" t="s">
        <v>41</v>
      </c>
      <c r="M644" s="163" t="s">
        <v>41</v>
      </c>
      <c r="N644" s="163" t="s">
        <v>41</v>
      </c>
      <c r="O644" s="163" t="s">
        <v>41</v>
      </c>
      <c r="P644" s="163" t="s">
        <v>41</v>
      </c>
      <c r="Q644" s="171">
        <f>I644*G644</f>
        <v>48103.493060161374</v>
      </c>
      <c r="R644" s="161">
        <v>2021</v>
      </c>
      <c r="S644" s="165" t="s">
        <v>613</v>
      </c>
      <c r="T644" s="219" t="s">
        <v>614</v>
      </c>
      <c r="U644" s="181"/>
      <c r="V644" s="167"/>
      <c r="W644" s="168"/>
      <c r="X644" s="168"/>
      <c r="Y644" s="168"/>
      <c r="Z644" s="168"/>
      <c r="AA644" s="168"/>
      <c r="AB644" s="168"/>
      <c r="AC644" s="169"/>
      <c r="AD644" s="188"/>
    </row>
    <row r="645" spans="3:30" ht="30" customHeight="1" outlineLevel="1" x14ac:dyDescent="0.25">
      <c r="C645" s="190" t="s">
        <v>617</v>
      </c>
      <c r="D645" s="74" t="s">
        <v>618</v>
      </c>
      <c r="E645" s="105">
        <v>1985</v>
      </c>
      <c r="F645" s="105" t="s">
        <v>39</v>
      </c>
      <c r="G645" s="106">
        <f>G648</f>
        <v>184.81</v>
      </c>
      <c r="H645" s="106" t="s">
        <v>40</v>
      </c>
      <c r="I645" s="107">
        <v>1000</v>
      </c>
      <c r="J645" s="108">
        <f t="shared" si="161"/>
        <v>614850</v>
      </c>
      <c r="K645" s="109">
        <f>R645-E645</f>
        <v>36</v>
      </c>
      <c r="L645" s="105">
        <v>50</v>
      </c>
      <c r="M645" s="105">
        <v>30</v>
      </c>
      <c r="N645" s="111">
        <f>+I645*G645</f>
        <v>184810</v>
      </c>
      <c r="O645" s="111">
        <f>+N645/L645</f>
        <v>3696.2</v>
      </c>
      <c r="P645" s="111">
        <f>(N645/L645)*M645</f>
        <v>110886</v>
      </c>
      <c r="Q645" s="105" t="s">
        <v>41</v>
      </c>
      <c r="R645" s="105">
        <v>2021</v>
      </c>
      <c r="S645" s="473" t="s">
        <v>619</v>
      </c>
      <c r="U645" s="176" t="s">
        <v>620</v>
      </c>
      <c r="V645" s="421" t="s">
        <v>136</v>
      </c>
      <c r="W645" s="178">
        <v>97946.97</v>
      </c>
      <c r="X645" s="178">
        <v>0</v>
      </c>
      <c r="Y645" s="178">
        <v>83817646.439999998</v>
      </c>
      <c r="Z645" s="178">
        <v>97946.97</v>
      </c>
      <c r="AA645" s="178">
        <v>33858874.090000004</v>
      </c>
      <c r="AB645" s="178">
        <v>49958772.349999994</v>
      </c>
      <c r="AC645" s="177" t="s">
        <v>621</v>
      </c>
      <c r="AD645" s="205">
        <v>900018</v>
      </c>
    </row>
    <row r="646" spans="3:30" ht="30" customHeight="1" outlineLevel="2" x14ac:dyDescent="0.25">
      <c r="C646" s="186" t="str">
        <f>C645</f>
        <v>M2</v>
      </c>
      <c r="D646" s="434" t="s">
        <v>44</v>
      </c>
      <c r="E646" s="116">
        <v>1985</v>
      </c>
      <c r="F646" s="116" t="s">
        <v>39</v>
      </c>
      <c r="G646" s="117">
        <v>91.67</v>
      </c>
      <c r="H646" s="117" t="s">
        <v>40</v>
      </c>
      <c r="I646" s="118">
        <v>30.54</v>
      </c>
      <c r="J646" s="119">
        <f t="shared" si="161"/>
        <v>18777.519</v>
      </c>
      <c r="K646" s="120">
        <f>R646-E646</f>
        <v>36</v>
      </c>
      <c r="L646" s="116">
        <v>15</v>
      </c>
      <c r="M646" s="116">
        <v>5</v>
      </c>
      <c r="N646" s="122">
        <f>+I646*G646</f>
        <v>2799.6017999999999</v>
      </c>
      <c r="O646" s="122">
        <f>+N646/L646</f>
        <v>186.64012</v>
      </c>
      <c r="P646" s="122">
        <f>(N646/L646)*M646</f>
        <v>933.20060000000001</v>
      </c>
      <c r="Q646" s="116" t="s">
        <v>41</v>
      </c>
      <c r="R646" s="116">
        <v>2021</v>
      </c>
      <c r="S646" s="474" t="s">
        <v>619</v>
      </c>
      <c r="U646" s="180"/>
      <c r="V646" s="422"/>
      <c r="W646" s="156"/>
      <c r="X646" s="156"/>
      <c r="Y646" s="156"/>
      <c r="Z646" s="156"/>
      <c r="AA646" s="156"/>
      <c r="AB646" s="156"/>
      <c r="AC646" s="157"/>
      <c r="AD646" s="184"/>
    </row>
    <row r="647" spans="3:30" ht="30" customHeight="1" outlineLevel="2" x14ac:dyDescent="0.25">
      <c r="C647" s="186" t="str">
        <f>C645</f>
        <v>M2</v>
      </c>
      <c r="D647" s="434" t="s">
        <v>46</v>
      </c>
      <c r="E647" s="116">
        <v>1985</v>
      </c>
      <c r="F647" s="116" t="s">
        <v>39</v>
      </c>
      <c r="G647" s="117">
        <v>191.35</v>
      </c>
      <c r="H647" s="117" t="s">
        <v>40</v>
      </c>
      <c r="I647" s="118">
        <v>3.4</v>
      </c>
      <c r="J647" s="119">
        <f t="shared" si="161"/>
        <v>2090.4900000000002</v>
      </c>
      <c r="K647" s="120">
        <f>R647-E647</f>
        <v>36</v>
      </c>
      <c r="L647" s="116">
        <v>10</v>
      </c>
      <c r="M647" s="116">
        <v>5</v>
      </c>
      <c r="N647" s="122">
        <f>+I647*G647</f>
        <v>650.58999999999992</v>
      </c>
      <c r="O647" s="122">
        <f>+N647/L647</f>
        <v>65.058999999999997</v>
      </c>
      <c r="P647" s="122">
        <f>(N647/L647)*M647</f>
        <v>325.29499999999996</v>
      </c>
      <c r="Q647" s="116" t="s">
        <v>41</v>
      </c>
      <c r="R647" s="116">
        <v>2021</v>
      </c>
      <c r="S647" s="474" t="s">
        <v>619</v>
      </c>
      <c r="U647" s="180"/>
      <c r="V647" s="422"/>
      <c r="W647" s="156"/>
      <c r="X647" s="156"/>
      <c r="Y647" s="156"/>
      <c r="Z647" s="156"/>
      <c r="AA647" s="156"/>
      <c r="AB647" s="156"/>
      <c r="AC647" s="157"/>
      <c r="AD647" s="184"/>
    </row>
    <row r="648" spans="3:30" ht="30" customHeight="1" outlineLevel="2" thickBot="1" x14ac:dyDescent="0.3">
      <c r="C648" s="198" t="str">
        <f>C645</f>
        <v>M2</v>
      </c>
      <c r="D648" s="435" t="s">
        <v>48</v>
      </c>
      <c r="E648" s="161">
        <v>1985</v>
      </c>
      <c r="F648" s="161" t="s">
        <v>39</v>
      </c>
      <c r="G648" s="162">
        <v>184.81</v>
      </c>
      <c r="H648" s="162" t="s">
        <v>40</v>
      </c>
      <c r="I648" s="261">
        <f>+J648/$S$2</f>
        <v>197.75376164265259</v>
      </c>
      <c r="J648" s="97">
        <f t="shared" ref="J648" si="163">+((95000^(0.364-(0.00000133*G648)))/(G648^(0.364-(0.00000133*95000))))*6500</f>
        <v>121588.90034598495</v>
      </c>
      <c r="K648" s="161" t="s">
        <v>41</v>
      </c>
      <c r="L648" s="161" t="s">
        <v>41</v>
      </c>
      <c r="M648" s="163" t="s">
        <v>41</v>
      </c>
      <c r="N648" s="163" t="s">
        <v>41</v>
      </c>
      <c r="O648" s="163" t="s">
        <v>41</v>
      </c>
      <c r="P648" s="163" t="s">
        <v>41</v>
      </c>
      <c r="Q648" s="171">
        <f>I648*G648</f>
        <v>36546.872689178628</v>
      </c>
      <c r="R648" s="161">
        <v>2021</v>
      </c>
      <c r="S648" s="475" t="s">
        <v>619</v>
      </c>
      <c r="U648" s="180"/>
      <c r="V648" s="422"/>
      <c r="W648" s="156"/>
      <c r="X648" s="156"/>
      <c r="Y648" s="156"/>
      <c r="Z648" s="156"/>
      <c r="AA648" s="156"/>
      <c r="AB648" s="156"/>
      <c r="AC648" s="157"/>
      <c r="AD648" s="184"/>
    </row>
    <row r="649" spans="3:30" ht="30" customHeight="1" outlineLevel="1" x14ac:dyDescent="0.25">
      <c r="C649" s="190" t="s">
        <v>622</v>
      </c>
      <c r="D649" s="476" t="s">
        <v>623</v>
      </c>
      <c r="E649" s="105">
        <v>1985</v>
      </c>
      <c r="F649" s="105" t="s">
        <v>39</v>
      </c>
      <c r="G649" s="106">
        <f>G652</f>
        <v>322.37</v>
      </c>
      <c r="H649" s="106" t="s">
        <v>40</v>
      </c>
      <c r="I649" s="107">
        <v>1100</v>
      </c>
      <c r="J649" s="108">
        <f t="shared" si="161"/>
        <v>676335</v>
      </c>
      <c r="K649" s="109">
        <f>R649-E649</f>
        <v>36</v>
      </c>
      <c r="L649" s="105">
        <v>50</v>
      </c>
      <c r="M649" s="105">
        <v>30</v>
      </c>
      <c r="N649" s="111">
        <f>+I649*G649</f>
        <v>354607</v>
      </c>
      <c r="O649" s="111">
        <f>+N649/L649</f>
        <v>7092.14</v>
      </c>
      <c r="P649" s="111">
        <f>(N649/L649)*M649</f>
        <v>212764.2</v>
      </c>
      <c r="Q649" s="105" t="s">
        <v>41</v>
      </c>
      <c r="R649" s="105">
        <v>2021</v>
      </c>
      <c r="S649" s="113" t="s">
        <v>79</v>
      </c>
      <c r="T649" s="219" t="s">
        <v>614</v>
      </c>
      <c r="U649" s="395" t="s">
        <v>624</v>
      </c>
      <c r="V649" s="477">
        <v>32719</v>
      </c>
      <c r="W649" s="478">
        <v>221400</v>
      </c>
      <c r="X649" s="478">
        <v>7500000</v>
      </c>
      <c r="Y649" s="478">
        <v>0</v>
      </c>
      <c r="Z649" s="478">
        <v>221400</v>
      </c>
      <c r="AA649" s="478">
        <v>87500</v>
      </c>
      <c r="AB649" s="478">
        <v>7412500</v>
      </c>
      <c r="AC649" s="395" t="s">
        <v>625</v>
      </c>
      <c r="AD649" s="479">
        <v>900234</v>
      </c>
    </row>
    <row r="650" spans="3:30" ht="30" customHeight="1" outlineLevel="2" x14ac:dyDescent="0.25">
      <c r="C650" s="186" t="s">
        <v>622</v>
      </c>
      <c r="D650" s="434" t="s">
        <v>44</v>
      </c>
      <c r="E650" s="116">
        <v>1985</v>
      </c>
      <c r="F650" s="116" t="s">
        <v>39</v>
      </c>
      <c r="G650" s="117">
        <v>89.15</v>
      </c>
      <c r="H650" s="117" t="s">
        <v>40</v>
      </c>
      <c r="I650" s="118">
        <v>30.54</v>
      </c>
      <c r="J650" s="119">
        <f t="shared" si="161"/>
        <v>18777.519</v>
      </c>
      <c r="K650" s="120">
        <f>R650-E650</f>
        <v>36</v>
      </c>
      <c r="L650" s="116">
        <v>15</v>
      </c>
      <c r="M650" s="116">
        <v>5</v>
      </c>
      <c r="N650" s="122">
        <f>+I650*G650</f>
        <v>2722.6410000000001</v>
      </c>
      <c r="O650" s="122">
        <f>+N650/L650</f>
        <v>181.5094</v>
      </c>
      <c r="P650" s="122">
        <f>(N650/L650)*M650</f>
        <v>907.54700000000003</v>
      </c>
      <c r="Q650" s="116" t="s">
        <v>41</v>
      </c>
      <c r="R650" s="116">
        <v>2021</v>
      </c>
      <c r="S650" s="124" t="s">
        <v>79</v>
      </c>
      <c r="T650" s="219" t="s">
        <v>614</v>
      </c>
      <c r="U650" s="395"/>
      <c r="V650" s="477"/>
      <c r="W650" s="478"/>
      <c r="X650" s="478"/>
      <c r="Y650" s="478"/>
      <c r="Z650" s="478"/>
      <c r="AA650" s="478"/>
      <c r="AB650" s="478"/>
      <c r="AC650" s="395"/>
      <c r="AD650" s="479"/>
    </row>
    <row r="651" spans="3:30" ht="30" customHeight="1" outlineLevel="2" x14ac:dyDescent="0.25">
      <c r="C651" s="186" t="s">
        <v>622</v>
      </c>
      <c r="D651" s="434" t="s">
        <v>46</v>
      </c>
      <c r="E651" s="116">
        <v>1985</v>
      </c>
      <c r="F651" s="116" t="s">
        <v>39</v>
      </c>
      <c r="G651" s="117">
        <v>186.4</v>
      </c>
      <c r="H651" s="117" t="s">
        <v>40</v>
      </c>
      <c r="I651" s="118">
        <v>3.4</v>
      </c>
      <c r="J651" s="119">
        <f t="shared" si="161"/>
        <v>2090.4900000000002</v>
      </c>
      <c r="K651" s="120">
        <f>R651-E651</f>
        <v>36</v>
      </c>
      <c r="L651" s="116">
        <v>10</v>
      </c>
      <c r="M651" s="116">
        <v>5</v>
      </c>
      <c r="N651" s="122">
        <f>+I651*G651</f>
        <v>633.76</v>
      </c>
      <c r="O651" s="122">
        <f>+N651/L651</f>
        <v>63.375999999999998</v>
      </c>
      <c r="P651" s="122">
        <f>(N651/L651)*M651</f>
        <v>316.88</v>
      </c>
      <c r="Q651" s="116" t="s">
        <v>41</v>
      </c>
      <c r="R651" s="116">
        <v>2021</v>
      </c>
      <c r="S651" s="124" t="s">
        <v>79</v>
      </c>
      <c r="T651" s="219" t="s">
        <v>614</v>
      </c>
      <c r="U651" s="395"/>
      <c r="V651" s="477"/>
      <c r="W651" s="478"/>
      <c r="X651" s="478"/>
      <c r="Y651" s="478"/>
      <c r="Z651" s="478"/>
      <c r="AA651" s="478"/>
      <c r="AB651" s="478"/>
      <c r="AC651" s="395"/>
      <c r="AD651" s="479"/>
    </row>
    <row r="652" spans="3:30" ht="30" customHeight="1" outlineLevel="2" thickBot="1" x14ac:dyDescent="0.3">
      <c r="C652" s="198" t="s">
        <v>622</v>
      </c>
      <c r="D652" s="435" t="s">
        <v>48</v>
      </c>
      <c r="E652" s="161">
        <v>1985</v>
      </c>
      <c r="F652" s="161" t="s">
        <v>39</v>
      </c>
      <c r="G652" s="162">
        <v>322.37</v>
      </c>
      <c r="H652" s="162" t="s">
        <v>40</v>
      </c>
      <c r="I652" s="261">
        <f>+J652/$S$2</f>
        <v>172.89836518487721</v>
      </c>
      <c r="J652" s="97">
        <f t="shared" ref="J652" si="164">+((95000^(0.364-(0.00000133*G652)))/(G652^(0.364-(0.00000133*95000))))*6500</f>
        <v>106306.55983392175</v>
      </c>
      <c r="K652" s="161" t="s">
        <v>41</v>
      </c>
      <c r="L652" s="161" t="s">
        <v>41</v>
      </c>
      <c r="M652" s="163" t="s">
        <v>41</v>
      </c>
      <c r="N652" s="163" t="s">
        <v>41</v>
      </c>
      <c r="O652" s="163" t="s">
        <v>41</v>
      </c>
      <c r="P652" s="163" t="s">
        <v>41</v>
      </c>
      <c r="Q652" s="171">
        <f>I652*G652</f>
        <v>55737.245984648864</v>
      </c>
      <c r="R652" s="161">
        <v>2021</v>
      </c>
      <c r="S652" s="165" t="s">
        <v>79</v>
      </c>
      <c r="T652" s="219" t="s">
        <v>614</v>
      </c>
      <c r="U652" s="395"/>
      <c r="V652" s="477"/>
      <c r="W652" s="478"/>
      <c r="X652" s="478"/>
      <c r="Y652" s="478"/>
      <c r="Z652" s="478"/>
      <c r="AA652" s="478"/>
      <c r="AB652" s="478"/>
      <c r="AC652" s="395"/>
      <c r="AD652" s="479"/>
    </row>
    <row r="653" spans="3:30" ht="30" customHeight="1" outlineLevel="1" x14ac:dyDescent="0.25">
      <c r="C653" s="190" t="s">
        <v>626</v>
      </c>
      <c r="D653" s="74" t="s">
        <v>627</v>
      </c>
      <c r="E653" s="105">
        <v>1985</v>
      </c>
      <c r="F653" s="105" t="s">
        <v>39</v>
      </c>
      <c r="G653" s="106">
        <f>G656</f>
        <v>387.56</v>
      </c>
      <c r="H653" s="106" t="s">
        <v>40</v>
      </c>
      <c r="I653" s="107">
        <v>200</v>
      </c>
      <c r="J653" s="108">
        <f t="shared" si="161"/>
        <v>122970</v>
      </c>
      <c r="K653" s="109">
        <f>R653-E653</f>
        <v>36</v>
      </c>
      <c r="L653" s="105">
        <v>50</v>
      </c>
      <c r="M653" s="105">
        <v>30</v>
      </c>
      <c r="N653" s="111">
        <f>+I653*G653</f>
        <v>77512</v>
      </c>
      <c r="O653" s="111">
        <f>+N653/L653</f>
        <v>1550.24</v>
      </c>
      <c r="P653" s="111">
        <f>(N653/L653)*M653</f>
        <v>46507.199999999997</v>
      </c>
      <c r="Q653" s="105" t="s">
        <v>41</v>
      </c>
      <c r="R653" s="105">
        <v>2021</v>
      </c>
      <c r="S653" s="113" t="s">
        <v>619</v>
      </c>
      <c r="U653" s="301" t="s">
        <v>628</v>
      </c>
      <c r="V653" s="232" t="s">
        <v>629</v>
      </c>
      <c r="W653" s="232"/>
      <c r="X653" s="232"/>
      <c r="Y653" s="232"/>
      <c r="Z653" s="232"/>
      <c r="AA653" s="232"/>
      <c r="AB653" s="232"/>
      <c r="AC653" s="232"/>
      <c r="AD653" s="402"/>
    </row>
    <row r="654" spans="3:30" ht="30" customHeight="1" outlineLevel="2" x14ac:dyDescent="0.25">
      <c r="C654" s="186" t="s">
        <v>626</v>
      </c>
      <c r="D654" s="434" t="s">
        <v>44</v>
      </c>
      <c r="E654" s="116">
        <v>1985</v>
      </c>
      <c r="F654" s="116" t="s">
        <v>39</v>
      </c>
      <c r="G654" s="117">
        <v>92.27</v>
      </c>
      <c r="H654" s="117" t="s">
        <v>40</v>
      </c>
      <c r="I654" s="118">
        <v>30.54</v>
      </c>
      <c r="J654" s="119">
        <f t="shared" si="161"/>
        <v>18777.519</v>
      </c>
      <c r="K654" s="120">
        <f>R654-E654</f>
        <v>36</v>
      </c>
      <c r="L654" s="116">
        <v>15</v>
      </c>
      <c r="M654" s="116">
        <v>5</v>
      </c>
      <c r="N654" s="122">
        <f>+I654*G654</f>
        <v>2817.9258</v>
      </c>
      <c r="O654" s="122">
        <f>+N654/L654</f>
        <v>187.86171999999999</v>
      </c>
      <c r="P654" s="122">
        <f>(N654/L654)*M654</f>
        <v>939.30859999999996</v>
      </c>
      <c r="Q654" s="116" t="s">
        <v>41</v>
      </c>
      <c r="R654" s="116">
        <v>2021</v>
      </c>
      <c r="S654" s="124" t="s">
        <v>619</v>
      </c>
      <c r="U654" s="301"/>
      <c r="V654" s="232"/>
      <c r="W654" s="232"/>
      <c r="X654" s="232"/>
      <c r="Y654" s="232"/>
      <c r="Z654" s="232"/>
      <c r="AA654" s="232"/>
      <c r="AB654" s="232"/>
      <c r="AC654" s="232"/>
      <c r="AD654" s="402"/>
    </row>
    <row r="655" spans="3:30" ht="30" customHeight="1" outlineLevel="2" x14ac:dyDescent="0.25">
      <c r="C655" s="186" t="s">
        <v>626</v>
      </c>
      <c r="D655" s="434" t="s">
        <v>46</v>
      </c>
      <c r="E655" s="116">
        <v>1985</v>
      </c>
      <c r="F655" s="116" t="s">
        <v>39</v>
      </c>
      <c r="G655" s="117">
        <v>192.52</v>
      </c>
      <c r="H655" s="117" t="s">
        <v>40</v>
      </c>
      <c r="I655" s="118">
        <v>3.4</v>
      </c>
      <c r="J655" s="119">
        <f t="shared" si="161"/>
        <v>2090.4900000000002</v>
      </c>
      <c r="K655" s="120">
        <f>R655-E655</f>
        <v>36</v>
      </c>
      <c r="L655" s="116">
        <v>10</v>
      </c>
      <c r="M655" s="116">
        <v>5</v>
      </c>
      <c r="N655" s="122">
        <f>+I655*G655</f>
        <v>654.56799999999998</v>
      </c>
      <c r="O655" s="122">
        <f>+N655/L655</f>
        <v>65.456800000000001</v>
      </c>
      <c r="P655" s="122">
        <f>(N655/L655)*M655</f>
        <v>327.28399999999999</v>
      </c>
      <c r="Q655" s="116" t="s">
        <v>41</v>
      </c>
      <c r="R655" s="116">
        <v>2021</v>
      </c>
      <c r="S655" s="124" t="s">
        <v>619</v>
      </c>
      <c r="U655" s="301"/>
      <c r="V655" s="232"/>
      <c r="W655" s="232"/>
      <c r="X655" s="232"/>
      <c r="Y655" s="232"/>
      <c r="Z655" s="232"/>
      <c r="AA655" s="232"/>
      <c r="AB655" s="232"/>
      <c r="AC655" s="232"/>
      <c r="AD655" s="402"/>
    </row>
    <row r="656" spans="3:30" ht="30" customHeight="1" outlineLevel="2" thickBot="1" x14ac:dyDescent="0.3">
      <c r="C656" s="198" t="s">
        <v>626</v>
      </c>
      <c r="D656" s="435" t="s">
        <v>48</v>
      </c>
      <c r="E656" s="161">
        <v>1985</v>
      </c>
      <c r="F656" s="161" t="s">
        <v>39</v>
      </c>
      <c r="G656" s="162">
        <v>387.56</v>
      </c>
      <c r="H656" s="162" t="s">
        <v>40</v>
      </c>
      <c r="I656" s="261">
        <f>+J656/$S$2</f>
        <v>165.32975769904093</v>
      </c>
      <c r="J656" s="97">
        <f t="shared" ref="J656" si="165">+((95000^(0.364-(0.00000133*G656)))/(G656^(0.364-(0.00000133*95000))))*6500</f>
        <v>101653.00152125531</v>
      </c>
      <c r="K656" s="161" t="s">
        <v>41</v>
      </c>
      <c r="L656" s="161" t="s">
        <v>41</v>
      </c>
      <c r="M656" s="163" t="s">
        <v>41</v>
      </c>
      <c r="N656" s="163" t="s">
        <v>41</v>
      </c>
      <c r="O656" s="163" t="s">
        <v>41</v>
      </c>
      <c r="P656" s="163" t="s">
        <v>41</v>
      </c>
      <c r="Q656" s="171">
        <f>I656*G656</f>
        <v>64075.200893840301</v>
      </c>
      <c r="R656" s="161">
        <v>2021</v>
      </c>
      <c r="S656" s="165" t="s">
        <v>619</v>
      </c>
      <c r="U656" s="305"/>
      <c r="V656" s="238"/>
      <c r="W656" s="238"/>
      <c r="X656" s="238"/>
      <c r="Y656" s="238"/>
      <c r="Z656" s="238"/>
      <c r="AA656" s="238"/>
      <c r="AB656" s="238"/>
      <c r="AC656" s="238"/>
      <c r="AD656" s="403"/>
    </row>
    <row r="657" spans="3:30" ht="30" customHeight="1" outlineLevel="1" x14ac:dyDescent="0.25">
      <c r="C657" s="190" t="s">
        <v>630</v>
      </c>
      <c r="D657" s="74" t="s">
        <v>631</v>
      </c>
      <c r="E657" s="105">
        <v>2016</v>
      </c>
      <c r="F657" s="105" t="s">
        <v>39</v>
      </c>
      <c r="G657" s="106">
        <f>G660+750.87</f>
        <v>1511.4</v>
      </c>
      <c r="H657" s="106" t="s">
        <v>40</v>
      </c>
      <c r="I657" s="107">
        <v>350</v>
      </c>
      <c r="J657" s="108">
        <f t="shared" si="161"/>
        <v>215197.5</v>
      </c>
      <c r="K657" s="109">
        <f>R657-E657</f>
        <v>5</v>
      </c>
      <c r="L657" s="105">
        <v>50</v>
      </c>
      <c r="M657" s="105">
        <v>46</v>
      </c>
      <c r="N657" s="111">
        <f>+I657*G657</f>
        <v>528990</v>
      </c>
      <c r="O657" s="111">
        <f>+N657/L657</f>
        <v>10579.8</v>
      </c>
      <c r="P657" s="111">
        <f>(N657/L657)*M657</f>
        <v>486670.8</v>
      </c>
      <c r="Q657" s="105" t="s">
        <v>41</v>
      </c>
      <c r="R657" s="105">
        <v>2021</v>
      </c>
      <c r="S657" s="113" t="s">
        <v>79</v>
      </c>
      <c r="U657" s="176" t="s">
        <v>632</v>
      </c>
      <c r="V657" s="421" t="s">
        <v>251</v>
      </c>
      <c r="W657" s="178">
        <v>102199.5</v>
      </c>
      <c r="X657" s="178">
        <v>0</v>
      </c>
      <c r="Y657" s="178">
        <v>335115308.5</v>
      </c>
      <c r="Z657" s="178">
        <v>102199.5</v>
      </c>
      <c r="AA657" s="178">
        <v>23125013.289999999</v>
      </c>
      <c r="AB657" s="178">
        <v>311990295.20999998</v>
      </c>
      <c r="AC657" s="177" t="s">
        <v>633</v>
      </c>
      <c r="AD657" s="205">
        <v>900046</v>
      </c>
    </row>
    <row r="658" spans="3:30" ht="30" customHeight="1" outlineLevel="2" x14ac:dyDescent="0.25">
      <c r="C658" s="186" t="s">
        <v>630</v>
      </c>
      <c r="D658" s="434" t="s">
        <v>44</v>
      </c>
      <c r="E658" s="116">
        <v>2016</v>
      </c>
      <c r="F658" s="116" t="s">
        <v>39</v>
      </c>
      <c r="G658" s="117">
        <v>140.62</v>
      </c>
      <c r="H658" s="117" t="s">
        <v>40</v>
      </c>
      <c r="I658" s="118">
        <v>30.54</v>
      </c>
      <c r="J658" s="119">
        <f t="shared" si="161"/>
        <v>18777.519</v>
      </c>
      <c r="K658" s="120">
        <f>R658-E658</f>
        <v>5</v>
      </c>
      <c r="L658" s="116">
        <v>15</v>
      </c>
      <c r="M658" s="116">
        <v>12</v>
      </c>
      <c r="N658" s="122">
        <f>+I658*G658</f>
        <v>4294.5348000000004</v>
      </c>
      <c r="O658" s="122">
        <f>+N658/L658</f>
        <v>286.30232000000001</v>
      </c>
      <c r="P658" s="122">
        <f>(N658/L658)*M658</f>
        <v>3435.6278400000001</v>
      </c>
      <c r="Q658" s="116" t="s">
        <v>41</v>
      </c>
      <c r="R658" s="116">
        <v>2021</v>
      </c>
      <c r="S658" s="124" t="s">
        <v>79</v>
      </c>
      <c r="U658" s="180"/>
      <c r="V658" s="422"/>
      <c r="W658" s="156"/>
      <c r="X658" s="156"/>
      <c r="Y658" s="156"/>
      <c r="Z658" s="156"/>
      <c r="AA658" s="156"/>
      <c r="AB658" s="156"/>
      <c r="AC658" s="157"/>
      <c r="AD658" s="184"/>
    </row>
    <row r="659" spans="3:30" ht="30" customHeight="1" outlineLevel="2" x14ac:dyDescent="0.25">
      <c r="C659" s="186" t="s">
        <v>630</v>
      </c>
      <c r="D659" s="434" t="s">
        <v>46</v>
      </c>
      <c r="E659" s="116">
        <v>2016</v>
      </c>
      <c r="F659" s="116" t="s">
        <v>39</v>
      </c>
      <c r="G659" s="117">
        <v>289.42</v>
      </c>
      <c r="H659" s="117" t="s">
        <v>40</v>
      </c>
      <c r="I659" s="118">
        <v>3.4</v>
      </c>
      <c r="J659" s="119">
        <f t="shared" si="161"/>
        <v>2090.4900000000002</v>
      </c>
      <c r="K659" s="120">
        <f>R659-E659</f>
        <v>5</v>
      </c>
      <c r="L659" s="116">
        <v>10</v>
      </c>
      <c r="M659" s="116">
        <v>8</v>
      </c>
      <c r="N659" s="122">
        <f>+I659*G659</f>
        <v>984.02800000000002</v>
      </c>
      <c r="O659" s="122">
        <f>+N659/L659</f>
        <v>98.402799999999999</v>
      </c>
      <c r="P659" s="122">
        <f>(N659/L659)*M659</f>
        <v>787.22239999999999</v>
      </c>
      <c r="Q659" s="116" t="s">
        <v>41</v>
      </c>
      <c r="R659" s="116">
        <v>2021</v>
      </c>
      <c r="S659" s="124" t="s">
        <v>79</v>
      </c>
      <c r="U659" s="180"/>
      <c r="V659" s="422"/>
      <c r="W659" s="156"/>
      <c r="X659" s="156"/>
      <c r="Y659" s="156"/>
      <c r="Z659" s="156"/>
      <c r="AA659" s="156"/>
      <c r="AB659" s="156"/>
      <c r="AC659" s="157"/>
      <c r="AD659" s="184"/>
    </row>
    <row r="660" spans="3:30" ht="30" customHeight="1" outlineLevel="2" thickBot="1" x14ac:dyDescent="0.3">
      <c r="C660" s="198" t="s">
        <v>630</v>
      </c>
      <c r="D660" s="435" t="s">
        <v>48</v>
      </c>
      <c r="E660" s="161">
        <v>2016</v>
      </c>
      <c r="F660" s="161" t="s">
        <v>39</v>
      </c>
      <c r="G660" s="162">
        <v>760.53</v>
      </c>
      <c r="H660" s="162" t="s">
        <v>40</v>
      </c>
      <c r="I660" s="261">
        <f>+J660/$S$2</f>
        <v>140.05650323755941</v>
      </c>
      <c r="J660" s="97">
        <f t="shared" ref="J660" si="166">+((95000^(0.364-(0.00000133*G660)))/(G660^(0.364-(0.00000133*95000))))*6500</f>
        <v>86113.741015613399</v>
      </c>
      <c r="K660" s="161" t="s">
        <v>41</v>
      </c>
      <c r="L660" s="161" t="s">
        <v>41</v>
      </c>
      <c r="M660" s="163" t="s">
        <v>41</v>
      </c>
      <c r="N660" s="163" t="s">
        <v>41</v>
      </c>
      <c r="O660" s="163" t="s">
        <v>41</v>
      </c>
      <c r="P660" s="163" t="s">
        <v>41</v>
      </c>
      <c r="Q660" s="171">
        <f>I660*G660</f>
        <v>106517.17240726105</v>
      </c>
      <c r="R660" s="161">
        <v>2021</v>
      </c>
      <c r="S660" s="165" t="s">
        <v>79</v>
      </c>
      <c r="U660" s="181"/>
      <c r="V660" s="420"/>
      <c r="W660" s="168"/>
      <c r="X660" s="168"/>
      <c r="Y660" s="168"/>
      <c r="Z660" s="168"/>
      <c r="AA660" s="168"/>
      <c r="AB660" s="168"/>
      <c r="AC660" s="169"/>
      <c r="AD660" s="188"/>
    </row>
    <row r="661" spans="3:30" ht="30" customHeight="1" outlineLevel="1" x14ac:dyDescent="0.25">
      <c r="C661" s="190" t="s">
        <v>634</v>
      </c>
      <c r="D661" s="476" t="s">
        <v>635</v>
      </c>
      <c r="E661" s="105">
        <v>2016</v>
      </c>
      <c r="F661" s="105" t="s">
        <v>39</v>
      </c>
      <c r="G661" s="106">
        <f>G664</f>
        <v>509.41</v>
      </c>
      <c r="H661" s="106" t="s">
        <v>40</v>
      </c>
      <c r="I661" s="107">
        <v>1100</v>
      </c>
      <c r="J661" s="108">
        <f t="shared" si="161"/>
        <v>676335</v>
      </c>
      <c r="K661" s="109">
        <f>R661-E661</f>
        <v>5</v>
      </c>
      <c r="L661" s="105">
        <v>50</v>
      </c>
      <c r="M661" s="105">
        <v>46</v>
      </c>
      <c r="N661" s="111">
        <f>+I661*G661</f>
        <v>560351</v>
      </c>
      <c r="O661" s="111">
        <f>+N661/L661</f>
        <v>11207.02</v>
      </c>
      <c r="P661" s="111">
        <f>(N661/L661)*M661</f>
        <v>515522.92000000004</v>
      </c>
      <c r="Q661" s="105" t="s">
        <v>41</v>
      </c>
      <c r="R661" s="105">
        <v>2021</v>
      </c>
      <c r="S661" s="113" t="s">
        <v>636</v>
      </c>
      <c r="U661" s="176" t="s">
        <v>637</v>
      </c>
      <c r="V661" s="421" t="s">
        <v>638</v>
      </c>
      <c r="W661" s="178">
        <v>297000000</v>
      </c>
      <c r="X661" s="178">
        <v>0</v>
      </c>
      <c r="Y661" s="178">
        <v>0</v>
      </c>
      <c r="Z661" s="178">
        <v>12374999.99</v>
      </c>
      <c r="AA661" s="178">
        <v>0</v>
      </c>
      <c r="AB661" s="178">
        <v>284625000.00999999</v>
      </c>
      <c r="AC661" s="177" t="s">
        <v>639</v>
      </c>
      <c r="AD661" s="205">
        <v>900388</v>
      </c>
    </row>
    <row r="662" spans="3:30" ht="30" customHeight="1" outlineLevel="2" x14ac:dyDescent="0.25">
      <c r="C662" s="186" t="s">
        <v>634</v>
      </c>
      <c r="D662" s="434" t="s">
        <v>44</v>
      </c>
      <c r="E662" s="116">
        <v>2016</v>
      </c>
      <c r="F662" s="116" t="s">
        <v>39</v>
      </c>
      <c r="G662" s="117">
        <v>112.4</v>
      </c>
      <c r="H662" s="117" t="s">
        <v>40</v>
      </c>
      <c r="I662" s="118">
        <v>30.54</v>
      </c>
      <c r="J662" s="119">
        <f t="shared" si="161"/>
        <v>18777.519</v>
      </c>
      <c r="K662" s="120">
        <f>R662-E662</f>
        <v>5</v>
      </c>
      <c r="L662" s="116">
        <v>15</v>
      </c>
      <c r="M662" s="116">
        <v>12</v>
      </c>
      <c r="N662" s="122">
        <f>+I662*G662</f>
        <v>3432.6959999999999</v>
      </c>
      <c r="O662" s="122">
        <f>+N662/L662</f>
        <v>228.84639999999999</v>
      </c>
      <c r="P662" s="122">
        <f>(N662/L662)*M662</f>
        <v>2746.1567999999997</v>
      </c>
      <c r="Q662" s="116" t="s">
        <v>41</v>
      </c>
      <c r="R662" s="116">
        <v>2021</v>
      </c>
      <c r="S662" s="124" t="s">
        <v>636</v>
      </c>
      <c r="U662" s="180"/>
      <c r="V662" s="422"/>
      <c r="W662" s="156"/>
      <c r="X662" s="156"/>
      <c r="Y662" s="156"/>
      <c r="Z662" s="156"/>
      <c r="AA662" s="156"/>
      <c r="AB662" s="156"/>
      <c r="AC662" s="157"/>
      <c r="AD662" s="184"/>
    </row>
    <row r="663" spans="3:30" ht="30" customHeight="1" outlineLevel="2" x14ac:dyDescent="0.25">
      <c r="C663" s="186" t="s">
        <v>634</v>
      </c>
      <c r="D663" s="434" t="s">
        <v>46</v>
      </c>
      <c r="E663" s="116">
        <v>2016</v>
      </c>
      <c r="F663" s="116" t="s">
        <v>39</v>
      </c>
      <c r="G663" s="117">
        <v>232.8</v>
      </c>
      <c r="H663" s="117" t="s">
        <v>40</v>
      </c>
      <c r="I663" s="118">
        <v>3.4</v>
      </c>
      <c r="J663" s="119">
        <f>I663*$S$2</f>
        <v>2090.4900000000002</v>
      </c>
      <c r="K663" s="120">
        <f>R663-E663</f>
        <v>5</v>
      </c>
      <c r="L663" s="116">
        <v>10</v>
      </c>
      <c r="M663" s="116">
        <v>8</v>
      </c>
      <c r="N663" s="122">
        <f>+I663*G663</f>
        <v>791.52</v>
      </c>
      <c r="O663" s="122">
        <f>+N663/L663</f>
        <v>79.152000000000001</v>
      </c>
      <c r="P663" s="122">
        <f>(N663/L663)*M663</f>
        <v>633.21600000000001</v>
      </c>
      <c r="Q663" s="116" t="s">
        <v>41</v>
      </c>
      <c r="R663" s="116">
        <v>2021</v>
      </c>
      <c r="S663" s="124" t="s">
        <v>636</v>
      </c>
      <c r="U663" s="180"/>
      <c r="V663" s="422"/>
      <c r="W663" s="156"/>
      <c r="X663" s="156"/>
      <c r="Y663" s="156"/>
      <c r="Z663" s="156"/>
      <c r="AA663" s="156"/>
      <c r="AB663" s="156"/>
      <c r="AC663" s="157"/>
      <c r="AD663" s="184"/>
    </row>
    <row r="664" spans="3:30" ht="30" customHeight="1" outlineLevel="2" thickBot="1" x14ac:dyDescent="0.3">
      <c r="C664" s="198" t="s">
        <v>634</v>
      </c>
      <c r="D664" s="435" t="s">
        <v>48</v>
      </c>
      <c r="E664" s="161">
        <v>2016</v>
      </c>
      <c r="F664" s="161" t="s">
        <v>39</v>
      </c>
      <c r="G664" s="162">
        <v>509.41</v>
      </c>
      <c r="H664" s="162" t="s">
        <v>40</v>
      </c>
      <c r="I664" s="261">
        <f>+J664/$S$2</f>
        <v>154.64237264628892</v>
      </c>
      <c r="J664" s="97">
        <f>+((95000^(0.364-(0.00000133*G664)))/(G664^(0.364-(0.00000133*95000))))*6500</f>
        <v>95081.862821570743</v>
      </c>
      <c r="K664" s="161" t="s">
        <v>41</v>
      </c>
      <c r="L664" s="161" t="s">
        <v>41</v>
      </c>
      <c r="M664" s="163" t="s">
        <v>41</v>
      </c>
      <c r="N664" s="163" t="s">
        <v>41</v>
      </c>
      <c r="O664" s="163" t="s">
        <v>41</v>
      </c>
      <c r="P664" s="163" t="s">
        <v>41</v>
      </c>
      <c r="Q664" s="171">
        <f>I664*G664</f>
        <v>78776.371049746042</v>
      </c>
      <c r="R664" s="161">
        <v>2021</v>
      </c>
      <c r="S664" s="165" t="s">
        <v>636</v>
      </c>
      <c r="U664" s="181"/>
      <c r="V664" s="420"/>
      <c r="W664" s="168"/>
      <c r="X664" s="168"/>
      <c r="Y664" s="168"/>
      <c r="Z664" s="168"/>
      <c r="AA664" s="168"/>
      <c r="AB664" s="168"/>
      <c r="AC664" s="169"/>
      <c r="AD664" s="188"/>
    </row>
    <row r="665" spans="3:30" ht="30" customHeight="1" outlineLevel="1" x14ac:dyDescent="0.25">
      <c r="C665" s="190" t="s">
        <v>640</v>
      </c>
      <c r="D665" s="476" t="s">
        <v>641</v>
      </c>
      <c r="E665" s="105">
        <v>2012</v>
      </c>
      <c r="F665" s="105" t="s">
        <v>39</v>
      </c>
      <c r="G665" s="106">
        <f>G668</f>
        <v>119.35</v>
      </c>
      <c r="H665" s="106" t="s">
        <v>40</v>
      </c>
      <c r="I665" s="107">
        <v>250</v>
      </c>
      <c r="J665" s="108">
        <f t="shared" si="161"/>
        <v>153712.5</v>
      </c>
      <c r="K665" s="109">
        <f>R665-E665</f>
        <v>9</v>
      </c>
      <c r="L665" s="105">
        <v>50</v>
      </c>
      <c r="M665" s="105">
        <v>42</v>
      </c>
      <c r="N665" s="111">
        <f>+I665*G665</f>
        <v>29837.5</v>
      </c>
      <c r="O665" s="111">
        <f>+N665/L665</f>
        <v>596.75</v>
      </c>
      <c r="P665" s="111">
        <f>(N665/L665)*M665</f>
        <v>25063.5</v>
      </c>
      <c r="Q665" s="105" t="s">
        <v>41</v>
      </c>
      <c r="R665" s="105">
        <v>2021</v>
      </c>
      <c r="S665" s="113" t="s">
        <v>79</v>
      </c>
      <c r="U665" s="176" t="s">
        <v>642</v>
      </c>
      <c r="V665" s="189">
        <v>40035</v>
      </c>
      <c r="W665" s="178">
        <v>30000000</v>
      </c>
      <c r="X665" s="178">
        <v>0</v>
      </c>
      <c r="Y665" s="178">
        <v>10000000</v>
      </c>
      <c r="Z665" s="178">
        <v>6250000</v>
      </c>
      <c r="AA665" s="178">
        <v>758754.77</v>
      </c>
      <c r="AB665" s="178">
        <v>32991245.23</v>
      </c>
      <c r="AC665" s="177" t="s">
        <v>643</v>
      </c>
      <c r="AD665" s="205">
        <v>900321</v>
      </c>
    </row>
    <row r="666" spans="3:30" ht="30" customHeight="1" outlineLevel="2" x14ac:dyDescent="0.25">
      <c r="C666" s="186" t="s">
        <v>640</v>
      </c>
      <c r="D666" s="434" t="s">
        <v>44</v>
      </c>
      <c r="E666" s="116">
        <v>2012</v>
      </c>
      <c r="F666" s="116" t="s">
        <v>39</v>
      </c>
      <c r="G666" s="117">
        <v>47.69</v>
      </c>
      <c r="H666" s="117" t="s">
        <v>40</v>
      </c>
      <c r="I666" s="118">
        <v>30.54</v>
      </c>
      <c r="J666" s="119">
        <f t="shared" si="161"/>
        <v>18777.519</v>
      </c>
      <c r="K666" s="120">
        <f>R666-E666</f>
        <v>9</v>
      </c>
      <c r="L666" s="116">
        <v>15</v>
      </c>
      <c r="M666" s="116">
        <v>10</v>
      </c>
      <c r="N666" s="122">
        <f>+I666*G666</f>
        <v>1456.4525999999998</v>
      </c>
      <c r="O666" s="122">
        <f>+N666/L666</f>
        <v>97.096839999999986</v>
      </c>
      <c r="P666" s="122">
        <f>(N666/L666)*M666</f>
        <v>970.96839999999986</v>
      </c>
      <c r="Q666" s="116" t="s">
        <v>41</v>
      </c>
      <c r="R666" s="116">
        <v>2021</v>
      </c>
      <c r="S666" s="124" t="s">
        <v>79</v>
      </c>
      <c r="U666" s="180"/>
      <c r="V666" s="155"/>
      <c r="W666" s="156"/>
      <c r="X666" s="156"/>
      <c r="Y666" s="156"/>
      <c r="Z666" s="156"/>
      <c r="AA666" s="156"/>
      <c r="AB666" s="156"/>
      <c r="AC666" s="157"/>
      <c r="AD666" s="184"/>
    </row>
    <row r="667" spans="3:30" ht="30" customHeight="1" outlineLevel="2" x14ac:dyDescent="0.25">
      <c r="C667" s="186" t="s">
        <v>640</v>
      </c>
      <c r="D667" s="434" t="s">
        <v>46</v>
      </c>
      <c r="E667" s="116">
        <v>2012</v>
      </c>
      <c r="F667" s="116" t="s">
        <v>39</v>
      </c>
      <c r="G667" s="117">
        <v>103.39</v>
      </c>
      <c r="H667" s="117" t="s">
        <v>40</v>
      </c>
      <c r="I667" s="118">
        <v>3.4</v>
      </c>
      <c r="J667" s="119">
        <f t="shared" si="161"/>
        <v>2090.4900000000002</v>
      </c>
      <c r="K667" s="120">
        <f>R667-E667</f>
        <v>9</v>
      </c>
      <c r="L667" s="116">
        <v>10</v>
      </c>
      <c r="M667" s="116">
        <v>6</v>
      </c>
      <c r="N667" s="122">
        <f>+I667*G667</f>
        <v>351.52600000000001</v>
      </c>
      <c r="O667" s="122">
        <f>+N667/L667</f>
        <v>35.1526</v>
      </c>
      <c r="P667" s="122">
        <f>(N667/L667)*M667</f>
        <v>210.91559999999998</v>
      </c>
      <c r="Q667" s="116" t="s">
        <v>41</v>
      </c>
      <c r="R667" s="116">
        <v>2021</v>
      </c>
      <c r="S667" s="124" t="s">
        <v>79</v>
      </c>
      <c r="U667" s="180"/>
      <c r="V667" s="155"/>
      <c r="W667" s="156"/>
      <c r="X667" s="156"/>
      <c r="Y667" s="156"/>
      <c r="Z667" s="156"/>
      <c r="AA667" s="156"/>
      <c r="AB667" s="156"/>
      <c r="AC667" s="157"/>
      <c r="AD667" s="184"/>
    </row>
    <row r="668" spans="3:30" ht="30" customHeight="1" outlineLevel="2" thickBot="1" x14ac:dyDescent="0.3">
      <c r="C668" s="198" t="s">
        <v>640</v>
      </c>
      <c r="D668" s="435" t="s">
        <v>48</v>
      </c>
      <c r="E668" s="161">
        <v>2012</v>
      </c>
      <c r="F668" s="161" t="s">
        <v>39</v>
      </c>
      <c r="G668" s="162">
        <v>119.35</v>
      </c>
      <c r="H668" s="162" t="s">
        <v>40</v>
      </c>
      <c r="I668" s="261">
        <f>+J668/$S$2</f>
        <v>219.62844223098605</v>
      </c>
      <c r="J668" s="97">
        <f t="shared" ref="J668" si="167">+((95000^(0.364-(0.00000133*G668)))/(G668^(0.364-(0.00000133*95000))))*6500</f>
        <v>135038.54770572178</v>
      </c>
      <c r="K668" s="161" t="s">
        <v>41</v>
      </c>
      <c r="L668" s="161" t="s">
        <v>41</v>
      </c>
      <c r="M668" s="163" t="s">
        <v>41</v>
      </c>
      <c r="N668" s="163" t="s">
        <v>41</v>
      </c>
      <c r="O668" s="163" t="s">
        <v>41</v>
      </c>
      <c r="P668" s="163" t="s">
        <v>41</v>
      </c>
      <c r="Q668" s="171">
        <f>I668*G668</f>
        <v>26212.654580268183</v>
      </c>
      <c r="R668" s="161">
        <v>2021</v>
      </c>
      <c r="S668" s="165" t="s">
        <v>79</v>
      </c>
      <c r="U668" s="181"/>
      <c r="V668" s="167"/>
      <c r="W668" s="168"/>
      <c r="X668" s="168"/>
      <c r="Y668" s="168"/>
      <c r="Z668" s="168"/>
      <c r="AA668" s="168"/>
      <c r="AB668" s="168"/>
      <c r="AC668" s="169"/>
      <c r="AD668" s="188"/>
    </row>
    <row r="669" spans="3:30" ht="30" customHeight="1" outlineLevel="1" x14ac:dyDescent="0.25">
      <c r="C669" s="190" t="s">
        <v>644</v>
      </c>
      <c r="D669" s="74" t="s">
        <v>645</v>
      </c>
      <c r="E669" s="105">
        <v>1985</v>
      </c>
      <c r="F669" s="105" t="s">
        <v>39</v>
      </c>
      <c r="G669" s="106">
        <f>G672</f>
        <v>506.06</v>
      </c>
      <c r="H669" s="106" t="s">
        <v>40</v>
      </c>
      <c r="I669" s="107">
        <v>750</v>
      </c>
      <c r="J669" s="108">
        <f t="shared" si="161"/>
        <v>461137.5</v>
      </c>
      <c r="K669" s="109">
        <f>R669-E669</f>
        <v>36</v>
      </c>
      <c r="L669" s="105">
        <v>50</v>
      </c>
      <c r="M669" s="105">
        <v>30</v>
      </c>
      <c r="N669" s="111">
        <f>+I669*G669</f>
        <v>379545</v>
      </c>
      <c r="O669" s="111">
        <f>+N669/L669</f>
        <v>7590.9</v>
      </c>
      <c r="P669" s="111">
        <f>(N669/L669)*M669</f>
        <v>227727</v>
      </c>
      <c r="Q669" s="105" t="s">
        <v>41</v>
      </c>
      <c r="R669" s="105">
        <v>2021</v>
      </c>
      <c r="S669" s="113" t="s">
        <v>619</v>
      </c>
      <c r="U669" s="232" t="s">
        <v>646</v>
      </c>
      <c r="V669" s="233" t="s">
        <v>629</v>
      </c>
      <c r="W669" s="234"/>
      <c r="X669" s="234"/>
      <c r="Y669" s="234"/>
      <c r="Z669" s="234"/>
      <c r="AA669" s="234"/>
      <c r="AB669" s="234"/>
      <c r="AC669" s="234"/>
      <c r="AD669" s="235"/>
    </row>
    <row r="670" spans="3:30" ht="30" customHeight="1" outlineLevel="2" x14ac:dyDescent="0.25">
      <c r="C670" s="186" t="s">
        <v>644</v>
      </c>
      <c r="D670" s="434" t="s">
        <v>44</v>
      </c>
      <c r="E670" s="116">
        <v>1985</v>
      </c>
      <c r="F670" s="116" t="s">
        <v>39</v>
      </c>
      <c r="G670" s="117">
        <v>112.56</v>
      </c>
      <c r="H670" s="117" t="s">
        <v>40</v>
      </c>
      <c r="I670" s="118">
        <v>30.54</v>
      </c>
      <c r="J670" s="119">
        <f t="shared" si="161"/>
        <v>18777.519</v>
      </c>
      <c r="K670" s="120">
        <f>R670-E670</f>
        <v>36</v>
      </c>
      <c r="L670" s="116">
        <v>15</v>
      </c>
      <c r="M670" s="116">
        <v>5</v>
      </c>
      <c r="N670" s="122">
        <f>+I670*G670</f>
        <v>3437.5823999999998</v>
      </c>
      <c r="O670" s="122">
        <f>+N670/L670</f>
        <v>229.17215999999999</v>
      </c>
      <c r="P670" s="122">
        <f>(N670/L670)*M670</f>
        <v>1145.8607999999999</v>
      </c>
      <c r="Q670" s="116" t="s">
        <v>41</v>
      </c>
      <c r="R670" s="116">
        <v>2021</v>
      </c>
      <c r="S670" s="124" t="s">
        <v>619</v>
      </c>
      <c r="U670" s="232"/>
      <c r="V670" s="233"/>
      <c r="W670" s="234"/>
      <c r="X670" s="234"/>
      <c r="Y670" s="234"/>
      <c r="Z670" s="234"/>
      <c r="AA670" s="234"/>
      <c r="AB670" s="234"/>
      <c r="AC670" s="234"/>
      <c r="AD670" s="235"/>
    </row>
    <row r="671" spans="3:30" ht="30" customHeight="1" outlineLevel="2" x14ac:dyDescent="0.25">
      <c r="C671" s="186" t="s">
        <v>644</v>
      </c>
      <c r="D671" s="434" t="s">
        <v>46</v>
      </c>
      <c r="E671" s="116">
        <v>1985</v>
      </c>
      <c r="F671" s="116" t="s">
        <v>39</v>
      </c>
      <c r="G671" s="117">
        <v>232.94</v>
      </c>
      <c r="H671" s="117" t="s">
        <v>40</v>
      </c>
      <c r="I671" s="118">
        <v>3.4</v>
      </c>
      <c r="J671" s="119">
        <f t="shared" si="161"/>
        <v>2090.4900000000002</v>
      </c>
      <c r="K671" s="120">
        <f>R671-E671</f>
        <v>36</v>
      </c>
      <c r="L671" s="116">
        <v>10</v>
      </c>
      <c r="M671" s="116">
        <v>5</v>
      </c>
      <c r="N671" s="122">
        <f>+I671*G671</f>
        <v>791.99599999999998</v>
      </c>
      <c r="O671" s="122">
        <f>+N671/L671</f>
        <v>79.199600000000004</v>
      </c>
      <c r="P671" s="122">
        <f>(N671/L671)*M671</f>
        <v>395.99800000000005</v>
      </c>
      <c r="Q671" s="116" t="s">
        <v>41</v>
      </c>
      <c r="R671" s="116">
        <v>2021</v>
      </c>
      <c r="S671" s="124" t="s">
        <v>619</v>
      </c>
      <c r="U671" s="232"/>
      <c r="V671" s="233"/>
      <c r="W671" s="234"/>
      <c r="X671" s="234"/>
      <c r="Y671" s="234"/>
      <c r="Z671" s="234"/>
      <c r="AA671" s="234"/>
      <c r="AB671" s="234"/>
      <c r="AC671" s="234"/>
      <c r="AD671" s="235"/>
    </row>
    <row r="672" spans="3:30" ht="30" customHeight="1" outlineLevel="2" thickBot="1" x14ac:dyDescent="0.3">
      <c r="C672" s="198" t="s">
        <v>644</v>
      </c>
      <c r="D672" s="435" t="s">
        <v>48</v>
      </c>
      <c r="E672" s="161">
        <v>1985</v>
      </c>
      <c r="F672" s="161" t="s">
        <v>39</v>
      </c>
      <c r="G672" s="162">
        <v>506.06</v>
      </c>
      <c r="H672" s="162" t="s">
        <v>40</v>
      </c>
      <c r="I672" s="261">
        <f>+J672/$S$2</f>
        <v>154.89295243503926</v>
      </c>
      <c r="J672" s="97">
        <f t="shared" ref="J672" si="168">+((95000^(0.364-(0.00000133*G672)))/(G672^(0.364-(0.00000133*95000))))*6500</f>
        <v>95235.931804683889</v>
      </c>
      <c r="K672" s="161" t="s">
        <v>41</v>
      </c>
      <c r="L672" s="161" t="s">
        <v>41</v>
      </c>
      <c r="M672" s="163" t="s">
        <v>41</v>
      </c>
      <c r="N672" s="163" t="s">
        <v>41</v>
      </c>
      <c r="O672" s="163" t="s">
        <v>41</v>
      </c>
      <c r="P672" s="163" t="s">
        <v>41</v>
      </c>
      <c r="Q672" s="171">
        <f>I672*G672</f>
        <v>78385.127509275975</v>
      </c>
      <c r="R672" s="161">
        <v>2021</v>
      </c>
      <c r="S672" s="165" t="s">
        <v>619</v>
      </c>
      <c r="U672" s="232"/>
      <c r="V672" s="233"/>
      <c r="W672" s="234"/>
      <c r="X672" s="234"/>
      <c r="Y672" s="234"/>
      <c r="Z672" s="234"/>
      <c r="AA672" s="234"/>
      <c r="AB672" s="234"/>
      <c r="AC672" s="234"/>
      <c r="AD672" s="235"/>
    </row>
    <row r="673" spans="3:30" ht="30" customHeight="1" outlineLevel="1" x14ac:dyDescent="0.25">
      <c r="C673" s="190" t="s">
        <v>647</v>
      </c>
      <c r="D673" s="74" t="s">
        <v>645</v>
      </c>
      <c r="E673" s="105">
        <v>1985</v>
      </c>
      <c r="F673" s="105" t="s">
        <v>39</v>
      </c>
      <c r="G673" s="106">
        <f>G676</f>
        <v>210.61</v>
      </c>
      <c r="H673" s="106" t="s">
        <v>40</v>
      </c>
      <c r="I673" s="107">
        <v>750</v>
      </c>
      <c r="J673" s="108">
        <f t="shared" si="161"/>
        <v>461137.5</v>
      </c>
      <c r="K673" s="109">
        <f>R673-E673</f>
        <v>36</v>
      </c>
      <c r="L673" s="105">
        <v>50</v>
      </c>
      <c r="M673" s="105">
        <v>30</v>
      </c>
      <c r="N673" s="111">
        <f>+I673*G673</f>
        <v>157957.5</v>
      </c>
      <c r="O673" s="111">
        <f>+N673/L673</f>
        <v>3159.15</v>
      </c>
      <c r="P673" s="111">
        <f>(N673/L673)*M673</f>
        <v>94774.5</v>
      </c>
      <c r="Q673" s="105" t="s">
        <v>41</v>
      </c>
      <c r="R673" s="105">
        <v>2021</v>
      </c>
      <c r="S673" s="113" t="s">
        <v>619</v>
      </c>
      <c r="U673" s="480"/>
      <c r="V673" s="481"/>
      <c r="W673" s="482"/>
      <c r="X673" s="482"/>
      <c r="Y673" s="482"/>
      <c r="Z673" s="482"/>
      <c r="AA673" s="482"/>
      <c r="AB673" s="482"/>
      <c r="AC673" s="482"/>
      <c r="AD673" s="482"/>
    </row>
    <row r="674" spans="3:30" ht="30" customHeight="1" outlineLevel="2" x14ac:dyDescent="0.25">
      <c r="C674" s="186" t="str">
        <f>C673</f>
        <v>M11</v>
      </c>
      <c r="D674" s="434" t="s">
        <v>44</v>
      </c>
      <c r="E674" s="116">
        <v>1985</v>
      </c>
      <c r="F674" s="116" t="s">
        <v>39</v>
      </c>
      <c r="G674" s="117">
        <v>86.24</v>
      </c>
      <c r="H674" s="117" t="s">
        <v>40</v>
      </c>
      <c r="I674" s="118">
        <v>30.54</v>
      </c>
      <c r="J674" s="119">
        <f t="shared" si="161"/>
        <v>18777.519</v>
      </c>
      <c r="K674" s="120">
        <f>R674-E674</f>
        <v>36</v>
      </c>
      <c r="L674" s="116">
        <v>15</v>
      </c>
      <c r="M674" s="116">
        <v>5</v>
      </c>
      <c r="N674" s="122">
        <f>+I674*G674</f>
        <v>2633.7695999999996</v>
      </c>
      <c r="O674" s="122">
        <f>+N674/L674</f>
        <v>175.58463999999998</v>
      </c>
      <c r="P674" s="122">
        <f>(N674/L674)*M674</f>
        <v>877.92319999999995</v>
      </c>
      <c r="Q674" s="116" t="s">
        <v>41</v>
      </c>
      <c r="R674" s="116">
        <v>2021</v>
      </c>
      <c r="S674" s="124" t="s">
        <v>619</v>
      </c>
      <c r="U674" s="480"/>
      <c r="V674" s="481"/>
      <c r="W674" s="482"/>
      <c r="X674" s="482"/>
      <c r="Y674" s="482"/>
      <c r="Z674" s="482"/>
      <c r="AA674" s="482"/>
      <c r="AB674" s="482"/>
      <c r="AC674" s="482"/>
      <c r="AD674" s="482"/>
    </row>
    <row r="675" spans="3:30" ht="30" customHeight="1" outlineLevel="2" x14ac:dyDescent="0.25">
      <c r="C675" s="186" t="str">
        <f>C673</f>
        <v>M11</v>
      </c>
      <c r="D675" s="434" t="s">
        <v>46</v>
      </c>
      <c r="E675" s="116">
        <v>1985</v>
      </c>
      <c r="F675" s="116" t="s">
        <v>39</v>
      </c>
      <c r="G675" s="117">
        <v>180.49</v>
      </c>
      <c r="H675" s="117" t="s">
        <v>40</v>
      </c>
      <c r="I675" s="118">
        <v>3.4</v>
      </c>
      <c r="J675" s="119">
        <f t="shared" si="161"/>
        <v>2090.4900000000002</v>
      </c>
      <c r="K675" s="120">
        <f>R675-E675</f>
        <v>36</v>
      </c>
      <c r="L675" s="116">
        <v>10</v>
      </c>
      <c r="M675" s="116">
        <v>5</v>
      </c>
      <c r="N675" s="122">
        <f>+I675*G675</f>
        <v>613.66600000000005</v>
      </c>
      <c r="O675" s="122">
        <f>+N675/L675</f>
        <v>61.366600000000005</v>
      </c>
      <c r="P675" s="122">
        <f>(N675/L675)*M675</f>
        <v>306.83300000000003</v>
      </c>
      <c r="Q675" s="116" t="s">
        <v>41</v>
      </c>
      <c r="R675" s="116">
        <v>2021</v>
      </c>
      <c r="S675" s="124" t="s">
        <v>619</v>
      </c>
      <c r="U675" s="480"/>
      <c r="V675" s="481"/>
      <c r="W675" s="482"/>
      <c r="X675" s="482"/>
      <c r="Y675" s="482"/>
      <c r="Z675" s="482"/>
      <c r="AA675" s="482"/>
      <c r="AB675" s="482"/>
      <c r="AC675" s="482"/>
      <c r="AD675" s="482"/>
    </row>
    <row r="676" spans="3:30" ht="30" customHeight="1" outlineLevel="2" thickBot="1" x14ac:dyDescent="0.3">
      <c r="C676" s="198" t="str">
        <f>C673</f>
        <v>M11</v>
      </c>
      <c r="D676" s="435" t="s">
        <v>48</v>
      </c>
      <c r="E676" s="161">
        <v>1985</v>
      </c>
      <c r="F676" s="161" t="s">
        <v>39</v>
      </c>
      <c r="G676" s="162">
        <v>210.61</v>
      </c>
      <c r="H676" s="162" t="s">
        <v>40</v>
      </c>
      <c r="I676" s="261">
        <f>+J676/$S$2</f>
        <v>191.63131219346943</v>
      </c>
      <c r="J676" s="97">
        <f t="shared" ref="J676" si="169">+((95000^(0.364-(0.00000133*G676)))/(G676^(0.364-(0.00000133*95000))))*6500</f>
        <v>117824.51230215468</v>
      </c>
      <c r="K676" s="161" t="s">
        <v>41</v>
      </c>
      <c r="L676" s="161" t="s">
        <v>41</v>
      </c>
      <c r="M676" s="163" t="s">
        <v>41</v>
      </c>
      <c r="N676" s="163" t="s">
        <v>41</v>
      </c>
      <c r="O676" s="163" t="s">
        <v>41</v>
      </c>
      <c r="P676" s="163" t="s">
        <v>41</v>
      </c>
      <c r="Q676" s="171">
        <f>I676*G676</f>
        <v>40359.470661066596</v>
      </c>
      <c r="R676" s="161">
        <v>2021</v>
      </c>
      <c r="S676" s="165" t="s">
        <v>619</v>
      </c>
      <c r="U676" s="480"/>
      <c r="V676" s="481"/>
      <c r="W676" s="482"/>
      <c r="X676" s="482"/>
      <c r="Y676" s="482"/>
      <c r="Z676" s="482"/>
      <c r="AA676" s="482"/>
      <c r="AB676" s="482"/>
      <c r="AC676" s="482"/>
      <c r="AD676" s="482"/>
    </row>
    <row r="677" spans="3:30" ht="30" customHeight="1" outlineLevel="1" x14ac:dyDescent="0.25">
      <c r="C677" s="190" t="s">
        <v>648</v>
      </c>
      <c r="D677" s="74" t="s">
        <v>649</v>
      </c>
      <c r="E677" s="105">
        <v>1990</v>
      </c>
      <c r="F677" s="105" t="s">
        <v>39</v>
      </c>
      <c r="G677" s="106">
        <f>G680</f>
        <v>93.86</v>
      </c>
      <c r="H677" s="106" t="s">
        <v>40</v>
      </c>
      <c r="I677" s="107">
        <v>550</v>
      </c>
      <c r="J677" s="108">
        <f t="shared" si="161"/>
        <v>338167.5</v>
      </c>
      <c r="K677" s="109">
        <f>R677-E677</f>
        <v>31</v>
      </c>
      <c r="L677" s="105">
        <v>50</v>
      </c>
      <c r="M677" s="105">
        <v>30</v>
      </c>
      <c r="N677" s="111">
        <f>+I677*G677</f>
        <v>51623</v>
      </c>
      <c r="O677" s="111">
        <f>+N677/L677</f>
        <v>1032.46</v>
      </c>
      <c r="P677" s="111">
        <f>(N677/L677)*M677</f>
        <v>30973.800000000003</v>
      </c>
      <c r="Q677" s="105" t="s">
        <v>41</v>
      </c>
      <c r="R677" s="105">
        <v>2021</v>
      </c>
      <c r="S677" s="113" t="s">
        <v>613</v>
      </c>
      <c r="T677" s="219" t="s">
        <v>650</v>
      </c>
      <c r="U677" s="299" t="s">
        <v>651</v>
      </c>
      <c r="V677" s="228" t="s">
        <v>652</v>
      </c>
      <c r="W677" s="228"/>
      <c r="X677" s="228"/>
      <c r="Y677" s="228"/>
      <c r="Z677" s="228"/>
      <c r="AA677" s="228"/>
      <c r="AB677" s="228"/>
      <c r="AC677" s="228"/>
      <c r="AD677" s="404"/>
    </row>
    <row r="678" spans="3:30" ht="30" customHeight="1" outlineLevel="2" x14ac:dyDescent="0.25">
      <c r="C678" s="186" t="str">
        <f>C677</f>
        <v>M12</v>
      </c>
      <c r="D678" s="434" t="s">
        <v>44</v>
      </c>
      <c r="E678" s="116">
        <v>1990</v>
      </c>
      <c r="F678" s="116" t="s">
        <v>39</v>
      </c>
      <c r="G678" s="117">
        <v>42.93</v>
      </c>
      <c r="H678" s="117" t="s">
        <v>40</v>
      </c>
      <c r="I678" s="118">
        <v>30.54</v>
      </c>
      <c r="J678" s="119">
        <f t="shared" si="161"/>
        <v>18777.519</v>
      </c>
      <c r="K678" s="120">
        <f>R678-E678</f>
        <v>31</v>
      </c>
      <c r="L678" s="116">
        <v>15</v>
      </c>
      <c r="M678" s="116">
        <v>5</v>
      </c>
      <c r="N678" s="122">
        <f>+I678*G678</f>
        <v>1311.0822000000001</v>
      </c>
      <c r="O678" s="122">
        <f>+N678/L678</f>
        <v>87.405479999999997</v>
      </c>
      <c r="P678" s="122">
        <f>(N678/L678)*M678</f>
        <v>437.0274</v>
      </c>
      <c r="Q678" s="116" t="s">
        <v>41</v>
      </c>
      <c r="R678" s="116">
        <v>2021</v>
      </c>
      <c r="S678" s="124" t="s">
        <v>613</v>
      </c>
      <c r="T678" s="219" t="s">
        <v>650</v>
      </c>
      <c r="U678" s="301"/>
      <c r="V678" s="232"/>
      <c r="W678" s="232"/>
      <c r="X678" s="232"/>
      <c r="Y678" s="232"/>
      <c r="Z678" s="232"/>
      <c r="AA678" s="232"/>
      <c r="AB678" s="232"/>
      <c r="AC678" s="232"/>
      <c r="AD678" s="402"/>
    </row>
    <row r="679" spans="3:30" ht="30" customHeight="1" outlineLevel="2" x14ac:dyDescent="0.25">
      <c r="C679" s="186" t="str">
        <f>C677</f>
        <v>M12</v>
      </c>
      <c r="D679" s="434" t="s">
        <v>46</v>
      </c>
      <c r="E679" s="116">
        <v>1990</v>
      </c>
      <c r="F679" s="116" t="s">
        <v>39</v>
      </c>
      <c r="G679" s="117">
        <v>93.87</v>
      </c>
      <c r="H679" s="117" t="s">
        <v>40</v>
      </c>
      <c r="I679" s="118">
        <v>3.4</v>
      </c>
      <c r="J679" s="119">
        <f t="shared" si="161"/>
        <v>2090.4900000000002</v>
      </c>
      <c r="K679" s="120">
        <f>R679-E679</f>
        <v>31</v>
      </c>
      <c r="L679" s="116">
        <v>10</v>
      </c>
      <c r="M679" s="116">
        <v>5</v>
      </c>
      <c r="N679" s="122">
        <f>+I679*G679</f>
        <v>319.15800000000002</v>
      </c>
      <c r="O679" s="122">
        <f>+N679/L679</f>
        <v>31.915800000000001</v>
      </c>
      <c r="P679" s="122">
        <f>(N679/L679)*M679</f>
        <v>159.57900000000001</v>
      </c>
      <c r="Q679" s="116" t="s">
        <v>41</v>
      </c>
      <c r="R679" s="116">
        <v>2021</v>
      </c>
      <c r="S679" s="124" t="s">
        <v>613</v>
      </c>
      <c r="T679" s="219" t="s">
        <v>650</v>
      </c>
      <c r="U679" s="301"/>
      <c r="V679" s="232"/>
      <c r="W679" s="232"/>
      <c r="X679" s="232"/>
      <c r="Y679" s="232"/>
      <c r="Z679" s="232"/>
      <c r="AA679" s="232"/>
      <c r="AB679" s="232"/>
      <c r="AC679" s="232"/>
      <c r="AD679" s="402"/>
    </row>
    <row r="680" spans="3:30" ht="30" customHeight="1" outlineLevel="2" thickBot="1" x14ac:dyDescent="0.3">
      <c r="C680" s="198" t="str">
        <f>C677</f>
        <v>M12</v>
      </c>
      <c r="D680" s="435" t="s">
        <v>48</v>
      </c>
      <c r="E680" s="161">
        <v>1990</v>
      </c>
      <c r="F680" s="161" t="s">
        <v>39</v>
      </c>
      <c r="G680" s="162">
        <v>93.86</v>
      </c>
      <c r="H680" s="162" t="s">
        <v>40</v>
      </c>
      <c r="I680" s="261">
        <f>+J680/$S$2</f>
        <v>232.62381871890827</v>
      </c>
      <c r="J680" s="97">
        <f t="shared" ref="J680" si="170">+((95000^(0.364-(0.00000133*G680)))/(G680^(0.364-(0.00000133*95000))))*6500</f>
        <v>143028.75493932076</v>
      </c>
      <c r="K680" s="161" t="s">
        <v>41</v>
      </c>
      <c r="L680" s="161" t="s">
        <v>41</v>
      </c>
      <c r="M680" s="163" t="s">
        <v>41</v>
      </c>
      <c r="N680" s="163" t="s">
        <v>41</v>
      </c>
      <c r="O680" s="163" t="s">
        <v>41</v>
      </c>
      <c r="P680" s="163" t="s">
        <v>41</v>
      </c>
      <c r="Q680" s="171">
        <f>I680*G680</f>
        <v>21834.07162495673</v>
      </c>
      <c r="R680" s="161">
        <v>2021</v>
      </c>
      <c r="S680" s="165" t="s">
        <v>613</v>
      </c>
      <c r="T680" s="219" t="s">
        <v>650</v>
      </c>
      <c r="U680" s="301"/>
      <c r="V680" s="232"/>
      <c r="W680" s="232"/>
      <c r="X680" s="232"/>
      <c r="Y680" s="232"/>
      <c r="Z680" s="232"/>
      <c r="AA680" s="232"/>
      <c r="AB680" s="232"/>
      <c r="AC680" s="232"/>
      <c r="AD680" s="402"/>
    </row>
    <row r="681" spans="3:30" ht="30" customHeight="1" outlineLevel="1" x14ac:dyDescent="0.25">
      <c r="C681" s="190" t="s">
        <v>653</v>
      </c>
      <c r="D681" s="74" t="s">
        <v>654</v>
      </c>
      <c r="E681" s="105">
        <v>1985</v>
      </c>
      <c r="F681" s="105" t="s">
        <v>39</v>
      </c>
      <c r="G681" s="106">
        <f>G684</f>
        <v>171.8</v>
      </c>
      <c r="H681" s="106" t="s">
        <v>40</v>
      </c>
      <c r="I681" s="107">
        <v>750</v>
      </c>
      <c r="J681" s="108">
        <f t="shared" ref="J681:J683" si="171">I681*$S$2</f>
        <v>461137.5</v>
      </c>
      <c r="K681" s="109">
        <f>R681-E681</f>
        <v>36</v>
      </c>
      <c r="L681" s="105">
        <v>50</v>
      </c>
      <c r="M681" s="105">
        <v>30</v>
      </c>
      <c r="N681" s="111">
        <f>+I681*G681</f>
        <v>128850.00000000001</v>
      </c>
      <c r="O681" s="111">
        <f>+N681/L681</f>
        <v>2577.0000000000005</v>
      </c>
      <c r="P681" s="111">
        <f>(N681/L681)*M681</f>
        <v>77310.000000000015</v>
      </c>
      <c r="Q681" s="105" t="s">
        <v>41</v>
      </c>
      <c r="R681" s="105">
        <v>2021</v>
      </c>
      <c r="S681" s="113" t="s">
        <v>619</v>
      </c>
      <c r="U681" s="301"/>
      <c r="V681" s="232"/>
      <c r="W681" s="232"/>
      <c r="X681" s="232"/>
      <c r="Y681" s="232"/>
      <c r="Z681" s="232"/>
      <c r="AA681" s="232"/>
      <c r="AB681" s="232"/>
      <c r="AC681" s="232"/>
      <c r="AD681" s="402"/>
    </row>
    <row r="682" spans="3:30" ht="30" customHeight="1" outlineLevel="2" x14ac:dyDescent="0.25">
      <c r="C682" s="186" t="str">
        <f>C681</f>
        <v>M13</v>
      </c>
      <c r="D682" s="434" t="s">
        <v>44</v>
      </c>
      <c r="E682" s="116">
        <v>1985</v>
      </c>
      <c r="F682" s="116" t="s">
        <v>39</v>
      </c>
      <c r="G682" s="117">
        <v>58.48</v>
      </c>
      <c r="H682" s="117" t="s">
        <v>40</v>
      </c>
      <c r="I682" s="118">
        <v>30.54</v>
      </c>
      <c r="J682" s="119">
        <f t="shared" si="171"/>
        <v>18777.519</v>
      </c>
      <c r="K682" s="120">
        <f>R682-E682</f>
        <v>36</v>
      </c>
      <c r="L682" s="116">
        <v>15</v>
      </c>
      <c r="M682" s="116">
        <v>5</v>
      </c>
      <c r="N682" s="122">
        <f>+I682*G682</f>
        <v>1785.9791999999998</v>
      </c>
      <c r="O682" s="122">
        <f>+N682/L682</f>
        <v>119.06527999999999</v>
      </c>
      <c r="P682" s="122">
        <f>(N682/L682)*M682</f>
        <v>595.32639999999992</v>
      </c>
      <c r="Q682" s="116" t="s">
        <v>41</v>
      </c>
      <c r="R682" s="116">
        <v>2021</v>
      </c>
      <c r="S682" s="124" t="s">
        <v>619</v>
      </c>
      <c r="U682" s="301"/>
      <c r="V682" s="232"/>
      <c r="W682" s="232"/>
      <c r="X682" s="232"/>
      <c r="Y682" s="232"/>
      <c r="Z682" s="232"/>
      <c r="AA682" s="232"/>
      <c r="AB682" s="232"/>
      <c r="AC682" s="232"/>
      <c r="AD682" s="402"/>
    </row>
    <row r="683" spans="3:30" ht="30" customHeight="1" outlineLevel="2" x14ac:dyDescent="0.25">
      <c r="C683" s="186" t="str">
        <f>C681</f>
        <v>M13</v>
      </c>
      <c r="D683" s="434" t="s">
        <v>46</v>
      </c>
      <c r="E683" s="116">
        <v>1985</v>
      </c>
      <c r="F683" s="116" t="s">
        <v>39</v>
      </c>
      <c r="G683" s="117">
        <v>125.68</v>
      </c>
      <c r="H683" s="117" t="s">
        <v>40</v>
      </c>
      <c r="I683" s="118">
        <v>3.4</v>
      </c>
      <c r="J683" s="119">
        <f t="shared" si="171"/>
        <v>2090.4900000000002</v>
      </c>
      <c r="K683" s="120">
        <f>R683-E683</f>
        <v>36</v>
      </c>
      <c r="L683" s="116">
        <v>10</v>
      </c>
      <c r="M683" s="116">
        <v>5</v>
      </c>
      <c r="N683" s="122">
        <f>+I683*G683</f>
        <v>427.31200000000001</v>
      </c>
      <c r="O683" s="122">
        <f>+N683/L683</f>
        <v>42.731200000000001</v>
      </c>
      <c r="P683" s="122">
        <f>(N683/L683)*M683</f>
        <v>213.65600000000001</v>
      </c>
      <c r="Q683" s="116" t="s">
        <v>41</v>
      </c>
      <c r="R683" s="116">
        <v>2021</v>
      </c>
      <c r="S683" s="124" t="s">
        <v>619</v>
      </c>
      <c r="U683" s="301"/>
      <c r="V683" s="232"/>
      <c r="W683" s="232"/>
      <c r="X683" s="232"/>
      <c r="Y683" s="232"/>
      <c r="Z683" s="232"/>
      <c r="AA683" s="232"/>
      <c r="AB683" s="232"/>
      <c r="AC683" s="232"/>
      <c r="AD683" s="402"/>
    </row>
    <row r="684" spans="3:30" ht="30" customHeight="1" outlineLevel="2" thickBot="1" x14ac:dyDescent="0.3">
      <c r="C684" s="198" t="str">
        <f>C681</f>
        <v>M13</v>
      </c>
      <c r="D684" s="435" t="s">
        <v>48</v>
      </c>
      <c r="E684" s="161">
        <v>1985</v>
      </c>
      <c r="F684" s="161" t="s">
        <v>39</v>
      </c>
      <c r="G684" s="162">
        <v>171.8</v>
      </c>
      <c r="H684" s="162" t="s">
        <v>40</v>
      </c>
      <c r="I684" s="261">
        <f>+J684/$S$2</f>
        <v>201.25419317958855</v>
      </c>
      <c r="J684" s="97">
        <f t="shared" ref="J684" si="172">+((95000^(0.364-(0.00000133*G684)))/(G684^(0.364-(0.00000133*95000))))*6500</f>
        <v>123741.14067647002</v>
      </c>
      <c r="K684" s="161" t="s">
        <v>41</v>
      </c>
      <c r="L684" s="161" t="s">
        <v>41</v>
      </c>
      <c r="M684" s="163" t="s">
        <v>41</v>
      </c>
      <c r="N684" s="163" t="s">
        <v>41</v>
      </c>
      <c r="O684" s="163" t="s">
        <v>41</v>
      </c>
      <c r="P684" s="163" t="s">
        <v>41</v>
      </c>
      <c r="Q684" s="171">
        <f>I684*G684</f>
        <v>34575.470388253314</v>
      </c>
      <c r="R684" s="161">
        <v>2021</v>
      </c>
      <c r="S684" s="165" t="s">
        <v>619</v>
      </c>
      <c r="U684" s="301"/>
      <c r="V684" s="232"/>
      <c r="W684" s="232"/>
      <c r="X684" s="232"/>
      <c r="Y684" s="232"/>
      <c r="Z684" s="232"/>
      <c r="AA684" s="232"/>
      <c r="AB684" s="232"/>
      <c r="AC684" s="232"/>
      <c r="AD684" s="402"/>
    </row>
    <row r="685" spans="3:30" ht="30" customHeight="1" outlineLevel="1" x14ac:dyDescent="0.25">
      <c r="C685" s="190" t="s">
        <v>655</v>
      </c>
      <c r="D685" s="74" t="s">
        <v>656</v>
      </c>
      <c r="E685" s="105">
        <v>1985</v>
      </c>
      <c r="F685" s="105" t="s">
        <v>39</v>
      </c>
      <c r="G685" s="106">
        <f>G688</f>
        <v>135.33000000000001</v>
      </c>
      <c r="H685" s="106" t="s">
        <v>40</v>
      </c>
      <c r="I685" s="107">
        <v>750</v>
      </c>
      <c r="J685" s="108">
        <f t="shared" ref="J685:J695" si="173">I685*$S$2</f>
        <v>461137.5</v>
      </c>
      <c r="K685" s="109">
        <f>R685-E685</f>
        <v>36</v>
      </c>
      <c r="L685" s="105">
        <v>50</v>
      </c>
      <c r="M685" s="105">
        <v>30</v>
      </c>
      <c r="N685" s="111">
        <f>+I685*G685</f>
        <v>101497.50000000001</v>
      </c>
      <c r="O685" s="111">
        <f>+N685/L685</f>
        <v>2029.9500000000003</v>
      </c>
      <c r="P685" s="111">
        <f>(N685/L685)*M685</f>
        <v>60898.500000000007</v>
      </c>
      <c r="Q685" s="105" t="s">
        <v>41</v>
      </c>
      <c r="R685" s="105">
        <v>2021</v>
      </c>
      <c r="S685" s="113" t="s">
        <v>619</v>
      </c>
      <c r="U685" s="301"/>
      <c r="V685" s="232"/>
      <c r="W685" s="232"/>
      <c r="X685" s="232"/>
      <c r="Y685" s="232"/>
      <c r="Z685" s="232"/>
      <c r="AA685" s="232"/>
      <c r="AB685" s="232"/>
      <c r="AC685" s="232"/>
      <c r="AD685" s="402"/>
    </row>
    <row r="686" spans="3:30" ht="30" customHeight="1" outlineLevel="2" x14ac:dyDescent="0.25">
      <c r="C686" s="186" t="str">
        <f>C685</f>
        <v>M14</v>
      </c>
      <c r="D686" s="434" t="s">
        <v>44</v>
      </c>
      <c r="E686" s="116">
        <v>1985</v>
      </c>
      <c r="F686" s="116" t="s">
        <v>39</v>
      </c>
      <c r="G686" s="117">
        <v>54.7</v>
      </c>
      <c r="H686" s="117" t="s">
        <v>40</v>
      </c>
      <c r="I686" s="118">
        <v>30.54</v>
      </c>
      <c r="J686" s="119">
        <f t="shared" si="173"/>
        <v>18777.519</v>
      </c>
      <c r="K686" s="120">
        <f>R686-E686</f>
        <v>36</v>
      </c>
      <c r="L686" s="116">
        <v>15</v>
      </c>
      <c r="M686" s="116">
        <v>5</v>
      </c>
      <c r="N686" s="122">
        <f>+I686*G686</f>
        <v>1670.538</v>
      </c>
      <c r="O686" s="122">
        <f>+N686/L686</f>
        <v>111.36920000000001</v>
      </c>
      <c r="P686" s="122">
        <f>(N686/L686)*M686</f>
        <v>556.846</v>
      </c>
      <c r="Q686" s="116" t="s">
        <v>41</v>
      </c>
      <c r="R686" s="116">
        <v>2021</v>
      </c>
      <c r="S686" s="124" t="s">
        <v>619</v>
      </c>
      <c r="U686" s="301"/>
      <c r="V686" s="232"/>
      <c r="W686" s="232"/>
      <c r="X686" s="232"/>
      <c r="Y686" s="232"/>
      <c r="Z686" s="232"/>
      <c r="AA686" s="232"/>
      <c r="AB686" s="232"/>
      <c r="AC686" s="232"/>
      <c r="AD686" s="402"/>
    </row>
    <row r="687" spans="3:30" ht="30" customHeight="1" outlineLevel="2" x14ac:dyDescent="0.25">
      <c r="C687" s="186" t="str">
        <f>C685</f>
        <v>M14</v>
      </c>
      <c r="D687" s="434" t="s">
        <v>46</v>
      </c>
      <c r="E687" s="116">
        <v>1985</v>
      </c>
      <c r="F687" s="116" t="s">
        <v>39</v>
      </c>
      <c r="G687" s="117">
        <v>117.4</v>
      </c>
      <c r="H687" s="117" t="s">
        <v>40</v>
      </c>
      <c r="I687" s="118">
        <v>3.4</v>
      </c>
      <c r="J687" s="119">
        <f t="shared" si="173"/>
        <v>2090.4900000000002</v>
      </c>
      <c r="K687" s="120">
        <f>R687-E687</f>
        <v>36</v>
      </c>
      <c r="L687" s="116">
        <v>10</v>
      </c>
      <c r="M687" s="116">
        <v>5</v>
      </c>
      <c r="N687" s="122">
        <f>+I687*G687</f>
        <v>399.16</v>
      </c>
      <c r="O687" s="122">
        <f>+N687/L687</f>
        <v>39.916000000000004</v>
      </c>
      <c r="P687" s="122">
        <f>(N687/L687)*M687</f>
        <v>199.58</v>
      </c>
      <c r="Q687" s="116" t="s">
        <v>41</v>
      </c>
      <c r="R687" s="116">
        <v>2021</v>
      </c>
      <c r="S687" s="124" t="s">
        <v>619</v>
      </c>
      <c r="U687" s="301"/>
      <c r="V687" s="232"/>
      <c r="W687" s="232"/>
      <c r="X687" s="232"/>
      <c r="Y687" s="232"/>
      <c r="Z687" s="232"/>
      <c r="AA687" s="232"/>
      <c r="AB687" s="232"/>
      <c r="AC687" s="232"/>
      <c r="AD687" s="402"/>
    </row>
    <row r="688" spans="3:30" ht="30" customHeight="1" outlineLevel="2" thickBot="1" x14ac:dyDescent="0.3">
      <c r="C688" s="198" t="str">
        <f>C685</f>
        <v>M14</v>
      </c>
      <c r="D688" s="435" t="s">
        <v>48</v>
      </c>
      <c r="E688" s="161">
        <v>1985</v>
      </c>
      <c r="F688" s="161" t="s">
        <v>39</v>
      </c>
      <c r="G688" s="162">
        <v>135.33000000000001</v>
      </c>
      <c r="H688" s="162" t="s">
        <v>40</v>
      </c>
      <c r="I688" s="261">
        <f>+J688/$S$2</f>
        <v>213.11490904635585</v>
      </c>
      <c r="J688" s="97">
        <f t="shared" ref="J688" si="174">+((95000^(0.364-(0.00000133*G688)))/(G688^(0.364-(0.00000133*95000))))*6500</f>
        <v>131033.70182715189</v>
      </c>
      <c r="K688" s="161" t="s">
        <v>41</v>
      </c>
      <c r="L688" s="161" t="s">
        <v>41</v>
      </c>
      <c r="M688" s="163" t="s">
        <v>41</v>
      </c>
      <c r="N688" s="163" t="s">
        <v>41</v>
      </c>
      <c r="O688" s="163" t="s">
        <v>41</v>
      </c>
      <c r="P688" s="163" t="s">
        <v>41</v>
      </c>
      <c r="Q688" s="171">
        <f>I688*G688</f>
        <v>28840.84064124334</v>
      </c>
      <c r="R688" s="161">
        <v>2021</v>
      </c>
      <c r="S688" s="165" t="s">
        <v>619</v>
      </c>
      <c r="U688" s="301"/>
      <c r="V688" s="232"/>
      <c r="W688" s="232"/>
      <c r="X688" s="232"/>
      <c r="Y688" s="232"/>
      <c r="Z688" s="232"/>
      <c r="AA688" s="232"/>
      <c r="AB688" s="232"/>
      <c r="AC688" s="232"/>
      <c r="AD688" s="402"/>
    </row>
    <row r="689" spans="2:30" ht="30" customHeight="1" outlineLevel="1" x14ac:dyDescent="0.25">
      <c r="C689" s="190" t="s">
        <v>657</v>
      </c>
      <c r="D689" s="74" t="s">
        <v>658</v>
      </c>
      <c r="E689" s="105">
        <v>1985</v>
      </c>
      <c r="F689" s="105" t="s">
        <v>39</v>
      </c>
      <c r="G689" s="106">
        <f>G692</f>
        <v>23.05</v>
      </c>
      <c r="H689" s="106" t="s">
        <v>40</v>
      </c>
      <c r="I689" s="107">
        <v>750</v>
      </c>
      <c r="J689" s="108">
        <f t="shared" si="173"/>
        <v>461137.5</v>
      </c>
      <c r="K689" s="109">
        <f>R689-E689</f>
        <v>36</v>
      </c>
      <c r="L689" s="105">
        <v>50</v>
      </c>
      <c r="M689" s="105">
        <v>30</v>
      </c>
      <c r="N689" s="111">
        <f>+I689*G689</f>
        <v>17287.5</v>
      </c>
      <c r="O689" s="111">
        <f>+N689/L689</f>
        <v>345.75</v>
      </c>
      <c r="P689" s="111">
        <f>(N689/L689)*M689</f>
        <v>10372.5</v>
      </c>
      <c r="Q689" s="105" t="s">
        <v>41</v>
      </c>
      <c r="R689" s="105">
        <v>2021</v>
      </c>
      <c r="S689" s="113" t="s">
        <v>619</v>
      </c>
      <c r="U689" s="301"/>
      <c r="V689" s="232"/>
      <c r="W689" s="232"/>
      <c r="X689" s="232"/>
      <c r="Y689" s="232"/>
      <c r="Z689" s="232"/>
      <c r="AA689" s="232"/>
      <c r="AB689" s="232"/>
      <c r="AC689" s="232"/>
      <c r="AD689" s="402"/>
    </row>
    <row r="690" spans="2:30" ht="30" customHeight="1" outlineLevel="2" x14ac:dyDescent="0.25">
      <c r="C690" s="186" t="str">
        <f>C689</f>
        <v>M15</v>
      </c>
      <c r="D690" s="434" t="s">
        <v>44</v>
      </c>
      <c r="E690" s="116">
        <v>1985</v>
      </c>
      <c r="F690" s="116" t="s">
        <v>39</v>
      </c>
      <c r="G690" s="117">
        <v>23.69</v>
      </c>
      <c r="H690" s="117" t="s">
        <v>40</v>
      </c>
      <c r="I690" s="118">
        <v>30.54</v>
      </c>
      <c r="J690" s="119">
        <f t="shared" si="173"/>
        <v>18777.519</v>
      </c>
      <c r="K690" s="120">
        <f>R690-E690</f>
        <v>36</v>
      </c>
      <c r="L690" s="116">
        <v>15</v>
      </c>
      <c r="M690" s="116">
        <v>5</v>
      </c>
      <c r="N690" s="122">
        <f>+I690*G690</f>
        <v>723.49260000000004</v>
      </c>
      <c r="O690" s="122">
        <f>+N690/L690</f>
        <v>48.232840000000003</v>
      </c>
      <c r="P690" s="122">
        <f>(N690/L690)*M690</f>
        <v>241.16420000000002</v>
      </c>
      <c r="Q690" s="116" t="s">
        <v>41</v>
      </c>
      <c r="R690" s="116">
        <v>2021</v>
      </c>
      <c r="S690" s="124" t="s">
        <v>619</v>
      </c>
      <c r="U690" s="301"/>
      <c r="V690" s="232"/>
      <c r="W690" s="232"/>
      <c r="X690" s="232"/>
      <c r="Y690" s="232"/>
      <c r="Z690" s="232"/>
      <c r="AA690" s="232"/>
      <c r="AB690" s="232"/>
      <c r="AC690" s="232"/>
      <c r="AD690" s="402"/>
    </row>
    <row r="691" spans="2:30" ht="30" customHeight="1" outlineLevel="2" x14ac:dyDescent="0.25">
      <c r="C691" s="186" t="str">
        <f>C689</f>
        <v>M15</v>
      </c>
      <c r="D691" s="434" t="s">
        <v>46</v>
      </c>
      <c r="E691" s="116">
        <v>1985</v>
      </c>
      <c r="F691" s="116" t="s">
        <v>39</v>
      </c>
      <c r="G691" s="117">
        <v>55.39</v>
      </c>
      <c r="H691" s="117" t="s">
        <v>40</v>
      </c>
      <c r="I691" s="118">
        <v>3.4</v>
      </c>
      <c r="J691" s="119">
        <f t="shared" si="173"/>
        <v>2090.4900000000002</v>
      </c>
      <c r="K691" s="120">
        <f>R691-E691</f>
        <v>36</v>
      </c>
      <c r="L691" s="116">
        <v>10</v>
      </c>
      <c r="M691" s="116">
        <v>5</v>
      </c>
      <c r="N691" s="122">
        <f>+I691*G691</f>
        <v>188.32599999999999</v>
      </c>
      <c r="O691" s="122">
        <f>+N691/L691</f>
        <v>18.832599999999999</v>
      </c>
      <c r="P691" s="122">
        <f>(N691/L691)*M691</f>
        <v>94.162999999999997</v>
      </c>
      <c r="Q691" s="116" t="s">
        <v>41</v>
      </c>
      <c r="R691" s="116">
        <v>2021</v>
      </c>
      <c r="S691" s="124" t="s">
        <v>619</v>
      </c>
      <c r="U691" s="301"/>
      <c r="V691" s="232"/>
      <c r="W691" s="232"/>
      <c r="X691" s="232"/>
      <c r="Y691" s="232"/>
      <c r="Z691" s="232"/>
      <c r="AA691" s="232"/>
      <c r="AB691" s="232"/>
      <c r="AC691" s="232"/>
      <c r="AD691" s="402"/>
    </row>
    <row r="692" spans="2:30" ht="30" customHeight="1" outlineLevel="2" thickBot="1" x14ac:dyDescent="0.3">
      <c r="C692" s="198" t="str">
        <f>C689</f>
        <v>M15</v>
      </c>
      <c r="D692" s="435" t="s">
        <v>48</v>
      </c>
      <c r="E692" s="161">
        <v>1985</v>
      </c>
      <c r="F692" s="161" t="s">
        <v>39</v>
      </c>
      <c r="G692" s="162">
        <v>23.05</v>
      </c>
      <c r="H692" s="162" t="s">
        <v>40</v>
      </c>
      <c r="I692" s="261">
        <f>+J692/$S$2</f>
        <v>325.12040372536467</v>
      </c>
      <c r="J692" s="97">
        <f>+((95000^(0.364-(0.00000133*G692)))/(G692^(0.364-(0.00000133*95000))))*6500</f>
        <v>199900.28023054046</v>
      </c>
      <c r="K692" s="161" t="s">
        <v>41</v>
      </c>
      <c r="L692" s="161" t="s">
        <v>41</v>
      </c>
      <c r="M692" s="163" t="s">
        <v>41</v>
      </c>
      <c r="N692" s="163" t="s">
        <v>41</v>
      </c>
      <c r="O692" s="163" t="s">
        <v>41</v>
      </c>
      <c r="P692" s="163" t="s">
        <v>41</v>
      </c>
      <c r="Q692" s="171">
        <f>I692*G692</f>
        <v>7494.0253058696562</v>
      </c>
      <c r="R692" s="161">
        <v>2021</v>
      </c>
      <c r="S692" s="165" t="s">
        <v>619</v>
      </c>
      <c r="U692" s="301"/>
      <c r="V692" s="232"/>
      <c r="W692" s="232"/>
      <c r="X692" s="232"/>
      <c r="Y692" s="232"/>
      <c r="Z692" s="232"/>
      <c r="AA692" s="232"/>
      <c r="AB692" s="232"/>
      <c r="AC692" s="232"/>
      <c r="AD692" s="402"/>
    </row>
    <row r="693" spans="2:30" ht="30" customHeight="1" outlineLevel="1" collapsed="1" x14ac:dyDescent="0.25">
      <c r="C693" s="190" t="s">
        <v>659</v>
      </c>
      <c r="D693" s="74" t="s">
        <v>660</v>
      </c>
      <c r="E693" s="105">
        <v>1985</v>
      </c>
      <c r="F693" s="105" t="s">
        <v>39</v>
      </c>
      <c r="G693" s="106">
        <f>G696</f>
        <v>109.57</v>
      </c>
      <c r="H693" s="106" t="s">
        <v>40</v>
      </c>
      <c r="I693" s="107">
        <v>750</v>
      </c>
      <c r="J693" s="108">
        <f t="shared" si="173"/>
        <v>461137.5</v>
      </c>
      <c r="K693" s="109">
        <f>R693-E693</f>
        <v>36</v>
      </c>
      <c r="L693" s="105">
        <v>50</v>
      </c>
      <c r="M693" s="105">
        <v>30</v>
      </c>
      <c r="N693" s="111">
        <f>+I693*G693</f>
        <v>82177.5</v>
      </c>
      <c r="O693" s="111">
        <f>+N693/L693</f>
        <v>1643.55</v>
      </c>
      <c r="P693" s="111">
        <f>(N693/L693)*M693</f>
        <v>49306.5</v>
      </c>
      <c r="Q693" s="105" t="s">
        <v>41</v>
      </c>
      <c r="R693" s="105">
        <v>2021</v>
      </c>
      <c r="S693" s="113" t="s">
        <v>619</v>
      </c>
      <c r="U693" s="301"/>
      <c r="V693" s="232"/>
      <c r="W693" s="232"/>
      <c r="X693" s="232"/>
      <c r="Y693" s="232"/>
      <c r="Z693" s="232"/>
      <c r="AA693" s="232"/>
      <c r="AB693" s="232"/>
      <c r="AC693" s="232"/>
      <c r="AD693" s="402"/>
    </row>
    <row r="694" spans="2:30" ht="30" customHeight="1" outlineLevel="1" x14ac:dyDescent="0.25">
      <c r="C694" s="186" t="str">
        <f>C693</f>
        <v>M16</v>
      </c>
      <c r="D694" s="434" t="s">
        <v>44</v>
      </c>
      <c r="E694" s="116">
        <v>1985</v>
      </c>
      <c r="F694" s="116" t="s">
        <v>39</v>
      </c>
      <c r="G694" s="117">
        <v>48.48</v>
      </c>
      <c r="H694" s="117" t="s">
        <v>40</v>
      </c>
      <c r="I694" s="118">
        <v>30.54</v>
      </c>
      <c r="J694" s="119">
        <f t="shared" si="173"/>
        <v>18777.519</v>
      </c>
      <c r="K694" s="120">
        <f>R694-E694</f>
        <v>36</v>
      </c>
      <c r="L694" s="116">
        <v>15</v>
      </c>
      <c r="M694" s="116">
        <v>5</v>
      </c>
      <c r="N694" s="122">
        <f>+I694*G694</f>
        <v>1480.5791999999999</v>
      </c>
      <c r="O694" s="122">
        <f>+N694/L694</f>
        <v>98.705279999999988</v>
      </c>
      <c r="P694" s="122">
        <f>(N694/L694)*M694</f>
        <v>493.52639999999997</v>
      </c>
      <c r="Q694" s="116" t="s">
        <v>41</v>
      </c>
      <c r="R694" s="116">
        <v>2021</v>
      </c>
      <c r="S694" s="124" t="s">
        <v>619</v>
      </c>
      <c r="U694" s="301"/>
      <c r="V694" s="232"/>
      <c r="W694" s="232"/>
      <c r="X694" s="232"/>
      <c r="Y694" s="232"/>
      <c r="Z694" s="232"/>
      <c r="AA694" s="232"/>
      <c r="AB694" s="232"/>
      <c r="AC694" s="232"/>
      <c r="AD694" s="402"/>
    </row>
    <row r="695" spans="2:30" ht="30" customHeight="1" outlineLevel="1" x14ac:dyDescent="0.25">
      <c r="C695" s="186" t="str">
        <f>C693</f>
        <v>M16</v>
      </c>
      <c r="D695" s="434" t="s">
        <v>46</v>
      </c>
      <c r="E695" s="116">
        <v>1985</v>
      </c>
      <c r="F695" s="116" t="s">
        <v>39</v>
      </c>
      <c r="G695" s="117">
        <v>104.97</v>
      </c>
      <c r="H695" s="117" t="s">
        <v>40</v>
      </c>
      <c r="I695" s="118">
        <v>3.4</v>
      </c>
      <c r="J695" s="119">
        <f t="shared" si="173"/>
        <v>2090.4900000000002</v>
      </c>
      <c r="K695" s="120">
        <f>R695-E695</f>
        <v>36</v>
      </c>
      <c r="L695" s="116">
        <v>10</v>
      </c>
      <c r="M695" s="116">
        <v>5</v>
      </c>
      <c r="N695" s="122">
        <f>+I695*G695</f>
        <v>356.89799999999997</v>
      </c>
      <c r="O695" s="122">
        <f>+N695/L695</f>
        <v>35.689799999999998</v>
      </c>
      <c r="P695" s="122">
        <f>(N695/L695)*M695</f>
        <v>178.44899999999998</v>
      </c>
      <c r="Q695" s="116" t="s">
        <v>41</v>
      </c>
      <c r="R695" s="116">
        <v>2021</v>
      </c>
      <c r="S695" s="124" t="s">
        <v>619</v>
      </c>
      <c r="U695" s="301"/>
      <c r="V695" s="232"/>
      <c r="W695" s="232"/>
      <c r="X695" s="232"/>
      <c r="Y695" s="232"/>
      <c r="Z695" s="232"/>
      <c r="AA695" s="232"/>
      <c r="AB695" s="232"/>
      <c r="AC695" s="232"/>
      <c r="AD695" s="402"/>
    </row>
    <row r="696" spans="2:30" ht="30" customHeight="1" outlineLevel="1" thickBot="1" x14ac:dyDescent="0.3">
      <c r="B696" s="1">
        <v>16</v>
      </c>
      <c r="C696" s="198" t="str">
        <f>C693</f>
        <v>M16</v>
      </c>
      <c r="D696" s="435" t="s">
        <v>48</v>
      </c>
      <c r="E696" s="161">
        <v>1985</v>
      </c>
      <c r="F696" s="161" t="s">
        <v>39</v>
      </c>
      <c r="G696" s="162">
        <v>109.57</v>
      </c>
      <c r="H696" s="162" t="s">
        <v>40</v>
      </c>
      <c r="I696" s="261">
        <f>+J696/$S$2</f>
        <v>224.16998048066085</v>
      </c>
      <c r="J696" s="208">
        <f>+((95000^(0.364-(0.00000133*G696)))/(G696^(0.364-(0.00000133*95000))))*6500</f>
        <v>137830.91249853434</v>
      </c>
      <c r="K696" s="161" t="s">
        <v>41</v>
      </c>
      <c r="L696" s="161" t="s">
        <v>41</v>
      </c>
      <c r="M696" s="163" t="s">
        <v>41</v>
      </c>
      <c r="N696" s="163" t="s">
        <v>41</v>
      </c>
      <c r="O696" s="163" t="s">
        <v>41</v>
      </c>
      <c r="P696" s="163" t="s">
        <v>41</v>
      </c>
      <c r="Q696" s="171">
        <f>I696*G696</f>
        <v>24562.304761266008</v>
      </c>
      <c r="R696" s="161">
        <v>2021</v>
      </c>
      <c r="S696" s="165" t="s">
        <v>619</v>
      </c>
      <c r="U696" s="301"/>
      <c r="V696" s="232"/>
      <c r="W696" s="232"/>
      <c r="X696" s="232"/>
      <c r="Y696" s="232"/>
      <c r="Z696" s="232"/>
      <c r="AA696" s="232"/>
      <c r="AB696" s="232"/>
      <c r="AC696" s="232"/>
      <c r="AD696" s="402"/>
    </row>
    <row r="697" spans="2:30" ht="15.75" hidden="1" collapsed="1" thickBot="1" x14ac:dyDescent="0.3">
      <c r="C697" s="483"/>
      <c r="G697" s="6"/>
      <c r="H697" s="485"/>
      <c r="I697" s="485"/>
      <c r="J697" s="485"/>
      <c r="K697" s="485"/>
      <c r="L697" s="485"/>
      <c r="M697" s="485"/>
      <c r="N697" s="485"/>
      <c r="O697" s="485"/>
      <c r="P697" s="485"/>
      <c r="Q697" s="485"/>
      <c r="R697" s="485"/>
      <c r="S697" s="486"/>
      <c r="U697" s="305"/>
      <c r="V697" s="238"/>
      <c r="W697" s="238"/>
      <c r="X697" s="238"/>
      <c r="Y697" s="238"/>
      <c r="Z697" s="238"/>
      <c r="AA697" s="238"/>
      <c r="AB697" s="238"/>
      <c r="AC697" s="238"/>
      <c r="AD697" s="403"/>
    </row>
    <row r="698" spans="2:30" ht="16.5" hidden="1" thickBot="1" x14ac:dyDescent="0.3">
      <c r="C698" s="487"/>
      <c r="D698" s="488" t="s">
        <v>661</v>
      </c>
      <c r="E698" s="489"/>
      <c r="F698" s="489" t="s">
        <v>662</v>
      </c>
      <c r="G698" s="490">
        <f>SUMIF($D$7:$D$696,"*Terreno*",G7:G696)</f>
        <v>124304.56566666669</v>
      </c>
      <c r="H698" s="491" t="s">
        <v>40</v>
      </c>
      <c r="I698" s="490"/>
      <c r="J698" s="492"/>
      <c r="K698" s="493"/>
      <c r="L698" s="493"/>
      <c r="M698" s="494" t="s">
        <v>663</v>
      </c>
      <c r="N698" s="495">
        <f>SUM(N8:N680)</f>
        <v>144324400.1599668</v>
      </c>
      <c r="O698" s="493"/>
      <c r="P698" s="494" t="s">
        <v>664</v>
      </c>
      <c r="Q698" s="495" t="e">
        <f>SUM(Q8:Q680)</f>
        <v>#DIV/0!</v>
      </c>
      <c r="R698" s="496"/>
      <c r="S698" s="497"/>
    </row>
    <row r="699" spans="2:30" ht="16.5" hidden="1" thickBot="1" x14ac:dyDescent="0.3">
      <c r="B699" s="1">
        <f>SUM(B59:B696)</f>
        <v>173</v>
      </c>
      <c r="C699" s="498"/>
      <c r="D699" s="488" t="s">
        <v>665</v>
      </c>
      <c r="E699" s="489"/>
      <c r="F699" s="489"/>
      <c r="G699" s="490">
        <f>SUMIF($D$7:$D$696,"*Acera*",G7:G696)</f>
        <v>16141.49</v>
      </c>
      <c r="H699" s="491" t="s">
        <v>40</v>
      </c>
      <c r="I699" s="499"/>
      <c r="J699" s="499"/>
      <c r="K699" s="500"/>
      <c r="L699" s="500"/>
      <c r="M699" s="500"/>
      <c r="N699" s="500"/>
      <c r="O699" s="500"/>
      <c r="P699" s="500"/>
      <c r="Q699" s="500"/>
      <c r="R699" s="500"/>
      <c r="S699" s="501"/>
    </row>
    <row r="700" spans="2:30" ht="16.5" hidden="1" thickBot="1" x14ac:dyDescent="0.3">
      <c r="C700" s="498"/>
      <c r="D700" s="488" t="s">
        <v>666</v>
      </c>
      <c r="E700" s="489"/>
      <c r="F700" s="489"/>
      <c r="G700" s="490">
        <f>SUMIF($D$7:$D$696,"*Zonas*",G7:G696)</f>
        <v>41875.691600000013</v>
      </c>
      <c r="H700" s="491" t="s">
        <v>40</v>
      </c>
      <c r="I700" s="499"/>
      <c r="J700" s="499"/>
      <c r="K700" s="500"/>
      <c r="L700" s="500"/>
      <c r="M700" s="500"/>
      <c r="N700" s="500"/>
      <c r="O700" s="500"/>
      <c r="P700" s="500"/>
      <c r="Q700" s="500"/>
      <c r="R700" s="500"/>
      <c r="S700" s="501"/>
    </row>
    <row r="701" spans="2:30" ht="0.75" customHeight="1" thickBot="1" x14ac:dyDescent="0.3">
      <c r="C701" s="498"/>
      <c r="D701" s="488" t="s">
        <v>667</v>
      </c>
      <c r="E701" s="489"/>
      <c r="F701" s="489"/>
      <c r="G701" s="490">
        <f>SUM($G$7:$G$696)-SUM(G698:G700)</f>
        <v>159485.70899999989</v>
      </c>
      <c r="H701" s="491" t="s">
        <v>40</v>
      </c>
      <c r="I701" s="499"/>
      <c r="J701" s="499"/>
      <c r="K701" s="500"/>
      <c r="L701" s="500"/>
      <c r="M701" s="500"/>
      <c r="N701" s="500"/>
      <c r="O701" s="500"/>
      <c r="P701" s="500"/>
      <c r="Q701" s="500"/>
      <c r="R701" s="500"/>
      <c r="S701" s="501"/>
    </row>
    <row r="702" spans="2:30" ht="15.75" x14ac:dyDescent="0.25">
      <c r="C702" s="498"/>
      <c r="D702" s="502"/>
      <c r="E702" s="503"/>
      <c r="F702" s="503"/>
      <c r="H702" s="499"/>
      <c r="I702" s="499"/>
      <c r="J702" s="499"/>
      <c r="K702" s="500"/>
      <c r="L702" s="500"/>
      <c r="M702" s="500"/>
      <c r="N702" s="500"/>
      <c r="O702" s="500"/>
      <c r="P702" s="500"/>
      <c r="Q702" s="500"/>
      <c r="R702" s="500"/>
      <c r="S702" s="501"/>
    </row>
    <row r="703" spans="2:30" ht="16.5" thickBot="1" x14ac:dyDescent="0.3">
      <c r="C703" s="498"/>
      <c r="D703" s="502"/>
      <c r="E703" s="503"/>
      <c r="F703" s="503"/>
      <c r="G703" s="499"/>
      <c r="H703" s="499"/>
      <c r="I703" s="499"/>
      <c r="J703" s="499"/>
      <c r="K703" s="500"/>
      <c r="L703" s="500"/>
      <c r="M703" s="500"/>
      <c r="N703" s="500"/>
      <c r="O703" s="500"/>
      <c r="P703" s="500"/>
      <c r="Q703" s="504"/>
      <c r="R703" s="500"/>
      <c r="S703" s="501"/>
    </row>
    <row r="704" spans="2:30" ht="15.75" x14ac:dyDescent="0.25">
      <c r="C704" s="505" t="s">
        <v>668</v>
      </c>
      <c r="D704" s="506"/>
      <c r="E704" s="507"/>
      <c r="G704" s="499"/>
      <c r="H704" s="499"/>
      <c r="I704" s="499"/>
      <c r="J704" s="499"/>
      <c r="K704" s="500"/>
      <c r="L704" s="500"/>
      <c r="M704" s="500"/>
      <c r="N704" s="500"/>
      <c r="O704" s="500"/>
      <c r="P704" s="500"/>
      <c r="Q704" s="508"/>
      <c r="R704" s="500"/>
      <c r="S704" s="501"/>
    </row>
    <row r="705" spans="3:19" ht="16.5" thickBot="1" x14ac:dyDescent="0.3">
      <c r="C705" s="509"/>
      <c r="D705" s="510"/>
      <c r="E705" s="511"/>
      <c r="G705" s="499"/>
      <c r="H705" s="499"/>
      <c r="I705" s="499"/>
      <c r="J705" s="499"/>
      <c r="K705" s="500"/>
      <c r="L705" s="500"/>
      <c r="M705" s="500"/>
      <c r="N705" s="500"/>
      <c r="O705" s="500"/>
      <c r="P705" s="500"/>
      <c r="Q705" s="504"/>
      <c r="R705" s="500"/>
      <c r="S705" s="501"/>
    </row>
    <row r="706" spans="3:19" ht="15.75" x14ac:dyDescent="0.25">
      <c r="C706" s="498"/>
      <c r="D706" s="502"/>
      <c r="E706" s="503"/>
      <c r="F706" s="503"/>
      <c r="G706" s="499"/>
      <c r="H706" s="499"/>
      <c r="I706" s="499"/>
      <c r="J706" s="499"/>
      <c r="K706" s="500"/>
      <c r="L706" s="500"/>
      <c r="M706" s="500"/>
      <c r="N706" s="500"/>
      <c r="O706" s="500"/>
      <c r="P706" s="500"/>
      <c r="Q706" s="504"/>
      <c r="R706" s="500"/>
      <c r="S706" s="501"/>
    </row>
    <row r="707" spans="3:19" ht="15.75" x14ac:dyDescent="0.25">
      <c r="C707" s="498"/>
      <c r="D707" s="502"/>
      <c r="E707" s="503"/>
      <c r="F707" s="503"/>
      <c r="G707" s="499"/>
      <c r="H707" s="499"/>
      <c r="I707" s="499"/>
      <c r="J707" s="499"/>
      <c r="K707" s="500"/>
      <c r="L707" s="500"/>
      <c r="M707" s="500"/>
      <c r="N707" s="500"/>
      <c r="O707" s="500"/>
      <c r="P707" s="500"/>
      <c r="Q707" s="500"/>
      <c r="R707" s="500"/>
      <c r="S707" s="501"/>
    </row>
    <row r="708" spans="3:19" ht="15.75" x14ac:dyDescent="0.25">
      <c r="C708" s="498"/>
      <c r="D708" s="502"/>
      <c r="E708" s="503"/>
      <c r="F708" s="503"/>
      <c r="G708" s="499"/>
      <c r="H708" s="499"/>
      <c r="I708" s="499"/>
      <c r="J708" s="499"/>
      <c r="K708" s="500"/>
      <c r="L708" s="500"/>
      <c r="M708" s="500"/>
      <c r="N708" s="500"/>
      <c r="O708" s="500"/>
      <c r="P708" s="500"/>
      <c r="Q708" s="500"/>
      <c r="R708" s="500"/>
      <c r="S708" s="501"/>
    </row>
    <row r="710" spans="3:19" x14ac:dyDescent="0.25">
      <c r="K710" s="512"/>
      <c r="L710" s="5"/>
    </row>
    <row r="712" spans="3:19" ht="15.75" thickBot="1" x14ac:dyDescent="0.3"/>
    <row r="713" spans="3:19" ht="16.5" thickBot="1" x14ac:dyDescent="0.3">
      <c r="D713" s="488" t="s">
        <v>661</v>
      </c>
      <c r="E713" s="489"/>
      <c r="F713" s="489" t="s">
        <v>662</v>
      </c>
      <c r="G713" s="490">
        <f>SUMIF($D$7:$D$233,"*Terreno*",G7:G233)</f>
        <v>23492.799000000006</v>
      </c>
    </row>
    <row r="714" spans="3:19" ht="16.5" thickBot="1" x14ac:dyDescent="0.3">
      <c r="D714" s="488" t="s">
        <v>665</v>
      </c>
      <c r="E714" s="489"/>
      <c r="F714" s="489"/>
      <c r="G714" s="490">
        <f ca="1">SUMIF($D$7:$D$233,"*Acera*",G22:G233)</f>
        <v>28777.119000000006</v>
      </c>
    </row>
    <row r="715" spans="3:19" ht="16.5" thickBot="1" x14ac:dyDescent="0.3">
      <c r="D715" s="488" t="s">
        <v>666</v>
      </c>
      <c r="E715" s="489"/>
      <c r="F715" s="489"/>
      <c r="G715" s="490">
        <f ca="1">SUMIF($D$7:$D$233,"*Zonas*",G22:G226)</f>
        <v>32881.730000000003</v>
      </c>
    </row>
    <row r="716" spans="3:19" ht="16.5" thickBot="1" x14ac:dyDescent="0.3">
      <c r="D716" s="488" t="s">
        <v>667</v>
      </c>
      <c r="E716" s="489"/>
      <c r="F716" s="489"/>
      <c r="G716" s="490">
        <f ca="1">SUM($G$7:$G$226)-SUM(G713:G715)</f>
        <v>-15369.758399999992</v>
      </c>
    </row>
    <row r="717" spans="3:19" x14ac:dyDescent="0.25">
      <c r="G717" s="5" t="s">
        <v>6</v>
      </c>
    </row>
    <row r="718" spans="3:19" x14ac:dyDescent="0.25">
      <c r="G718" s="5" t="s">
        <v>6</v>
      </c>
    </row>
    <row r="719" spans="3:19" x14ac:dyDescent="0.25">
      <c r="G719" s="5" t="s">
        <v>6</v>
      </c>
    </row>
    <row r="720" spans="3:19" x14ac:dyDescent="0.25">
      <c r="G720" s="5" t="s">
        <v>6</v>
      </c>
    </row>
    <row r="721" spans="7:7" x14ac:dyDescent="0.25">
      <c r="G721" s="5" t="s">
        <v>6</v>
      </c>
    </row>
  </sheetData>
  <autoFilter ref="C6:AD701" xr:uid="{00000000-0009-0000-0000-000000000000}">
    <filterColumn colId="0">
      <filters>
        <filter val="C-3"/>
      </filters>
    </filterColumn>
  </autoFilter>
  <mergeCells count="1336">
    <mergeCell ref="U677:U697"/>
    <mergeCell ref="V677:AD697"/>
    <mergeCell ref="AA665:AA668"/>
    <mergeCell ref="AB665:AB668"/>
    <mergeCell ref="AC665:AC668"/>
    <mergeCell ref="AD665:AD668"/>
    <mergeCell ref="U669:U672"/>
    <mergeCell ref="V669:AD672"/>
    <mergeCell ref="AA661:AA664"/>
    <mergeCell ref="AB661:AB664"/>
    <mergeCell ref="AC661:AC664"/>
    <mergeCell ref="AD661:AD664"/>
    <mergeCell ref="U665:U668"/>
    <mergeCell ref="V665:V668"/>
    <mergeCell ref="W665:W668"/>
    <mergeCell ref="X665:X668"/>
    <mergeCell ref="Y665:Y668"/>
    <mergeCell ref="Z665:Z668"/>
    <mergeCell ref="AA657:AA660"/>
    <mergeCell ref="AB657:AB660"/>
    <mergeCell ref="AC657:AC660"/>
    <mergeCell ref="AD657:AD660"/>
    <mergeCell ref="U661:U664"/>
    <mergeCell ref="V661:V664"/>
    <mergeCell ref="W661:W664"/>
    <mergeCell ref="X661:X664"/>
    <mergeCell ref="Y661:Y664"/>
    <mergeCell ref="Z661:Z664"/>
    <mergeCell ref="U657:U660"/>
    <mergeCell ref="V657:V660"/>
    <mergeCell ref="W657:W660"/>
    <mergeCell ref="X657:X660"/>
    <mergeCell ref="Y657:Y660"/>
    <mergeCell ref="Z657:Z660"/>
    <mergeCell ref="AA649:AA652"/>
    <mergeCell ref="AB649:AB652"/>
    <mergeCell ref="AC649:AC652"/>
    <mergeCell ref="AD649:AD652"/>
    <mergeCell ref="U653:U656"/>
    <mergeCell ref="V653:AD656"/>
    <mergeCell ref="AA645:AA648"/>
    <mergeCell ref="AB645:AB648"/>
    <mergeCell ref="AC645:AC648"/>
    <mergeCell ref="AD645:AD648"/>
    <mergeCell ref="U649:U652"/>
    <mergeCell ref="V649:V652"/>
    <mergeCell ref="W649:W652"/>
    <mergeCell ref="X649:X652"/>
    <mergeCell ref="Y649:Y652"/>
    <mergeCell ref="Z649:Z652"/>
    <mergeCell ref="AA641:AA644"/>
    <mergeCell ref="AB641:AB644"/>
    <mergeCell ref="AC641:AC644"/>
    <mergeCell ref="AD641:AD644"/>
    <mergeCell ref="U645:U648"/>
    <mergeCell ref="V645:V648"/>
    <mergeCell ref="W645:W648"/>
    <mergeCell ref="X645:X648"/>
    <mergeCell ref="Y645:Y648"/>
    <mergeCell ref="Z645:Z648"/>
    <mergeCell ref="U632:U635"/>
    <mergeCell ref="V632:AD635"/>
    <mergeCell ref="U636:U639"/>
    <mergeCell ref="V636:AD639"/>
    <mergeCell ref="U641:U644"/>
    <mergeCell ref="V641:V644"/>
    <mergeCell ref="W641:W644"/>
    <mergeCell ref="X641:X644"/>
    <mergeCell ref="Y641:Y644"/>
    <mergeCell ref="Z641:Z644"/>
    <mergeCell ref="AA626:AA627"/>
    <mergeCell ref="AB626:AB627"/>
    <mergeCell ref="AC626:AC627"/>
    <mergeCell ref="AD626:AD627"/>
    <mergeCell ref="U628:U631"/>
    <mergeCell ref="V628:AD631"/>
    <mergeCell ref="AA624:AA625"/>
    <mergeCell ref="AB624:AB625"/>
    <mergeCell ref="AC624:AC625"/>
    <mergeCell ref="AD624:AD625"/>
    <mergeCell ref="U626:U627"/>
    <mergeCell ref="V626:V627"/>
    <mergeCell ref="W626:W627"/>
    <mergeCell ref="X626:X627"/>
    <mergeCell ref="Y626:Y627"/>
    <mergeCell ref="Z626:Z627"/>
    <mergeCell ref="AA616:AA619"/>
    <mergeCell ref="AB616:AB619"/>
    <mergeCell ref="AC616:AC619"/>
    <mergeCell ref="AD616:AD619"/>
    <mergeCell ref="U624:U625"/>
    <mergeCell ref="V624:V625"/>
    <mergeCell ref="W624:W625"/>
    <mergeCell ref="X624:X625"/>
    <mergeCell ref="Y624:Y625"/>
    <mergeCell ref="Z624:Z625"/>
    <mergeCell ref="AA612:AA615"/>
    <mergeCell ref="AB612:AB615"/>
    <mergeCell ref="AC612:AC615"/>
    <mergeCell ref="AD612:AD615"/>
    <mergeCell ref="U616:U619"/>
    <mergeCell ref="V616:V619"/>
    <mergeCell ref="W616:W619"/>
    <mergeCell ref="X616:X619"/>
    <mergeCell ref="Y616:Y619"/>
    <mergeCell ref="Z616:Z619"/>
    <mergeCell ref="AA610:AA611"/>
    <mergeCell ref="AB610:AB611"/>
    <mergeCell ref="AC610:AC611"/>
    <mergeCell ref="AD610:AD611"/>
    <mergeCell ref="U612:U615"/>
    <mergeCell ref="V612:V615"/>
    <mergeCell ref="W612:W615"/>
    <mergeCell ref="X612:X615"/>
    <mergeCell ref="Y612:Y615"/>
    <mergeCell ref="Z612:Z615"/>
    <mergeCell ref="AA608:AA609"/>
    <mergeCell ref="AB608:AB609"/>
    <mergeCell ref="AC608:AC609"/>
    <mergeCell ref="AD608:AD609"/>
    <mergeCell ref="U610:U611"/>
    <mergeCell ref="V610:V611"/>
    <mergeCell ref="W610:W611"/>
    <mergeCell ref="X610:X611"/>
    <mergeCell ref="Y610:Y611"/>
    <mergeCell ref="Z610:Z611"/>
    <mergeCell ref="AA603:AA606"/>
    <mergeCell ref="AB603:AB606"/>
    <mergeCell ref="AC603:AC606"/>
    <mergeCell ref="AD603:AD606"/>
    <mergeCell ref="U608:U609"/>
    <mergeCell ref="V608:V609"/>
    <mergeCell ref="W608:W609"/>
    <mergeCell ref="X608:X609"/>
    <mergeCell ref="Y608:Y609"/>
    <mergeCell ref="Z608:Z609"/>
    <mergeCell ref="AA599:AA602"/>
    <mergeCell ref="AB599:AB602"/>
    <mergeCell ref="AC599:AC602"/>
    <mergeCell ref="AD599:AD602"/>
    <mergeCell ref="U603:U606"/>
    <mergeCell ref="V603:V606"/>
    <mergeCell ref="W603:W606"/>
    <mergeCell ref="X603:X606"/>
    <mergeCell ref="Y603:Y606"/>
    <mergeCell ref="Z603:Z606"/>
    <mergeCell ref="AA595:AA598"/>
    <mergeCell ref="AB595:AB598"/>
    <mergeCell ref="AC595:AC598"/>
    <mergeCell ref="AD595:AD598"/>
    <mergeCell ref="U599:U602"/>
    <mergeCell ref="V599:V602"/>
    <mergeCell ref="W599:W602"/>
    <mergeCell ref="X599:X602"/>
    <mergeCell ref="Y599:Y602"/>
    <mergeCell ref="Z599:Z602"/>
    <mergeCell ref="AA591:AA594"/>
    <mergeCell ref="AB591:AB594"/>
    <mergeCell ref="AC591:AC594"/>
    <mergeCell ref="AD591:AD594"/>
    <mergeCell ref="U595:U598"/>
    <mergeCell ref="V595:V598"/>
    <mergeCell ref="W595:W598"/>
    <mergeCell ref="X595:X598"/>
    <mergeCell ref="Y595:Y598"/>
    <mergeCell ref="Z595:Z598"/>
    <mergeCell ref="AA587:AA590"/>
    <mergeCell ref="AB587:AB590"/>
    <mergeCell ref="AC587:AC590"/>
    <mergeCell ref="AD587:AD590"/>
    <mergeCell ref="U591:U594"/>
    <mergeCell ref="V591:V594"/>
    <mergeCell ref="W591:W594"/>
    <mergeCell ref="X591:X594"/>
    <mergeCell ref="Y591:Y594"/>
    <mergeCell ref="Z591:Z594"/>
    <mergeCell ref="AA583:AA586"/>
    <mergeCell ref="AB583:AB586"/>
    <mergeCell ref="AC583:AC586"/>
    <mergeCell ref="AD583:AD586"/>
    <mergeCell ref="U587:U590"/>
    <mergeCell ref="V587:V590"/>
    <mergeCell ref="W587:W590"/>
    <mergeCell ref="X587:X590"/>
    <mergeCell ref="Y587:Y590"/>
    <mergeCell ref="Z587:Z590"/>
    <mergeCell ref="AA575:AA582"/>
    <mergeCell ref="AB575:AB582"/>
    <mergeCell ref="AC575:AC582"/>
    <mergeCell ref="AD575:AD582"/>
    <mergeCell ref="U583:U586"/>
    <mergeCell ref="V583:V586"/>
    <mergeCell ref="W583:W586"/>
    <mergeCell ref="X583:X586"/>
    <mergeCell ref="Y583:Y586"/>
    <mergeCell ref="Z583:Z586"/>
    <mergeCell ref="AA571:AA574"/>
    <mergeCell ref="AB571:AB574"/>
    <mergeCell ref="AC571:AC574"/>
    <mergeCell ref="AD571:AD574"/>
    <mergeCell ref="U575:U582"/>
    <mergeCell ref="V575:V582"/>
    <mergeCell ref="W575:W582"/>
    <mergeCell ref="X575:X582"/>
    <mergeCell ref="Y575:Y582"/>
    <mergeCell ref="Z575:Z582"/>
    <mergeCell ref="AA567:AA570"/>
    <mergeCell ref="AB567:AB570"/>
    <mergeCell ref="AC567:AC570"/>
    <mergeCell ref="AD567:AD570"/>
    <mergeCell ref="U571:U574"/>
    <mergeCell ref="V571:V574"/>
    <mergeCell ref="W571:W574"/>
    <mergeCell ref="X571:X574"/>
    <mergeCell ref="Y571:Y574"/>
    <mergeCell ref="Z571:Z574"/>
    <mergeCell ref="AA562:AA565"/>
    <mergeCell ref="AB562:AB565"/>
    <mergeCell ref="AC562:AC565"/>
    <mergeCell ref="AD562:AD565"/>
    <mergeCell ref="U567:U570"/>
    <mergeCell ref="V567:V570"/>
    <mergeCell ref="W567:W570"/>
    <mergeCell ref="X567:X570"/>
    <mergeCell ref="Y567:Y570"/>
    <mergeCell ref="Z567:Z570"/>
    <mergeCell ref="AA558:AA561"/>
    <mergeCell ref="AB558:AB561"/>
    <mergeCell ref="AC558:AC561"/>
    <mergeCell ref="AD558:AD561"/>
    <mergeCell ref="U562:U565"/>
    <mergeCell ref="V562:V565"/>
    <mergeCell ref="W562:W565"/>
    <mergeCell ref="X562:X565"/>
    <mergeCell ref="Y562:Y565"/>
    <mergeCell ref="Z562:Z565"/>
    <mergeCell ref="AA554:AA557"/>
    <mergeCell ref="AB554:AB557"/>
    <mergeCell ref="AC554:AC557"/>
    <mergeCell ref="AD554:AD557"/>
    <mergeCell ref="U558:U561"/>
    <mergeCell ref="V558:V561"/>
    <mergeCell ref="W558:W561"/>
    <mergeCell ref="X558:X561"/>
    <mergeCell ref="Y558:Y561"/>
    <mergeCell ref="Z558:Z561"/>
    <mergeCell ref="AA550:AA553"/>
    <mergeCell ref="AB550:AB553"/>
    <mergeCell ref="AC550:AC553"/>
    <mergeCell ref="AD550:AD553"/>
    <mergeCell ref="U554:U557"/>
    <mergeCell ref="V554:V557"/>
    <mergeCell ref="W554:W557"/>
    <mergeCell ref="X554:X557"/>
    <mergeCell ref="Y554:Y557"/>
    <mergeCell ref="Z554:Z557"/>
    <mergeCell ref="AA546:AA549"/>
    <mergeCell ref="AB546:AB549"/>
    <mergeCell ref="AC546:AC549"/>
    <mergeCell ref="AD546:AD549"/>
    <mergeCell ref="U550:U553"/>
    <mergeCell ref="V550:V553"/>
    <mergeCell ref="W550:W553"/>
    <mergeCell ref="X550:X553"/>
    <mergeCell ref="Y550:Y553"/>
    <mergeCell ref="Z550:Z553"/>
    <mergeCell ref="AA542:AA545"/>
    <mergeCell ref="AB542:AB545"/>
    <mergeCell ref="AC542:AC545"/>
    <mergeCell ref="AD542:AD545"/>
    <mergeCell ref="U546:U549"/>
    <mergeCell ref="V546:V549"/>
    <mergeCell ref="W546:W549"/>
    <mergeCell ref="X546:X549"/>
    <mergeCell ref="Y546:Y549"/>
    <mergeCell ref="Z546:Z549"/>
    <mergeCell ref="AA538:AA541"/>
    <mergeCell ref="AB538:AB541"/>
    <mergeCell ref="AC538:AC541"/>
    <mergeCell ref="AD538:AD541"/>
    <mergeCell ref="U542:U545"/>
    <mergeCell ref="V542:V545"/>
    <mergeCell ref="W542:W545"/>
    <mergeCell ref="X542:X545"/>
    <mergeCell ref="Y542:Y545"/>
    <mergeCell ref="Z542:Z545"/>
    <mergeCell ref="AA534:AA537"/>
    <mergeCell ref="AB534:AB537"/>
    <mergeCell ref="AC534:AC537"/>
    <mergeCell ref="AD534:AD537"/>
    <mergeCell ref="U538:U541"/>
    <mergeCell ref="V538:V541"/>
    <mergeCell ref="W538:W541"/>
    <mergeCell ref="X538:X541"/>
    <mergeCell ref="Y538:Y541"/>
    <mergeCell ref="Z538:Z541"/>
    <mergeCell ref="AA530:AA533"/>
    <mergeCell ref="AB530:AB533"/>
    <mergeCell ref="AC530:AC533"/>
    <mergeCell ref="AD530:AD533"/>
    <mergeCell ref="U534:U537"/>
    <mergeCell ref="V534:V537"/>
    <mergeCell ref="W534:W537"/>
    <mergeCell ref="X534:X537"/>
    <mergeCell ref="Y534:Y537"/>
    <mergeCell ref="Z534:Z537"/>
    <mergeCell ref="AA525:AA528"/>
    <mergeCell ref="AB525:AB528"/>
    <mergeCell ref="AC525:AC528"/>
    <mergeCell ref="AD525:AD528"/>
    <mergeCell ref="U530:U533"/>
    <mergeCell ref="V530:V533"/>
    <mergeCell ref="W530:W533"/>
    <mergeCell ref="X530:X533"/>
    <mergeCell ref="Y530:Y533"/>
    <mergeCell ref="Z530:Z533"/>
    <mergeCell ref="AA521:AA524"/>
    <mergeCell ref="AB521:AB524"/>
    <mergeCell ref="AC521:AC524"/>
    <mergeCell ref="AD521:AD524"/>
    <mergeCell ref="U525:U528"/>
    <mergeCell ref="V525:V528"/>
    <mergeCell ref="W525:W528"/>
    <mergeCell ref="X525:X528"/>
    <mergeCell ref="Y525:Y528"/>
    <mergeCell ref="Z525:Z528"/>
    <mergeCell ref="AA517:AA520"/>
    <mergeCell ref="AB517:AB520"/>
    <mergeCell ref="AC517:AC520"/>
    <mergeCell ref="AD517:AD520"/>
    <mergeCell ref="U521:U524"/>
    <mergeCell ref="V521:V524"/>
    <mergeCell ref="W521:W524"/>
    <mergeCell ref="X521:X524"/>
    <mergeCell ref="Y521:Y524"/>
    <mergeCell ref="Z521:Z524"/>
    <mergeCell ref="AA513:AA516"/>
    <mergeCell ref="AB513:AB516"/>
    <mergeCell ref="AC513:AC516"/>
    <mergeCell ref="AD513:AD516"/>
    <mergeCell ref="U517:U520"/>
    <mergeCell ref="V517:V520"/>
    <mergeCell ref="W517:W520"/>
    <mergeCell ref="X517:X520"/>
    <mergeCell ref="Y517:Y520"/>
    <mergeCell ref="Z517:Z520"/>
    <mergeCell ref="AA509:AA512"/>
    <mergeCell ref="AB509:AB512"/>
    <mergeCell ref="AC509:AC512"/>
    <mergeCell ref="AD509:AD512"/>
    <mergeCell ref="U513:U516"/>
    <mergeCell ref="V513:V516"/>
    <mergeCell ref="W513:W516"/>
    <mergeCell ref="X513:X516"/>
    <mergeCell ref="Y513:Y516"/>
    <mergeCell ref="Z513:Z516"/>
    <mergeCell ref="AA505:AA508"/>
    <mergeCell ref="AB505:AB508"/>
    <mergeCell ref="AC505:AC508"/>
    <mergeCell ref="AD505:AD508"/>
    <mergeCell ref="U509:U512"/>
    <mergeCell ref="V509:V512"/>
    <mergeCell ref="W509:W512"/>
    <mergeCell ref="X509:X512"/>
    <mergeCell ref="Y509:Y512"/>
    <mergeCell ref="Z509:Z512"/>
    <mergeCell ref="AC499:AC500"/>
    <mergeCell ref="AD499:AD500"/>
    <mergeCell ref="U501:U504"/>
    <mergeCell ref="V501:AD504"/>
    <mergeCell ref="U505:U508"/>
    <mergeCell ref="V505:V508"/>
    <mergeCell ref="W505:W508"/>
    <mergeCell ref="X505:X508"/>
    <mergeCell ref="Y505:Y508"/>
    <mergeCell ref="Z505:Z508"/>
    <mergeCell ref="AC497:AC498"/>
    <mergeCell ref="AD497:AD498"/>
    <mergeCell ref="U499:U500"/>
    <mergeCell ref="V499:V500"/>
    <mergeCell ref="W499:W500"/>
    <mergeCell ref="X499:X500"/>
    <mergeCell ref="Y499:Y500"/>
    <mergeCell ref="Z499:Z500"/>
    <mergeCell ref="AA499:AA500"/>
    <mergeCell ref="AB499:AB500"/>
    <mergeCell ref="AC493:AC496"/>
    <mergeCell ref="AD493:AD496"/>
    <mergeCell ref="U497:U498"/>
    <mergeCell ref="V497:V498"/>
    <mergeCell ref="W497:W498"/>
    <mergeCell ref="X497:X498"/>
    <mergeCell ref="Y497:Y498"/>
    <mergeCell ref="Z497:Z498"/>
    <mergeCell ref="AA497:AA498"/>
    <mergeCell ref="AB497:AB498"/>
    <mergeCell ref="U484:U487"/>
    <mergeCell ref="V484:AD487"/>
    <mergeCell ref="U493:U496"/>
    <mergeCell ref="V493:V496"/>
    <mergeCell ref="W493:W496"/>
    <mergeCell ref="X493:X496"/>
    <mergeCell ref="Y493:Y496"/>
    <mergeCell ref="Z493:Z496"/>
    <mergeCell ref="AA493:AA496"/>
    <mergeCell ref="AB493:AB496"/>
    <mergeCell ref="U472:U475"/>
    <mergeCell ref="V472:AD475"/>
    <mergeCell ref="U476:U479"/>
    <mergeCell ref="V476:AD479"/>
    <mergeCell ref="U480:U483"/>
    <mergeCell ref="V480:AD483"/>
    <mergeCell ref="U460:U463"/>
    <mergeCell ref="V460:AD463"/>
    <mergeCell ref="U464:U467"/>
    <mergeCell ref="V464:AD467"/>
    <mergeCell ref="U468:U471"/>
    <mergeCell ref="V468:AD471"/>
    <mergeCell ref="AA452:AA455"/>
    <mergeCell ref="AB452:AB455"/>
    <mergeCell ref="AC452:AC455"/>
    <mergeCell ref="AD452:AD455"/>
    <mergeCell ref="U456:U459"/>
    <mergeCell ref="V456:AD459"/>
    <mergeCell ref="AA450:AA451"/>
    <mergeCell ref="AB450:AB451"/>
    <mergeCell ref="AC450:AC451"/>
    <mergeCell ref="AD450:AD451"/>
    <mergeCell ref="U452:U455"/>
    <mergeCell ref="V452:V455"/>
    <mergeCell ref="W452:W455"/>
    <mergeCell ref="X452:X455"/>
    <mergeCell ref="Y452:Y455"/>
    <mergeCell ref="Z452:Z455"/>
    <mergeCell ref="AA448:AA449"/>
    <mergeCell ref="AB448:AB449"/>
    <mergeCell ref="AC448:AC449"/>
    <mergeCell ref="AD448:AD449"/>
    <mergeCell ref="U450:U451"/>
    <mergeCell ref="V450:V451"/>
    <mergeCell ref="W450:W451"/>
    <mergeCell ref="X450:X451"/>
    <mergeCell ref="Y450:Y451"/>
    <mergeCell ref="Z450:Z451"/>
    <mergeCell ref="AA444:AA447"/>
    <mergeCell ref="AB444:AB447"/>
    <mergeCell ref="AC444:AC447"/>
    <mergeCell ref="AD444:AD447"/>
    <mergeCell ref="U448:U449"/>
    <mergeCell ref="V448:V449"/>
    <mergeCell ref="W448:W449"/>
    <mergeCell ref="X448:X449"/>
    <mergeCell ref="Y448:Y449"/>
    <mergeCell ref="Z448:Z449"/>
    <mergeCell ref="U444:U447"/>
    <mergeCell ref="V444:V447"/>
    <mergeCell ref="W444:W447"/>
    <mergeCell ref="X444:X447"/>
    <mergeCell ref="Y444:Y447"/>
    <mergeCell ref="Z444:Z447"/>
    <mergeCell ref="AA436:AA439"/>
    <mergeCell ref="AB436:AB439"/>
    <mergeCell ref="AC436:AC439"/>
    <mergeCell ref="AD436:AD439"/>
    <mergeCell ref="U440:U443"/>
    <mergeCell ref="V440:AD443"/>
    <mergeCell ref="AA432:AA435"/>
    <mergeCell ref="AB432:AB435"/>
    <mergeCell ref="AC432:AC435"/>
    <mergeCell ref="AD432:AD435"/>
    <mergeCell ref="U436:U439"/>
    <mergeCell ref="V436:V439"/>
    <mergeCell ref="W436:W439"/>
    <mergeCell ref="X436:X439"/>
    <mergeCell ref="Y436:Y439"/>
    <mergeCell ref="Z436:Z439"/>
    <mergeCell ref="AC424:AC427"/>
    <mergeCell ref="AD424:AD427"/>
    <mergeCell ref="U428:U431"/>
    <mergeCell ref="V428:AD431"/>
    <mergeCell ref="U432:U435"/>
    <mergeCell ref="V432:V435"/>
    <mergeCell ref="W432:W435"/>
    <mergeCell ref="X432:X435"/>
    <mergeCell ref="Y432:Y435"/>
    <mergeCell ref="Z432:Z435"/>
    <mergeCell ref="AC419:AC422"/>
    <mergeCell ref="AD419:AD422"/>
    <mergeCell ref="U424:U427"/>
    <mergeCell ref="V424:V427"/>
    <mergeCell ref="W424:W427"/>
    <mergeCell ref="X424:X427"/>
    <mergeCell ref="Y424:Y427"/>
    <mergeCell ref="Z424:Z427"/>
    <mergeCell ref="AA424:AA427"/>
    <mergeCell ref="AB424:AB427"/>
    <mergeCell ref="AC415:AC418"/>
    <mergeCell ref="AD415:AD418"/>
    <mergeCell ref="U419:U422"/>
    <mergeCell ref="V419:V422"/>
    <mergeCell ref="W419:W422"/>
    <mergeCell ref="X419:X422"/>
    <mergeCell ref="Y419:Y422"/>
    <mergeCell ref="Z419:Z422"/>
    <mergeCell ref="AA419:AA422"/>
    <mergeCell ref="AB419:AB422"/>
    <mergeCell ref="AC411:AC414"/>
    <mergeCell ref="AD411:AD414"/>
    <mergeCell ref="U415:U418"/>
    <mergeCell ref="V415:V418"/>
    <mergeCell ref="W415:W418"/>
    <mergeCell ref="X415:X418"/>
    <mergeCell ref="Y415:Y418"/>
    <mergeCell ref="Z415:Z418"/>
    <mergeCell ref="AA415:AA418"/>
    <mergeCell ref="AB415:AB418"/>
    <mergeCell ref="AC409:AC410"/>
    <mergeCell ref="AD409:AD410"/>
    <mergeCell ref="U411:U414"/>
    <mergeCell ref="V411:V414"/>
    <mergeCell ref="W411:W414"/>
    <mergeCell ref="X411:X414"/>
    <mergeCell ref="Y411:Y414"/>
    <mergeCell ref="Z411:Z414"/>
    <mergeCell ref="AA411:AA414"/>
    <mergeCell ref="AB411:AB414"/>
    <mergeCell ref="AC407:AC408"/>
    <mergeCell ref="AD407:AD408"/>
    <mergeCell ref="U409:U410"/>
    <mergeCell ref="V409:V410"/>
    <mergeCell ref="W409:W410"/>
    <mergeCell ref="X409:X410"/>
    <mergeCell ref="Y409:Y410"/>
    <mergeCell ref="Z409:Z410"/>
    <mergeCell ref="AA409:AA410"/>
    <mergeCell ref="AB409:AB410"/>
    <mergeCell ref="AC403:AC406"/>
    <mergeCell ref="AD403:AD406"/>
    <mergeCell ref="U407:U408"/>
    <mergeCell ref="V407:V408"/>
    <mergeCell ref="W407:W408"/>
    <mergeCell ref="X407:X408"/>
    <mergeCell ref="Y407:Y408"/>
    <mergeCell ref="Z407:Z408"/>
    <mergeCell ref="AA407:AA408"/>
    <mergeCell ref="AB407:AB408"/>
    <mergeCell ref="U399:U402"/>
    <mergeCell ref="V399:AD402"/>
    <mergeCell ref="U403:U406"/>
    <mergeCell ref="V403:V406"/>
    <mergeCell ref="W403:W406"/>
    <mergeCell ref="X403:X406"/>
    <mergeCell ref="Y403:Y406"/>
    <mergeCell ref="Z403:Z406"/>
    <mergeCell ref="AA403:AA406"/>
    <mergeCell ref="AB403:AB406"/>
    <mergeCell ref="AA387:AA390"/>
    <mergeCell ref="AB387:AB390"/>
    <mergeCell ref="AC387:AC390"/>
    <mergeCell ref="AD387:AD390"/>
    <mergeCell ref="U395:U398"/>
    <mergeCell ref="V395:AD398"/>
    <mergeCell ref="AA385:AA386"/>
    <mergeCell ref="AB385:AB386"/>
    <mergeCell ref="AC385:AC386"/>
    <mergeCell ref="AD385:AD386"/>
    <mergeCell ref="U387:U390"/>
    <mergeCell ref="V387:V390"/>
    <mergeCell ref="W387:W390"/>
    <mergeCell ref="X387:X390"/>
    <mergeCell ref="Y387:Y390"/>
    <mergeCell ref="Z387:Z390"/>
    <mergeCell ref="AA383:AA384"/>
    <mergeCell ref="AB383:AB384"/>
    <mergeCell ref="AC383:AC384"/>
    <mergeCell ref="AD383:AD384"/>
    <mergeCell ref="U385:U386"/>
    <mergeCell ref="V385:V386"/>
    <mergeCell ref="W385:W386"/>
    <mergeCell ref="X385:X386"/>
    <mergeCell ref="Y385:Y386"/>
    <mergeCell ref="Z385:Z386"/>
    <mergeCell ref="AA381:AA382"/>
    <mergeCell ref="AB381:AB382"/>
    <mergeCell ref="AC381:AC382"/>
    <mergeCell ref="AD381:AD382"/>
    <mergeCell ref="U383:U384"/>
    <mergeCell ref="V383:V384"/>
    <mergeCell ref="W383:W384"/>
    <mergeCell ref="X383:X384"/>
    <mergeCell ref="Y383:Y384"/>
    <mergeCell ref="Z383:Z384"/>
    <mergeCell ref="AA379:AA380"/>
    <mergeCell ref="AB379:AB380"/>
    <mergeCell ref="AC379:AC380"/>
    <mergeCell ref="AD379:AD380"/>
    <mergeCell ref="U381:U382"/>
    <mergeCell ref="V381:V382"/>
    <mergeCell ref="W381:W382"/>
    <mergeCell ref="X381:X382"/>
    <mergeCell ref="Y381:Y382"/>
    <mergeCell ref="Z381:Z382"/>
    <mergeCell ref="AA377:AA378"/>
    <mergeCell ref="AB377:AB378"/>
    <mergeCell ref="AC377:AC378"/>
    <mergeCell ref="AD377:AD378"/>
    <mergeCell ref="U379:U380"/>
    <mergeCell ref="V379:V380"/>
    <mergeCell ref="W379:W380"/>
    <mergeCell ref="X379:X380"/>
    <mergeCell ref="Y379:Y380"/>
    <mergeCell ref="Z379:Z380"/>
    <mergeCell ref="AA371:AA374"/>
    <mergeCell ref="AB371:AB374"/>
    <mergeCell ref="AC371:AC374"/>
    <mergeCell ref="AD371:AD374"/>
    <mergeCell ref="U377:U378"/>
    <mergeCell ref="V377:V378"/>
    <mergeCell ref="W377:W378"/>
    <mergeCell ref="X377:X378"/>
    <mergeCell ref="Y377:Y378"/>
    <mergeCell ref="Z377:Z378"/>
    <mergeCell ref="AA367:AA370"/>
    <mergeCell ref="AB367:AB370"/>
    <mergeCell ref="AC367:AC370"/>
    <mergeCell ref="AD367:AD370"/>
    <mergeCell ref="U371:U374"/>
    <mergeCell ref="V371:V374"/>
    <mergeCell ref="W371:W374"/>
    <mergeCell ref="X371:X374"/>
    <mergeCell ref="Y371:Y374"/>
    <mergeCell ref="Z371:Z374"/>
    <mergeCell ref="AA365:AA366"/>
    <mergeCell ref="AB365:AB366"/>
    <mergeCell ref="AC365:AC366"/>
    <mergeCell ref="AD365:AD366"/>
    <mergeCell ref="U367:U370"/>
    <mergeCell ref="V367:V370"/>
    <mergeCell ref="W367:W370"/>
    <mergeCell ref="X367:X370"/>
    <mergeCell ref="Y367:Y370"/>
    <mergeCell ref="Z367:Z370"/>
    <mergeCell ref="AA363:AA364"/>
    <mergeCell ref="AB363:AB364"/>
    <mergeCell ref="AC363:AC364"/>
    <mergeCell ref="AD363:AD364"/>
    <mergeCell ref="U365:U366"/>
    <mergeCell ref="V365:V366"/>
    <mergeCell ref="W365:W366"/>
    <mergeCell ref="X365:X366"/>
    <mergeCell ref="Y365:Y366"/>
    <mergeCell ref="Z365:Z366"/>
    <mergeCell ref="AA359:AA362"/>
    <mergeCell ref="AB359:AB362"/>
    <mergeCell ref="AC359:AC362"/>
    <mergeCell ref="AD359:AD362"/>
    <mergeCell ref="U363:U364"/>
    <mergeCell ref="V363:V364"/>
    <mergeCell ref="W363:W364"/>
    <mergeCell ref="X363:X364"/>
    <mergeCell ref="Y363:Y364"/>
    <mergeCell ref="Z363:Z364"/>
    <mergeCell ref="AA357:AA358"/>
    <mergeCell ref="AB357:AB358"/>
    <mergeCell ref="AC357:AC358"/>
    <mergeCell ref="AD357:AD358"/>
    <mergeCell ref="U359:U362"/>
    <mergeCell ref="V359:V362"/>
    <mergeCell ref="W359:W362"/>
    <mergeCell ref="X359:X362"/>
    <mergeCell ref="Y359:Y362"/>
    <mergeCell ref="Z359:Z362"/>
    <mergeCell ref="AA350:AA353"/>
    <mergeCell ref="AB350:AB353"/>
    <mergeCell ref="AC350:AC353"/>
    <mergeCell ref="AD350:AD353"/>
    <mergeCell ref="U357:U358"/>
    <mergeCell ref="V357:V358"/>
    <mergeCell ref="W357:W358"/>
    <mergeCell ref="X357:X358"/>
    <mergeCell ref="Y357:Y358"/>
    <mergeCell ref="Z357:Z358"/>
    <mergeCell ref="AA346:AA349"/>
    <mergeCell ref="AB346:AB349"/>
    <mergeCell ref="AC346:AC349"/>
    <mergeCell ref="AD346:AD349"/>
    <mergeCell ref="U350:U353"/>
    <mergeCell ref="V350:V353"/>
    <mergeCell ref="W350:W353"/>
    <mergeCell ref="X350:X353"/>
    <mergeCell ref="Y350:Y353"/>
    <mergeCell ref="Z350:Z353"/>
    <mergeCell ref="U346:U349"/>
    <mergeCell ref="V346:V349"/>
    <mergeCell ref="W346:W349"/>
    <mergeCell ref="X346:X349"/>
    <mergeCell ref="Y346:Y349"/>
    <mergeCell ref="Z346:Z349"/>
    <mergeCell ref="AA338:AA341"/>
    <mergeCell ref="AB338:AB341"/>
    <mergeCell ref="AC338:AC341"/>
    <mergeCell ref="AD338:AD341"/>
    <mergeCell ref="U342:U345"/>
    <mergeCell ref="V342:AD345"/>
    <mergeCell ref="AA334:AA337"/>
    <mergeCell ref="AB334:AB337"/>
    <mergeCell ref="AC334:AC337"/>
    <mergeCell ref="AD334:AD337"/>
    <mergeCell ref="U338:U341"/>
    <mergeCell ref="V338:V341"/>
    <mergeCell ref="W338:W341"/>
    <mergeCell ref="X338:X341"/>
    <mergeCell ref="Y338:Y341"/>
    <mergeCell ref="Z338:Z341"/>
    <mergeCell ref="AA330:AA333"/>
    <mergeCell ref="AB330:AB333"/>
    <mergeCell ref="AC330:AC333"/>
    <mergeCell ref="AD330:AD333"/>
    <mergeCell ref="U334:U337"/>
    <mergeCell ref="V334:V337"/>
    <mergeCell ref="W334:W337"/>
    <mergeCell ref="X334:X337"/>
    <mergeCell ref="Y334:Y337"/>
    <mergeCell ref="Z334:Z337"/>
    <mergeCell ref="AA326:AA329"/>
    <mergeCell ref="AB326:AB329"/>
    <mergeCell ref="AC326:AC329"/>
    <mergeCell ref="AD326:AD329"/>
    <mergeCell ref="U330:U333"/>
    <mergeCell ref="V330:V333"/>
    <mergeCell ref="W330:W333"/>
    <mergeCell ref="X330:X333"/>
    <mergeCell ref="Y330:Y333"/>
    <mergeCell ref="Z330:Z333"/>
    <mergeCell ref="AA322:AA325"/>
    <mergeCell ref="AB322:AB325"/>
    <mergeCell ref="AC322:AC325"/>
    <mergeCell ref="AD322:AD325"/>
    <mergeCell ref="U326:U329"/>
    <mergeCell ref="V326:V329"/>
    <mergeCell ref="W326:W329"/>
    <mergeCell ref="X326:X329"/>
    <mergeCell ref="Y326:Y329"/>
    <mergeCell ref="Z326:Z329"/>
    <mergeCell ref="AA320:AA321"/>
    <mergeCell ref="AB320:AB321"/>
    <mergeCell ref="AC320:AC321"/>
    <mergeCell ref="AD320:AD321"/>
    <mergeCell ref="U322:U325"/>
    <mergeCell ref="V322:V325"/>
    <mergeCell ref="W322:W325"/>
    <mergeCell ref="X322:X325"/>
    <mergeCell ref="Y322:Y325"/>
    <mergeCell ref="Z322:Z325"/>
    <mergeCell ref="AA316:AA317"/>
    <mergeCell ref="AB316:AB317"/>
    <mergeCell ref="AC316:AC317"/>
    <mergeCell ref="AD316:AD317"/>
    <mergeCell ref="U320:U321"/>
    <mergeCell ref="V320:V321"/>
    <mergeCell ref="W320:W321"/>
    <mergeCell ref="X320:X321"/>
    <mergeCell ref="Y320:Y321"/>
    <mergeCell ref="Z320:Z321"/>
    <mergeCell ref="U305:U308"/>
    <mergeCell ref="V305:AD308"/>
    <mergeCell ref="U309:U312"/>
    <mergeCell ref="V309:AD312"/>
    <mergeCell ref="U316:U317"/>
    <mergeCell ref="V316:V317"/>
    <mergeCell ref="W316:W317"/>
    <mergeCell ref="X316:X317"/>
    <mergeCell ref="Y316:Y317"/>
    <mergeCell ref="Z316:Z317"/>
    <mergeCell ref="AA297:AA300"/>
    <mergeCell ref="AB297:AB300"/>
    <mergeCell ref="AC297:AC300"/>
    <mergeCell ref="AD297:AD300"/>
    <mergeCell ref="U301:U304"/>
    <mergeCell ref="V301:AD304"/>
    <mergeCell ref="U297:U300"/>
    <mergeCell ref="V297:V300"/>
    <mergeCell ref="W297:W300"/>
    <mergeCell ref="X297:X300"/>
    <mergeCell ref="Y297:Y300"/>
    <mergeCell ref="Z297:Z300"/>
    <mergeCell ref="U285:U288"/>
    <mergeCell ref="V285:AD288"/>
    <mergeCell ref="U289:U292"/>
    <mergeCell ref="V289:AD292"/>
    <mergeCell ref="U293:U296"/>
    <mergeCell ref="V293:AD296"/>
    <mergeCell ref="Z273:Z280"/>
    <mergeCell ref="AA273:AA280"/>
    <mergeCell ref="AB273:AB280"/>
    <mergeCell ref="AC273:AC280"/>
    <mergeCell ref="AD273:AD280"/>
    <mergeCell ref="U281:U284"/>
    <mergeCell ref="V281:AD284"/>
    <mergeCell ref="AB264:AB267"/>
    <mergeCell ref="AC264:AC267"/>
    <mergeCell ref="AD264:AD267"/>
    <mergeCell ref="U268:U271"/>
    <mergeCell ref="V268:AD271"/>
    <mergeCell ref="U273:U280"/>
    <mergeCell ref="V273:V280"/>
    <mergeCell ref="W273:W280"/>
    <mergeCell ref="X273:X280"/>
    <mergeCell ref="Y273:Y280"/>
    <mergeCell ref="AB260:AB263"/>
    <mergeCell ref="AC260:AC263"/>
    <mergeCell ref="AD260:AD263"/>
    <mergeCell ref="U264:U267"/>
    <mergeCell ref="V264:V267"/>
    <mergeCell ref="W264:W267"/>
    <mergeCell ref="X264:X267"/>
    <mergeCell ref="Y264:Y267"/>
    <mergeCell ref="Z264:Z267"/>
    <mergeCell ref="AA264:AA267"/>
    <mergeCell ref="AB256:AB259"/>
    <mergeCell ref="AC256:AC259"/>
    <mergeCell ref="AD256:AD259"/>
    <mergeCell ref="U260:U263"/>
    <mergeCell ref="V260:V263"/>
    <mergeCell ref="W260:W263"/>
    <mergeCell ref="X260:X263"/>
    <mergeCell ref="Y260:Y263"/>
    <mergeCell ref="Z260:Z263"/>
    <mergeCell ref="AA260:AA263"/>
    <mergeCell ref="AB254:AB255"/>
    <mergeCell ref="AC254:AC255"/>
    <mergeCell ref="AD254:AD255"/>
    <mergeCell ref="U256:U259"/>
    <mergeCell ref="V256:V259"/>
    <mergeCell ref="W256:W259"/>
    <mergeCell ref="X256:X259"/>
    <mergeCell ref="Y256:Y259"/>
    <mergeCell ref="Z256:Z259"/>
    <mergeCell ref="AA256:AA259"/>
    <mergeCell ref="AB252:AB253"/>
    <mergeCell ref="AC252:AC253"/>
    <mergeCell ref="AD252:AD253"/>
    <mergeCell ref="U254:U255"/>
    <mergeCell ref="V254:V255"/>
    <mergeCell ref="W254:W255"/>
    <mergeCell ref="X254:X255"/>
    <mergeCell ref="Y254:Y255"/>
    <mergeCell ref="Z254:Z255"/>
    <mergeCell ref="AA254:AA255"/>
    <mergeCell ref="AB250:AB251"/>
    <mergeCell ref="AC250:AC251"/>
    <mergeCell ref="AD250:AD251"/>
    <mergeCell ref="U252:U253"/>
    <mergeCell ref="V252:V253"/>
    <mergeCell ref="W252:W253"/>
    <mergeCell ref="X252:X253"/>
    <mergeCell ref="Y252:Y253"/>
    <mergeCell ref="Z252:Z253"/>
    <mergeCell ref="AA252:AA253"/>
    <mergeCell ref="V250:V251"/>
    <mergeCell ref="W250:W251"/>
    <mergeCell ref="X250:X251"/>
    <mergeCell ref="Y250:Y251"/>
    <mergeCell ref="Z250:Z251"/>
    <mergeCell ref="AA250:AA251"/>
    <mergeCell ref="O248:O249"/>
    <mergeCell ref="P248:P249"/>
    <mergeCell ref="Q248:Q249"/>
    <mergeCell ref="R248:R249"/>
    <mergeCell ref="S248:S249"/>
    <mergeCell ref="U250:U251"/>
    <mergeCell ref="I248:I249"/>
    <mergeCell ref="J248:J249"/>
    <mergeCell ref="K248:K249"/>
    <mergeCell ref="L248:L249"/>
    <mergeCell ref="M248:M249"/>
    <mergeCell ref="N248:N249"/>
    <mergeCell ref="C248:C249"/>
    <mergeCell ref="D248:D249"/>
    <mergeCell ref="E248:E249"/>
    <mergeCell ref="F248:F249"/>
    <mergeCell ref="G248:G249"/>
    <mergeCell ref="H248:H249"/>
    <mergeCell ref="AA241:AA242"/>
    <mergeCell ref="AB241:AB242"/>
    <mergeCell ref="AC241:AC242"/>
    <mergeCell ref="AD241:AD242"/>
    <mergeCell ref="U243:U246"/>
    <mergeCell ref="V243:AD246"/>
    <mergeCell ref="AA239:AA240"/>
    <mergeCell ref="AB239:AB240"/>
    <mergeCell ref="AC239:AC240"/>
    <mergeCell ref="AD239:AD240"/>
    <mergeCell ref="U241:U242"/>
    <mergeCell ref="V241:V242"/>
    <mergeCell ref="W241:W242"/>
    <mergeCell ref="X241:X242"/>
    <mergeCell ref="Y241:Y242"/>
    <mergeCell ref="Z241:Z242"/>
    <mergeCell ref="AA237:AA238"/>
    <mergeCell ref="AB237:AB238"/>
    <mergeCell ref="AC237:AC238"/>
    <mergeCell ref="AD237:AD238"/>
    <mergeCell ref="U239:U240"/>
    <mergeCell ref="V239:V240"/>
    <mergeCell ref="W239:W240"/>
    <mergeCell ref="X239:X240"/>
    <mergeCell ref="Y239:Y240"/>
    <mergeCell ref="Z239:Z240"/>
    <mergeCell ref="AA235:AA236"/>
    <mergeCell ref="AB235:AB236"/>
    <mergeCell ref="AC235:AC236"/>
    <mergeCell ref="AD235:AD236"/>
    <mergeCell ref="U237:U238"/>
    <mergeCell ref="V237:V238"/>
    <mergeCell ref="W237:W238"/>
    <mergeCell ref="X237:X238"/>
    <mergeCell ref="Y237:Y238"/>
    <mergeCell ref="Z237:Z238"/>
    <mergeCell ref="U235:U236"/>
    <mergeCell ref="V235:V236"/>
    <mergeCell ref="W235:W236"/>
    <mergeCell ref="X235:X236"/>
    <mergeCell ref="Y235:Y236"/>
    <mergeCell ref="Z235:Z236"/>
    <mergeCell ref="AA226:AA229"/>
    <mergeCell ref="AB226:AB229"/>
    <mergeCell ref="AC226:AC229"/>
    <mergeCell ref="AD226:AD229"/>
    <mergeCell ref="U230:U233"/>
    <mergeCell ref="V230:AD233"/>
    <mergeCell ref="AA224:AA225"/>
    <mergeCell ref="AB224:AB225"/>
    <mergeCell ref="AC224:AC225"/>
    <mergeCell ref="AD224:AD225"/>
    <mergeCell ref="U226:U229"/>
    <mergeCell ref="V226:V229"/>
    <mergeCell ref="W226:W229"/>
    <mergeCell ref="X226:X229"/>
    <mergeCell ref="Y226:Y229"/>
    <mergeCell ref="Z226:Z229"/>
    <mergeCell ref="AA222:AA223"/>
    <mergeCell ref="AB222:AB223"/>
    <mergeCell ref="AC222:AC223"/>
    <mergeCell ref="AD222:AD223"/>
    <mergeCell ref="U224:U225"/>
    <mergeCell ref="V224:V225"/>
    <mergeCell ref="W224:W225"/>
    <mergeCell ref="X224:X225"/>
    <mergeCell ref="Y224:Y225"/>
    <mergeCell ref="Z224:Z225"/>
    <mergeCell ref="AA214:AA221"/>
    <mergeCell ref="AB214:AB221"/>
    <mergeCell ref="AC214:AC221"/>
    <mergeCell ref="AD214:AD221"/>
    <mergeCell ref="U222:U223"/>
    <mergeCell ref="V222:V223"/>
    <mergeCell ref="W222:W223"/>
    <mergeCell ref="X222:X223"/>
    <mergeCell ref="Y222:Y223"/>
    <mergeCell ref="Z222:Z223"/>
    <mergeCell ref="AA212:AA213"/>
    <mergeCell ref="AB212:AB213"/>
    <mergeCell ref="AC212:AC213"/>
    <mergeCell ref="AD212:AD213"/>
    <mergeCell ref="U214:U221"/>
    <mergeCell ref="V214:V221"/>
    <mergeCell ref="W214:W221"/>
    <mergeCell ref="X214:X221"/>
    <mergeCell ref="Y214:Y221"/>
    <mergeCell ref="Z214:Z221"/>
    <mergeCell ref="AA210:AA211"/>
    <mergeCell ref="AB210:AB211"/>
    <mergeCell ref="AC210:AC211"/>
    <mergeCell ref="AD210:AD211"/>
    <mergeCell ref="U212:U213"/>
    <mergeCell ref="V212:V213"/>
    <mergeCell ref="W212:W213"/>
    <mergeCell ref="X212:X213"/>
    <mergeCell ref="Y212:Y213"/>
    <mergeCell ref="Z212:Z213"/>
    <mergeCell ref="AA202:AA205"/>
    <mergeCell ref="AB202:AB205"/>
    <mergeCell ref="AC202:AC205"/>
    <mergeCell ref="AD202:AD205"/>
    <mergeCell ref="U210:U211"/>
    <mergeCell ref="V210:V211"/>
    <mergeCell ref="W210:W211"/>
    <mergeCell ref="X210:X211"/>
    <mergeCell ref="Y210:Y211"/>
    <mergeCell ref="Z210:Z211"/>
    <mergeCell ref="AA200:AA201"/>
    <mergeCell ref="AB200:AB201"/>
    <mergeCell ref="AC200:AC201"/>
    <mergeCell ref="AD200:AD201"/>
    <mergeCell ref="U202:U205"/>
    <mergeCell ref="V202:V205"/>
    <mergeCell ref="W202:W205"/>
    <mergeCell ref="X202:X205"/>
    <mergeCell ref="Y202:Y205"/>
    <mergeCell ref="Z202:Z205"/>
    <mergeCell ref="AA198:AA199"/>
    <mergeCell ref="AB198:AB199"/>
    <mergeCell ref="AC198:AC199"/>
    <mergeCell ref="AD198:AD199"/>
    <mergeCell ref="U200:U201"/>
    <mergeCell ref="V200:V201"/>
    <mergeCell ref="W200:W201"/>
    <mergeCell ref="X200:X201"/>
    <mergeCell ref="Y200:Y201"/>
    <mergeCell ref="Z200:Z201"/>
    <mergeCell ref="AA194:AA197"/>
    <mergeCell ref="AB194:AB197"/>
    <mergeCell ref="AC194:AC197"/>
    <mergeCell ref="AD194:AD197"/>
    <mergeCell ref="U198:U199"/>
    <mergeCell ref="V198:V199"/>
    <mergeCell ref="W198:W199"/>
    <mergeCell ref="X198:X199"/>
    <mergeCell ref="Y198:Y199"/>
    <mergeCell ref="Z198:Z199"/>
    <mergeCell ref="AA192:AA193"/>
    <mergeCell ref="AB192:AB193"/>
    <mergeCell ref="AC192:AC193"/>
    <mergeCell ref="AD192:AD193"/>
    <mergeCell ref="U194:U197"/>
    <mergeCell ref="V194:V197"/>
    <mergeCell ref="W194:W197"/>
    <mergeCell ref="X194:X197"/>
    <mergeCell ref="Y194:Y197"/>
    <mergeCell ref="Z194:Z197"/>
    <mergeCell ref="AA190:AA191"/>
    <mergeCell ref="AB190:AB191"/>
    <mergeCell ref="AC190:AC191"/>
    <mergeCell ref="AD190:AD191"/>
    <mergeCell ref="U192:U193"/>
    <mergeCell ref="V192:V193"/>
    <mergeCell ref="W192:W193"/>
    <mergeCell ref="X192:X193"/>
    <mergeCell ref="Y192:Y193"/>
    <mergeCell ref="Z192:Z193"/>
    <mergeCell ref="AA186:AA189"/>
    <mergeCell ref="AB186:AB189"/>
    <mergeCell ref="AC186:AC189"/>
    <mergeCell ref="AD186:AD189"/>
    <mergeCell ref="U190:U191"/>
    <mergeCell ref="V190:V191"/>
    <mergeCell ref="W190:W191"/>
    <mergeCell ref="X190:X191"/>
    <mergeCell ref="Y190:Y191"/>
    <mergeCell ref="Z190:Z191"/>
    <mergeCell ref="AA178:AA185"/>
    <mergeCell ref="AB178:AB185"/>
    <mergeCell ref="AC178:AC185"/>
    <mergeCell ref="AD178:AD185"/>
    <mergeCell ref="U186:U189"/>
    <mergeCell ref="V186:V189"/>
    <mergeCell ref="W186:W189"/>
    <mergeCell ref="X186:X189"/>
    <mergeCell ref="Y186:Y189"/>
    <mergeCell ref="Z186:Z189"/>
    <mergeCell ref="AA170:AA177"/>
    <mergeCell ref="AB170:AB177"/>
    <mergeCell ref="AC170:AC177"/>
    <mergeCell ref="AD170:AD177"/>
    <mergeCell ref="U178:U185"/>
    <mergeCell ref="V178:V185"/>
    <mergeCell ref="W178:W185"/>
    <mergeCell ref="X178:X185"/>
    <mergeCell ref="Y178:Y185"/>
    <mergeCell ref="Z178:Z185"/>
    <mergeCell ref="U161:U164"/>
    <mergeCell ref="V161:AD164"/>
    <mergeCell ref="U165:U168"/>
    <mergeCell ref="V165:AD168"/>
    <mergeCell ref="U170:U177"/>
    <mergeCell ref="V170:V177"/>
    <mergeCell ref="W170:W177"/>
    <mergeCell ref="X170:X177"/>
    <mergeCell ref="Y170:Y177"/>
    <mergeCell ref="Z170:Z177"/>
    <mergeCell ref="AA153:AA156"/>
    <mergeCell ref="AB153:AB156"/>
    <mergeCell ref="AC153:AC156"/>
    <mergeCell ref="AD153:AD156"/>
    <mergeCell ref="U157:U160"/>
    <mergeCell ref="V157:AD160"/>
    <mergeCell ref="AC145:AC148"/>
    <mergeCell ref="AD145:AD148"/>
    <mergeCell ref="U149:U152"/>
    <mergeCell ref="V149:AD152"/>
    <mergeCell ref="U153:U156"/>
    <mergeCell ref="V153:V156"/>
    <mergeCell ref="W153:W156"/>
    <mergeCell ref="X153:X156"/>
    <mergeCell ref="Y153:Y156"/>
    <mergeCell ref="Z153:Z156"/>
    <mergeCell ref="AC141:AC144"/>
    <mergeCell ref="AD141:AD144"/>
    <mergeCell ref="U145:U148"/>
    <mergeCell ref="V145:V148"/>
    <mergeCell ref="W145:W148"/>
    <mergeCell ref="X145:X148"/>
    <mergeCell ref="Y145:Y148"/>
    <mergeCell ref="Z145:Z148"/>
    <mergeCell ref="AA145:AA148"/>
    <mergeCell ref="AB145:AB148"/>
    <mergeCell ref="U137:U140"/>
    <mergeCell ref="V137:AD140"/>
    <mergeCell ref="U141:U144"/>
    <mergeCell ref="V141:V144"/>
    <mergeCell ref="W141:W144"/>
    <mergeCell ref="X141:X144"/>
    <mergeCell ref="Y141:Y144"/>
    <mergeCell ref="Z141:Z144"/>
    <mergeCell ref="AA141:AA144"/>
    <mergeCell ref="AB141:AB144"/>
    <mergeCell ref="AB125:AB128"/>
    <mergeCell ref="AC125:AC128"/>
    <mergeCell ref="AD125:AD128"/>
    <mergeCell ref="U129:U132"/>
    <mergeCell ref="V129:AD132"/>
    <mergeCell ref="U133:U136"/>
    <mergeCell ref="V133:AD136"/>
    <mergeCell ref="AB122:AB123"/>
    <mergeCell ref="AC122:AC123"/>
    <mergeCell ref="AD122:AD123"/>
    <mergeCell ref="U125:U128"/>
    <mergeCell ref="V125:V128"/>
    <mergeCell ref="W125:W128"/>
    <mergeCell ref="X125:X128"/>
    <mergeCell ref="Y125:Y128"/>
    <mergeCell ref="Z125:Z128"/>
    <mergeCell ref="AA125:AA128"/>
    <mergeCell ref="V122:V123"/>
    <mergeCell ref="W122:W123"/>
    <mergeCell ref="X122:X123"/>
    <mergeCell ref="Y122:Y123"/>
    <mergeCell ref="Z122:Z123"/>
    <mergeCell ref="AA122:AA123"/>
    <mergeCell ref="O118:O119"/>
    <mergeCell ref="P118:P119"/>
    <mergeCell ref="Q118:Q119"/>
    <mergeCell ref="R118:R119"/>
    <mergeCell ref="S118:S119"/>
    <mergeCell ref="U122:U123"/>
    <mergeCell ref="I118:I119"/>
    <mergeCell ref="J118:J119"/>
    <mergeCell ref="K118:K119"/>
    <mergeCell ref="L118:L119"/>
    <mergeCell ref="M118:M119"/>
    <mergeCell ref="N118:N119"/>
    <mergeCell ref="AA111:AA114"/>
    <mergeCell ref="AB111:AB114"/>
    <mergeCell ref="AC111:AC114"/>
    <mergeCell ref="AD111:AD114"/>
    <mergeCell ref="C118:C119"/>
    <mergeCell ref="D118:D119"/>
    <mergeCell ref="E118:E119"/>
    <mergeCell ref="F118:F119"/>
    <mergeCell ref="G118:G119"/>
    <mergeCell ref="H118:H119"/>
    <mergeCell ref="AA107:AA110"/>
    <mergeCell ref="AB107:AB110"/>
    <mergeCell ref="AC107:AC110"/>
    <mergeCell ref="AD107:AD110"/>
    <mergeCell ref="U111:U114"/>
    <mergeCell ref="V111:V114"/>
    <mergeCell ref="W111:W114"/>
    <mergeCell ref="X111:X114"/>
    <mergeCell ref="Y111:Y114"/>
    <mergeCell ref="Z111:Z114"/>
    <mergeCell ref="AA102:AA105"/>
    <mergeCell ref="AB102:AB105"/>
    <mergeCell ref="AC102:AC105"/>
    <mergeCell ref="AD102:AD105"/>
    <mergeCell ref="U107:U110"/>
    <mergeCell ref="V107:V110"/>
    <mergeCell ref="W107:W110"/>
    <mergeCell ref="X107:X110"/>
    <mergeCell ref="Y107:Y110"/>
    <mergeCell ref="Z107:Z110"/>
    <mergeCell ref="AA98:AA101"/>
    <mergeCell ref="AB98:AB101"/>
    <mergeCell ref="AC98:AC101"/>
    <mergeCell ref="AD98:AD101"/>
    <mergeCell ref="U102:U105"/>
    <mergeCell ref="V102:V105"/>
    <mergeCell ref="W102:W105"/>
    <mergeCell ref="X102:X105"/>
    <mergeCell ref="Y102:Y105"/>
    <mergeCell ref="Z102:Z105"/>
    <mergeCell ref="U98:U101"/>
    <mergeCell ref="V98:V101"/>
    <mergeCell ref="W98:W101"/>
    <mergeCell ref="X98:X101"/>
    <mergeCell ref="Y98:Y101"/>
    <mergeCell ref="Z98:Z101"/>
    <mergeCell ref="AC86:AC88"/>
    <mergeCell ref="AD86:AD88"/>
    <mergeCell ref="U89:U92"/>
    <mergeCell ref="V89:AD92"/>
    <mergeCell ref="U94:U97"/>
    <mergeCell ref="V94:AD97"/>
    <mergeCell ref="AC73:AC76"/>
    <mergeCell ref="AD73:AD76"/>
    <mergeCell ref="U86:U88"/>
    <mergeCell ref="V86:V88"/>
    <mergeCell ref="W86:W88"/>
    <mergeCell ref="X86:X88"/>
    <mergeCell ref="Y86:Y88"/>
    <mergeCell ref="Z86:Z88"/>
    <mergeCell ref="AA86:AA88"/>
    <mergeCell ref="AB86:AB88"/>
    <mergeCell ref="AC69:AC72"/>
    <mergeCell ref="AD69:AD72"/>
    <mergeCell ref="U73:U76"/>
    <mergeCell ref="V73:V76"/>
    <mergeCell ref="W73:W76"/>
    <mergeCell ref="X73:X76"/>
    <mergeCell ref="Y73:Y76"/>
    <mergeCell ref="Z73:Z76"/>
    <mergeCell ref="AA73:AA76"/>
    <mergeCell ref="AB73:AB76"/>
    <mergeCell ref="AC65:AC68"/>
    <mergeCell ref="AD65:AD68"/>
    <mergeCell ref="U69:U72"/>
    <mergeCell ref="V69:V72"/>
    <mergeCell ref="W69:W72"/>
    <mergeCell ref="X69:X72"/>
    <mergeCell ref="Y69:Y72"/>
    <mergeCell ref="Z69:Z72"/>
    <mergeCell ref="AA69:AA72"/>
    <mergeCell ref="AB69:AB72"/>
    <mergeCell ref="AC61:AC64"/>
    <mergeCell ref="AD61:AD64"/>
    <mergeCell ref="U65:U68"/>
    <mergeCell ref="V65:V68"/>
    <mergeCell ref="W65:W68"/>
    <mergeCell ref="X65:X68"/>
    <mergeCell ref="Y65:Y68"/>
    <mergeCell ref="Z65:Z68"/>
    <mergeCell ref="AA65:AA68"/>
    <mergeCell ref="AB65:AB68"/>
    <mergeCell ref="AC56:AC59"/>
    <mergeCell ref="AD56:AD59"/>
    <mergeCell ref="U61:U64"/>
    <mergeCell ref="V61:V64"/>
    <mergeCell ref="W61:W64"/>
    <mergeCell ref="X61:X64"/>
    <mergeCell ref="Y61:Y64"/>
    <mergeCell ref="Z61:Z64"/>
    <mergeCell ref="AA61:AA64"/>
    <mergeCell ref="AB61:AB64"/>
    <mergeCell ref="AC52:AC55"/>
    <mergeCell ref="AD52:AD55"/>
    <mergeCell ref="U56:U59"/>
    <mergeCell ref="V56:V59"/>
    <mergeCell ref="W56:W59"/>
    <mergeCell ref="X56:X59"/>
    <mergeCell ref="Y56:Y59"/>
    <mergeCell ref="Z56:Z59"/>
    <mergeCell ref="AA56:AA59"/>
    <mergeCell ref="AB56:AB59"/>
    <mergeCell ref="AD44:AD47"/>
    <mergeCell ref="U48:AD51"/>
    <mergeCell ref="U52:U55"/>
    <mergeCell ref="V52:V55"/>
    <mergeCell ref="W52:W55"/>
    <mergeCell ref="X52:X55"/>
    <mergeCell ref="Y52:Y55"/>
    <mergeCell ref="Z52:Z55"/>
    <mergeCell ref="AA52:AA55"/>
    <mergeCell ref="AB52:AB55"/>
    <mergeCell ref="AD40:AD43"/>
    <mergeCell ref="U44:U47"/>
    <mergeCell ref="V44:V47"/>
    <mergeCell ref="W44:W47"/>
    <mergeCell ref="X44:X47"/>
    <mergeCell ref="Y44:Y47"/>
    <mergeCell ref="Z44:Z47"/>
    <mergeCell ref="AA44:AA47"/>
    <mergeCell ref="AB44:AB47"/>
    <mergeCell ref="AC44:AC47"/>
    <mergeCell ref="AD36:AD39"/>
    <mergeCell ref="U40:U43"/>
    <mergeCell ref="V40:V43"/>
    <mergeCell ref="W40:W43"/>
    <mergeCell ref="X40:X43"/>
    <mergeCell ref="Y40:Y43"/>
    <mergeCell ref="Z40:Z43"/>
    <mergeCell ref="AA40:AA43"/>
    <mergeCell ref="AB40:AB43"/>
    <mergeCell ref="AC40:AC43"/>
    <mergeCell ref="AD32:AD35"/>
    <mergeCell ref="U36:U39"/>
    <mergeCell ref="V36:V39"/>
    <mergeCell ref="W36:W39"/>
    <mergeCell ref="X36:X39"/>
    <mergeCell ref="Y36:Y39"/>
    <mergeCell ref="Z36:Z39"/>
    <mergeCell ref="AA36:AA39"/>
    <mergeCell ref="AB36:AB39"/>
    <mergeCell ref="AC36:AC39"/>
    <mergeCell ref="AD28:AD31"/>
    <mergeCell ref="U32:U35"/>
    <mergeCell ref="V32:V35"/>
    <mergeCell ref="W32:W35"/>
    <mergeCell ref="X32:X35"/>
    <mergeCell ref="Y32:Y35"/>
    <mergeCell ref="Z32:Z35"/>
    <mergeCell ref="AA32:AA35"/>
    <mergeCell ref="AB32:AB35"/>
    <mergeCell ref="AC32:AC35"/>
    <mergeCell ref="AD21:AD23"/>
    <mergeCell ref="U28:U31"/>
    <mergeCell ref="V28:V31"/>
    <mergeCell ref="W28:W31"/>
    <mergeCell ref="X28:X31"/>
    <mergeCell ref="Y28:Y31"/>
    <mergeCell ref="Z28:Z31"/>
    <mergeCell ref="AA28:AA31"/>
    <mergeCell ref="AB28:AB31"/>
    <mergeCell ref="AC28:AC31"/>
    <mergeCell ref="X21:X23"/>
    <mergeCell ref="Y21:Y23"/>
    <mergeCell ref="Z21:Z23"/>
    <mergeCell ref="AA21:AA23"/>
    <mergeCell ref="AB21:AB23"/>
    <mergeCell ref="AC21:AC23"/>
    <mergeCell ref="R4:S5"/>
    <mergeCell ref="C5:K5"/>
    <mergeCell ref="L5:P5"/>
    <mergeCell ref="U21:U23"/>
    <mergeCell ref="V21:V23"/>
    <mergeCell ref="W21:W23"/>
  </mergeCells>
  <printOptions horizontalCentered="1" verticalCentered="1"/>
  <pageMargins left="0.70866141732283472" right="0.70866141732283472" top="0.74803149606299213" bottom="0.74803149606299213" header="0.31496062992125984" footer="0.31496062992125984"/>
  <pageSetup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EDIFICIOS SEDE CENTRAL modif.</vt:lpstr>
      <vt:lpstr>Meses_depreciados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Rojas Rojas</dc:creator>
  <cp:lastModifiedBy>Javier Rojas Rojas</cp:lastModifiedBy>
  <dcterms:created xsi:type="dcterms:W3CDTF">2025-03-28T22:36:12Z</dcterms:created>
  <dcterms:modified xsi:type="dcterms:W3CDTF">2025-03-28T22:37:36Z</dcterms:modified>
</cp:coreProperties>
</file>