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n\Desktop\Udemy\Spreadsheet\"/>
    </mc:Choice>
  </mc:AlternateContent>
  <bookViews>
    <workbookView xWindow="0" yWindow="0" windowWidth="19200" windowHeight="6950" activeTab="4"/>
  </bookViews>
  <sheets>
    <sheet name="Sheet1" sheetId="1" r:id="rId1"/>
    <sheet name="v2" sheetId="2" r:id="rId2"/>
    <sheet name="v3" sheetId="3" r:id="rId3"/>
    <sheet name="v4" sheetId="4" r:id="rId4"/>
    <sheet name="v4 (2)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5" l="1"/>
  <c r="C42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4" i="5"/>
  <c r="C35" i="5"/>
  <c r="K29" i="5"/>
  <c r="E29" i="5"/>
  <c r="E28" i="5"/>
  <c r="D28" i="5"/>
  <c r="M27" i="5"/>
  <c r="J27" i="5"/>
  <c r="I27" i="5"/>
  <c r="F27" i="5"/>
  <c r="M26" i="5"/>
  <c r="J26" i="5"/>
  <c r="I26" i="5"/>
  <c r="F26" i="5"/>
  <c r="M25" i="5"/>
  <c r="J25" i="5"/>
  <c r="I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M9" i="5"/>
  <c r="J9" i="5"/>
  <c r="I9" i="5"/>
  <c r="F9" i="5"/>
  <c r="M8" i="5"/>
  <c r="J8" i="5"/>
  <c r="I8" i="5"/>
  <c r="F8" i="5"/>
  <c r="M7" i="5"/>
  <c r="J7" i="5"/>
  <c r="I7" i="5"/>
  <c r="F7" i="5"/>
  <c r="M6" i="5"/>
  <c r="J6" i="5"/>
  <c r="I6" i="5"/>
  <c r="F6" i="5"/>
  <c r="M5" i="5"/>
  <c r="J5" i="5"/>
  <c r="I5" i="5"/>
  <c r="F5" i="5"/>
  <c r="M4" i="5"/>
  <c r="J4" i="5"/>
  <c r="I4" i="5"/>
  <c r="F4" i="5"/>
  <c r="F28" i="5" s="1"/>
  <c r="C41" i="4"/>
  <c r="C39" i="4"/>
  <c r="C38" i="4"/>
  <c r="C35" i="1"/>
  <c r="C37" i="4"/>
  <c r="C33" i="5" l="1"/>
  <c r="G27" i="5" l="1"/>
  <c r="G26" i="5"/>
  <c r="G25" i="5"/>
  <c r="G9" i="5"/>
  <c r="G8" i="5"/>
  <c r="G7" i="5"/>
  <c r="G6" i="5"/>
  <c r="G5" i="5"/>
  <c r="G4" i="5"/>
  <c r="H11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0" i="5"/>
  <c r="H5" i="5" l="1"/>
  <c r="L5" i="5" s="1"/>
  <c r="H9" i="5"/>
  <c r="L9" i="5" s="1"/>
  <c r="H6" i="5"/>
  <c r="L6" i="5" s="1"/>
  <c r="H25" i="5"/>
  <c r="L25" i="5" s="1"/>
  <c r="H7" i="5"/>
  <c r="L7" i="5" s="1"/>
  <c r="H26" i="5"/>
  <c r="L26" i="5" s="1"/>
  <c r="H8" i="5"/>
  <c r="L8" i="5" s="1"/>
  <c r="H27" i="5"/>
  <c r="L27" i="5" s="1"/>
  <c r="I10" i="5"/>
  <c r="I15" i="5"/>
  <c r="I19" i="5"/>
  <c r="I23" i="5"/>
  <c r="I12" i="5"/>
  <c r="I16" i="5"/>
  <c r="I20" i="5"/>
  <c r="I24" i="5"/>
  <c r="I13" i="5"/>
  <c r="I17" i="5"/>
  <c r="I21" i="5"/>
  <c r="I11" i="5"/>
  <c r="I14" i="5"/>
  <c r="I18" i="5"/>
  <c r="I22" i="5"/>
  <c r="G29" i="5"/>
  <c r="G28" i="5"/>
  <c r="H4" i="5"/>
  <c r="L4" i="5" s="1"/>
  <c r="C36" i="5" l="1"/>
  <c r="I29" i="5"/>
  <c r="I28" i="5"/>
  <c r="C34" i="5" s="1"/>
  <c r="C37" i="5"/>
  <c r="C38" i="5" s="1"/>
  <c r="C39" i="5" l="1"/>
  <c r="C40" i="5" l="1"/>
  <c r="C44" i="5" s="1"/>
  <c r="K27" i="5"/>
  <c r="K26" i="5"/>
  <c r="K25" i="5"/>
  <c r="K9" i="5"/>
  <c r="K8" i="5"/>
  <c r="K7" i="5"/>
  <c r="K6" i="5"/>
  <c r="K5" i="5"/>
  <c r="K4" i="5"/>
  <c r="J14" i="5"/>
  <c r="J16" i="5"/>
  <c r="J22" i="5"/>
  <c r="J24" i="5"/>
  <c r="J23" i="5"/>
  <c r="J13" i="5"/>
  <c r="J15" i="5"/>
  <c r="J11" i="5"/>
  <c r="J20" i="5"/>
  <c r="J17" i="5"/>
  <c r="J21" i="5"/>
  <c r="J18" i="5"/>
  <c r="J12" i="5"/>
  <c r="J10" i="5"/>
  <c r="J19" i="5"/>
  <c r="R6" i="5" l="1"/>
  <c r="S6" i="5"/>
  <c r="R25" i="5"/>
  <c r="S25" i="5"/>
  <c r="R7" i="5"/>
  <c r="S7" i="5"/>
  <c r="R26" i="5"/>
  <c r="S26" i="5"/>
  <c r="R4" i="5"/>
  <c r="S4" i="5"/>
  <c r="R8" i="5"/>
  <c r="S8" i="5"/>
  <c r="R27" i="5"/>
  <c r="S27" i="5"/>
  <c r="R5" i="5"/>
  <c r="S5" i="5"/>
  <c r="R9" i="5"/>
  <c r="S9" i="5"/>
  <c r="K10" i="5"/>
  <c r="L10" i="5"/>
  <c r="M10" i="5"/>
  <c r="K13" i="5"/>
  <c r="L13" i="5"/>
  <c r="K12" i="5"/>
  <c r="L12" i="5"/>
  <c r="K23" i="5"/>
  <c r="M23" i="5" s="1"/>
  <c r="L23" i="5"/>
  <c r="K18" i="5"/>
  <c r="L18" i="5"/>
  <c r="K11" i="5"/>
  <c r="L11" i="5"/>
  <c r="K24" i="5"/>
  <c r="L24" i="5"/>
  <c r="K17" i="5"/>
  <c r="L17" i="5"/>
  <c r="K16" i="5"/>
  <c r="L16" i="5"/>
  <c r="K20" i="5"/>
  <c r="M20" i="5" s="1"/>
  <c r="L20" i="5"/>
  <c r="K14" i="5"/>
  <c r="L14" i="5"/>
  <c r="K19" i="5"/>
  <c r="L19" i="5"/>
  <c r="K21" i="5"/>
  <c r="L21" i="5"/>
  <c r="M21" i="5"/>
  <c r="K15" i="5"/>
  <c r="L15" i="5"/>
  <c r="K22" i="5"/>
  <c r="L22" i="5"/>
  <c r="R15" i="5" l="1"/>
  <c r="S15" i="5"/>
  <c r="R17" i="5"/>
  <c r="S17" i="5"/>
  <c r="M22" i="5"/>
  <c r="R22" i="5"/>
  <c r="S22" i="5"/>
  <c r="M19" i="5"/>
  <c r="S19" i="5"/>
  <c r="R19" i="5"/>
  <c r="R16" i="5"/>
  <c r="S16" i="5"/>
  <c r="R23" i="5"/>
  <c r="S23" i="5"/>
  <c r="R10" i="5"/>
  <c r="S10" i="5"/>
  <c r="R12" i="5"/>
  <c r="S12" i="5"/>
  <c r="R20" i="5"/>
  <c r="S20" i="5"/>
  <c r="M24" i="5"/>
  <c r="R24" i="5"/>
  <c r="S24" i="5"/>
  <c r="M18" i="5"/>
  <c r="R18" i="5"/>
  <c r="S18" i="5"/>
  <c r="M13" i="5"/>
  <c r="R13" i="5"/>
  <c r="S13" i="5"/>
  <c r="M11" i="5"/>
  <c r="S11" i="5"/>
  <c r="R11" i="5"/>
  <c r="L29" i="5"/>
  <c r="N11" i="5" s="1"/>
  <c r="Q11" i="5" s="1"/>
  <c r="M15" i="5"/>
  <c r="R21" i="5"/>
  <c r="S21" i="5"/>
  <c r="M14" i="5"/>
  <c r="R14" i="5"/>
  <c r="S14" i="5"/>
  <c r="M16" i="5"/>
  <c r="M17" i="5"/>
  <c r="N23" i="5"/>
  <c r="Q23" i="5" s="1"/>
  <c r="M12" i="5"/>
  <c r="K28" i="5"/>
  <c r="N15" i="5" s="1"/>
  <c r="Q15" i="5" s="1"/>
  <c r="N22" i="5" l="1"/>
  <c r="Q22" i="5" s="1"/>
  <c r="N12" i="5"/>
  <c r="Q12" i="5" s="1"/>
  <c r="N19" i="5"/>
  <c r="Q19" i="5" s="1"/>
  <c r="N27" i="5"/>
  <c r="Q27" i="5" s="1"/>
  <c r="N25" i="5"/>
  <c r="Q25" i="5" s="1"/>
  <c r="N6" i="5"/>
  <c r="Q6" i="5" s="1"/>
  <c r="N9" i="5"/>
  <c r="Q9" i="5" s="1"/>
  <c r="N5" i="5"/>
  <c r="Q5" i="5" s="1"/>
  <c r="N26" i="5"/>
  <c r="Q26" i="5" s="1"/>
  <c r="N7" i="5"/>
  <c r="Q7" i="5" s="1"/>
  <c r="N4" i="5"/>
  <c r="Q4" i="5" s="1"/>
  <c r="N8" i="5"/>
  <c r="Q8" i="5" s="1"/>
  <c r="N14" i="5"/>
  <c r="Q14" i="5" s="1"/>
  <c r="N18" i="5"/>
  <c r="Q18" i="5" s="1"/>
  <c r="N10" i="5"/>
  <c r="Q10" i="5" s="1"/>
  <c r="N20" i="5"/>
  <c r="Q20" i="5" s="1"/>
  <c r="N17" i="5"/>
  <c r="Q17" i="5" s="1"/>
  <c r="N21" i="5"/>
  <c r="Q21" i="5" s="1"/>
  <c r="N16" i="5"/>
  <c r="Q16" i="5" s="1"/>
  <c r="N13" i="5"/>
  <c r="Q13" i="5" s="1"/>
  <c r="N24" i="5"/>
  <c r="Q24" i="5" s="1"/>
  <c r="M5" i="4" l="1"/>
  <c r="M6" i="4"/>
  <c r="M7" i="4"/>
  <c r="M8" i="4"/>
  <c r="M9" i="4"/>
  <c r="M25" i="4"/>
  <c r="M26" i="4"/>
  <c r="M27" i="4"/>
  <c r="M4" i="4"/>
  <c r="K29" i="4"/>
  <c r="G10" i="4"/>
  <c r="G11" i="4"/>
  <c r="G12" i="4"/>
  <c r="G13" i="4"/>
  <c r="G14" i="4"/>
  <c r="G15" i="4"/>
  <c r="G16" i="4"/>
  <c r="G17" i="4"/>
  <c r="G21" i="4"/>
  <c r="G22" i="4"/>
  <c r="G23" i="4"/>
  <c r="G24" i="4"/>
  <c r="J5" i="4"/>
  <c r="J6" i="4"/>
  <c r="J7" i="4"/>
  <c r="J8" i="4"/>
  <c r="J9" i="4"/>
  <c r="J25" i="4"/>
  <c r="J26" i="4"/>
  <c r="J27" i="4"/>
  <c r="J4" i="4"/>
  <c r="I5" i="4"/>
  <c r="I6" i="4"/>
  <c r="I7" i="4"/>
  <c r="I8" i="4"/>
  <c r="I9" i="4"/>
  <c r="I25" i="4"/>
  <c r="I26" i="4"/>
  <c r="I27" i="4"/>
  <c r="I4" i="4"/>
  <c r="D28" i="4"/>
  <c r="E2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G18" i="4" s="1"/>
  <c r="F19" i="4"/>
  <c r="F20" i="4"/>
  <c r="G20" i="4" s="1"/>
  <c r="F21" i="4"/>
  <c r="F22" i="4"/>
  <c r="F23" i="4"/>
  <c r="F24" i="4"/>
  <c r="F25" i="4"/>
  <c r="F26" i="4"/>
  <c r="F27" i="4"/>
  <c r="F4" i="4"/>
  <c r="C35" i="4"/>
  <c r="E29" i="4"/>
  <c r="F39" i="3"/>
  <c r="F38" i="3"/>
  <c r="E36" i="3"/>
  <c r="C36" i="3"/>
  <c r="D36" i="3"/>
  <c r="C33" i="4" l="1"/>
  <c r="G5" i="4" s="1"/>
  <c r="H5" i="4" s="1"/>
  <c r="L5" i="4" s="1"/>
  <c r="G19" i="4"/>
  <c r="F28" i="4"/>
  <c r="L4" i="3"/>
  <c r="L5" i="3"/>
  <c r="L6" i="3"/>
  <c r="L7" i="3"/>
  <c r="L8" i="3"/>
  <c r="L9" i="3"/>
  <c r="L10" i="3"/>
  <c r="L11" i="3"/>
  <c r="L12" i="3"/>
  <c r="L25" i="3"/>
  <c r="L26" i="3"/>
  <c r="L27" i="3"/>
  <c r="H4" i="3"/>
  <c r="H5" i="3"/>
  <c r="H6" i="3"/>
  <c r="H7" i="3"/>
  <c r="H8" i="3"/>
  <c r="H9" i="3"/>
  <c r="H25" i="3"/>
  <c r="H26" i="3"/>
  <c r="H27" i="3"/>
  <c r="C35" i="3"/>
  <c r="C34" i="3"/>
  <c r="C33" i="3"/>
  <c r="C32" i="3"/>
  <c r="D29" i="3"/>
  <c r="N28" i="3"/>
  <c r="D28" i="3"/>
  <c r="R27" i="3"/>
  <c r="P27" i="3"/>
  <c r="F27" i="3"/>
  <c r="R26" i="3"/>
  <c r="P26" i="3"/>
  <c r="F26" i="3"/>
  <c r="R25" i="3"/>
  <c r="P25" i="3"/>
  <c r="F25" i="3"/>
  <c r="R12" i="3"/>
  <c r="P12" i="3"/>
  <c r="R11" i="3"/>
  <c r="P11" i="3"/>
  <c r="R10" i="3"/>
  <c r="P10" i="3"/>
  <c r="R9" i="3"/>
  <c r="P9" i="3"/>
  <c r="F9" i="3"/>
  <c r="R8" i="3"/>
  <c r="P8" i="3"/>
  <c r="F8" i="3"/>
  <c r="R7" i="3"/>
  <c r="P7" i="3"/>
  <c r="F7" i="3"/>
  <c r="R6" i="3"/>
  <c r="P6" i="3"/>
  <c r="F6" i="3"/>
  <c r="R5" i="3"/>
  <c r="P5" i="3"/>
  <c r="F5" i="3"/>
  <c r="R4" i="3"/>
  <c r="P4" i="3"/>
  <c r="F4" i="3"/>
  <c r="P5" i="2"/>
  <c r="P6" i="2"/>
  <c r="P7" i="2"/>
  <c r="P8" i="2"/>
  <c r="P9" i="2"/>
  <c r="P25" i="2"/>
  <c r="P26" i="2"/>
  <c r="P27" i="2"/>
  <c r="P4" i="2"/>
  <c r="N4" i="2"/>
  <c r="N5" i="2"/>
  <c r="N6" i="2"/>
  <c r="N7" i="2"/>
  <c r="N8" i="2"/>
  <c r="N9" i="2"/>
  <c r="N25" i="2"/>
  <c r="N26" i="2"/>
  <c r="N27" i="2"/>
  <c r="J4" i="2"/>
  <c r="L28" i="2"/>
  <c r="D29" i="2"/>
  <c r="H5" i="2"/>
  <c r="H6" i="2"/>
  <c r="H7" i="2"/>
  <c r="H8" i="2"/>
  <c r="H9" i="2"/>
  <c r="H25" i="2"/>
  <c r="H26" i="2"/>
  <c r="H27" i="2"/>
  <c r="F27" i="2"/>
  <c r="F26" i="2"/>
  <c r="F25" i="2"/>
  <c r="F9" i="2"/>
  <c r="F8" i="2"/>
  <c r="F7" i="2"/>
  <c r="F6" i="2"/>
  <c r="F5" i="2"/>
  <c r="C35" i="2"/>
  <c r="C34" i="2"/>
  <c r="C33" i="2"/>
  <c r="C32" i="2"/>
  <c r="D28" i="2"/>
  <c r="J27" i="2"/>
  <c r="J26" i="2"/>
  <c r="J25" i="2"/>
  <c r="J9" i="2"/>
  <c r="J8" i="2"/>
  <c r="J7" i="2"/>
  <c r="J6" i="2"/>
  <c r="J5" i="2"/>
  <c r="H16" i="4" l="1"/>
  <c r="I16" i="4" s="1"/>
  <c r="H15" i="4"/>
  <c r="I15" i="4" s="1"/>
  <c r="H14" i="4"/>
  <c r="I14" i="4" s="1"/>
  <c r="H20" i="4"/>
  <c r="H18" i="4"/>
  <c r="H13" i="4"/>
  <c r="I13" i="4" s="1"/>
  <c r="G4" i="4"/>
  <c r="H4" i="4" s="1"/>
  <c r="L4" i="4" s="1"/>
  <c r="H24" i="4"/>
  <c r="I24" i="4" s="1"/>
  <c r="H22" i="4"/>
  <c r="I22" i="4" s="1"/>
  <c r="H17" i="4"/>
  <c r="I17" i="4" s="1"/>
  <c r="G7" i="4"/>
  <c r="H7" i="4" s="1"/>
  <c r="L7" i="4" s="1"/>
  <c r="H12" i="4"/>
  <c r="I12" i="4" s="1"/>
  <c r="H10" i="4"/>
  <c r="I10" i="4" s="1"/>
  <c r="H11" i="4"/>
  <c r="I11" i="4" s="1"/>
  <c r="G25" i="4"/>
  <c r="H25" i="4" s="1"/>
  <c r="L25" i="4" s="1"/>
  <c r="H19" i="4"/>
  <c r="I18" i="4"/>
  <c r="H21" i="4"/>
  <c r="I21" i="4" s="1"/>
  <c r="G6" i="4"/>
  <c r="H6" i="4" s="1"/>
  <c r="L6" i="4" s="1"/>
  <c r="G27" i="4"/>
  <c r="H27" i="4" s="1"/>
  <c r="L27" i="4" s="1"/>
  <c r="H23" i="4"/>
  <c r="I23" i="4" s="1"/>
  <c r="G9" i="4"/>
  <c r="H9" i="4" s="1"/>
  <c r="L9" i="4" s="1"/>
  <c r="G26" i="4"/>
  <c r="H26" i="4" s="1"/>
  <c r="L26" i="4" s="1"/>
  <c r="G8" i="4"/>
  <c r="H8" i="4" s="1"/>
  <c r="L8" i="4" s="1"/>
  <c r="C36" i="2"/>
  <c r="F4" i="2" s="1"/>
  <c r="I20" i="4" l="1"/>
  <c r="I19" i="4"/>
  <c r="G29" i="4"/>
  <c r="G28" i="4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F21" i="2"/>
  <c r="F24" i="2"/>
  <c r="F23" i="2"/>
  <c r="F22" i="2"/>
  <c r="F20" i="2"/>
  <c r="F19" i="2"/>
  <c r="F17" i="2"/>
  <c r="F18" i="2"/>
  <c r="F15" i="2"/>
  <c r="F16" i="2"/>
  <c r="F14" i="2"/>
  <c r="F13" i="2"/>
  <c r="F12" i="2"/>
  <c r="E21" i="2"/>
  <c r="E13" i="2"/>
  <c r="E14" i="2"/>
  <c r="F11" i="2"/>
  <c r="E10" i="2"/>
  <c r="E22" i="2"/>
  <c r="E18" i="2"/>
  <c r="E11" i="2"/>
  <c r="E4" i="2"/>
  <c r="E23" i="2"/>
  <c r="E24" i="2"/>
  <c r="F10" i="2"/>
  <c r="E27" i="2"/>
  <c r="E19" i="2"/>
  <c r="E7" i="2"/>
  <c r="E6" i="2"/>
  <c r="E16" i="2"/>
  <c r="E26" i="2"/>
  <c r="E25" i="2"/>
  <c r="E15" i="2"/>
  <c r="E5" i="2"/>
  <c r="E12" i="2"/>
  <c r="E17" i="2"/>
  <c r="E9" i="2"/>
  <c r="E20" i="2"/>
  <c r="E8" i="2"/>
  <c r="C36" i="4" l="1"/>
  <c r="C37" i="3"/>
  <c r="C38" i="3" s="1"/>
  <c r="G8" i="3" s="1"/>
  <c r="E29" i="3"/>
  <c r="E28" i="3"/>
  <c r="F29" i="3"/>
  <c r="F28" i="3"/>
  <c r="C37" i="2"/>
  <c r="C38" i="2" s="1"/>
  <c r="H4" i="2" s="1"/>
  <c r="F29" i="2"/>
  <c r="E29" i="2"/>
  <c r="E28" i="2"/>
  <c r="F28" i="2"/>
  <c r="I29" i="4" l="1"/>
  <c r="I28" i="4"/>
  <c r="C34" i="4" s="1"/>
  <c r="H13" i="3"/>
  <c r="G5" i="3"/>
  <c r="G4" i="3"/>
  <c r="H11" i="3"/>
  <c r="G26" i="3"/>
  <c r="H23" i="3"/>
  <c r="G25" i="3"/>
  <c r="G23" i="3"/>
  <c r="G24" i="3"/>
  <c r="H10" i="3"/>
  <c r="G22" i="3"/>
  <c r="G12" i="3"/>
  <c r="G6" i="3"/>
  <c r="C41" i="3" s="1"/>
  <c r="C39" i="3"/>
  <c r="C40" i="3" s="1"/>
  <c r="G7" i="3"/>
  <c r="G27" i="3"/>
  <c r="G13" i="3"/>
  <c r="H24" i="3"/>
  <c r="H22" i="3"/>
  <c r="G10" i="3"/>
  <c r="G11" i="3"/>
  <c r="G9" i="3"/>
  <c r="H12" i="3"/>
  <c r="H24" i="2"/>
  <c r="H23" i="2"/>
  <c r="H22" i="2"/>
  <c r="G16" i="2"/>
  <c r="G15" i="2"/>
  <c r="G12" i="2"/>
  <c r="H21" i="2"/>
  <c r="G4" i="2"/>
  <c r="H20" i="2"/>
  <c r="G23" i="2"/>
  <c r="G8" i="2"/>
  <c r="H16" i="2"/>
  <c r="G24" i="2"/>
  <c r="G25" i="2"/>
  <c r="G21" i="2"/>
  <c r="H17" i="2"/>
  <c r="H14" i="2"/>
  <c r="G19" i="2"/>
  <c r="H15" i="2"/>
  <c r="G13" i="2"/>
  <c r="G9" i="2"/>
  <c r="G5" i="2"/>
  <c r="G11" i="2"/>
  <c r="G7" i="2"/>
  <c r="G20" i="2"/>
  <c r="G26" i="2"/>
  <c r="G27" i="2"/>
  <c r="G22" i="2"/>
  <c r="H13" i="2"/>
  <c r="H12" i="2"/>
  <c r="H19" i="2"/>
  <c r="C39" i="2"/>
  <c r="C40" i="2" s="1"/>
  <c r="G14" i="2"/>
  <c r="G17" i="2"/>
  <c r="G10" i="2"/>
  <c r="G18" i="2"/>
  <c r="G6" i="2"/>
  <c r="H10" i="2"/>
  <c r="H18" i="2"/>
  <c r="H11" i="2"/>
  <c r="H16" i="3" l="1"/>
  <c r="G16" i="3" s="1"/>
  <c r="H20" i="3"/>
  <c r="G20" i="3" s="1"/>
  <c r="H17" i="3"/>
  <c r="G17" i="3" s="1"/>
  <c r="H21" i="3"/>
  <c r="G21" i="3" s="1"/>
  <c r="H15" i="3"/>
  <c r="G15" i="3" s="1"/>
  <c r="H14" i="3"/>
  <c r="G14" i="3" s="1"/>
  <c r="H18" i="3"/>
  <c r="G18" i="3" s="1"/>
  <c r="H19" i="3"/>
  <c r="G19" i="3" s="1"/>
  <c r="H29" i="2"/>
  <c r="H28" i="2"/>
  <c r="C43" i="2"/>
  <c r="C44" i="2" s="1"/>
  <c r="C41" i="2"/>
  <c r="C42" i="2"/>
  <c r="G28" i="2"/>
  <c r="G29" i="2"/>
  <c r="G29" i="3" l="1"/>
  <c r="G28" i="3"/>
  <c r="C43" i="3"/>
  <c r="C42" i="3"/>
  <c r="H29" i="3"/>
  <c r="H28" i="3"/>
  <c r="C45" i="2"/>
  <c r="I15" i="2" s="1"/>
  <c r="J15" i="2" s="1"/>
  <c r="I9" i="2"/>
  <c r="I8" i="2"/>
  <c r="I23" i="2"/>
  <c r="J23" i="2" s="1"/>
  <c r="I10" i="2"/>
  <c r="J10" i="2" s="1"/>
  <c r="I5" i="2"/>
  <c r="I4" i="2"/>
  <c r="I26" i="2"/>
  <c r="I22" i="2"/>
  <c r="J22" i="2" s="1"/>
  <c r="I7" i="2"/>
  <c r="I6" i="2"/>
  <c r="I27" i="2"/>
  <c r="I24" i="2"/>
  <c r="J24" i="2" s="1"/>
  <c r="I12" i="2"/>
  <c r="J12" i="2" s="1"/>
  <c r="I11" i="2"/>
  <c r="J11" i="2" s="1"/>
  <c r="I13" i="2"/>
  <c r="J13" i="2" s="1"/>
  <c r="I25" i="2"/>
  <c r="I21" i="2"/>
  <c r="J21" i="2" s="1"/>
  <c r="I17" i="2" l="1"/>
  <c r="I18" i="2"/>
  <c r="I16" i="2"/>
  <c r="I14" i="2"/>
  <c r="J14" i="2" s="1"/>
  <c r="I19" i="2"/>
  <c r="J19" i="2" s="1"/>
  <c r="I20" i="2"/>
  <c r="J20" i="2" s="1"/>
  <c r="K10" i="3"/>
  <c r="K13" i="3"/>
  <c r="L13" i="3" s="1"/>
  <c r="K11" i="3"/>
  <c r="K12" i="3"/>
  <c r="K19" i="3"/>
  <c r="L19" i="3" s="1"/>
  <c r="C44" i="3"/>
  <c r="C45" i="3" s="1"/>
  <c r="K22" i="3" s="1"/>
  <c r="L22" i="3" s="1"/>
  <c r="J17" i="2"/>
  <c r="J18" i="2"/>
  <c r="J16" i="2"/>
  <c r="I29" i="2"/>
  <c r="J5" i="1"/>
  <c r="J6" i="1"/>
  <c r="J7" i="1"/>
  <c r="J8" i="1"/>
  <c r="J9" i="1"/>
  <c r="J25" i="1"/>
  <c r="J26" i="1"/>
  <c r="J27" i="1"/>
  <c r="J4" i="1"/>
  <c r="F5" i="1"/>
  <c r="F6" i="1"/>
  <c r="F7" i="1"/>
  <c r="F8" i="1"/>
  <c r="F9" i="1"/>
  <c r="F25" i="1"/>
  <c r="F26" i="1"/>
  <c r="F27" i="1"/>
  <c r="F4" i="1"/>
  <c r="C34" i="1"/>
  <c r="C33" i="1"/>
  <c r="C32" i="1"/>
  <c r="C31" i="1"/>
  <c r="D28" i="1"/>
  <c r="I28" i="2" l="1"/>
  <c r="K21" i="3"/>
  <c r="L21" i="3" s="1"/>
  <c r="K14" i="3"/>
  <c r="L14" i="3" s="1"/>
  <c r="K18" i="3"/>
  <c r="L18" i="3" s="1"/>
  <c r="K8" i="3"/>
  <c r="K9" i="3"/>
  <c r="K6" i="3"/>
  <c r="K7" i="3"/>
  <c r="K27" i="3"/>
  <c r="K25" i="3"/>
  <c r="K26" i="3"/>
  <c r="K4" i="3"/>
  <c r="K5" i="3"/>
  <c r="K15" i="3"/>
  <c r="L15" i="3" s="1"/>
  <c r="K17" i="3"/>
  <c r="L17" i="3" s="1"/>
  <c r="K16" i="3"/>
  <c r="L16" i="3" s="1"/>
  <c r="K20" i="3"/>
  <c r="L20" i="3" s="1"/>
  <c r="K23" i="3"/>
  <c r="L23" i="3" s="1"/>
  <c r="K24" i="3"/>
  <c r="L24" i="3" s="1"/>
  <c r="J28" i="2"/>
  <c r="J29" i="2"/>
  <c r="K17" i="2" s="1"/>
  <c r="L17" i="2" s="1"/>
  <c r="C36" i="1"/>
  <c r="L29" i="3" l="1"/>
  <c r="M24" i="3" s="1"/>
  <c r="N24" i="3" s="1"/>
  <c r="L28" i="3"/>
  <c r="K29" i="3"/>
  <c r="K28" i="3"/>
  <c r="M12" i="3"/>
  <c r="N12" i="3" s="1"/>
  <c r="M11" i="3"/>
  <c r="N11" i="3" s="1"/>
  <c r="K16" i="2"/>
  <c r="L16" i="2" s="1"/>
  <c r="K19" i="2"/>
  <c r="L19" i="2" s="1"/>
  <c r="K6" i="2"/>
  <c r="L6" i="2" s="1"/>
  <c r="K8" i="2"/>
  <c r="L8" i="2" s="1"/>
  <c r="K4" i="2"/>
  <c r="K26" i="2"/>
  <c r="L26" i="2" s="1"/>
  <c r="K5" i="2"/>
  <c r="L5" i="2" s="1"/>
  <c r="K9" i="2"/>
  <c r="L9" i="2" s="1"/>
  <c r="K7" i="2"/>
  <c r="L7" i="2" s="1"/>
  <c r="K25" i="2"/>
  <c r="L25" i="2" s="1"/>
  <c r="K27" i="2"/>
  <c r="L27" i="2" s="1"/>
  <c r="K10" i="2"/>
  <c r="L10" i="2" s="1"/>
  <c r="K23" i="2"/>
  <c r="L23" i="2" s="1"/>
  <c r="K15" i="2"/>
  <c r="L15" i="2" s="1"/>
  <c r="K13" i="2"/>
  <c r="L13" i="2" s="1"/>
  <c r="K20" i="2"/>
  <c r="L20" i="2" s="1"/>
  <c r="K21" i="2"/>
  <c r="L21" i="2" s="1"/>
  <c r="K22" i="2"/>
  <c r="L22" i="2" s="1"/>
  <c r="K24" i="2"/>
  <c r="L24" i="2" s="1"/>
  <c r="K11" i="2"/>
  <c r="L11" i="2" s="1"/>
  <c r="K12" i="2"/>
  <c r="L12" i="2" s="1"/>
  <c r="K18" i="2"/>
  <c r="L18" i="2" s="1"/>
  <c r="K14" i="2"/>
  <c r="L14" i="2" s="1"/>
  <c r="F13" i="1"/>
  <c r="F17" i="1"/>
  <c r="F21" i="1"/>
  <c r="E5" i="1"/>
  <c r="E9" i="1"/>
  <c r="E13" i="1"/>
  <c r="E17" i="1"/>
  <c r="E21" i="1"/>
  <c r="E25" i="1"/>
  <c r="F16" i="1"/>
  <c r="E24" i="1"/>
  <c r="F10" i="1"/>
  <c r="F14" i="1"/>
  <c r="F18" i="1"/>
  <c r="F22" i="1"/>
  <c r="E6" i="1"/>
  <c r="E10" i="1"/>
  <c r="E14" i="1"/>
  <c r="E18" i="1"/>
  <c r="E22" i="1"/>
  <c r="E26" i="1"/>
  <c r="F12" i="1"/>
  <c r="F24" i="1"/>
  <c r="E8" i="1"/>
  <c r="E16" i="1"/>
  <c r="E4" i="1"/>
  <c r="F11" i="1"/>
  <c r="F15" i="1"/>
  <c r="F19" i="1"/>
  <c r="F23" i="1"/>
  <c r="E7" i="1"/>
  <c r="E11" i="1"/>
  <c r="E15" i="1"/>
  <c r="E19" i="1"/>
  <c r="E23" i="1"/>
  <c r="E27" i="1"/>
  <c r="F20" i="1"/>
  <c r="E12" i="1"/>
  <c r="E20" i="1"/>
  <c r="C37" i="1"/>
  <c r="C38" i="1" s="1"/>
  <c r="M20" i="3" l="1"/>
  <c r="N20" i="3" s="1"/>
  <c r="M6" i="3"/>
  <c r="N6" i="3" s="1"/>
  <c r="M5" i="3"/>
  <c r="N5" i="3" s="1"/>
  <c r="M26" i="3"/>
  <c r="N26" i="3" s="1"/>
  <c r="M9" i="3"/>
  <c r="N9" i="3" s="1"/>
  <c r="M27" i="3"/>
  <c r="N27" i="3" s="1"/>
  <c r="M22" i="3"/>
  <c r="N22" i="3" s="1"/>
  <c r="M23" i="3"/>
  <c r="N23" i="3" s="1"/>
  <c r="M13" i="3"/>
  <c r="N13" i="3" s="1"/>
  <c r="M7" i="3"/>
  <c r="N7" i="3" s="1"/>
  <c r="M14" i="3"/>
  <c r="N14" i="3" s="1"/>
  <c r="M17" i="3"/>
  <c r="N17" i="3" s="1"/>
  <c r="M16" i="3"/>
  <c r="N16" i="3" s="1"/>
  <c r="M19" i="3"/>
  <c r="N19" i="3" s="1"/>
  <c r="M21" i="3"/>
  <c r="N21" i="3" s="1"/>
  <c r="M18" i="3"/>
  <c r="N18" i="3" s="1"/>
  <c r="M10" i="3"/>
  <c r="N10" i="3" s="1"/>
  <c r="M25" i="3"/>
  <c r="N25" i="3" s="1"/>
  <c r="M8" i="3"/>
  <c r="N8" i="3" s="1"/>
  <c r="M15" i="3"/>
  <c r="N15" i="3" s="1"/>
  <c r="M4" i="3"/>
  <c r="N4" i="3" s="1"/>
  <c r="L4" i="2"/>
  <c r="L29" i="2" s="1"/>
  <c r="K29" i="2"/>
  <c r="K30" i="2"/>
  <c r="C39" i="1"/>
  <c r="C41" i="1"/>
  <c r="C42" i="1" s="1"/>
  <c r="C40" i="1"/>
  <c r="F28" i="1"/>
  <c r="E28" i="1"/>
  <c r="M30" i="3" l="1"/>
  <c r="N29" i="3"/>
  <c r="C46" i="3" s="1"/>
  <c r="C49" i="3" s="1"/>
  <c r="C50" i="3" s="1"/>
  <c r="M29" i="3"/>
  <c r="C47" i="2"/>
  <c r="C46" i="2"/>
  <c r="I25" i="1"/>
  <c r="I13" i="1"/>
  <c r="J13" i="1" s="1"/>
  <c r="I6" i="1"/>
  <c r="I7" i="1"/>
  <c r="I10" i="1"/>
  <c r="J10" i="1" s="1"/>
  <c r="I12" i="1"/>
  <c r="J12" i="1" s="1"/>
  <c r="I8" i="1"/>
  <c r="I26" i="1"/>
  <c r="I4" i="1"/>
  <c r="I9" i="1"/>
  <c r="I27" i="1"/>
  <c r="I5" i="1"/>
  <c r="I11" i="1"/>
  <c r="J11" i="1" s="1"/>
  <c r="C43" i="1"/>
  <c r="I24" i="1" s="1"/>
  <c r="J24" i="1" s="1"/>
  <c r="C48" i="3" l="1"/>
  <c r="C47" i="3"/>
  <c r="O12" i="3"/>
  <c r="O26" i="3"/>
  <c r="O6" i="3"/>
  <c r="O11" i="3"/>
  <c r="O5" i="3"/>
  <c r="O4" i="3"/>
  <c r="O7" i="3"/>
  <c r="O25" i="3"/>
  <c r="O27" i="3"/>
  <c r="O10" i="3"/>
  <c r="O8" i="3"/>
  <c r="O9" i="3"/>
  <c r="O21" i="3"/>
  <c r="P21" i="3" s="1"/>
  <c r="O19" i="3"/>
  <c r="O22" i="3"/>
  <c r="P22" i="3" s="1"/>
  <c r="O23" i="3"/>
  <c r="P23" i="3" s="1"/>
  <c r="O13" i="3"/>
  <c r="P13" i="3" s="1"/>
  <c r="O18" i="3"/>
  <c r="P18" i="3" s="1"/>
  <c r="O15" i="3"/>
  <c r="P15" i="3" s="1"/>
  <c r="O14" i="3"/>
  <c r="P14" i="3" s="1"/>
  <c r="O16" i="3"/>
  <c r="P16" i="3" s="1"/>
  <c r="O17" i="3"/>
  <c r="P17" i="3" s="1"/>
  <c r="O20" i="3"/>
  <c r="O24" i="3"/>
  <c r="P19" i="3"/>
  <c r="C49" i="2"/>
  <c r="M5" i="2" s="1"/>
  <c r="C48" i="2"/>
  <c r="I23" i="1"/>
  <c r="J23" i="1" s="1"/>
  <c r="I16" i="1"/>
  <c r="J16" i="1" s="1"/>
  <c r="I18" i="1"/>
  <c r="J18" i="1" s="1"/>
  <c r="I22" i="1"/>
  <c r="J22" i="1" s="1"/>
  <c r="I17" i="1"/>
  <c r="J17" i="1" s="1"/>
  <c r="I19" i="1"/>
  <c r="J19" i="1" s="1"/>
  <c r="I20" i="1"/>
  <c r="J20" i="1" s="1"/>
  <c r="I14" i="1"/>
  <c r="J14" i="1" s="1"/>
  <c r="I21" i="1"/>
  <c r="J21" i="1" s="1"/>
  <c r="I15" i="1"/>
  <c r="J15" i="1" s="1"/>
  <c r="O28" i="3" l="1"/>
  <c r="P20" i="3"/>
  <c r="O29" i="3"/>
  <c r="P24" i="3"/>
  <c r="P29" i="3" s="1"/>
  <c r="M4" i="2"/>
  <c r="M14" i="2"/>
  <c r="M16" i="2"/>
  <c r="N16" i="2" s="1"/>
  <c r="M13" i="2"/>
  <c r="M25" i="2"/>
  <c r="M21" i="2"/>
  <c r="M9" i="2"/>
  <c r="M19" i="2"/>
  <c r="M12" i="2"/>
  <c r="M15" i="2"/>
  <c r="N15" i="2" s="1"/>
  <c r="M23" i="2"/>
  <c r="M11" i="2"/>
  <c r="M6" i="2"/>
  <c r="M18" i="2"/>
  <c r="M8" i="2"/>
  <c r="M27" i="2"/>
  <c r="M20" i="2"/>
  <c r="M10" i="2"/>
  <c r="M17" i="2"/>
  <c r="M26" i="2"/>
  <c r="M22" i="2"/>
  <c r="M7" i="2"/>
  <c r="N14" i="2"/>
  <c r="M24" i="2"/>
  <c r="C50" i="2"/>
  <c r="J28" i="1"/>
  <c r="I28" i="1"/>
  <c r="O30" i="3" l="1"/>
  <c r="Q23" i="3" s="1"/>
  <c r="R23" i="3" s="1"/>
  <c r="Q12" i="3"/>
  <c r="Q8" i="3"/>
  <c r="Q25" i="3"/>
  <c r="Q10" i="3"/>
  <c r="Q9" i="3"/>
  <c r="Q6" i="3"/>
  <c r="Q27" i="3"/>
  <c r="Q11" i="3"/>
  <c r="Q7" i="3"/>
  <c r="Q4" i="3"/>
  <c r="Q5" i="3"/>
  <c r="Q26" i="3"/>
  <c r="P28" i="3"/>
  <c r="N19" i="2"/>
  <c r="N13" i="2"/>
  <c r="M28" i="2"/>
  <c r="M29" i="2"/>
  <c r="O4" i="2" s="1"/>
  <c r="N17" i="2"/>
  <c r="N23" i="2"/>
  <c r="N24" i="2"/>
  <c r="N10" i="2"/>
  <c r="N18" i="2"/>
  <c r="N21" i="2"/>
  <c r="N11" i="2"/>
  <c r="N22" i="2"/>
  <c r="N20" i="2"/>
  <c r="N12" i="2"/>
  <c r="Q13" i="3" l="1"/>
  <c r="R13" i="3" s="1"/>
  <c r="Q15" i="3"/>
  <c r="R15" i="3" s="1"/>
  <c r="Q17" i="3"/>
  <c r="R17" i="3" s="1"/>
  <c r="Q19" i="3"/>
  <c r="R19" i="3" s="1"/>
  <c r="Q18" i="3"/>
  <c r="R18" i="3" s="1"/>
  <c r="Q24" i="3"/>
  <c r="R24" i="3" s="1"/>
  <c r="Q22" i="3"/>
  <c r="R22" i="3" s="1"/>
  <c r="Q16" i="3"/>
  <c r="R16" i="3" s="1"/>
  <c r="Q20" i="3"/>
  <c r="R20" i="3" s="1"/>
  <c r="Q21" i="3"/>
  <c r="R21" i="3" s="1"/>
  <c r="Q14" i="3"/>
  <c r="R14" i="3" s="1"/>
  <c r="O25" i="2"/>
  <c r="O8" i="2"/>
  <c r="M30" i="2"/>
  <c r="O18" i="2" s="1"/>
  <c r="P18" i="2" s="1"/>
  <c r="O5" i="2"/>
  <c r="N28" i="2"/>
  <c r="N29" i="2"/>
  <c r="O9" i="2"/>
  <c r="O6" i="2"/>
  <c r="O26" i="2"/>
  <c r="O7" i="2"/>
  <c r="O27" i="2"/>
  <c r="R29" i="3" l="1"/>
  <c r="R28" i="3"/>
  <c r="Q28" i="3"/>
  <c r="Q29" i="3"/>
  <c r="O12" i="2"/>
  <c r="P12" i="2" s="1"/>
  <c r="O11" i="2"/>
  <c r="P11" i="2" s="1"/>
  <c r="O10" i="2"/>
  <c r="P10" i="2" s="1"/>
  <c r="O22" i="2"/>
  <c r="P22" i="2" s="1"/>
  <c r="O20" i="2"/>
  <c r="P20" i="2" s="1"/>
  <c r="O14" i="2"/>
  <c r="P14" i="2" s="1"/>
  <c r="O17" i="2"/>
  <c r="P17" i="2" s="1"/>
  <c r="O23" i="2"/>
  <c r="P23" i="2" s="1"/>
  <c r="O19" i="2"/>
  <c r="P19" i="2" s="1"/>
  <c r="O15" i="2"/>
  <c r="P15" i="2" s="1"/>
  <c r="O16" i="2"/>
  <c r="P16" i="2" s="1"/>
  <c r="O24" i="2"/>
  <c r="P24" i="2" s="1"/>
  <c r="O13" i="2"/>
  <c r="P13" i="2" s="1"/>
  <c r="O21" i="2"/>
  <c r="P21" i="2" s="1"/>
  <c r="P28" i="2" l="1"/>
  <c r="P29" i="2"/>
  <c r="O29" i="2"/>
  <c r="O28" i="2"/>
  <c r="J20" i="4" l="1"/>
  <c r="L20" i="4" l="1"/>
  <c r="K20" i="4"/>
  <c r="M20" i="4" s="1"/>
  <c r="J10" i="4"/>
  <c r="J11" i="4"/>
  <c r="J19" i="4"/>
  <c r="K5" i="4"/>
  <c r="J12" i="4"/>
  <c r="J18" i="4"/>
  <c r="J13" i="4"/>
  <c r="K26" i="4"/>
  <c r="K25" i="4"/>
  <c r="K9" i="4"/>
  <c r="C40" i="4"/>
  <c r="K7" i="4"/>
  <c r="K8" i="4"/>
  <c r="K6" i="4"/>
  <c r="J14" i="4"/>
  <c r="K4" i="4"/>
  <c r="J15" i="4"/>
  <c r="J17" i="4"/>
  <c r="J24" i="4"/>
  <c r="J16" i="4"/>
  <c r="J23" i="4"/>
  <c r="J22" i="4"/>
  <c r="J21" i="4"/>
  <c r="K27" i="4"/>
  <c r="K19" i="4" l="1"/>
  <c r="M19" i="4" s="1"/>
  <c r="L19" i="4"/>
  <c r="K11" i="4"/>
  <c r="M11" i="4" s="1"/>
  <c r="L11" i="4"/>
  <c r="L10" i="4"/>
  <c r="K10" i="4"/>
  <c r="M10" i="4" s="1"/>
  <c r="L13" i="4"/>
  <c r="K13" i="4"/>
  <c r="M13" i="4" s="1"/>
  <c r="L18" i="4"/>
  <c r="K18" i="4"/>
  <c r="M18" i="4" s="1"/>
  <c r="K12" i="4"/>
  <c r="M12" i="4" s="1"/>
  <c r="L12" i="4"/>
  <c r="L21" i="4"/>
  <c r="K21" i="4"/>
  <c r="M21" i="4" s="1"/>
  <c r="L24" i="4"/>
  <c r="K24" i="4"/>
  <c r="M24" i="4" s="1"/>
  <c r="L14" i="4"/>
  <c r="K14" i="4"/>
  <c r="M14" i="4" s="1"/>
  <c r="K22" i="4"/>
  <c r="M22" i="4" s="1"/>
  <c r="L22" i="4"/>
  <c r="L17" i="4"/>
  <c r="K17" i="4"/>
  <c r="M17" i="4" s="1"/>
  <c r="K23" i="4"/>
  <c r="M23" i="4" s="1"/>
  <c r="L23" i="4"/>
  <c r="L15" i="4"/>
  <c r="K15" i="4"/>
  <c r="M15" i="4" s="1"/>
  <c r="K16" i="4"/>
  <c r="L16" i="4"/>
  <c r="K28" i="4" l="1"/>
  <c r="M16" i="4"/>
</calcChain>
</file>

<file path=xl/sharedStrings.xml><?xml version="1.0" encoding="utf-8"?>
<sst xmlns="http://schemas.openxmlformats.org/spreadsheetml/2006/main" count="295" uniqueCount="72">
  <si>
    <t>Hour Ending</t>
  </si>
  <si>
    <t>Building load (tons)</t>
  </si>
  <si>
    <t>Sum</t>
  </si>
  <si>
    <t>Max</t>
  </si>
  <si>
    <t>Icemaking</t>
  </si>
  <si>
    <t>Partial Storage</t>
  </si>
  <si>
    <t>Full Storage</t>
  </si>
  <si>
    <t>Icemaking hrs:</t>
  </si>
  <si>
    <t>Partial Storage hrs:</t>
  </si>
  <si>
    <t>Full Storage hrs:</t>
  </si>
  <si>
    <t>Min Chiller Size:</t>
  </si>
  <si>
    <t>Diversity factor:</t>
  </si>
  <si>
    <t>Add 10%:</t>
  </si>
  <si>
    <t>10% "cushion" - margin for error/load growth</t>
  </si>
  <si>
    <t>Storage ton-hrs:</t>
  </si>
  <si>
    <t>Tanks:</t>
  </si>
  <si>
    <t>Chiller Plant Mode</t>
  </si>
  <si>
    <t>Charge t-h:</t>
  </si>
  <si>
    <t>Discharge1 t-h:</t>
  </si>
  <si>
    <t>Revised Chiller Use</t>
  </si>
  <si>
    <t>Max Original Output:</t>
  </si>
  <si>
    <t>Hrs at max:</t>
  </si>
  <si>
    <t>Tons that can be shaven:</t>
  </si>
  <si>
    <t>Revised Ice Dispatch</t>
  </si>
  <si>
    <t>1st Chiller Use (tons)</t>
  </si>
  <si>
    <t>1st Ice Dispatch</t>
  </si>
  <si>
    <t>2nd Chiller Usage</t>
  </si>
  <si>
    <t>2nd Ice Dispatch</t>
  </si>
  <si>
    <t>2nd Partial Storage hrs:</t>
  </si>
  <si>
    <t>2nd Chiller size:</t>
  </si>
  <si>
    <t>3rd Chiller Use</t>
  </si>
  <si>
    <t>3rd Ice Dispatch</t>
  </si>
  <si>
    <t>4th Chiller Use</t>
  </si>
  <si>
    <t>4th Ice Dispatch</t>
  </si>
  <si>
    <t>Discharge2 t-h:</t>
  </si>
  <si>
    <t>3rd run chiller opt:</t>
  </si>
  <si>
    <t>IsHighest, 3ID</t>
  </si>
  <si>
    <t>MaxDis</t>
  </si>
  <si>
    <t>Hrs at or above chiller opt:</t>
  </si>
  <si>
    <t>&lt;---got to get the baseline</t>
  </si>
  <si>
    <t>available t-h:</t>
  </si>
  <si>
    <t>avg. &gt;= max:</t>
  </si>
  <si>
    <t>5th Chiller Use</t>
  </si>
  <si>
    <t>5th Ice Dispatch</t>
  </si>
  <si>
    <t>false t-h:</t>
  </si>
  <si>
    <t>=IF(I4&gt;=$C$46,$C$49,I4)</t>
  </si>
  <si>
    <t>Chiller Only</t>
  </si>
  <si>
    <t>Baseload</t>
  </si>
  <si>
    <t>Variable load</t>
  </si>
  <si>
    <t>Building Load (tons)</t>
  </si>
  <si>
    <t>Full Storage Build/(Dispatch)</t>
  </si>
  <si>
    <t>Full "chiller" available</t>
  </si>
  <si>
    <t>Partial needs</t>
  </si>
  <si>
    <t>Partial t-h</t>
  </si>
  <si>
    <t>Full chiller "contr."</t>
  </si>
  <si>
    <t>Partial chiller "contr."</t>
  </si>
  <si>
    <t>Partial Chiller</t>
  </si>
  <si>
    <t>Initial Chiller Output</t>
  </si>
  <si>
    <t>P Chiller Ice Build/(Dispatch)</t>
  </si>
  <si>
    <t>Initial Aggregated Loads</t>
  </si>
  <si>
    <t>Diversity of Partial hrs:</t>
  </si>
  <si>
    <t>Effective Partial hrs:</t>
  </si>
  <si>
    <t>Baseload Chiller</t>
  </si>
  <si>
    <t>Dual-Duty Chiller</t>
  </si>
  <si>
    <t>Ice Discharge</t>
  </si>
  <si>
    <t>Ice Charge</t>
  </si>
  <si>
    <t>HE</t>
  </si>
  <si>
    <t>Final Aggregated Chiller</t>
  </si>
  <si>
    <t>Dual-Duty Chiller:</t>
  </si>
  <si>
    <t>Baseload Chiller:</t>
  </si>
  <si>
    <t>Plant Configuration</t>
  </si>
  <si>
    <t>IceBanks: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</si>
</sst>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0.0%"/>
    <numFmt numFmtId="165" formatCode="0.000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0.0_);[Red]\(0.0\)"/>
    <numFmt numFmtId="170" formatCode="0&quot; tons&quot;"/>
    <numFmt numFmtId="171" formatCode="0&quot; tanks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Protection="1">
      <protection locked="0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2" applyNumberFormat="1" applyFont="1"/>
    <xf numFmtId="165" fontId="0" fillId="0" borderId="0" xfId="0" applyNumberFormat="1"/>
    <xf numFmtId="2" fontId="0" fillId="0" borderId="0" xfId="0" applyNumberFormat="1"/>
    <xf numFmtId="0" fontId="4" fillId="0" borderId="0" xfId="0" applyFon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7" fontId="0" fillId="0" borderId="0" xfId="1" applyNumberFormat="1" applyFont="1"/>
    <xf numFmtId="168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0" fillId="0" borderId="0" xfId="0" applyFill="1" applyBorder="1" applyAlignment="1">
      <alignment horizontal="right"/>
    </xf>
    <xf numFmtId="0" fontId="0" fillId="0" borderId="0" xfId="0" quotePrefix="1"/>
    <xf numFmtId="0" fontId="5" fillId="2" borderId="0" xfId="0" applyFont="1" applyFill="1"/>
    <xf numFmtId="166" fontId="2" fillId="2" borderId="0" xfId="0" applyNumberFormat="1" applyFont="1" applyFill="1"/>
    <xf numFmtId="167" fontId="2" fillId="2" borderId="0" xfId="1" applyNumberFormat="1" applyFont="1" applyFill="1"/>
    <xf numFmtId="2" fontId="0" fillId="0" borderId="0" xfId="0" applyNumberFormat="1" applyBorder="1"/>
    <xf numFmtId="168" fontId="0" fillId="0" borderId="0" xfId="0" applyNumberFormat="1"/>
    <xf numFmtId="169" fontId="0" fillId="0" borderId="0" xfId="0" applyNumberFormat="1"/>
    <xf numFmtId="166" fontId="0" fillId="3" borderId="0" xfId="0" applyNumberFormat="1" applyFill="1"/>
    <xf numFmtId="0" fontId="3" fillId="4" borderId="0" xfId="0" applyFont="1" applyFill="1"/>
    <xf numFmtId="0" fontId="0" fillId="4" borderId="0" xfId="0" applyFill="1" applyProtection="1">
      <protection locked="0"/>
    </xf>
    <xf numFmtId="0" fontId="3" fillId="5" borderId="0" xfId="0" applyFont="1" applyFill="1"/>
    <xf numFmtId="166" fontId="0" fillId="5" borderId="0" xfId="0" applyNumberFormat="1" applyFill="1"/>
    <xf numFmtId="43" fontId="0" fillId="0" borderId="0" xfId="0" applyNumberFormat="1"/>
    <xf numFmtId="9" fontId="0" fillId="0" borderId="0" xfId="2" applyFont="1"/>
    <xf numFmtId="0" fontId="0" fillId="0" borderId="0" xfId="0" applyFill="1"/>
    <xf numFmtId="0" fontId="0" fillId="0" borderId="0" xfId="0" quotePrefix="1" applyFill="1"/>
    <xf numFmtId="0" fontId="5" fillId="0" borderId="0" xfId="0" applyFont="1" applyFill="1"/>
    <xf numFmtId="0" fontId="3" fillId="0" borderId="0" xfId="0" applyFont="1" applyFill="1"/>
    <xf numFmtId="166" fontId="2" fillId="0" borderId="0" xfId="0" applyNumberFormat="1" applyFont="1" applyFill="1"/>
    <xf numFmtId="166" fontId="0" fillId="0" borderId="0" xfId="0" applyNumberFormat="1" applyFill="1"/>
    <xf numFmtId="165" fontId="0" fillId="0" borderId="0" xfId="0" applyNumberFormat="1" applyFill="1"/>
    <xf numFmtId="167" fontId="2" fillId="0" borderId="0" xfId="1" applyNumberFormat="1" applyFont="1" applyFill="1"/>
    <xf numFmtId="167" fontId="0" fillId="0" borderId="0" xfId="1" applyNumberFormat="1" applyFont="1" applyFill="1"/>
    <xf numFmtId="0" fontId="0" fillId="0" borderId="0" xfId="0" applyBorder="1"/>
    <xf numFmtId="0" fontId="0" fillId="0" borderId="0" xfId="0" applyBorder="1" applyAlignment="1">
      <alignment horizontal="right"/>
    </xf>
    <xf numFmtId="166" fontId="0" fillId="0" borderId="0" xfId="0" applyNumberFormat="1" applyBorder="1"/>
    <xf numFmtId="1" fontId="0" fillId="0" borderId="0" xfId="0" applyNumberFormat="1" applyFont="1" applyFill="1"/>
    <xf numFmtId="1" fontId="0" fillId="0" borderId="0" xfId="0" applyNumberFormat="1" applyFill="1"/>
    <xf numFmtId="0" fontId="0" fillId="6" borderId="2" xfId="0" applyFill="1" applyBorder="1"/>
    <xf numFmtId="0" fontId="0" fillId="6" borderId="2" xfId="0" applyFill="1" applyBorder="1" applyProtection="1">
      <protection locked="0"/>
    </xf>
    <xf numFmtId="0" fontId="3" fillId="6" borderId="3" xfId="0" applyFont="1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0" fillId="6" borderId="6" xfId="0" applyFill="1" applyBorder="1" applyAlignment="1">
      <alignment horizontal="center"/>
    </xf>
    <xf numFmtId="0" fontId="0" fillId="6" borderId="7" xfId="0" applyFill="1" applyBorder="1" applyProtection="1">
      <protection locked="0"/>
    </xf>
    <xf numFmtId="0" fontId="0" fillId="6" borderId="8" xfId="0" applyFill="1" applyBorder="1" applyAlignment="1">
      <alignment horizontal="center"/>
    </xf>
    <xf numFmtId="0" fontId="0" fillId="6" borderId="9" xfId="0" applyFill="1" applyBorder="1"/>
    <xf numFmtId="0" fontId="0" fillId="6" borderId="9" xfId="0" applyFill="1" applyBorder="1" applyProtection="1">
      <protection locked="0"/>
    </xf>
    <xf numFmtId="0" fontId="0" fillId="6" borderId="10" xfId="0" applyFill="1" applyBorder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Alignment="1">
      <alignment horizontal="center"/>
    </xf>
    <xf numFmtId="170" fontId="0" fillId="0" borderId="0" xfId="0" applyNumberFormat="1"/>
    <xf numFmtId="170" fontId="0" fillId="0" borderId="0" xfId="2" applyNumberFormat="1" applyFont="1"/>
    <xf numFmtId="171" fontId="0" fillId="0" borderId="0" xfId="0" applyNumberFormat="1"/>
    <xf numFmtId="171" fontId="0" fillId="0" borderId="0" xfId="0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 Day Load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'v4 (2)'!$O$3</c:f>
              <c:strCache>
                <c:ptCount val="1"/>
                <c:pt idx="0">
                  <c:v>HE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'v4 (2)'!$O$4:$O$27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9-4519-AF90-46C4C4A00702}"/>
            </c:ext>
          </c:extLst>
        </c:ser>
        <c:ser>
          <c:idx val="1"/>
          <c:order val="1"/>
          <c:tx>
            <c:strRef>
              <c:f>'v4 (2)'!$P$3</c:f>
              <c:strCache>
                <c:ptCount val="1"/>
                <c:pt idx="0">
                  <c:v>Baseload Chiller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'v4 (2)'!$P$4:$P$27</c:f>
              <c:numCache>
                <c:formatCode>0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0</c:v>
                </c:pt>
                <c:pt idx="7">
                  <c:v>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9-4519-AF90-46C4C4A00702}"/>
            </c:ext>
          </c:extLst>
        </c:ser>
        <c:ser>
          <c:idx val="2"/>
          <c:order val="2"/>
          <c:tx>
            <c:strRef>
              <c:f>'v4 (2)'!$Q$3</c:f>
              <c:strCache>
                <c:ptCount val="1"/>
                <c:pt idx="0">
                  <c:v>Dual-Duty Chiller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'v4 (2)'!$Q$4:$Q$27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400</c:v>
                </c:pt>
                <c:pt idx="9">
                  <c:v>500</c:v>
                </c:pt>
                <c:pt idx="10">
                  <c:v>592.11198093941459</c:v>
                </c:pt>
                <c:pt idx="11">
                  <c:v>592.11198093941459</c:v>
                </c:pt>
                <c:pt idx="12">
                  <c:v>592.11198093941459</c:v>
                </c:pt>
                <c:pt idx="13">
                  <c:v>592.11198093941459</c:v>
                </c:pt>
                <c:pt idx="14">
                  <c:v>592.11198093941459</c:v>
                </c:pt>
                <c:pt idx="15">
                  <c:v>592.11198093941459</c:v>
                </c:pt>
                <c:pt idx="16">
                  <c:v>592.11198093941459</c:v>
                </c:pt>
                <c:pt idx="17">
                  <c:v>592.11198093941459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69-4519-AF90-46C4C4A00702}"/>
            </c:ext>
          </c:extLst>
        </c:ser>
        <c:ser>
          <c:idx val="3"/>
          <c:order val="3"/>
          <c:tx>
            <c:strRef>
              <c:f>'v4 (2)'!$R$3</c:f>
              <c:strCache>
                <c:ptCount val="1"/>
                <c:pt idx="0">
                  <c:v>Ice Charge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'v4 (2)'!$R$4:$R$27</c:f>
              <c:numCache>
                <c:formatCode>0</c:formatCode>
                <c:ptCount val="24"/>
                <c:pt idx="0">
                  <c:v>407.01157249829811</c:v>
                </c:pt>
                <c:pt idx="1">
                  <c:v>407.01157249829811</c:v>
                </c:pt>
                <c:pt idx="2">
                  <c:v>407.01157249829811</c:v>
                </c:pt>
                <c:pt idx="3">
                  <c:v>407.01157249829811</c:v>
                </c:pt>
                <c:pt idx="4">
                  <c:v>407.01157249829811</c:v>
                </c:pt>
                <c:pt idx="5">
                  <c:v>407.01157249829811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407.01157249829811</c:v>
                </c:pt>
                <c:pt idx="22">
                  <c:v>407.01157249829811</c:v>
                </c:pt>
                <c:pt idx="23">
                  <c:v>407.01157249829811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69-4519-AF90-46C4C4A00702}"/>
            </c:ext>
          </c:extLst>
        </c:ser>
        <c:ser>
          <c:idx val="4"/>
          <c:order val="4"/>
          <c:tx>
            <c:strRef>
              <c:f>'v4 (2)'!$S$3</c:f>
              <c:strCache>
                <c:ptCount val="1"/>
                <c:pt idx="0">
                  <c:v>Ice Discharge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'v4 (2)'!$S$4:$S$27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  <c:pt idx="10">
                  <c:v>173.82835000261832</c:v>
                </c:pt>
                <c:pt idx="11">
                  <c:v>373.82835000261832</c:v>
                </c:pt>
                <c:pt idx="12">
                  <c:v>373.82835000261832</c:v>
                </c:pt>
                <c:pt idx="13">
                  <c:v>373.82835000261832</c:v>
                </c:pt>
                <c:pt idx="14">
                  <c:v>373.82835000261832</c:v>
                </c:pt>
                <c:pt idx="15">
                  <c:v>373.82835000261832</c:v>
                </c:pt>
                <c:pt idx="16">
                  <c:v>273.82835000261832</c:v>
                </c:pt>
                <c:pt idx="17">
                  <c:v>173.82835000261832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69-4519-AF90-46C4C4A00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2773984"/>
        <c:axId val="512775296"/>
      </c:barChart>
      <c:catAx>
        <c:axId val="51277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5296"/>
        <c:crosses val="autoZero"/>
        <c:auto val="1"/>
        <c:lblAlgn val="ctr"/>
        <c:lblOffset val="100"/>
        <c:noMultiLvlLbl val="0"/>
      </c:catAx>
      <c:valAx>
        <c:axId val="5127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837406</xdr:colOff>
      <xdr:row>30</xdr:row>
      <xdr:rowOff>156368</xdr:rowOff>
    </xdr:from>
    <xdr:to>
      <xdr:col>7</xdr:col>
      <xdr:colOff>746125</xdr:colOff>
      <xdr:row>45</xdr:row>
      <xdr:rowOff>161130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3"/>
  <sheetViews>
    <sheetView topLeftCell="A25" zoomScale="80" zoomScaleNormal="80" workbookViewId="0">
      <selection activeCell="C35" sqref="C35"/>
    </sheetView>
  </sheetViews>
  <sheetFormatPr defaultRowHeight="14.5" x14ac:dyDescent="0.35"/>
  <cols>
    <col min="2" max="2" width="11.08984375" bestFit="1" customWidth="1"/>
    <col min="3" max="3" width="16.90625" bestFit="1" customWidth="1"/>
    <col min="4" max="4" width="18.54296875" customWidth="1"/>
    <col min="5" max="5" width="24.36328125" customWidth="1"/>
    <col min="6" max="8" width="15.6328125" customWidth="1"/>
    <col min="9" max="9" width="19" customWidth="1"/>
    <col min="10" max="10" width="19.1796875" bestFit="1" customWidth="1"/>
  </cols>
  <sheetData>
    <row r="1" spans="2:24" x14ac:dyDescent="0.35">
      <c r="X1" s="2" t="s">
        <v>4</v>
      </c>
    </row>
    <row r="2" spans="2:24" x14ac:dyDescent="0.35">
      <c r="X2" s="2" t="s">
        <v>5</v>
      </c>
    </row>
    <row r="3" spans="2:24" x14ac:dyDescent="0.35">
      <c r="B3" s="3" t="s">
        <v>0</v>
      </c>
      <c r="C3" s="3" t="s">
        <v>16</v>
      </c>
      <c r="D3" s="3" t="s">
        <v>1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19</v>
      </c>
      <c r="J3" s="3" t="s">
        <v>23</v>
      </c>
      <c r="X3" s="2" t="s">
        <v>6</v>
      </c>
    </row>
    <row r="4" spans="2:24" x14ac:dyDescent="0.35">
      <c r="B4" s="11">
        <v>1</v>
      </c>
      <c r="C4" t="s">
        <v>4</v>
      </c>
      <c r="D4" s="1">
        <v>0</v>
      </c>
      <c r="E4" s="9">
        <f>IF(C4="Full Storage",0,IF(C4="Icemaking",$C$36*0.65,IF(D4&lt;$C$36,D4,$C$36)))</f>
        <v>367.25</v>
      </c>
      <c r="F4" s="9">
        <f>IF(C4="Icemaking",0,IF(C4="Full Storage",D4,IF(D4&lt;$C$36,0,D4-$C$36)))</f>
        <v>0</v>
      </c>
      <c r="G4" s="9"/>
      <c r="H4" s="9"/>
      <c r="I4" s="9">
        <f>IF(E4=$C$41,$C$41-$C$43,E4)</f>
        <v>367.25</v>
      </c>
      <c r="J4" s="9">
        <f t="shared" ref="J4:J27" si="0">IF(C4="Full Storage",D4,IF(C4="Partial Storage",D4-I4,0))</f>
        <v>0</v>
      </c>
    </row>
    <row r="5" spans="2:24" x14ac:dyDescent="0.35">
      <c r="B5" s="11">
        <v>2</v>
      </c>
      <c r="C5" t="s">
        <v>4</v>
      </c>
      <c r="D5" s="1">
        <v>0</v>
      </c>
      <c r="E5" s="9">
        <f t="shared" ref="E5:E27" si="1">IF(C5="Full Storage",0,IF(C5="Icemaking",$C$36*0.65,IF(D5&lt;$C$36,D5,$C$36)))</f>
        <v>367.25</v>
      </c>
      <c r="F5" s="9">
        <f t="shared" ref="F5:F27" si="2">IF(C5="Icemaking",0,IF(C5="Full Storage",D5,IF(D5&lt;$C$36,0,D5-$C$36)))</f>
        <v>0</v>
      </c>
      <c r="G5" s="9"/>
      <c r="H5" s="9"/>
      <c r="I5" s="9">
        <f t="shared" ref="I5:I27" si="3">IF(E5=$C$41,$C$41-$C$43,E5)</f>
        <v>367.25</v>
      </c>
      <c r="J5" s="9">
        <f t="shared" si="0"/>
        <v>0</v>
      </c>
    </row>
    <row r="6" spans="2:24" x14ac:dyDescent="0.35">
      <c r="B6" s="11">
        <v>3</v>
      </c>
      <c r="C6" t="s">
        <v>4</v>
      </c>
      <c r="D6" s="1">
        <v>0</v>
      </c>
      <c r="E6" s="9">
        <f t="shared" si="1"/>
        <v>367.25</v>
      </c>
      <c r="F6" s="9">
        <f t="shared" si="2"/>
        <v>0</v>
      </c>
      <c r="G6" s="9"/>
      <c r="H6" s="9"/>
      <c r="I6" s="9">
        <f t="shared" si="3"/>
        <v>367.25</v>
      </c>
      <c r="J6" s="9">
        <f t="shared" si="0"/>
        <v>0</v>
      </c>
    </row>
    <row r="7" spans="2:24" x14ac:dyDescent="0.35">
      <c r="B7" s="11">
        <v>4</v>
      </c>
      <c r="C7" t="s">
        <v>4</v>
      </c>
      <c r="D7" s="1">
        <v>0</v>
      </c>
      <c r="E7" s="9">
        <f t="shared" si="1"/>
        <v>367.25</v>
      </c>
      <c r="F7" s="9">
        <f t="shared" si="2"/>
        <v>0</v>
      </c>
      <c r="G7" s="9"/>
      <c r="H7" s="9"/>
      <c r="I7" s="9">
        <f t="shared" si="3"/>
        <v>367.25</v>
      </c>
      <c r="J7" s="9">
        <f t="shared" si="0"/>
        <v>0</v>
      </c>
    </row>
    <row r="8" spans="2:24" x14ac:dyDescent="0.35">
      <c r="B8" s="11">
        <v>5</v>
      </c>
      <c r="C8" t="s">
        <v>4</v>
      </c>
      <c r="D8" s="1">
        <v>0</v>
      </c>
      <c r="E8" s="9">
        <f t="shared" si="1"/>
        <v>367.25</v>
      </c>
      <c r="F8" s="9">
        <f t="shared" si="2"/>
        <v>0</v>
      </c>
      <c r="G8" s="9"/>
      <c r="H8" s="9"/>
      <c r="I8" s="9">
        <f t="shared" si="3"/>
        <v>367.25</v>
      </c>
      <c r="J8" s="9">
        <f t="shared" si="0"/>
        <v>0</v>
      </c>
    </row>
    <row r="9" spans="2:24" x14ac:dyDescent="0.35">
      <c r="B9" s="11">
        <v>6</v>
      </c>
      <c r="C9" t="s">
        <v>4</v>
      </c>
      <c r="D9" s="1">
        <v>0</v>
      </c>
      <c r="E9" s="9">
        <f t="shared" si="1"/>
        <v>367.25</v>
      </c>
      <c r="F9" s="9">
        <f t="shared" si="2"/>
        <v>0</v>
      </c>
      <c r="G9" s="9"/>
      <c r="H9" s="9"/>
      <c r="I9" s="9">
        <f t="shared" si="3"/>
        <v>367.25</v>
      </c>
      <c r="J9" s="9">
        <f t="shared" si="0"/>
        <v>0</v>
      </c>
    </row>
    <row r="10" spans="2:24" x14ac:dyDescent="0.35">
      <c r="B10" s="11">
        <v>7</v>
      </c>
      <c r="C10" t="s">
        <v>5</v>
      </c>
      <c r="D10" s="1">
        <v>200</v>
      </c>
      <c r="E10" s="9">
        <f t="shared" si="1"/>
        <v>200</v>
      </c>
      <c r="F10" s="9">
        <f t="shared" si="2"/>
        <v>0</v>
      </c>
      <c r="G10" s="9"/>
      <c r="H10" s="9"/>
      <c r="I10" s="9">
        <f t="shared" si="3"/>
        <v>200</v>
      </c>
      <c r="J10" s="9">
        <f t="shared" si="0"/>
        <v>0</v>
      </c>
    </row>
    <row r="11" spans="2:24" x14ac:dyDescent="0.35">
      <c r="B11" s="11">
        <v>8</v>
      </c>
      <c r="C11" t="s">
        <v>5</v>
      </c>
      <c r="D11" s="1">
        <v>300</v>
      </c>
      <c r="E11" s="9">
        <f t="shared" si="1"/>
        <v>300</v>
      </c>
      <c r="F11" s="9">
        <f t="shared" si="2"/>
        <v>0</v>
      </c>
      <c r="G11" s="9"/>
      <c r="H11" s="9"/>
      <c r="I11" s="9">
        <f t="shared" si="3"/>
        <v>300</v>
      </c>
      <c r="J11" s="9">
        <f t="shared" si="0"/>
        <v>0</v>
      </c>
    </row>
    <row r="12" spans="2:24" x14ac:dyDescent="0.35">
      <c r="B12" s="11">
        <v>9</v>
      </c>
      <c r="C12" t="s">
        <v>5</v>
      </c>
      <c r="D12" s="1">
        <v>400</v>
      </c>
      <c r="E12" s="9">
        <f t="shared" si="1"/>
        <v>400</v>
      </c>
      <c r="F12" s="9">
        <f t="shared" si="2"/>
        <v>0</v>
      </c>
      <c r="G12" s="9"/>
      <c r="H12" s="9"/>
      <c r="I12" s="9">
        <f t="shared" si="3"/>
        <v>400</v>
      </c>
      <c r="J12" s="9">
        <f t="shared" si="0"/>
        <v>0</v>
      </c>
    </row>
    <row r="13" spans="2:24" x14ac:dyDescent="0.35">
      <c r="B13" s="11">
        <v>10</v>
      </c>
      <c r="C13" t="s">
        <v>5</v>
      </c>
      <c r="D13" s="1">
        <v>500</v>
      </c>
      <c r="E13" s="9">
        <f t="shared" si="1"/>
        <v>500</v>
      </c>
      <c r="F13" s="9">
        <f t="shared" si="2"/>
        <v>0</v>
      </c>
      <c r="G13" s="9"/>
      <c r="H13" s="9"/>
      <c r="I13" s="9">
        <f t="shared" si="3"/>
        <v>500</v>
      </c>
      <c r="J13" s="9">
        <f t="shared" si="0"/>
        <v>0</v>
      </c>
    </row>
    <row r="14" spans="2:24" x14ac:dyDescent="0.35">
      <c r="B14" s="11">
        <v>11</v>
      </c>
      <c r="C14" t="s">
        <v>5</v>
      </c>
      <c r="D14" s="1">
        <v>800</v>
      </c>
      <c r="E14" s="9">
        <f t="shared" si="1"/>
        <v>565</v>
      </c>
      <c r="F14" s="9">
        <f t="shared" si="2"/>
        <v>235</v>
      </c>
      <c r="G14" s="9"/>
      <c r="H14" s="9"/>
      <c r="I14" s="9">
        <f t="shared" si="3"/>
        <v>544.97727272727275</v>
      </c>
      <c r="J14" s="9">
        <f t="shared" si="0"/>
        <v>255.02272727272725</v>
      </c>
    </row>
    <row r="15" spans="2:24" x14ac:dyDescent="0.35">
      <c r="B15" s="11">
        <v>12</v>
      </c>
      <c r="C15" t="s">
        <v>5</v>
      </c>
      <c r="D15" s="1">
        <v>1000</v>
      </c>
      <c r="E15" s="9">
        <f t="shared" si="1"/>
        <v>565</v>
      </c>
      <c r="F15" s="9">
        <f t="shared" si="2"/>
        <v>435</v>
      </c>
      <c r="G15" s="9"/>
      <c r="H15" s="9"/>
      <c r="I15" s="9">
        <f t="shared" si="3"/>
        <v>544.97727272727275</v>
      </c>
      <c r="J15" s="9">
        <f t="shared" si="0"/>
        <v>455.02272727272725</v>
      </c>
    </row>
    <row r="16" spans="2:24" x14ac:dyDescent="0.35">
      <c r="B16" s="11">
        <v>13</v>
      </c>
      <c r="C16" t="s">
        <v>5</v>
      </c>
      <c r="D16" s="1">
        <v>1000</v>
      </c>
      <c r="E16" s="9">
        <f t="shared" si="1"/>
        <v>565</v>
      </c>
      <c r="F16" s="9">
        <f t="shared" si="2"/>
        <v>435</v>
      </c>
      <c r="G16" s="9"/>
      <c r="H16" s="9"/>
      <c r="I16" s="9">
        <f t="shared" si="3"/>
        <v>544.97727272727275</v>
      </c>
      <c r="J16" s="9">
        <f t="shared" si="0"/>
        <v>455.02272727272725</v>
      </c>
    </row>
    <row r="17" spans="2:10" x14ac:dyDescent="0.35">
      <c r="B17" s="11">
        <v>14</v>
      </c>
      <c r="C17" t="s">
        <v>5</v>
      </c>
      <c r="D17" s="1">
        <v>1000</v>
      </c>
      <c r="E17" s="9">
        <f t="shared" si="1"/>
        <v>565</v>
      </c>
      <c r="F17" s="9">
        <f t="shared" si="2"/>
        <v>435</v>
      </c>
      <c r="G17" s="9"/>
      <c r="H17" s="9"/>
      <c r="I17" s="9">
        <f t="shared" si="3"/>
        <v>544.97727272727275</v>
      </c>
      <c r="J17" s="9">
        <f t="shared" si="0"/>
        <v>455.02272727272725</v>
      </c>
    </row>
    <row r="18" spans="2:10" x14ac:dyDescent="0.35">
      <c r="B18" s="11">
        <v>15</v>
      </c>
      <c r="C18" t="s">
        <v>5</v>
      </c>
      <c r="D18" s="1">
        <v>1000</v>
      </c>
      <c r="E18" s="9">
        <f t="shared" si="1"/>
        <v>565</v>
      </c>
      <c r="F18" s="9">
        <f t="shared" si="2"/>
        <v>435</v>
      </c>
      <c r="G18" s="9"/>
      <c r="H18" s="9"/>
      <c r="I18" s="9">
        <f t="shared" si="3"/>
        <v>544.97727272727275</v>
      </c>
      <c r="J18" s="9">
        <f t="shared" si="0"/>
        <v>455.02272727272725</v>
      </c>
    </row>
    <row r="19" spans="2:10" x14ac:dyDescent="0.35">
      <c r="B19" s="11">
        <v>16</v>
      </c>
      <c r="C19" t="s">
        <v>5</v>
      </c>
      <c r="D19" s="1">
        <v>1000</v>
      </c>
      <c r="E19" s="9">
        <f t="shared" si="1"/>
        <v>565</v>
      </c>
      <c r="F19" s="9">
        <f t="shared" si="2"/>
        <v>435</v>
      </c>
      <c r="G19" s="9"/>
      <c r="H19" s="9"/>
      <c r="I19" s="9">
        <f t="shared" si="3"/>
        <v>544.97727272727275</v>
      </c>
      <c r="J19" s="9">
        <f t="shared" si="0"/>
        <v>455.02272727272725</v>
      </c>
    </row>
    <row r="20" spans="2:10" x14ac:dyDescent="0.35">
      <c r="B20" s="11">
        <v>17</v>
      </c>
      <c r="C20" t="s">
        <v>5</v>
      </c>
      <c r="D20" s="1">
        <v>900</v>
      </c>
      <c r="E20" s="9">
        <f t="shared" si="1"/>
        <v>565</v>
      </c>
      <c r="F20" s="9">
        <f t="shared" si="2"/>
        <v>335</v>
      </c>
      <c r="G20" s="9"/>
      <c r="H20" s="9"/>
      <c r="I20" s="9">
        <f t="shared" si="3"/>
        <v>544.97727272727275</v>
      </c>
      <c r="J20" s="9">
        <f t="shared" si="0"/>
        <v>355.02272727272725</v>
      </c>
    </row>
    <row r="21" spans="2:10" x14ac:dyDescent="0.35">
      <c r="B21" s="11">
        <v>18</v>
      </c>
      <c r="C21" t="s">
        <v>5</v>
      </c>
      <c r="D21" s="1">
        <v>800</v>
      </c>
      <c r="E21" s="9">
        <f t="shared" si="1"/>
        <v>565</v>
      </c>
      <c r="F21" s="9">
        <f t="shared" si="2"/>
        <v>235</v>
      </c>
      <c r="G21" s="9"/>
      <c r="H21" s="9"/>
      <c r="I21" s="9">
        <f t="shared" si="3"/>
        <v>544.97727272727275</v>
      </c>
      <c r="J21" s="9">
        <f t="shared" si="0"/>
        <v>255.02272727272725</v>
      </c>
    </row>
    <row r="22" spans="2:10" x14ac:dyDescent="0.35">
      <c r="B22" s="11">
        <v>19</v>
      </c>
      <c r="C22" t="s">
        <v>5</v>
      </c>
      <c r="D22" s="1">
        <v>600</v>
      </c>
      <c r="E22" s="9">
        <f t="shared" si="1"/>
        <v>565</v>
      </c>
      <c r="F22" s="9">
        <f t="shared" si="2"/>
        <v>35</v>
      </c>
      <c r="G22" s="9"/>
      <c r="H22" s="9"/>
      <c r="I22" s="9">
        <f t="shared" si="3"/>
        <v>544.97727272727275</v>
      </c>
      <c r="J22" s="9">
        <f t="shared" si="0"/>
        <v>55.022727272727252</v>
      </c>
    </row>
    <row r="23" spans="2:10" x14ac:dyDescent="0.35">
      <c r="B23" s="11">
        <v>20</v>
      </c>
      <c r="C23" t="s">
        <v>5</v>
      </c>
      <c r="D23" s="1">
        <v>600</v>
      </c>
      <c r="E23" s="9">
        <f t="shared" si="1"/>
        <v>565</v>
      </c>
      <c r="F23" s="9">
        <f t="shared" si="2"/>
        <v>35</v>
      </c>
      <c r="G23" s="9"/>
      <c r="H23" s="9"/>
      <c r="I23" s="9">
        <f t="shared" si="3"/>
        <v>544.97727272727275</v>
      </c>
      <c r="J23" s="9">
        <f t="shared" si="0"/>
        <v>55.022727272727252</v>
      </c>
    </row>
    <row r="24" spans="2:10" x14ac:dyDescent="0.35">
      <c r="B24" s="11">
        <v>21</v>
      </c>
      <c r="C24" t="s">
        <v>5</v>
      </c>
      <c r="D24" s="1">
        <v>600</v>
      </c>
      <c r="E24" s="9">
        <f t="shared" si="1"/>
        <v>565</v>
      </c>
      <c r="F24" s="9">
        <f t="shared" si="2"/>
        <v>35</v>
      </c>
      <c r="G24" s="9"/>
      <c r="H24" s="9"/>
      <c r="I24" s="9">
        <f t="shared" si="3"/>
        <v>544.97727272727275</v>
      </c>
      <c r="J24" s="9">
        <f t="shared" si="0"/>
        <v>55.022727272727252</v>
      </c>
    </row>
    <row r="25" spans="2:10" x14ac:dyDescent="0.35">
      <c r="B25" s="11">
        <v>22</v>
      </c>
      <c r="C25" t="s">
        <v>4</v>
      </c>
      <c r="D25" s="1">
        <v>0</v>
      </c>
      <c r="E25" s="9">
        <f t="shared" si="1"/>
        <v>367.25</v>
      </c>
      <c r="F25" s="9">
        <f t="shared" si="2"/>
        <v>0</v>
      </c>
      <c r="G25" s="9"/>
      <c r="H25" s="9"/>
      <c r="I25" s="9">
        <f t="shared" si="3"/>
        <v>367.25</v>
      </c>
      <c r="J25" s="9">
        <f t="shared" si="0"/>
        <v>0</v>
      </c>
    </row>
    <row r="26" spans="2:10" x14ac:dyDescent="0.35">
      <c r="B26" s="11">
        <v>23</v>
      </c>
      <c r="C26" t="s">
        <v>4</v>
      </c>
      <c r="D26" s="1">
        <v>0</v>
      </c>
      <c r="E26" s="9">
        <f t="shared" si="1"/>
        <v>367.25</v>
      </c>
      <c r="F26" s="9">
        <f t="shared" si="2"/>
        <v>0</v>
      </c>
      <c r="G26" s="9"/>
      <c r="H26" s="9"/>
      <c r="I26" s="9">
        <f t="shared" si="3"/>
        <v>367.25</v>
      </c>
      <c r="J26" s="9">
        <f t="shared" si="0"/>
        <v>0</v>
      </c>
    </row>
    <row r="27" spans="2:10" x14ac:dyDescent="0.35">
      <c r="B27" s="11">
        <v>24</v>
      </c>
      <c r="C27" t="s">
        <v>4</v>
      </c>
      <c r="D27" s="1">
        <v>0</v>
      </c>
      <c r="E27" s="9">
        <f t="shared" si="1"/>
        <v>367.25</v>
      </c>
      <c r="F27" s="9">
        <f t="shared" si="2"/>
        <v>0</v>
      </c>
      <c r="G27" s="9"/>
      <c r="H27" s="9"/>
      <c r="I27" s="9">
        <f t="shared" si="3"/>
        <v>367.25</v>
      </c>
      <c r="J27" s="9">
        <f t="shared" si="0"/>
        <v>0</v>
      </c>
    </row>
    <row r="28" spans="2:10" x14ac:dyDescent="0.35">
      <c r="B28" t="s">
        <v>2</v>
      </c>
      <c r="D28">
        <f>SUM(D4:D27)</f>
        <v>10700</v>
      </c>
      <c r="E28">
        <f t="shared" ref="E28:F28" si="4">SUM(E4:E27)</f>
        <v>10920.25</v>
      </c>
      <c r="F28">
        <f t="shared" si="4"/>
        <v>3085</v>
      </c>
      <c r="I28">
        <f t="shared" ref="I28" si="5">SUM(I4:I27)</f>
        <v>10700</v>
      </c>
      <c r="J28">
        <f t="shared" ref="J28" si="6">SUM(J4:J27)</f>
        <v>3305.2499999999982</v>
      </c>
    </row>
    <row r="29" spans="2:10" x14ac:dyDescent="0.35">
      <c r="B29" t="s">
        <v>3</v>
      </c>
      <c r="I29" s="9"/>
    </row>
    <row r="31" spans="2:10" x14ac:dyDescent="0.35">
      <c r="B31" s="4" t="s">
        <v>7</v>
      </c>
      <c r="C31">
        <f>COUNTIF($C$4:$C$27,"=Icemaking")</f>
        <v>9</v>
      </c>
    </row>
    <row r="32" spans="2:10" x14ac:dyDescent="0.35">
      <c r="B32" s="4" t="s">
        <v>8</v>
      </c>
      <c r="C32">
        <f>COUNTIF($C$4:$C$27,"=Partial Storage")</f>
        <v>15</v>
      </c>
    </row>
    <row r="33" spans="2:4" x14ac:dyDescent="0.35">
      <c r="B33" s="4" t="s">
        <v>9</v>
      </c>
      <c r="C33">
        <f>COUNTIF($C$4:$C$27,"=Full Storage")</f>
        <v>0</v>
      </c>
    </row>
    <row r="34" spans="2:4" x14ac:dyDescent="0.35">
      <c r="B34" s="4" t="s">
        <v>11</v>
      </c>
      <c r="C34" s="5">
        <f>AVERAGEIF($D$4:$D$27,"&gt;0")/MAX($D$4:$D$27)</f>
        <v>0.71333333333333337</v>
      </c>
    </row>
    <row r="35" spans="2:4" x14ac:dyDescent="0.35">
      <c r="B35" s="4" t="s">
        <v>10</v>
      </c>
      <c r="C35" s="7">
        <f>($D$28/((0.65*C31)+C32))+(((1/0.65)*(SUMIF($C$4:$C$27,"=Full Storage",$D$4:$D$27)))/$C$31)</f>
        <v>513.18944844124701</v>
      </c>
    </row>
    <row r="36" spans="2:4" x14ac:dyDescent="0.35">
      <c r="B36" s="4" t="s">
        <v>12</v>
      </c>
      <c r="C36">
        <f>ROUNDUP(C35*1.1,0)</f>
        <v>565</v>
      </c>
      <c r="D36" s="8" t="s">
        <v>13</v>
      </c>
    </row>
    <row r="37" spans="2:4" x14ac:dyDescent="0.35">
      <c r="B37" s="4" t="s">
        <v>14</v>
      </c>
      <c r="C37" s="10">
        <f>C35*C31*0.65</f>
        <v>3002.1582733812952</v>
      </c>
    </row>
    <row r="38" spans="2:4" x14ac:dyDescent="0.35">
      <c r="B38" s="4" t="s">
        <v>15</v>
      </c>
      <c r="C38">
        <f>ROUNDUP(C37/145,0)</f>
        <v>21</v>
      </c>
    </row>
    <row r="39" spans="2:4" x14ac:dyDescent="0.35">
      <c r="B39" s="4" t="s">
        <v>17</v>
      </c>
      <c r="C39">
        <f>SUMIF($C$4:$C$27,"=Icemaking",$E$4:$E$27)</f>
        <v>3305.25</v>
      </c>
    </row>
    <row r="40" spans="2:4" x14ac:dyDescent="0.35">
      <c r="B40" s="4" t="s">
        <v>18</v>
      </c>
      <c r="C40" s="9">
        <f>SUM(F4:F27)</f>
        <v>3085</v>
      </c>
    </row>
    <row r="41" spans="2:4" x14ac:dyDescent="0.35">
      <c r="B41" s="4" t="s">
        <v>20</v>
      </c>
      <c r="C41" s="9">
        <f>MAX($E$4:$E$27)</f>
        <v>565</v>
      </c>
    </row>
    <row r="42" spans="2:4" x14ac:dyDescent="0.35">
      <c r="B42" s="4" t="s">
        <v>21</v>
      </c>
      <c r="C42">
        <f>COUNTIF($E$4:$E$27,"="&amp;C41)</f>
        <v>11</v>
      </c>
    </row>
    <row r="43" spans="2:4" x14ac:dyDescent="0.35">
      <c r="B43" s="4" t="s">
        <v>22</v>
      </c>
      <c r="C43" s="7">
        <f>(C39-C40)/C42</f>
        <v>20.022727272727273</v>
      </c>
    </row>
  </sheetData>
  <dataValidations count="1">
    <dataValidation type="list" allowBlank="1" showInputMessage="1" showErrorMessage="1" sqref="C4:C27">
      <formula1>$X$1:$X$3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A19" zoomScale="80" zoomScaleNormal="80" workbookViewId="0">
      <selection activeCell="C36" sqref="C36"/>
    </sheetView>
  </sheetViews>
  <sheetFormatPr defaultRowHeight="14.5" x14ac:dyDescent="0.35"/>
  <cols>
    <col min="2" max="2" width="11.08984375" bestFit="1" customWidth="1"/>
    <col min="3" max="3" width="16.90625" bestFit="1" customWidth="1"/>
    <col min="4" max="4" width="18.54296875" customWidth="1"/>
    <col min="5" max="5" width="24.36328125" customWidth="1"/>
    <col min="6" max="8" width="15.6328125" customWidth="1"/>
    <col min="9" max="9" width="19" customWidth="1"/>
    <col min="10" max="10" width="19.1796875" bestFit="1" customWidth="1"/>
    <col min="11" max="12" width="8.90625" customWidth="1"/>
    <col min="13" max="13" width="16.26953125" customWidth="1"/>
    <col min="14" max="14" width="15.81640625" customWidth="1"/>
    <col min="15" max="15" width="14.7265625" customWidth="1"/>
    <col min="16" max="16" width="13.1796875" customWidth="1"/>
  </cols>
  <sheetData>
    <row r="1" spans="2:26" x14ac:dyDescent="0.35">
      <c r="Z1" s="2" t="s">
        <v>4</v>
      </c>
    </row>
    <row r="2" spans="2:26" x14ac:dyDescent="0.35">
      <c r="M2" s="18" t="s">
        <v>45</v>
      </c>
      <c r="Z2" s="2" t="s">
        <v>5</v>
      </c>
    </row>
    <row r="3" spans="2:26" x14ac:dyDescent="0.35">
      <c r="B3" s="3" t="s">
        <v>0</v>
      </c>
      <c r="C3" s="3" t="s">
        <v>16</v>
      </c>
      <c r="D3" s="3" t="s">
        <v>1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30</v>
      </c>
      <c r="J3" s="3" t="s">
        <v>31</v>
      </c>
      <c r="K3" s="19" t="s">
        <v>36</v>
      </c>
      <c r="L3" s="19" t="s">
        <v>37</v>
      </c>
      <c r="M3" s="3" t="s">
        <v>32</v>
      </c>
      <c r="N3" s="3" t="s">
        <v>33</v>
      </c>
      <c r="O3" s="3" t="s">
        <v>42</v>
      </c>
      <c r="P3" s="3" t="s">
        <v>43</v>
      </c>
      <c r="Z3" s="2" t="s">
        <v>6</v>
      </c>
    </row>
    <row r="4" spans="2:26" x14ac:dyDescent="0.35">
      <c r="B4" s="11">
        <v>1</v>
      </c>
      <c r="C4" t="s">
        <v>4</v>
      </c>
      <c r="D4" s="1">
        <v>0</v>
      </c>
      <c r="E4" s="9">
        <f t="shared" ref="E4:E27" si="0">IF(C4="Full Storage",0,IF(C4="Icemaking",$C$36*0.65,IF(D4&lt;$C$36,D4,$C$36)))</f>
        <v>333.57314148681058</v>
      </c>
      <c r="F4" s="9">
        <f t="shared" ref="F4:F27" si="1">IF(C4="Icemaking",0,IF(C4="Full Storage",D4,IF(D4&lt;$C$36,0,D4-$C$36)))</f>
        <v>0</v>
      </c>
      <c r="G4" s="9">
        <f>IF(C4="Full Storage",0,IF(C4="Icemaking",$C$38*0.65,IF(D4&lt;$C$38,D4,$C$38)))</f>
        <v>412.75964391691394</v>
      </c>
      <c r="H4" s="9">
        <f>IF(C4="Icemaking",0,IF(C4="Full Storage",D4,IF(D4&lt;$C$38,0,D4-$C$38)))</f>
        <v>0</v>
      </c>
      <c r="I4" s="9">
        <f>IF(G4=$C$43,$C$43-$C$45,G4)</f>
        <v>412.75964391691394</v>
      </c>
      <c r="J4" s="9">
        <f t="shared" ref="J4:J27" si="2">IF(C4="Full Storage",D4,IF(C4="Partial Storage",D4-I4,0))</f>
        <v>0</v>
      </c>
      <c r="K4" s="20" t="str">
        <f>IF(J4=$J$29,"x","")</f>
        <v/>
      </c>
      <c r="L4" s="20" t="str">
        <f>IF(K4="x",I4,"")</f>
        <v/>
      </c>
      <c r="M4" s="9">
        <f>IF(I4&gt;=$C$46,$C$49,I4)</f>
        <v>412.75964391691394</v>
      </c>
      <c r="N4" s="6">
        <f>IF(C4="Full Storage",D4,IF(C4="Partial Storage",D4-M4,0))</f>
        <v>0</v>
      </c>
      <c r="O4" s="9">
        <f>IF(AND(M4=$M$29,D4&gt;$M$29),$M$29+($C$50/$M$30),M4)</f>
        <v>412.75964391691394</v>
      </c>
      <c r="P4" s="9">
        <f>IF(C4="Full Storage",D4,IF(C4="Partial Storage",D4-O4,0))</f>
        <v>0</v>
      </c>
      <c r="Z4" s="2" t="s">
        <v>46</v>
      </c>
    </row>
    <row r="5" spans="2:26" x14ac:dyDescent="0.35">
      <c r="B5" s="11">
        <v>2</v>
      </c>
      <c r="C5" t="s">
        <v>4</v>
      </c>
      <c r="D5" s="1">
        <v>0</v>
      </c>
      <c r="E5" s="9">
        <f t="shared" si="0"/>
        <v>333.57314148681058</v>
      </c>
      <c r="F5" s="9">
        <f t="shared" si="1"/>
        <v>0</v>
      </c>
      <c r="G5" s="9">
        <f t="shared" ref="G5:G27" si="3">IF(C5="Full Storage",0,IF(C5="Icemaking",$C$38*0.65,IF(D5&lt;$C$38,D5,$C$38)))</f>
        <v>412.75964391691394</v>
      </c>
      <c r="H5" s="9">
        <f t="shared" ref="H5:H27" si="4">IF(C5="Icemaking",0,IF(C5="Full Storage",D5,IF(D5&lt;$C$38,0,D5-$C$38)))</f>
        <v>0</v>
      </c>
      <c r="I5" s="9">
        <f t="shared" ref="I5:I27" si="5">IF(G5=$C$43,$C$43-$C$45,G5)</f>
        <v>412.75964391691394</v>
      </c>
      <c r="J5" s="9">
        <f t="shared" si="2"/>
        <v>0</v>
      </c>
      <c r="K5" s="20" t="str">
        <f t="shared" ref="K5:K27" si="6">IF(J5=$J$29,"x","")</f>
        <v/>
      </c>
      <c r="L5" s="20" t="str">
        <f t="shared" ref="L5:L28" si="7">IF(K5="x",I5,"")</f>
        <v/>
      </c>
      <c r="M5" s="9">
        <f t="shared" ref="M5:M27" si="8">IF(I5&gt;=$C$46,$C$49,I5)</f>
        <v>412.75964391691394</v>
      </c>
      <c r="N5" s="6">
        <f t="shared" ref="N5:N27" si="9">IF(C5="Full Storage",D5,IF(C5="Partial Storage",D5-M5,0))</f>
        <v>0</v>
      </c>
      <c r="O5" s="9">
        <f t="shared" ref="O5:O27" si="10">IF(AND(M5=$M$29,D5&gt;$M$29),$M$29+($C$50/$M$30),M5)</f>
        <v>412.75964391691394</v>
      </c>
      <c r="P5" s="9">
        <f t="shared" ref="P5:P27" si="11">IF(C5="Full Storage",D5,IF(C5="Partial Storage",D5-O5,0))</f>
        <v>0</v>
      </c>
    </row>
    <row r="6" spans="2:26" x14ac:dyDescent="0.35">
      <c r="B6" s="11">
        <v>3</v>
      </c>
      <c r="C6" t="s">
        <v>4</v>
      </c>
      <c r="D6" s="1">
        <v>0</v>
      </c>
      <c r="E6" s="9">
        <f t="shared" si="0"/>
        <v>333.57314148681058</v>
      </c>
      <c r="F6" s="9">
        <f t="shared" si="1"/>
        <v>0</v>
      </c>
      <c r="G6" s="9">
        <f t="shared" si="3"/>
        <v>412.75964391691394</v>
      </c>
      <c r="H6" s="9">
        <f t="shared" si="4"/>
        <v>0</v>
      </c>
      <c r="I6" s="9">
        <f t="shared" si="5"/>
        <v>412.75964391691394</v>
      </c>
      <c r="J6" s="9">
        <f t="shared" si="2"/>
        <v>0</v>
      </c>
      <c r="K6" s="20" t="str">
        <f t="shared" si="6"/>
        <v/>
      </c>
      <c r="L6" s="20" t="str">
        <f t="shared" si="7"/>
        <v/>
      </c>
      <c r="M6" s="9">
        <f t="shared" si="8"/>
        <v>412.75964391691394</v>
      </c>
      <c r="N6" s="6">
        <f t="shared" si="9"/>
        <v>0</v>
      </c>
      <c r="O6" s="9">
        <f t="shared" si="10"/>
        <v>412.75964391691394</v>
      </c>
      <c r="P6" s="9">
        <f t="shared" si="11"/>
        <v>0</v>
      </c>
    </row>
    <row r="7" spans="2:26" x14ac:dyDescent="0.35">
      <c r="B7" s="11">
        <v>4</v>
      </c>
      <c r="C7" t="s">
        <v>4</v>
      </c>
      <c r="D7" s="1">
        <v>0</v>
      </c>
      <c r="E7" s="9">
        <f t="shared" si="0"/>
        <v>333.57314148681058</v>
      </c>
      <c r="F7" s="9">
        <f t="shared" si="1"/>
        <v>0</v>
      </c>
      <c r="G7" s="9">
        <f t="shared" si="3"/>
        <v>412.75964391691394</v>
      </c>
      <c r="H7" s="9">
        <f t="shared" si="4"/>
        <v>0</v>
      </c>
      <c r="I7" s="9">
        <f t="shared" si="5"/>
        <v>412.75964391691394</v>
      </c>
      <c r="J7" s="9">
        <f t="shared" si="2"/>
        <v>0</v>
      </c>
      <c r="K7" s="20" t="str">
        <f t="shared" si="6"/>
        <v/>
      </c>
      <c r="L7" s="20" t="str">
        <f t="shared" si="7"/>
        <v/>
      </c>
      <c r="M7" s="9">
        <f t="shared" si="8"/>
        <v>412.75964391691394</v>
      </c>
      <c r="N7" s="6">
        <f t="shared" si="9"/>
        <v>0</v>
      </c>
      <c r="O7" s="9">
        <f t="shared" si="10"/>
        <v>412.75964391691394</v>
      </c>
      <c r="P7" s="9">
        <f t="shared" si="11"/>
        <v>0</v>
      </c>
    </row>
    <row r="8" spans="2:26" x14ac:dyDescent="0.35">
      <c r="B8" s="11">
        <v>5</v>
      </c>
      <c r="C8" t="s">
        <v>4</v>
      </c>
      <c r="D8" s="1">
        <v>0</v>
      </c>
      <c r="E8" s="9">
        <f t="shared" si="0"/>
        <v>333.57314148681058</v>
      </c>
      <c r="F8" s="9">
        <f t="shared" si="1"/>
        <v>0</v>
      </c>
      <c r="G8" s="9">
        <f t="shared" si="3"/>
        <v>412.75964391691394</v>
      </c>
      <c r="H8" s="9">
        <f t="shared" si="4"/>
        <v>0</v>
      </c>
      <c r="I8" s="9">
        <f t="shared" si="5"/>
        <v>412.75964391691394</v>
      </c>
      <c r="J8" s="9">
        <f t="shared" si="2"/>
        <v>0</v>
      </c>
      <c r="K8" s="20" t="str">
        <f t="shared" si="6"/>
        <v/>
      </c>
      <c r="L8" s="20" t="str">
        <f t="shared" si="7"/>
        <v/>
      </c>
      <c r="M8" s="9">
        <f t="shared" si="8"/>
        <v>412.75964391691394</v>
      </c>
      <c r="N8" s="6">
        <f t="shared" si="9"/>
        <v>0</v>
      </c>
      <c r="O8" s="9">
        <f t="shared" si="10"/>
        <v>412.75964391691394</v>
      </c>
      <c r="P8" s="9">
        <f t="shared" si="11"/>
        <v>0</v>
      </c>
    </row>
    <row r="9" spans="2:26" x14ac:dyDescent="0.35">
      <c r="B9" s="11">
        <v>6</v>
      </c>
      <c r="C9" t="s">
        <v>4</v>
      </c>
      <c r="D9" s="1">
        <v>0</v>
      </c>
      <c r="E9" s="9">
        <f t="shared" si="0"/>
        <v>333.57314148681058</v>
      </c>
      <c r="F9" s="9">
        <f t="shared" si="1"/>
        <v>0</v>
      </c>
      <c r="G9" s="9">
        <f t="shared" si="3"/>
        <v>412.75964391691394</v>
      </c>
      <c r="H9" s="9">
        <f t="shared" si="4"/>
        <v>0</v>
      </c>
      <c r="I9" s="9">
        <f t="shared" si="5"/>
        <v>412.75964391691394</v>
      </c>
      <c r="J9" s="9">
        <f t="shared" si="2"/>
        <v>0</v>
      </c>
      <c r="K9" s="20" t="str">
        <f t="shared" si="6"/>
        <v/>
      </c>
      <c r="L9" s="20" t="str">
        <f t="shared" si="7"/>
        <v/>
      </c>
      <c r="M9" s="9">
        <f t="shared" si="8"/>
        <v>412.75964391691394</v>
      </c>
      <c r="N9" s="6">
        <f t="shared" si="9"/>
        <v>0</v>
      </c>
      <c r="O9" s="9">
        <f t="shared" si="10"/>
        <v>412.75964391691394</v>
      </c>
      <c r="P9" s="9">
        <f t="shared" si="11"/>
        <v>0</v>
      </c>
    </row>
    <row r="10" spans="2:26" x14ac:dyDescent="0.35">
      <c r="B10" s="11">
        <v>7</v>
      </c>
      <c r="C10" t="s">
        <v>5</v>
      </c>
      <c r="D10" s="1">
        <v>200</v>
      </c>
      <c r="E10" s="9">
        <f t="shared" si="0"/>
        <v>200</v>
      </c>
      <c r="F10" s="9">
        <f t="shared" si="1"/>
        <v>0</v>
      </c>
      <c r="G10" s="9">
        <f t="shared" si="3"/>
        <v>200</v>
      </c>
      <c r="H10" s="9">
        <f t="shared" si="4"/>
        <v>0</v>
      </c>
      <c r="I10" s="9">
        <f t="shared" si="5"/>
        <v>200</v>
      </c>
      <c r="J10" s="9">
        <f t="shared" si="2"/>
        <v>0</v>
      </c>
      <c r="K10" s="20" t="str">
        <f t="shared" si="6"/>
        <v/>
      </c>
      <c r="L10" s="20" t="str">
        <f t="shared" si="7"/>
        <v/>
      </c>
      <c r="M10" s="9">
        <f t="shared" si="8"/>
        <v>200</v>
      </c>
      <c r="N10" s="6">
        <f t="shared" si="9"/>
        <v>0</v>
      </c>
      <c r="O10" s="9">
        <f t="shared" si="10"/>
        <v>200</v>
      </c>
      <c r="P10" s="9">
        <f t="shared" si="11"/>
        <v>0</v>
      </c>
    </row>
    <row r="11" spans="2:26" x14ac:dyDescent="0.35">
      <c r="B11" s="11">
        <v>8</v>
      </c>
      <c r="C11" t="s">
        <v>5</v>
      </c>
      <c r="D11" s="1">
        <v>300</v>
      </c>
      <c r="E11" s="9">
        <f t="shared" si="0"/>
        <v>300</v>
      </c>
      <c r="F11" s="9">
        <f t="shared" si="1"/>
        <v>0</v>
      </c>
      <c r="G11" s="9">
        <f t="shared" si="3"/>
        <v>300</v>
      </c>
      <c r="H11" s="9">
        <f t="shared" si="4"/>
        <v>0</v>
      </c>
      <c r="I11" s="9">
        <f t="shared" si="5"/>
        <v>300</v>
      </c>
      <c r="J11" s="9">
        <f t="shared" si="2"/>
        <v>0</v>
      </c>
      <c r="K11" s="20" t="str">
        <f t="shared" si="6"/>
        <v/>
      </c>
      <c r="L11" s="20" t="str">
        <f t="shared" si="7"/>
        <v/>
      </c>
      <c r="M11" s="9">
        <f t="shared" si="8"/>
        <v>300</v>
      </c>
      <c r="N11" s="6">
        <f t="shared" si="9"/>
        <v>0</v>
      </c>
      <c r="O11" s="9">
        <f t="shared" si="10"/>
        <v>300</v>
      </c>
      <c r="P11" s="9">
        <f t="shared" si="11"/>
        <v>0</v>
      </c>
    </row>
    <row r="12" spans="2:26" x14ac:dyDescent="0.35">
      <c r="B12" s="11">
        <v>9</v>
      </c>
      <c r="C12" t="s">
        <v>5</v>
      </c>
      <c r="D12" s="1">
        <v>400</v>
      </c>
      <c r="E12" s="9">
        <f t="shared" si="0"/>
        <v>400</v>
      </c>
      <c r="F12" s="9">
        <f t="shared" si="1"/>
        <v>0</v>
      </c>
      <c r="G12" s="9">
        <f t="shared" si="3"/>
        <v>400</v>
      </c>
      <c r="H12" s="9">
        <f t="shared" si="4"/>
        <v>0</v>
      </c>
      <c r="I12" s="9">
        <f t="shared" si="5"/>
        <v>400</v>
      </c>
      <c r="J12" s="9">
        <f t="shared" si="2"/>
        <v>0</v>
      </c>
      <c r="K12" s="20" t="str">
        <f t="shared" si="6"/>
        <v/>
      </c>
      <c r="L12" s="20" t="str">
        <f t="shared" si="7"/>
        <v/>
      </c>
      <c r="M12" s="9">
        <f t="shared" si="8"/>
        <v>400</v>
      </c>
      <c r="N12" s="6">
        <f t="shared" si="9"/>
        <v>0</v>
      </c>
      <c r="O12" s="9">
        <f t="shared" si="10"/>
        <v>400</v>
      </c>
      <c r="P12" s="9">
        <f t="shared" si="11"/>
        <v>0</v>
      </c>
    </row>
    <row r="13" spans="2:26" x14ac:dyDescent="0.35">
      <c r="B13" s="11">
        <v>10</v>
      </c>
      <c r="C13" t="s">
        <v>5</v>
      </c>
      <c r="D13" s="1">
        <v>500</v>
      </c>
      <c r="E13" s="9">
        <f t="shared" si="0"/>
        <v>500</v>
      </c>
      <c r="F13" s="9">
        <f t="shared" si="1"/>
        <v>0</v>
      </c>
      <c r="G13" s="9">
        <f t="shared" si="3"/>
        <v>500</v>
      </c>
      <c r="H13" s="9">
        <f t="shared" si="4"/>
        <v>0</v>
      </c>
      <c r="I13" s="9">
        <f t="shared" si="5"/>
        <v>500</v>
      </c>
      <c r="J13" s="9">
        <f t="shared" si="2"/>
        <v>0</v>
      </c>
      <c r="K13" s="20" t="str">
        <f t="shared" si="6"/>
        <v/>
      </c>
      <c r="L13" s="20" t="str">
        <f t="shared" si="7"/>
        <v/>
      </c>
      <c r="M13" s="9">
        <f t="shared" si="8"/>
        <v>507.09693372898124</v>
      </c>
      <c r="N13" s="6">
        <f t="shared" si="9"/>
        <v>-7.0969337289812415</v>
      </c>
      <c r="O13" s="9">
        <f>IF(M13=$M$29,IF(D13&gt;$M$29,$M$29+($C$50/$M$30),M13),M13)</f>
        <v>507.09693372898124</v>
      </c>
      <c r="P13" s="9">
        <f t="shared" si="11"/>
        <v>-7.0969337289812415</v>
      </c>
    </row>
    <row r="14" spans="2:26" x14ac:dyDescent="0.35">
      <c r="B14" s="11">
        <v>11</v>
      </c>
      <c r="C14" t="s">
        <v>5</v>
      </c>
      <c r="D14" s="1">
        <v>800</v>
      </c>
      <c r="E14" s="9">
        <f t="shared" si="0"/>
        <v>513.18944844124701</v>
      </c>
      <c r="F14" s="9">
        <f t="shared" si="1"/>
        <v>286.81055155875299</v>
      </c>
      <c r="G14" s="9">
        <f t="shared" si="3"/>
        <v>635.01483679525222</v>
      </c>
      <c r="H14" s="9">
        <f t="shared" si="4"/>
        <v>164.98516320474778</v>
      </c>
      <c r="I14" s="9">
        <f t="shared" si="5"/>
        <v>473.14540059347189</v>
      </c>
      <c r="J14" s="9">
        <f t="shared" si="2"/>
        <v>326.85459940652811</v>
      </c>
      <c r="K14" s="20" t="str">
        <f t="shared" si="6"/>
        <v/>
      </c>
      <c r="L14" s="20" t="str">
        <f t="shared" si="7"/>
        <v/>
      </c>
      <c r="M14" s="9">
        <f t="shared" si="8"/>
        <v>507.09693372898124</v>
      </c>
      <c r="N14" s="6">
        <f t="shared" si="9"/>
        <v>292.90306627101876</v>
      </c>
      <c r="O14" s="9">
        <f t="shared" si="10"/>
        <v>507.68834487306299</v>
      </c>
      <c r="P14" s="9">
        <f t="shared" si="11"/>
        <v>292.31165512693701</v>
      </c>
    </row>
    <row r="15" spans="2:26" x14ac:dyDescent="0.35">
      <c r="B15" s="11">
        <v>12</v>
      </c>
      <c r="C15" t="s">
        <v>5</v>
      </c>
      <c r="D15" s="1">
        <v>1000</v>
      </c>
      <c r="E15" s="9">
        <f t="shared" si="0"/>
        <v>513.18944844124701</v>
      </c>
      <c r="F15" s="9">
        <f t="shared" si="1"/>
        <v>486.81055155875299</v>
      </c>
      <c r="G15" s="9">
        <f t="shared" si="3"/>
        <v>635.01483679525222</v>
      </c>
      <c r="H15" s="9">
        <f t="shared" si="4"/>
        <v>364.98516320474778</v>
      </c>
      <c r="I15" s="9">
        <f t="shared" si="5"/>
        <v>473.14540059347189</v>
      </c>
      <c r="J15" s="9">
        <f t="shared" si="2"/>
        <v>526.85459940652811</v>
      </c>
      <c r="K15" s="20" t="str">
        <f t="shared" si="6"/>
        <v>x</v>
      </c>
      <c r="L15" s="20">
        <f t="shared" si="7"/>
        <v>473.14540059347189</v>
      </c>
      <c r="M15" s="9">
        <f t="shared" si="8"/>
        <v>507.09693372898124</v>
      </c>
      <c r="N15" s="6">
        <f t="shared" si="9"/>
        <v>492.90306627101876</v>
      </c>
      <c r="O15" s="9">
        <f t="shared" si="10"/>
        <v>507.68834487306299</v>
      </c>
      <c r="P15" s="9">
        <f t="shared" si="11"/>
        <v>492.31165512693701</v>
      </c>
    </row>
    <row r="16" spans="2:26" x14ac:dyDescent="0.35">
      <c r="B16" s="11">
        <v>13</v>
      </c>
      <c r="C16" t="s">
        <v>5</v>
      </c>
      <c r="D16" s="1">
        <v>1000</v>
      </c>
      <c r="E16" s="9">
        <f t="shared" si="0"/>
        <v>513.18944844124701</v>
      </c>
      <c r="F16" s="9">
        <f t="shared" si="1"/>
        <v>486.81055155875299</v>
      </c>
      <c r="G16" s="9">
        <f t="shared" si="3"/>
        <v>635.01483679525222</v>
      </c>
      <c r="H16" s="9">
        <f t="shared" si="4"/>
        <v>364.98516320474778</v>
      </c>
      <c r="I16" s="9">
        <f t="shared" si="5"/>
        <v>473.14540059347189</v>
      </c>
      <c r="J16" s="9">
        <f t="shared" si="2"/>
        <v>526.85459940652811</v>
      </c>
      <c r="K16" s="20" t="str">
        <f t="shared" si="6"/>
        <v>x</v>
      </c>
      <c r="L16" s="20">
        <f t="shared" si="7"/>
        <v>473.14540059347189</v>
      </c>
      <c r="M16" s="9">
        <f t="shared" si="8"/>
        <v>507.09693372898124</v>
      </c>
      <c r="N16" s="6">
        <f t="shared" si="9"/>
        <v>492.90306627101876</v>
      </c>
      <c r="O16" s="9">
        <f t="shared" si="10"/>
        <v>507.68834487306299</v>
      </c>
      <c r="P16" s="9">
        <f t="shared" si="11"/>
        <v>492.31165512693701</v>
      </c>
    </row>
    <row r="17" spans="2:16" x14ac:dyDescent="0.35">
      <c r="B17" s="11">
        <v>14</v>
      </c>
      <c r="C17" t="s">
        <v>5</v>
      </c>
      <c r="D17" s="1">
        <v>1000</v>
      </c>
      <c r="E17" s="9">
        <f t="shared" si="0"/>
        <v>513.18944844124701</v>
      </c>
      <c r="F17" s="9">
        <f t="shared" si="1"/>
        <v>486.81055155875299</v>
      </c>
      <c r="G17" s="9">
        <f t="shared" si="3"/>
        <v>635.01483679525222</v>
      </c>
      <c r="H17" s="9">
        <f t="shared" si="4"/>
        <v>364.98516320474778</v>
      </c>
      <c r="I17" s="9">
        <f t="shared" si="5"/>
        <v>473.14540059347189</v>
      </c>
      <c r="J17" s="9">
        <f t="shared" si="2"/>
        <v>526.85459940652811</v>
      </c>
      <c r="K17" s="20" t="str">
        <f t="shared" si="6"/>
        <v>x</v>
      </c>
      <c r="L17" s="20">
        <f t="shared" si="7"/>
        <v>473.14540059347189</v>
      </c>
      <c r="M17" s="9">
        <f t="shared" si="8"/>
        <v>507.09693372898124</v>
      </c>
      <c r="N17" s="6">
        <f t="shared" si="9"/>
        <v>492.90306627101876</v>
      </c>
      <c r="O17" s="9">
        <f t="shared" si="10"/>
        <v>507.68834487306299</v>
      </c>
      <c r="P17" s="9">
        <f t="shared" si="11"/>
        <v>492.31165512693701</v>
      </c>
    </row>
    <row r="18" spans="2:16" x14ac:dyDescent="0.35">
      <c r="B18" s="11">
        <v>15</v>
      </c>
      <c r="C18" t="s">
        <v>5</v>
      </c>
      <c r="D18" s="1">
        <v>1000</v>
      </c>
      <c r="E18" s="9">
        <f t="shared" si="0"/>
        <v>513.18944844124701</v>
      </c>
      <c r="F18" s="9">
        <f t="shared" si="1"/>
        <v>486.81055155875299</v>
      </c>
      <c r="G18" s="9">
        <f t="shared" si="3"/>
        <v>635.01483679525222</v>
      </c>
      <c r="H18" s="9">
        <f t="shared" si="4"/>
        <v>364.98516320474778</v>
      </c>
      <c r="I18" s="9">
        <f t="shared" si="5"/>
        <v>473.14540059347189</v>
      </c>
      <c r="J18" s="9">
        <f t="shared" si="2"/>
        <v>526.85459940652811</v>
      </c>
      <c r="K18" s="20" t="str">
        <f t="shared" si="6"/>
        <v>x</v>
      </c>
      <c r="L18" s="20">
        <f t="shared" si="7"/>
        <v>473.14540059347189</v>
      </c>
      <c r="M18" s="9">
        <f t="shared" si="8"/>
        <v>507.09693372898124</v>
      </c>
      <c r="N18" s="6">
        <f t="shared" si="9"/>
        <v>492.90306627101876</v>
      </c>
      <c r="O18" s="9">
        <f t="shared" si="10"/>
        <v>507.68834487306299</v>
      </c>
      <c r="P18" s="9">
        <f t="shared" si="11"/>
        <v>492.31165512693701</v>
      </c>
    </row>
    <row r="19" spans="2:16" x14ac:dyDescent="0.35">
      <c r="B19" s="11">
        <v>16</v>
      </c>
      <c r="C19" t="s">
        <v>5</v>
      </c>
      <c r="D19" s="1">
        <v>1000</v>
      </c>
      <c r="E19" s="9">
        <f t="shared" si="0"/>
        <v>513.18944844124701</v>
      </c>
      <c r="F19" s="9">
        <f t="shared" si="1"/>
        <v>486.81055155875299</v>
      </c>
      <c r="G19" s="9">
        <f t="shared" si="3"/>
        <v>635.01483679525222</v>
      </c>
      <c r="H19" s="9">
        <f t="shared" si="4"/>
        <v>364.98516320474778</v>
      </c>
      <c r="I19" s="9">
        <f t="shared" si="5"/>
        <v>473.14540059347189</v>
      </c>
      <c r="J19" s="9">
        <f t="shared" si="2"/>
        <v>526.85459940652811</v>
      </c>
      <c r="K19" s="20" t="str">
        <f t="shared" si="6"/>
        <v>x</v>
      </c>
      <c r="L19" s="20">
        <f t="shared" si="7"/>
        <v>473.14540059347189</v>
      </c>
      <c r="M19" s="9">
        <f t="shared" si="8"/>
        <v>507.09693372898124</v>
      </c>
      <c r="N19" s="6">
        <f t="shared" si="9"/>
        <v>492.90306627101876</v>
      </c>
      <c r="O19" s="9">
        <f t="shared" si="10"/>
        <v>507.68834487306299</v>
      </c>
      <c r="P19" s="9">
        <f t="shared" si="11"/>
        <v>492.31165512693701</v>
      </c>
    </row>
    <row r="20" spans="2:16" x14ac:dyDescent="0.35">
      <c r="B20" s="11">
        <v>17</v>
      </c>
      <c r="C20" t="s">
        <v>5</v>
      </c>
      <c r="D20" s="1">
        <v>900</v>
      </c>
      <c r="E20" s="9">
        <f t="shared" si="0"/>
        <v>513.18944844124701</v>
      </c>
      <c r="F20" s="9">
        <f t="shared" si="1"/>
        <v>386.81055155875299</v>
      </c>
      <c r="G20" s="9">
        <f t="shared" si="3"/>
        <v>635.01483679525222</v>
      </c>
      <c r="H20" s="9">
        <f t="shared" si="4"/>
        <v>264.98516320474778</v>
      </c>
      <c r="I20" s="9">
        <f t="shared" si="5"/>
        <v>473.14540059347189</v>
      </c>
      <c r="J20" s="9">
        <f t="shared" si="2"/>
        <v>426.85459940652811</v>
      </c>
      <c r="K20" s="20" t="str">
        <f t="shared" si="6"/>
        <v/>
      </c>
      <c r="L20" s="20" t="str">
        <f t="shared" si="7"/>
        <v/>
      </c>
      <c r="M20" s="9">
        <f t="shared" si="8"/>
        <v>507.09693372898124</v>
      </c>
      <c r="N20" s="6">
        <f t="shared" si="9"/>
        <v>392.90306627101876</v>
      </c>
      <c r="O20" s="9">
        <f t="shared" si="10"/>
        <v>507.68834487306299</v>
      </c>
      <c r="P20" s="9">
        <f t="shared" si="11"/>
        <v>392.31165512693701</v>
      </c>
    </row>
    <row r="21" spans="2:16" x14ac:dyDescent="0.35">
      <c r="B21" s="11">
        <v>18</v>
      </c>
      <c r="C21" t="s">
        <v>5</v>
      </c>
      <c r="D21" s="1">
        <v>800</v>
      </c>
      <c r="E21" s="9">
        <f t="shared" si="0"/>
        <v>513.18944844124701</v>
      </c>
      <c r="F21" s="9">
        <f t="shared" si="1"/>
        <v>286.81055155875299</v>
      </c>
      <c r="G21" s="9">
        <f t="shared" si="3"/>
        <v>635.01483679525222</v>
      </c>
      <c r="H21" s="9">
        <f t="shared" si="4"/>
        <v>164.98516320474778</v>
      </c>
      <c r="I21" s="9">
        <f t="shared" si="5"/>
        <v>473.14540059347189</v>
      </c>
      <c r="J21" s="9">
        <f t="shared" si="2"/>
        <v>326.85459940652811</v>
      </c>
      <c r="K21" s="20" t="str">
        <f t="shared" si="6"/>
        <v/>
      </c>
      <c r="L21" s="20" t="str">
        <f t="shared" si="7"/>
        <v/>
      </c>
      <c r="M21" s="9">
        <f t="shared" si="8"/>
        <v>507.09693372898124</v>
      </c>
      <c r="N21" s="6">
        <f t="shared" si="9"/>
        <v>292.90306627101876</v>
      </c>
      <c r="O21" s="9">
        <f t="shared" si="10"/>
        <v>507.68834487306299</v>
      </c>
      <c r="P21" s="9">
        <f t="shared" si="11"/>
        <v>292.31165512693701</v>
      </c>
    </row>
    <row r="22" spans="2:16" x14ac:dyDescent="0.35">
      <c r="B22" s="11">
        <v>19</v>
      </c>
      <c r="C22" t="s">
        <v>5</v>
      </c>
      <c r="D22" s="1">
        <v>600</v>
      </c>
      <c r="E22" s="9">
        <f t="shared" si="0"/>
        <v>513.18944844124701</v>
      </c>
      <c r="F22" s="9">
        <f t="shared" si="1"/>
        <v>86.810551558752991</v>
      </c>
      <c r="G22" s="9">
        <f t="shared" si="3"/>
        <v>600</v>
      </c>
      <c r="H22" s="9">
        <f t="shared" si="4"/>
        <v>0</v>
      </c>
      <c r="I22" s="9">
        <f t="shared" si="5"/>
        <v>600</v>
      </c>
      <c r="J22" s="9">
        <f t="shared" si="2"/>
        <v>0</v>
      </c>
      <c r="K22" s="20" t="str">
        <f t="shared" si="6"/>
        <v/>
      </c>
      <c r="L22" s="20" t="str">
        <f t="shared" si="7"/>
        <v/>
      </c>
      <c r="M22" s="9">
        <f t="shared" si="8"/>
        <v>507.09693372898124</v>
      </c>
      <c r="N22" s="6">
        <f t="shared" si="9"/>
        <v>92.903066271018758</v>
      </c>
      <c r="O22" s="9">
        <f t="shared" si="10"/>
        <v>507.68834487306299</v>
      </c>
      <c r="P22" s="9">
        <f t="shared" si="11"/>
        <v>92.311655126937012</v>
      </c>
    </row>
    <row r="23" spans="2:16" x14ac:dyDescent="0.35">
      <c r="B23" s="11">
        <v>20</v>
      </c>
      <c r="C23" t="s">
        <v>5</v>
      </c>
      <c r="D23" s="1">
        <v>600</v>
      </c>
      <c r="E23" s="9">
        <f t="shared" si="0"/>
        <v>513.18944844124701</v>
      </c>
      <c r="F23" s="9">
        <f t="shared" si="1"/>
        <v>86.810551558752991</v>
      </c>
      <c r="G23" s="9">
        <f t="shared" si="3"/>
        <v>600</v>
      </c>
      <c r="H23" s="9">
        <f t="shared" si="4"/>
        <v>0</v>
      </c>
      <c r="I23" s="9">
        <f t="shared" si="5"/>
        <v>600</v>
      </c>
      <c r="J23" s="9">
        <f t="shared" si="2"/>
        <v>0</v>
      </c>
      <c r="K23" s="20" t="str">
        <f t="shared" si="6"/>
        <v/>
      </c>
      <c r="L23" s="20" t="str">
        <f t="shared" si="7"/>
        <v/>
      </c>
      <c r="M23" s="9">
        <f t="shared" si="8"/>
        <v>507.09693372898124</v>
      </c>
      <c r="N23" s="6">
        <f t="shared" si="9"/>
        <v>92.903066271018758</v>
      </c>
      <c r="O23" s="9">
        <f t="shared" si="10"/>
        <v>507.68834487306299</v>
      </c>
      <c r="P23" s="9">
        <f t="shared" si="11"/>
        <v>92.311655126937012</v>
      </c>
    </row>
    <row r="24" spans="2:16" x14ac:dyDescent="0.35">
      <c r="B24" s="11">
        <v>21</v>
      </c>
      <c r="C24" t="s">
        <v>5</v>
      </c>
      <c r="D24" s="1">
        <v>600</v>
      </c>
      <c r="E24" s="9">
        <f t="shared" si="0"/>
        <v>513.18944844124701</v>
      </c>
      <c r="F24" s="9">
        <f t="shared" si="1"/>
        <v>86.810551558752991</v>
      </c>
      <c r="G24" s="9">
        <f t="shared" si="3"/>
        <v>600</v>
      </c>
      <c r="H24" s="9">
        <f t="shared" si="4"/>
        <v>0</v>
      </c>
      <c r="I24" s="9">
        <f t="shared" si="5"/>
        <v>600</v>
      </c>
      <c r="J24" s="9">
        <f t="shared" si="2"/>
        <v>0</v>
      </c>
      <c r="K24" s="20" t="str">
        <f t="shared" si="6"/>
        <v/>
      </c>
      <c r="L24" s="20" t="str">
        <f t="shared" si="7"/>
        <v/>
      </c>
      <c r="M24" s="9">
        <f t="shared" si="8"/>
        <v>507.09693372898124</v>
      </c>
      <c r="N24" s="6">
        <f t="shared" si="9"/>
        <v>92.903066271018758</v>
      </c>
      <c r="O24" s="9">
        <f t="shared" si="10"/>
        <v>507.68834487306299</v>
      </c>
      <c r="P24" s="9">
        <f t="shared" si="11"/>
        <v>92.311655126937012</v>
      </c>
    </row>
    <row r="25" spans="2:16" x14ac:dyDescent="0.35">
      <c r="B25" s="11">
        <v>22</v>
      </c>
      <c r="C25" t="s">
        <v>4</v>
      </c>
      <c r="D25" s="1">
        <v>0</v>
      </c>
      <c r="E25" s="9">
        <f t="shared" si="0"/>
        <v>333.57314148681058</v>
      </c>
      <c r="F25" s="9">
        <f t="shared" si="1"/>
        <v>0</v>
      </c>
      <c r="G25" s="9">
        <f t="shared" si="3"/>
        <v>412.75964391691394</v>
      </c>
      <c r="H25" s="9">
        <f t="shared" si="4"/>
        <v>0</v>
      </c>
      <c r="I25" s="9">
        <f t="shared" si="5"/>
        <v>412.75964391691394</v>
      </c>
      <c r="J25" s="9">
        <f t="shared" si="2"/>
        <v>0</v>
      </c>
      <c r="K25" s="20" t="str">
        <f t="shared" si="6"/>
        <v/>
      </c>
      <c r="L25" s="20" t="str">
        <f t="shared" si="7"/>
        <v/>
      </c>
      <c r="M25" s="9">
        <f t="shared" si="8"/>
        <v>412.75964391691394</v>
      </c>
      <c r="N25" s="6">
        <f t="shared" si="9"/>
        <v>0</v>
      </c>
      <c r="O25" s="9">
        <f t="shared" si="10"/>
        <v>412.75964391691394</v>
      </c>
      <c r="P25" s="9">
        <f t="shared" si="11"/>
        <v>0</v>
      </c>
    </row>
    <row r="26" spans="2:16" x14ac:dyDescent="0.35">
      <c r="B26" s="11">
        <v>23</v>
      </c>
      <c r="C26" t="s">
        <v>4</v>
      </c>
      <c r="D26" s="1">
        <v>0</v>
      </c>
      <c r="E26" s="9">
        <f t="shared" si="0"/>
        <v>333.57314148681058</v>
      </c>
      <c r="F26" s="9">
        <f t="shared" si="1"/>
        <v>0</v>
      </c>
      <c r="G26" s="9">
        <f t="shared" si="3"/>
        <v>412.75964391691394</v>
      </c>
      <c r="H26" s="9">
        <f t="shared" si="4"/>
        <v>0</v>
      </c>
      <c r="I26" s="9">
        <f t="shared" si="5"/>
        <v>412.75964391691394</v>
      </c>
      <c r="J26" s="9">
        <f t="shared" si="2"/>
        <v>0</v>
      </c>
      <c r="K26" s="20" t="str">
        <f t="shared" si="6"/>
        <v/>
      </c>
      <c r="L26" s="20" t="str">
        <f t="shared" si="7"/>
        <v/>
      </c>
      <c r="M26" s="9">
        <f t="shared" si="8"/>
        <v>412.75964391691394</v>
      </c>
      <c r="N26" s="6">
        <f t="shared" si="9"/>
        <v>0</v>
      </c>
      <c r="O26" s="9">
        <f t="shared" si="10"/>
        <v>412.75964391691394</v>
      </c>
      <c r="P26" s="9">
        <f t="shared" si="11"/>
        <v>0</v>
      </c>
    </row>
    <row r="27" spans="2:16" x14ac:dyDescent="0.35">
      <c r="B27" s="11">
        <v>24</v>
      </c>
      <c r="C27" t="s">
        <v>4</v>
      </c>
      <c r="D27" s="1">
        <v>0</v>
      </c>
      <c r="E27" s="9">
        <f t="shared" si="0"/>
        <v>333.57314148681058</v>
      </c>
      <c r="F27" s="9">
        <f t="shared" si="1"/>
        <v>0</v>
      </c>
      <c r="G27" s="9">
        <f t="shared" si="3"/>
        <v>412.75964391691394</v>
      </c>
      <c r="H27" s="9">
        <f t="shared" si="4"/>
        <v>0</v>
      </c>
      <c r="I27" s="9">
        <f t="shared" si="5"/>
        <v>412.75964391691394</v>
      </c>
      <c r="J27" s="9">
        <f t="shared" si="2"/>
        <v>0</v>
      </c>
      <c r="K27" s="20" t="str">
        <f t="shared" si="6"/>
        <v/>
      </c>
      <c r="L27" s="20" t="str">
        <f t="shared" si="7"/>
        <v/>
      </c>
      <c r="M27" s="9">
        <f t="shared" si="8"/>
        <v>412.75964391691394</v>
      </c>
      <c r="N27" s="6">
        <f t="shared" si="9"/>
        <v>0</v>
      </c>
      <c r="O27" s="9">
        <f t="shared" si="10"/>
        <v>412.75964391691394</v>
      </c>
      <c r="P27" s="9">
        <f t="shared" si="11"/>
        <v>0</v>
      </c>
    </row>
    <row r="28" spans="2:16" x14ac:dyDescent="0.35">
      <c r="B28" t="s">
        <v>2</v>
      </c>
      <c r="D28" s="13">
        <f>SUM(D4:D27)</f>
        <v>10700</v>
      </c>
      <c r="E28" s="13">
        <f t="shared" ref="E28:F28" si="12">SUM(E4:E27)</f>
        <v>10047.242206235014</v>
      </c>
      <c r="F28" s="13">
        <f t="shared" si="12"/>
        <v>3654.9160671462837</v>
      </c>
      <c r="G28" s="13">
        <f t="shared" ref="G28" si="13">SUM(G4:G27)</f>
        <v>11994.955489614244</v>
      </c>
      <c r="H28" s="13">
        <f t="shared" ref="H28" si="14">SUM(H4:H27)</f>
        <v>2419.8813056379822</v>
      </c>
      <c r="I28" s="13">
        <f t="shared" ref="I28:J28" si="15">SUM(I4:I27)</f>
        <v>10700</v>
      </c>
      <c r="J28" s="12">
        <f t="shared" si="15"/>
        <v>3714.8367952522244</v>
      </c>
      <c r="K28" s="21"/>
      <c r="L28" s="20" t="str">
        <f t="shared" si="7"/>
        <v/>
      </c>
      <c r="M28" s="12">
        <f t="shared" ref="M28" si="16">SUM(M4:M27)</f>
        <v>10700.000000000002</v>
      </c>
      <c r="N28" s="12">
        <f t="shared" ref="N28" si="17">SUM(N4:N27)</f>
        <v>3714.8367952522253</v>
      </c>
      <c r="O28" s="12">
        <f t="shared" ref="O28" si="18">SUM(O4:O27)</f>
        <v>10706.505522584899</v>
      </c>
      <c r="P28" s="12">
        <f t="shared" ref="P28" si="19">SUM(P4:P27)</f>
        <v>3708.3312726673248</v>
      </c>
    </row>
    <row r="29" spans="2:16" x14ac:dyDescent="0.35">
      <c r="B29" t="s">
        <v>3</v>
      </c>
      <c r="D29" s="12">
        <f>MAX(D4:D27)</f>
        <v>1000</v>
      </c>
      <c r="E29" s="12">
        <f t="shared" ref="E29:J29" si="20">MAX(E4:E27)</f>
        <v>513.18944844124701</v>
      </c>
      <c r="F29" s="12">
        <f t="shared" si="20"/>
        <v>486.81055155875299</v>
      </c>
      <c r="G29" s="12">
        <f t="shared" si="20"/>
        <v>635.01483679525222</v>
      </c>
      <c r="H29" s="12">
        <f t="shared" si="20"/>
        <v>364.98516320474778</v>
      </c>
      <c r="I29" s="12">
        <f t="shared" si="20"/>
        <v>600</v>
      </c>
      <c r="J29" s="12">
        <f t="shared" si="20"/>
        <v>526.85459940652811</v>
      </c>
      <c r="K29" s="21">
        <f>AVERAGEIFS(J4:J27,K4:K27,"=x")</f>
        <v>526.85459940652811</v>
      </c>
      <c r="L29" s="21">
        <f>MAX(L4:L28)</f>
        <v>473.14540059347189</v>
      </c>
      <c r="M29" s="12">
        <f t="shared" ref="M29" si="21">MAX(M4:M27)</f>
        <v>507.09693372898124</v>
      </c>
      <c r="N29" s="12">
        <f t="shared" ref="N29:P29" si="22">MAX(N4:N27)</f>
        <v>492.90306627101876</v>
      </c>
      <c r="O29" s="12">
        <f t="shared" si="22"/>
        <v>507.68834487306299</v>
      </c>
      <c r="P29" s="12">
        <f t="shared" si="22"/>
        <v>492.31165512693701</v>
      </c>
    </row>
    <row r="30" spans="2:16" x14ac:dyDescent="0.35">
      <c r="I30" s="9"/>
      <c r="K30">
        <f>COUNTIF(K4:K28,"=x")</f>
        <v>5</v>
      </c>
      <c r="M30">
        <f>COUNTIF(M4:M27,"="&amp;M29)</f>
        <v>12</v>
      </c>
    </row>
    <row r="32" spans="2:16" x14ac:dyDescent="0.35">
      <c r="B32" s="4" t="s">
        <v>7</v>
      </c>
      <c r="C32">
        <f>COUNTIF($C$4:$C$27,"=Icemaking")</f>
        <v>9</v>
      </c>
    </row>
    <row r="33" spans="1:4" x14ac:dyDescent="0.35">
      <c r="B33" s="4" t="s">
        <v>8</v>
      </c>
      <c r="C33">
        <f>COUNTIF($C$4:$C$27,"=Partial Storage")</f>
        <v>15</v>
      </c>
    </row>
    <row r="34" spans="1:4" x14ac:dyDescent="0.35">
      <c r="B34" s="4" t="s">
        <v>9</v>
      </c>
      <c r="C34">
        <f>COUNTIF($C$4:$C$27,"=Full Storage")</f>
        <v>0</v>
      </c>
    </row>
    <row r="35" spans="1:4" x14ac:dyDescent="0.35">
      <c r="B35" s="4" t="s">
        <v>11</v>
      </c>
      <c r="C35" s="5">
        <f>AVERAGEIF($D$4:$D$27,"&gt;0")/MAX($D$4:$D$27)</f>
        <v>0.71333333333333337</v>
      </c>
    </row>
    <row r="36" spans="1:4" x14ac:dyDescent="0.35">
      <c r="B36" s="4" t="s">
        <v>10</v>
      </c>
      <c r="C36" s="7">
        <f>($D$28/((0.65*C32)+C33))+(((SUMIF($C$4:$C$27,"=Full Storage",$D$4:$D$27)))/$C$32)</f>
        <v>513.18944844124701</v>
      </c>
    </row>
    <row r="37" spans="1:4" x14ac:dyDescent="0.35">
      <c r="B37" s="4" t="s">
        <v>28</v>
      </c>
      <c r="C37">
        <f>COUNTIFS($C$4:$C$27,"=Partial Storage",$F$4:$F$27,"&gt;0")</f>
        <v>11</v>
      </c>
    </row>
    <row r="38" spans="1:4" x14ac:dyDescent="0.35">
      <c r="B38" s="4" t="s">
        <v>29</v>
      </c>
      <c r="C38">
        <f>($D$28/((0.65*C32)+C37))+(((SUMIF($C$4:$C$27,"=Full Storage",$D$4:$D$27)))/$C$32)</f>
        <v>635.01483679525222</v>
      </c>
    </row>
    <row r="39" spans="1:4" x14ac:dyDescent="0.35">
      <c r="B39" s="4" t="s">
        <v>14</v>
      </c>
      <c r="C39" s="10">
        <f>C38*C32*0.65</f>
        <v>3714.8367952522258</v>
      </c>
      <c r="D39" s="8"/>
    </row>
    <row r="40" spans="1:4" x14ac:dyDescent="0.35">
      <c r="B40" s="4" t="s">
        <v>15</v>
      </c>
      <c r="C40">
        <f>ROUNDUP(C39/145,0)</f>
        <v>26</v>
      </c>
    </row>
    <row r="41" spans="1:4" x14ac:dyDescent="0.35">
      <c r="B41" s="4" t="s">
        <v>17</v>
      </c>
      <c r="C41">
        <f>SUMIF($C$4:$C$27,"=Icemaking",$G$4:$G$27)</f>
        <v>3714.8367952522249</v>
      </c>
    </row>
    <row r="42" spans="1:4" x14ac:dyDescent="0.35">
      <c r="B42" s="4" t="s">
        <v>34</v>
      </c>
      <c r="C42" s="9">
        <f>SUM(H4:H27)</f>
        <v>2419.8813056379822</v>
      </c>
    </row>
    <row r="43" spans="1:4" x14ac:dyDescent="0.35">
      <c r="B43" s="4" t="s">
        <v>20</v>
      </c>
      <c r="C43" s="9">
        <f>MAX($G$4:$G$27)</f>
        <v>635.01483679525222</v>
      </c>
    </row>
    <row r="44" spans="1:4" x14ac:dyDescent="0.35">
      <c r="B44" s="4" t="s">
        <v>21</v>
      </c>
      <c r="C44">
        <f>COUNTIF($G$4:$G$27,"="&amp;C43)</f>
        <v>8</v>
      </c>
    </row>
    <row r="45" spans="1:4" x14ac:dyDescent="0.35">
      <c r="A45" s="14"/>
      <c r="B45" s="15" t="s">
        <v>22</v>
      </c>
      <c r="C45" s="16">
        <f>(C41-C42)/C44</f>
        <v>161.86943620178033</v>
      </c>
    </row>
    <row r="46" spans="1:4" x14ac:dyDescent="0.35">
      <c r="B46" s="17" t="s">
        <v>35</v>
      </c>
      <c r="C46" s="9">
        <f>L29</f>
        <v>473.14540059347189</v>
      </c>
      <c r="D46" s="18" t="s">
        <v>39</v>
      </c>
    </row>
    <row r="47" spans="1:4" x14ac:dyDescent="0.35">
      <c r="B47" s="17" t="s">
        <v>38</v>
      </c>
      <c r="C47">
        <f>COUNTIF(I4:I27,"&gt;="&amp;L29)</f>
        <v>12</v>
      </c>
    </row>
    <row r="48" spans="1:4" x14ac:dyDescent="0.35">
      <c r="B48" s="17" t="s">
        <v>40</v>
      </c>
      <c r="C48" s="9">
        <f>SUMIF(I4:I27,"&gt;"&amp;C46)-((COUNTIF(I4:I27,"&gt;"&amp;C46)*C46))</f>
        <v>407.41839762611244</v>
      </c>
    </row>
    <row r="49" spans="2:3" x14ac:dyDescent="0.35">
      <c r="B49" s="17" t="s">
        <v>41</v>
      </c>
      <c r="C49">
        <f>AVERAGEIF($I$4:$I$27,"&gt;="&amp;C46)</f>
        <v>507.09693372898124</v>
      </c>
    </row>
    <row r="50" spans="2:3" x14ac:dyDescent="0.35">
      <c r="B50" s="17" t="s">
        <v>44</v>
      </c>
      <c r="C50">
        <f>(C49*COUNTIFS(I4:I27,"&gt;"&amp;$C$46,I4:I27,"&lt;"&amp;C49))-SUMIFS(I4:I27,I4:I27,"&gt;"&amp;$C$46,I4:I27,"&lt;"&amp;C49)</f>
        <v>7.0969337289812415</v>
      </c>
    </row>
  </sheetData>
  <dataValidations count="1">
    <dataValidation type="list" allowBlank="1" showInputMessage="1" showErrorMessage="1" sqref="C4:C27">
      <formula1>$Z$1:$Z$4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A25" zoomScale="80" zoomScaleNormal="80" workbookViewId="0">
      <selection activeCell="D36" sqref="D36"/>
    </sheetView>
  </sheetViews>
  <sheetFormatPr defaultRowHeight="14.5" x14ac:dyDescent="0.35"/>
  <cols>
    <col min="2" max="2" width="11.08984375" bestFit="1" customWidth="1"/>
    <col min="3" max="3" width="16.90625" customWidth="1"/>
    <col min="4" max="4" width="18.54296875" customWidth="1"/>
    <col min="5" max="5" width="24.36328125" customWidth="1"/>
    <col min="6" max="10" width="15.6328125" customWidth="1"/>
    <col min="11" max="11" width="19" customWidth="1"/>
    <col min="12" max="12" width="19.1796875" bestFit="1" customWidth="1"/>
    <col min="13" max="14" width="8.90625" customWidth="1"/>
    <col min="15" max="15" width="16.26953125" customWidth="1"/>
    <col min="16" max="16" width="15.81640625" customWidth="1"/>
    <col min="17" max="17" width="14.7265625" customWidth="1"/>
    <col min="18" max="18" width="13.1796875" customWidth="1"/>
  </cols>
  <sheetData>
    <row r="1" spans="2:28" x14ac:dyDescent="0.35">
      <c r="AB1" s="2" t="s">
        <v>4</v>
      </c>
    </row>
    <row r="2" spans="2:28" x14ac:dyDescent="0.35">
      <c r="O2" s="18" t="s">
        <v>45</v>
      </c>
      <c r="AB2" s="2" t="s">
        <v>5</v>
      </c>
    </row>
    <row r="3" spans="2:28" x14ac:dyDescent="0.35">
      <c r="B3" s="3" t="s">
        <v>0</v>
      </c>
      <c r="C3" s="3" t="s">
        <v>16</v>
      </c>
      <c r="D3" s="3" t="s">
        <v>1</v>
      </c>
      <c r="E3" s="3" t="s">
        <v>24</v>
      </c>
      <c r="F3" s="3" t="s">
        <v>25</v>
      </c>
      <c r="G3" s="3" t="s">
        <v>26</v>
      </c>
      <c r="H3" s="3" t="s">
        <v>27</v>
      </c>
      <c r="I3" s="3"/>
      <c r="J3" s="3"/>
      <c r="K3" s="3" t="s">
        <v>30</v>
      </c>
      <c r="L3" s="3" t="s">
        <v>31</v>
      </c>
      <c r="M3" s="19" t="s">
        <v>36</v>
      </c>
      <c r="N3" s="19" t="s">
        <v>37</v>
      </c>
      <c r="O3" s="3" t="s">
        <v>32</v>
      </c>
      <c r="P3" s="3" t="s">
        <v>33</v>
      </c>
      <c r="Q3" s="3" t="s">
        <v>42</v>
      </c>
      <c r="R3" s="3" t="s">
        <v>43</v>
      </c>
      <c r="AB3" s="2" t="s">
        <v>6</v>
      </c>
    </row>
    <row r="4" spans="2:28" x14ac:dyDescent="0.35">
      <c r="B4" s="11">
        <v>1</v>
      </c>
      <c r="C4" t="s">
        <v>4</v>
      </c>
      <c r="D4" s="1">
        <v>0</v>
      </c>
      <c r="E4" s="9">
        <f t="shared" ref="E4:E27" si="0">IF(C4="Full Storage",0,IF(C4="Icemaking",$C$36*0.65,IF(D4&lt;$C$36,D4,$C$36)))</f>
        <v>624.24242424242425</v>
      </c>
      <c r="F4" s="9">
        <f t="shared" ref="F4:F27" si="1">IF(C4="Icemaking",0,IF(C4="Full Storage",D4,IF(D4&lt;$C$36,0,D4-$C$36)))</f>
        <v>0</v>
      </c>
      <c r="G4" s="9">
        <f>IF(C4="Full Storage",0,IF(C4="Icemaking",$C$38*0.65,IF(D4&lt;$C$38,D4,D4-H4)))</f>
        <v>995.32015065913356</v>
      </c>
      <c r="H4" s="9">
        <f>IF(C4="Icemaking",0,IF(C4="Full Storage",D4,IF(D4&lt;$C$38,0,F4*($C$41/$F$28))))</f>
        <v>0</v>
      </c>
      <c r="I4" s="9"/>
      <c r="J4" s="9"/>
      <c r="K4" s="9">
        <f>IF(G4=$C$43,$C$43-$C$45,G4)</f>
        <v>995.32015065913356</v>
      </c>
      <c r="L4" s="9">
        <f t="shared" ref="L4:L27" si="2">IF(C4="Full Storage",D4,IF(C4="Partial Storage",D4-K4,0))</f>
        <v>0</v>
      </c>
      <c r="M4" s="20" t="str">
        <f t="shared" ref="M4:M27" si="3">IF(L4=$L$29,"x","")</f>
        <v/>
      </c>
      <c r="N4" s="20" t="str">
        <f t="shared" ref="N4:N28" si="4">IF(M4="x",K4,"")</f>
        <v/>
      </c>
      <c r="O4" s="9">
        <f t="shared" ref="O4:O27" si="5">IF(K4&gt;=$C$46,$C$49,K4)</f>
        <v>445.83333333333326</v>
      </c>
      <c r="P4" s="6">
        <f t="shared" ref="P4:P27" si="6">IF(C4="Full Storage",D4,IF(C4="Partial Storage",D4-O4,0))</f>
        <v>0</v>
      </c>
      <c r="Q4" s="9">
        <f t="shared" ref="Q4:Q12" si="7">IF(AND(O4=$O$29,D4&gt;$O$29),$O$29+($C$50/$O$30),O4)</f>
        <v>445.83333333333326</v>
      </c>
      <c r="R4" s="9">
        <f t="shared" ref="R4:R27" si="8">IF(C4="Full Storage",D4,IF(C4="Partial Storage",D4-Q4,0))</f>
        <v>0</v>
      </c>
      <c r="AB4" s="2" t="s">
        <v>46</v>
      </c>
    </row>
    <row r="5" spans="2:28" x14ac:dyDescent="0.35">
      <c r="B5" s="11">
        <v>2</v>
      </c>
      <c r="C5" t="s">
        <v>4</v>
      </c>
      <c r="D5" s="1">
        <v>0</v>
      </c>
      <c r="E5" s="9">
        <f t="shared" si="0"/>
        <v>624.24242424242425</v>
      </c>
      <c r="F5" s="9">
        <f t="shared" si="1"/>
        <v>0</v>
      </c>
      <c r="G5" s="9">
        <f t="shared" ref="G5:G27" si="9">IF(C5="Full Storage",0,IF(C5="Icemaking",$C$38*0.65,IF(D5&lt;$C$38,D5,D5-H5)))</f>
        <v>995.32015065913356</v>
      </c>
      <c r="H5" s="9">
        <f t="shared" ref="H5:H27" si="10">IF(C5="Icemaking",0,IF(C5="Full Storage",D5,IF(D5&lt;$C$38,0,F5*($C$41/$F$28))))</f>
        <v>0</v>
      </c>
      <c r="I5" s="9"/>
      <c r="J5" s="9"/>
      <c r="K5" s="9">
        <f t="shared" ref="K5:K27" si="11">IF(G5=$C$43,$C$43-$C$45,G5)</f>
        <v>995.32015065913356</v>
      </c>
      <c r="L5" s="9">
        <f t="shared" si="2"/>
        <v>0</v>
      </c>
      <c r="M5" s="20" t="str">
        <f t="shared" si="3"/>
        <v/>
      </c>
      <c r="N5" s="20" t="str">
        <f t="shared" si="4"/>
        <v/>
      </c>
      <c r="O5" s="9">
        <f t="shared" si="5"/>
        <v>445.83333333333326</v>
      </c>
      <c r="P5" s="6">
        <f t="shared" si="6"/>
        <v>0</v>
      </c>
      <c r="Q5" s="9">
        <f t="shared" si="7"/>
        <v>445.83333333333326</v>
      </c>
      <c r="R5" s="9">
        <f t="shared" si="8"/>
        <v>0</v>
      </c>
    </row>
    <row r="6" spans="2:28" x14ac:dyDescent="0.35">
      <c r="B6" s="11">
        <v>3</v>
      </c>
      <c r="C6" t="s">
        <v>4</v>
      </c>
      <c r="D6" s="1">
        <v>0</v>
      </c>
      <c r="E6" s="9">
        <f t="shared" si="0"/>
        <v>624.24242424242425</v>
      </c>
      <c r="F6" s="9">
        <f t="shared" si="1"/>
        <v>0</v>
      </c>
      <c r="G6" s="9">
        <f t="shared" si="9"/>
        <v>995.32015065913356</v>
      </c>
      <c r="H6" s="9">
        <f t="shared" si="10"/>
        <v>0</v>
      </c>
      <c r="I6" s="9"/>
      <c r="J6" s="9"/>
      <c r="K6" s="9">
        <f t="shared" si="11"/>
        <v>995.32015065913356</v>
      </c>
      <c r="L6" s="9">
        <f t="shared" si="2"/>
        <v>0</v>
      </c>
      <c r="M6" s="20" t="str">
        <f t="shared" si="3"/>
        <v/>
      </c>
      <c r="N6" s="20" t="str">
        <f t="shared" si="4"/>
        <v/>
      </c>
      <c r="O6" s="9">
        <f t="shared" si="5"/>
        <v>445.83333333333326</v>
      </c>
      <c r="P6" s="6">
        <f t="shared" si="6"/>
        <v>0</v>
      </c>
      <c r="Q6" s="9">
        <f t="shared" si="7"/>
        <v>445.83333333333326</v>
      </c>
      <c r="R6" s="9">
        <f t="shared" si="8"/>
        <v>0</v>
      </c>
    </row>
    <row r="7" spans="2:28" x14ac:dyDescent="0.35">
      <c r="B7" s="11">
        <v>4</v>
      </c>
      <c r="C7" t="s">
        <v>4</v>
      </c>
      <c r="D7" s="1">
        <v>0</v>
      </c>
      <c r="E7" s="9">
        <f t="shared" si="0"/>
        <v>624.24242424242425</v>
      </c>
      <c r="F7" s="9">
        <f t="shared" si="1"/>
        <v>0</v>
      </c>
      <c r="G7" s="9">
        <f t="shared" si="9"/>
        <v>995.32015065913356</v>
      </c>
      <c r="H7" s="9">
        <f t="shared" si="10"/>
        <v>0</v>
      </c>
      <c r="I7" s="9"/>
      <c r="J7" s="9"/>
      <c r="K7" s="9">
        <f t="shared" si="11"/>
        <v>995.32015065913356</v>
      </c>
      <c r="L7" s="9">
        <f t="shared" si="2"/>
        <v>0</v>
      </c>
      <c r="M7" s="20" t="str">
        <f t="shared" si="3"/>
        <v/>
      </c>
      <c r="N7" s="20" t="str">
        <f t="shared" si="4"/>
        <v/>
      </c>
      <c r="O7" s="9">
        <f t="shared" si="5"/>
        <v>445.83333333333326</v>
      </c>
      <c r="P7" s="6">
        <f t="shared" si="6"/>
        <v>0</v>
      </c>
      <c r="Q7" s="9">
        <f t="shared" si="7"/>
        <v>445.83333333333326</v>
      </c>
      <c r="R7" s="9">
        <f t="shared" si="8"/>
        <v>0</v>
      </c>
    </row>
    <row r="8" spans="2:28" x14ac:dyDescent="0.35">
      <c r="B8" s="11">
        <v>5</v>
      </c>
      <c r="C8" t="s">
        <v>4</v>
      </c>
      <c r="D8" s="1">
        <v>0</v>
      </c>
      <c r="E8" s="9">
        <f t="shared" si="0"/>
        <v>624.24242424242425</v>
      </c>
      <c r="F8" s="9">
        <f t="shared" si="1"/>
        <v>0</v>
      </c>
      <c r="G8" s="9">
        <f t="shared" si="9"/>
        <v>995.32015065913356</v>
      </c>
      <c r="H8" s="9">
        <f t="shared" si="10"/>
        <v>0</v>
      </c>
      <c r="I8" s="9"/>
      <c r="J8" s="9"/>
      <c r="K8" s="9">
        <f t="shared" si="11"/>
        <v>995.32015065913356</v>
      </c>
      <c r="L8" s="9">
        <f t="shared" si="2"/>
        <v>0</v>
      </c>
      <c r="M8" s="20" t="str">
        <f t="shared" si="3"/>
        <v/>
      </c>
      <c r="N8" s="20" t="str">
        <f t="shared" si="4"/>
        <v/>
      </c>
      <c r="O8" s="9">
        <f t="shared" si="5"/>
        <v>445.83333333333326</v>
      </c>
      <c r="P8" s="6">
        <f t="shared" si="6"/>
        <v>0</v>
      </c>
      <c r="Q8" s="9">
        <f t="shared" si="7"/>
        <v>445.83333333333326</v>
      </c>
      <c r="R8" s="9">
        <f t="shared" si="8"/>
        <v>0</v>
      </c>
    </row>
    <row r="9" spans="2:28" x14ac:dyDescent="0.35">
      <c r="B9" s="11">
        <v>6</v>
      </c>
      <c r="C9" t="s">
        <v>4</v>
      </c>
      <c r="D9" s="1">
        <v>0</v>
      </c>
      <c r="E9" s="9">
        <f t="shared" si="0"/>
        <v>624.24242424242425</v>
      </c>
      <c r="F9" s="9">
        <f t="shared" si="1"/>
        <v>0</v>
      </c>
      <c r="G9" s="9">
        <f t="shared" si="9"/>
        <v>995.32015065913356</v>
      </c>
      <c r="H9" s="9">
        <f t="shared" si="10"/>
        <v>0</v>
      </c>
      <c r="I9" s="9"/>
      <c r="J9" s="9"/>
      <c r="K9" s="9">
        <f t="shared" si="11"/>
        <v>995.32015065913356</v>
      </c>
      <c r="L9" s="9">
        <f t="shared" si="2"/>
        <v>0</v>
      </c>
      <c r="M9" s="20" t="str">
        <f t="shared" si="3"/>
        <v/>
      </c>
      <c r="N9" s="20" t="str">
        <f t="shared" si="4"/>
        <v/>
      </c>
      <c r="O9" s="9">
        <f t="shared" si="5"/>
        <v>445.83333333333326</v>
      </c>
      <c r="P9" s="6">
        <f t="shared" si="6"/>
        <v>0</v>
      </c>
      <c r="Q9" s="9">
        <f t="shared" si="7"/>
        <v>445.83333333333326</v>
      </c>
      <c r="R9" s="9">
        <f t="shared" si="8"/>
        <v>0</v>
      </c>
    </row>
    <row r="10" spans="2:28" x14ac:dyDescent="0.35">
      <c r="B10" s="11">
        <v>7</v>
      </c>
      <c r="C10" t="s">
        <v>46</v>
      </c>
      <c r="D10" s="1">
        <v>200</v>
      </c>
      <c r="E10" s="9">
        <f t="shared" si="0"/>
        <v>200</v>
      </c>
      <c r="F10" s="9">
        <f t="shared" si="1"/>
        <v>0</v>
      </c>
      <c r="G10" s="9">
        <f t="shared" si="9"/>
        <v>200</v>
      </c>
      <c r="H10" s="9">
        <f t="shared" si="10"/>
        <v>0</v>
      </c>
      <c r="I10" s="9"/>
      <c r="J10" s="9"/>
      <c r="K10" s="9">
        <f t="shared" si="11"/>
        <v>200</v>
      </c>
      <c r="L10" s="9">
        <f t="shared" si="2"/>
        <v>0</v>
      </c>
      <c r="M10" s="20" t="str">
        <f t="shared" si="3"/>
        <v/>
      </c>
      <c r="N10" s="20" t="str">
        <f t="shared" si="4"/>
        <v/>
      </c>
      <c r="O10" s="9">
        <f t="shared" si="5"/>
        <v>445.83333333333326</v>
      </c>
      <c r="P10" s="6">
        <f t="shared" si="6"/>
        <v>0</v>
      </c>
      <c r="Q10" s="9">
        <f t="shared" si="7"/>
        <v>445.83333333333326</v>
      </c>
      <c r="R10" s="9">
        <f t="shared" si="8"/>
        <v>0</v>
      </c>
    </row>
    <row r="11" spans="2:28" x14ac:dyDescent="0.35">
      <c r="B11" s="11">
        <v>8</v>
      </c>
      <c r="C11" t="s">
        <v>46</v>
      </c>
      <c r="D11" s="1">
        <v>300</v>
      </c>
      <c r="E11" s="9">
        <f t="shared" si="0"/>
        <v>300</v>
      </c>
      <c r="F11" s="9">
        <f t="shared" si="1"/>
        <v>0</v>
      </c>
      <c r="G11" s="9">
        <f t="shared" si="9"/>
        <v>300</v>
      </c>
      <c r="H11" s="9">
        <f t="shared" si="10"/>
        <v>0</v>
      </c>
      <c r="I11" s="9"/>
      <c r="J11" s="9"/>
      <c r="K11" s="9">
        <f t="shared" si="11"/>
        <v>300</v>
      </c>
      <c r="L11" s="9">
        <f t="shared" si="2"/>
        <v>0</v>
      </c>
      <c r="M11" s="20" t="str">
        <f t="shared" si="3"/>
        <v/>
      </c>
      <c r="N11" s="20" t="str">
        <f t="shared" si="4"/>
        <v/>
      </c>
      <c r="O11" s="9">
        <f t="shared" si="5"/>
        <v>445.83333333333326</v>
      </c>
      <c r="P11" s="6">
        <f t="shared" si="6"/>
        <v>0</v>
      </c>
      <c r="Q11" s="9">
        <f t="shared" si="7"/>
        <v>445.83333333333326</v>
      </c>
      <c r="R11" s="9">
        <f t="shared" si="8"/>
        <v>0</v>
      </c>
    </row>
    <row r="12" spans="2:28" x14ac:dyDescent="0.35">
      <c r="B12" s="11">
        <v>9</v>
      </c>
      <c r="C12" t="s">
        <v>46</v>
      </c>
      <c r="D12" s="1">
        <v>400</v>
      </c>
      <c r="E12" s="9">
        <f t="shared" si="0"/>
        <v>400</v>
      </c>
      <c r="F12" s="9">
        <f t="shared" si="1"/>
        <v>0</v>
      </c>
      <c r="G12" s="9">
        <f t="shared" si="9"/>
        <v>400</v>
      </c>
      <c r="H12" s="9">
        <f t="shared" si="10"/>
        <v>0</v>
      </c>
      <c r="I12" s="9"/>
      <c r="J12" s="9"/>
      <c r="K12" s="9">
        <f t="shared" si="11"/>
        <v>400</v>
      </c>
      <c r="L12" s="9">
        <f t="shared" si="2"/>
        <v>0</v>
      </c>
      <c r="M12" s="20" t="str">
        <f t="shared" si="3"/>
        <v/>
      </c>
      <c r="N12" s="20" t="str">
        <f t="shared" si="4"/>
        <v/>
      </c>
      <c r="O12" s="9">
        <f t="shared" si="5"/>
        <v>445.83333333333326</v>
      </c>
      <c r="P12" s="6">
        <f t="shared" si="6"/>
        <v>0</v>
      </c>
      <c r="Q12" s="9">
        <f t="shared" si="7"/>
        <v>445.83333333333326</v>
      </c>
      <c r="R12" s="9">
        <f t="shared" si="8"/>
        <v>0</v>
      </c>
    </row>
    <row r="13" spans="2:28" x14ac:dyDescent="0.35">
      <c r="B13" s="11">
        <v>10</v>
      </c>
      <c r="C13" t="s">
        <v>5</v>
      </c>
      <c r="D13" s="1">
        <v>500</v>
      </c>
      <c r="E13" s="9">
        <f t="shared" si="0"/>
        <v>500</v>
      </c>
      <c r="F13" s="9">
        <f t="shared" si="1"/>
        <v>0</v>
      </c>
      <c r="G13" s="9">
        <f t="shared" si="9"/>
        <v>500</v>
      </c>
      <c r="H13" s="9">
        <f t="shared" si="10"/>
        <v>0</v>
      </c>
      <c r="I13" s="9"/>
      <c r="J13" s="9"/>
      <c r="K13" s="9">
        <f t="shared" si="11"/>
        <v>500</v>
      </c>
      <c r="L13" s="9">
        <f t="shared" si="2"/>
        <v>0</v>
      </c>
      <c r="M13" s="20" t="str">
        <f t="shared" si="3"/>
        <v/>
      </c>
      <c r="N13" s="20" t="str">
        <f t="shared" si="4"/>
        <v/>
      </c>
      <c r="O13" s="9">
        <f t="shared" si="5"/>
        <v>445.83333333333326</v>
      </c>
      <c r="P13" s="6">
        <f t="shared" si="6"/>
        <v>54.166666666666742</v>
      </c>
      <c r="Q13" s="9">
        <f>IF(O13=$O$29,IF(D13&gt;$O$29,$O$29+($C$50/$O$30),O13),O13)</f>
        <v>519.79166666666652</v>
      </c>
      <c r="R13" s="9">
        <f t="shared" si="8"/>
        <v>-19.791666666666515</v>
      </c>
    </row>
    <row r="14" spans="2:28" x14ac:dyDescent="0.35">
      <c r="B14" s="11">
        <v>11</v>
      </c>
      <c r="C14" t="s">
        <v>5</v>
      </c>
      <c r="D14" s="1">
        <v>800</v>
      </c>
      <c r="E14" s="9">
        <f t="shared" si="0"/>
        <v>800</v>
      </c>
      <c r="F14" s="9">
        <f t="shared" si="1"/>
        <v>0</v>
      </c>
      <c r="G14" s="9">
        <f t="shared" si="9"/>
        <v>800</v>
      </c>
      <c r="H14" s="9">
        <f t="shared" si="10"/>
        <v>0</v>
      </c>
      <c r="I14" s="9"/>
      <c r="J14" s="9"/>
      <c r="K14" s="9">
        <f t="shared" si="11"/>
        <v>800</v>
      </c>
      <c r="L14" s="9">
        <f t="shared" si="2"/>
        <v>0</v>
      </c>
      <c r="M14" s="20" t="str">
        <f t="shared" si="3"/>
        <v/>
      </c>
      <c r="N14" s="20" t="str">
        <f t="shared" si="4"/>
        <v/>
      </c>
      <c r="O14" s="9">
        <f t="shared" si="5"/>
        <v>445.83333333333326</v>
      </c>
      <c r="P14" s="6">
        <f t="shared" si="6"/>
        <v>354.16666666666674</v>
      </c>
      <c r="Q14" s="9">
        <f t="shared" ref="Q14:Q27" si="12">IF(AND(O14=$O$29,D14&gt;$O$29),$O$29+($C$50/$O$30),O14)</f>
        <v>519.79166666666652</v>
      </c>
      <c r="R14" s="9">
        <f t="shared" si="8"/>
        <v>280.20833333333348</v>
      </c>
    </row>
    <row r="15" spans="2:28" x14ac:dyDescent="0.35">
      <c r="B15" s="11">
        <v>12</v>
      </c>
      <c r="C15" t="s">
        <v>5</v>
      </c>
      <c r="D15" s="1">
        <v>1000</v>
      </c>
      <c r="E15" s="9">
        <f t="shared" si="0"/>
        <v>960.37296037296028</v>
      </c>
      <c r="F15" s="9">
        <f t="shared" si="1"/>
        <v>39.627039627039721</v>
      </c>
      <c r="G15" s="9">
        <f t="shared" si="9"/>
        <v>1000</v>
      </c>
      <c r="H15" s="9">
        <f t="shared" si="10"/>
        <v>0</v>
      </c>
      <c r="I15" s="9"/>
      <c r="J15" s="9"/>
      <c r="K15" s="9">
        <f t="shared" si="11"/>
        <v>-1019.2937853107348</v>
      </c>
      <c r="L15" s="9">
        <f t="shared" si="2"/>
        <v>2019.2937853107348</v>
      </c>
      <c r="M15" s="20" t="str">
        <f t="shared" si="3"/>
        <v>x</v>
      </c>
      <c r="N15" s="20">
        <f t="shared" si="4"/>
        <v>-1019.2937853107348</v>
      </c>
      <c r="O15" s="9">
        <f t="shared" si="5"/>
        <v>445.83333333333326</v>
      </c>
      <c r="P15" s="6">
        <f t="shared" si="6"/>
        <v>554.16666666666674</v>
      </c>
      <c r="Q15" s="9">
        <f t="shared" si="12"/>
        <v>519.79166666666652</v>
      </c>
      <c r="R15" s="9">
        <f t="shared" si="8"/>
        <v>480.20833333333348</v>
      </c>
    </row>
    <row r="16" spans="2:28" x14ac:dyDescent="0.35">
      <c r="B16" s="11">
        <v>13</v>
      </c>
      <c r="C16" t="s">
        <v>5</v>
      </c>
      <c r="D16" s="1">
        <v>1000</v>
      </c>
      <c r="E16" s="9">
        <f t="shared" si="0"/>
        <v>960.37296037296028</v>
      </c>
      <c r="F16" s="9">
        <f t="shared" si="1"/>
        <v>39.627039627039721</v>
      </c>
      <c r="G16" s="9">
        <f t="shared" si="9"/>
        <v>1000</v>
      </c>
      <c r="H16" s="9">
        <f t="shared" si="10"/>
        <v>0</v>
      </c>
      <c r="I16" s="9"/>
      <c r="J16" s="9"/>
      <c r="K16" s="9">
        <f t="shared" si="11"/>
        <v>-1019.2937853107348</v>
      </c>
      <c r="L16" s="9">
        <f t="shared" si="2"/>
        <v>2019.2937853107348</v>
      </c>
      <c r="M16" s="20" t="str">
        <f t="shared" si="3"/>
        <v>x</v>
      </c>
      <c r="N16" s="20">
        <f t="shared" si="4"/>
        <v>-1019.2937853107348</v>
      </c>
      <c r="O16" s="9">
        <f t="shared" si="5"/>
        <v>445.83333333333326</v>
      </c>
      <c r="P16" s="6">
        <f t="shared" si="6"/>
        <v>554.16666666666674</v>
      </c>
      <c r="Q16" s="9">
        <f t="shared" si="12"/>
        <v>519.79166666666652</v>
      </c>
      <c r="R16" s="9">
        <f t="shared" si="8"/>
        <v>480.20833333333348</v>
      </c>
    </row>
    <row r="17" spans="2:18" x14ac:dyDescent="0.35">
      <c r="B17" s="11">
        <v>14</v>
      </c>
      <c r="C17" t="s">
        <v>5</v>
      </c>
      <c r="D17" s="1">
        <v>1000</v>
      </c>
      <c r="E17" s="9">
        <f t="shared" si="0"/>
        <v>960.37296037296028</v>
      </c>
      <c r="F17" s="9">
        <f t="shared" si="1"/>
        <v>39.627039627039721</v>
      </c>
      <c r="G17" s="9">
        <f t="shared" si="9"/>
        <v>1000</v>
      </c>
      <c r="H17" s="9">
        <f t="shared" si="10"/>
        <v>0</v>
      </c>
      <c r="I17" s="9"/>
      <c r="J17" s="9"/>
      <c r="K17" s="9">
        <f t="shared" si="11"/>
        <v>-1019.2937853107348</v>
      </c>
      <c r="L17" s="9">
        <f t="shared" si="2"/>
        <v>2019.2937853107348</v>
      </c>
      <c r="M17" s="20" t="str">
        <f t="shared" si="3"/>
        <v>x</v>
      </c>
      <c r="N17" s="20">
        <f t="shared" si="4"/>
        <v>-1019.2937853107348</v>
      </c>
      <c r="O17" s="9">
        <f t="shared" si="5"/>
        <v>445.83333333333326</v>
      </c>
      <c r="P17" s="6">
        <f t="shared" si="6"/>
        <v>554.16666666666674</v>
      </c>
      <c r="Q17" s="9">
        <f t="shared" si="12"/>
        <v>519.79166666666652</v>
      </c>
      <c r="R17" s="9">
        <f t="shared" si="8"/>
        <v>480.20833333333348</v>
      </c>
    </row>
    <row r="18" spans="2:18" x14ac:dyDescent="0.35">
      <c r="B18" s="11">
        <v>15</v>
      </c>
      <c r="C18" t="s">
        <v>6</v>
      </c>
      <c r="D18" s="1">
        <v>1000</v>
      </c>
      <c r="E18" s="9">
        <f t="shared" si="0"/>
        <v>0</v>
      </c>
      <c r="F18" s="9">
        <f t="shared" si="1"/>
        <v>1000</v>
      </c>
      <c r="G18" s="9">
        <f t="shared" si="9"/>
        <v>0</v>
      </c>
      <c r="H18" s="9">
        <f t="shared" si="10"/>
        <v>1000</v>
      </c>
      <c r="I18" s="9"/>
      <c r="J18" s="9"/>
      <c r="K18" s="9">
        <f t="shared" si="11"/>
        <v>0</v>
      </c>
      <c r="L18" s="9">
        <f t="shared" si="2"/>
        <v>1000</v>
      </c>
      <c r="M18" s="20" t="str">
        <f t="shared" si="3"/>
        <v/>
      </c>
      <c r="N18" s="20" t="str">
        <f t="shared" si="4"/>
        <v/>
      </c>
      <c r="O18" s="9">
        <f t="shared" si="5"/>
        <v>445.83333333333326</v>
      </c>
      <c r="P18" s="6">
        <f t="shared" si="6"/>
        <v>1000</v>
      </c>
      <c r="Q18" s="9">
        <f t="shared" si="12"/>
        <v>519.79166666666652</v>
      </c>
      <c r="R18" s="9">
        <f t="shared" si="8"/>
        <v>1000</v>
      </c>
    </row>
    <row r="19" spans="2:18" x14ac:dyDescent="0.35">
      <c r="B19" s="11">
        <v>16</v>
      </c>
      <c r="C19" t="s">
        <v>6</v>
      </c>
      <c r="D19" s="1">
        <v>1000</v>
      </c>
      <c r="E19" s="9">
        <f t="shared" si="0"/>
        <v>0</v>
      </c>
      <c r="F19" s="9">
        <f t="shared" si="1"/>
        <v>1000</v>
      </c>
      <c r="G19" s="9">
        <f t="shared" si="9"/>
        <v>0</v>
      </c>
      <c r="H19" s="9">
        <f t="shared" si="10"/>
        <v>1000</v>
      </c>
      <c r="I19" s="9"/>
      <c r="J19" s="9"/>
      <c r="K19" s="9">
        <f t="shared" si="11"/>
        <v>0</v>
      </c>
      <c r="L19" s="9">
        <f t="shared" si="2"/>
        <v>1000</v>
      </c>
      <c r="M19" s="20" t="str">
        <f t="shared" si="3"/>
        <v/>
      </c>
      <c r="N19" s="20" t="str">
        <f t="shared" si="4"/>
        <v/>
      </c>
      <c r="O19" s="9">
        <f t="shared" si="5"/>
        <v>445.83333333333326</v>
      </c>
      <c r="P19" s="6">
        <f t="shared" si="6"/>
        <v>1000</v>
      </c>
      <c r="Q19" s="9">
        <f t="shared" si="12"/>
        <v>519.79166666666652</v>
      </c>
      <c r="R19" s="9">
        <f t="shared" si="8"/>
        <v>1000</v>
      </c>
    </row>
    <row r="20" spans="2:18" x14ac:dyDescent="0.35">
      <c r="B20" s="11">
        <v>17</v>
      </c>
      <c r="C20" t="s">
        <v>6</v>
      </c>
      <c r="D20" s="1">
        <v>900</v>
      </c>
      <c r="E20" s="9">
        <f t="shared" si="0"/>
        <v>0</v>
      </c>
      <c r="F20" s="9">
        <f t="shared" si="1"/>
        <v>900</v>
      </c>
      <c r="G20" s="9">
        <f t="shared" si="9"/>
        <v>0</v>
      </c>
      <c r="H20" s="9">
        <f t="shared" si="10"/>
        <v>900</v>
      </c>
      <c r="I20" s="9"/>
      <c r="J20" s="9"/>
      <c r="K20" s="9">
        <f t="shared" si="11"/>
        <v>0</v>
      </c>
      <c r="L20" s="9">
        <f t="shared" si="2"/>
        <v>900</v>
      </c>
      <c r="M20" s="20" t="str">
        <f t="shared" si="3"/>
        <v/>
      </c>
      <c r="N20" s="20" t="str">
        <f t="shared" si="4"/>
        <v/>
      </c>
      <c r="O20" s="9">
        <f t="shared" si="5"/>
        <v>445.83333333333326</v>
      </c>
      <c r="P20" s="6">
        <f t="shared" si="6"/>
        <v>900</v>
      </c>
      <c r="Q20" s="9">
        <f t="shared" si="12"/>
        <v>519.79166666666652</v>
      </c>
      <c r="R20" s="9">
        <f t="shared" si="8"/>
        <v>900</v>
      </c>
    </row>
    <row r="21" spans="2:18" x14ac:dyDescent="0.35">
      <c r="B21" s="11">
        <v>18</v>
      </c>
      <c r="C21" t="s">
        <v>5</v>
      </c>
      <c r="D21" s="1">
        <v>800</v>
      </c>
      <c r="E21" s="9">
        <f t="shared" si="0"/>
        <v>800</v>
      </c>
      <c r="F21" s="9">
        <f t="shared" si="1"/>
        <v>0</v>
      </c>
      <c r="G21" s="9">
        <f t="shared" si="9"/>
        <v>800</v>
      </c>
      <c r="H21" s="9">
        <f t="shared" si="10"/>
        <v>0</v>
      </c>
      <c r="I21" s="9"/>
      <c r="J21" s="9"/>
      <c r="K21" s="9">
        <f t="shared" si="11"/>
        <v>800</v>
      </c>
      <c r="L21" s="9">
        <f t="shared" si="2"/>
        <v>0</v>
      </c>
      <c r="M21" s="20" t="str">
        <f t="shared" si="3"/>
        <v/>
      </c>
      <c r="N21" s="20" t="str">
        <f t="shared" si="4"/>
        <v/>
      </c>
      <c r="O21" s="9">
        <f t="shared" si="5"/>
        <v>445.83333333333326</v>
      </c>
      <c r="P21" s="6">
        <f t="shared" si="6"/>
        <v>354.16666666666674</v>
      </c>
      <c r="Q21" s="9">
        <f t="shared" si="12"/>
        <v>519.79166666666652</v>
      </c>
      <c r="R21" s="9">
        <f t="shared" si="8"/>
        <v>280.20833333333348</v>
      </c>
    </row>
    <row r="22" spans="2:18" x14ac:dyDescent="0.35">
      <c r="B22" s="11">
        <v>19</v>
      </c>
      <c r="C22" t="s">
        <v>5</v>
      </c>
      <c r="D22" s="1">
        <v>600</v>
      </c>
      <c r="E22" s="9">
        <f t="shared" si="0"/>
        <v>600</v>
      </c>
      <c r="F22" s="9">
        <f t="shared" si="1"/>
        <v>0</v>
      </c>
      <c r="G22" s="9">
        <f t="shared" si="9"/>
        <v>600</v>
      </c>
      <c r="H22" s="9">
        <f t="shared" si="10"/>
        <v>0</v>
      </c>
      <c r="I22" s="9"/>
      <c r="J22" s="9"/>
      <c r="K22" s="9">
        <f t="shared" si="11"/>
        <v>600</v>
      </c>
      <c r="L22" s="9">
        <f t="shared" si="2"/>
        <v>0</v>
      </c>
      <c r="M22" s="20" t="str">
        <f t="shared" si="3"/>
        <v/>
      </c>
      <c r="N22" s="20" t="str">
        <f t="shared" si="4"/>
        <v/>
      </c>
      <c r="O22" s="9">
        <f t="shared" si="5"/>
        <v>445.83333333333326</v>
      </c>
      <c r="P22" s="6">
        <f t="shared" si="6"/>
        <v>154.16666666666674</v>
      </c>
      <c r="Q22" s="9">
        <f t="shared" si="12"/>
        <v>519.79166666666652</v>
      </c>
      <c r="R22" s="9">
        <f t="shared" si="8"/>
        <v>80.208333333333485</v>
      </c>
    </row>
    <row r="23" spans="2:18" x14ac:dyDescent="0.35">
      <c r="B23" s="11">
        <v>20</v>
      </c>
      <c r="C23" t="s">
        <v>5</v>
      </c>
      <c r="D23" s="1">
        <v>600</v>
      </c>
      <c r="E23" s="9">
        <f t="shared" si="0"/>
        <v>600</v>
      </c>
      <c r="F23" s="9">
        <f t="shared" si="1"/>
        <v>0</v>
      </c>
      <c r="G23" s="9">
        <f t="shared" si="9"/>
        <v>600</v>
      </c>
      <c r="H23" s="9">
        <f t="shared" si="10"/>
        <v>0</v>
      </c>
      <c r="I23" s="9"/>
      <c r="J23" s="9"/>
      <c r="K23" s="9">
        <f t="shared" si="11"/>
        <v>600</v>
      </c>
      <c r="L23" s="9">
        <f t="shared" si="2"/>
        <v>0</v>
      </c>
      <c r="M23" s="20" t="str">
        <f t="shared" si="3"/>
        <v/>
      </c>
      <c r="N23" s="20" t="str">
        <f t="shared" si="4"/>
        <v/>
      </c>
      <c r="O23" s="9">
        <f t="shared" si="5"/>
        <v>445.83333333333326</v>
      </c>
      <c r="P23" s="6">
        <f t="shared" si="6"/>
        <v>154.16666666666674</v>
      </c>
      <c r="Q23" s="9">
        <f t="shared" si="12"/>
        <v>519.79166666666652</v>
      </c>
      <c r="R23" s="9">
        <f t="shared" si="8"/>
        <v>80.208333333333485</v>
      </c>
    </row>
    <row r="24" spans="2:18" x14ac:dyDescent="0.35">
      <c r="B24" s="11">
        <v>21</v>
      </c>
      <c r="C24" t="s">
        <v>5</v>
      </c>
      <c r="D24" s="1">
        <v>600</v>
      </c>
      <c r="E24" s="9">
        <f t="shared" si="0"/>
        <v>600</v>
      </c>
      <c r="F24" s="9">
        <f t="shared" si="1"/>
        <v>0</v>
      </c>
      <c r="G24" s="9">
        <f t="shared" si="9"/>
        <v>600</v>
      </c>
      <c r="H24" s="9">
        <f t="shared" si="10"/>
        <v>0</v>
      </c>
      <c r="I24" s="9"/>
      <c r="J24" s="9"/>
      <c r="K24" s="9">
        <f t="shared" si="11"/>
        <v>600</v>
      </c>
      <c r="L24" s="9">
        <f t="shared" si="2"/>
        <v>0</v>
      </c>
      <c r="M24" s="20" t="str">
        <f t="shared" si="3"/>
        <v/>
      </c>
      <c r="N24" s="20" t="str">
        <f t="shared" si="4"/>
        <v/>
      </c>
      <c r="O24" s="9">
        <f t="shared" si="5"/>
        <v>445.83333333333326</v>
      </c>
      <c r="P24" s="6">
        <f t="shared" si="6"/>
        <v>154.16666666666674</v>
      </c>
      <c r="Q24" s="9">
        <f t="shared" si="12"/>
        <v>519.79166666666652</v>
      </c>
      <c r="R24" s="9">
        <f t="shared" si="8"/>
        <v>80.208333333333485</v>
      </c>
    </row>
    <row r="25" spans="2:18" x14ac:dyDescent="0.35">
      <c r="B25" s="11">
        <v>22</v>
      </c>
      <c r="C25" t="s">
        <v>4</v>
      </c>
      <c r="D25" s="1">
        <v>0</v>
      </c>
      <c r="E25" s="9">
        <f t="shared" si="0"/>
        <v>624.24242424242425</v>
      </c>
      <c r="F25" s="9">
        <f t="shared" si="1"/>
        <v>0</v>
      </c>
      <c r="G25" s="9">
        <f t="shared" si="9"/>
        <v>995.32015065913356</v>
      </c>
      <c r="H25" s="9">
        <f t="shared" si="10"/>
        <v>0</v>
      </c>
      <c r="I25" s="9"/>
      <c r="J25" s="9"/>
      <c r="K25" s="9">
        <f t="shared" si="11"/>
        <v>995.32015065913356</v>
      </c>
      <c r="L25" s="9">
        <f t="shared" si="2"/>
        <v>0</v>
      </c>
      <c r="M25" s="20" t="str">
        <f t="shared" si="3"/>
        <v/>
      </c>
      <c r="N25" s="20" t="str">
        <f t="shared" si="4"/>
        <v/>
      </c>
      <c r="O25" s="9">
        <f t="shared" si="5"/>
        <v>445.83333333333326</v>
      </c>
      <c r="P25" s="6">
        <f t="shared" si="6"/>
        <v>0</v>
      </c>
      <c r="Q25" s="9">
        <f t="shared" si="12"/>
        <v>445.83333333333326</v>
      </c>
      <c r="R25" s="9">
        <f t="shared" si="8"/>
        <v>0</v>
      </c>
    </row>
    <row r="26" spans="2:18" x14ac:dyDescent="0.35">
      <c r="B26" s="11">
        <v>23</v>
      </c>
      <c r="C26" t="s">
        <v>4</v>
      </c>
      <c r="D26" s="1">
        <v>0</v>
      </c>
      <c r="E26" s="9">
        <f t="shared" si="0"/>
        <v>624.24242424242425</v>
      </c>
      <c r="F26" s="9">
        <f t="shared" si="1"/>
        <v>0</v>
      </c>
      <c r="G26" s="9">
        <f t="shared" si="9"/>
        <v>995.32015065913356</v>
      </c>
      <c r="H26" s="9">
        <f t="shared" si="10"/>
        <v>0</v>
      </c>
      <c r="I26" s="9"/>
      <c r="J26" s="9"/>
      <c r="K26" s="9">
        <f t="shared" si="11"/>
        <v>995.32015065913356</v>
      </c>
      <c r="L26" s="9">
        <f t="shared" si="2"/>
        <v>0</v>
      </c>
      <c r="M26" s="20" t="str">
        <f t="shared" si="3"/>
        <v/>
      </c>
      <c r="N26" s="20" t="str">
        <f t="shared" si="4"/>
        <v/>
      </c>
      <c r="O26" s="9">
        <f t="shared" si="5"/>
        <v>445.83333333333326</v>
      </c>
      <c r="P26" s="6">
        <f t="shared" si="6"/>
        <v>0</v>
      </c>
      <c r="Q26" s="9">
        <f t="shared" si="12"/>
        <v>445.83333333333326</v>
      </c>
      <c r="R26" s="9">
        <f t="shared" si="8"/>
        <v>0</v>
      </c>
    </row>
    <row r="27" spans="2:18" x14ac:dyDescent="0.35">
      <c r="B27" s="11">
        <v>24</v>
      </c>
      <c r="C27" t="s">
        <v>4</v>
      </c>
      <c r="D27" s="1">
        <v>0</v>
      </c>
      <c r="E27" s="9">
        <f t="shared" si="0"/>
        <v>624.24242424242425</v>
      </c>
      <c r="F27" s="9">
        <f t="shared" si="1"/>
        <v>0</v>
      </c>
      <c r="G27" s="9">
        <f t="shared" si="9"/>
        <v>995.32015065913356</v>
      </c>
      <c r="H27" s="9">
        <f t="shared" si="10"/>
        <v>0</v>
      </c>
      <c r="I27" s="9"/>
      <c r="J27" s="9"/>
      <c r="K27" s="9">
        <f t="shared" si="11"/>
        <v>995.32015065913356</v>
      </c>
      <c r="L27" s="9">
        <f t="shared" si="2"/>
        <v>0</v>
      </c>
      <c r="M27" s="20" t="str">
        <f t="shared" si="3"/>
        <v/>
      </c>
      <c r="N27" s="20" t="str">
        <f t="shared" si="4"/>
        <v/>
      </c>
      <c r="O27" s="9">
        <f t="shared" si="5"/>
        <v>445.83333333333326</v>
      </c>
      <c r="P27" s="6">
        <f t="shared" si="6"/>
        <v>0</v>
      </c>
      <c r="Q27" s="9">
        <f t="shared" si="12"/>
        <v>445.83333333333326</v>
      </c>
      <c r="R27" s="9">
        <f t="shared" si="8"/>
        <v>0</v>
      </c>
    </row>
    <row r="28" spans="2:18" x14ac:dyDescent="0.35">
      <c r="B28" t="s">
        <v>2</v>
      </c>
      <c r="D28" s="13">
        <f>SUM(D4:D27)</f>
        <v>10700</v>
      </c>
      <c r="E28" s="13">
        <f t="shared" ref="E28:L28" si="13">SUM(E4:E27)</f>
        <v>13299.300699300698</v>
      </c>
      <c r="F28" s="13">
        <f t="shared" si="13"/>
        <v>3018.8811188811192</v>
      </c>
      <c r="G28" s="13">
        <f t="shared" si="13"/>
        <v>16757.881355932204</v>
      </c>
      <c r="H28" s="13">
        <f t="shared" si="13"/>
        <v>2900</v>
      </c>
      <c r="I28" s="13"/>
      <c r="J28" s="13"/>
      <c r="K28" s="13">
        <f t="shared" si="13"/>
        <v>10699.999999999998</v>
      </c>
      <c r="L28" s="12">
        <f t="shared" si="13"/>
        <v>8957.8813559322043</v>
      </c>
      <c r="M28" s="21"/>
      <c r="N28" s="20" t="str">
        <f t="shared" si="4"/>
        <v/>
      </c>
      <c r="O28" s="12">
        <f t="shared" ref="O28:R28" si="14">SUM(O4:O27)</f>
        <v>10699.999999999998</v>
      </c>
      <c r="P28" s="12">
        <f t="shared" si="14"/>
        <v>5787.5000000000018</v>
      </c>
      <c r="Q28" s="12">
        <f t="shared" si="14"/>
        <v>11587.499999999993</v>
      </c>
      <c r="R28" s="12">
        <f t="shared" si="14"/>
        <v>5121.8750000000036</v>
      </c>
    </row>
    <row r="29" spans="2:18" x14ac:dyDescent="0.35">
      <c r="B29" t="s">
        <v>3</v>
      </c>
      <c r="D29" s="12">
        <f>MAX(D4:D27)</f>
        <v>1000</v>
      </c>
      <c r="E29" s="12">
        <f t="shared" ref="E29:L29" si="15">MAX(E4:E27)</f>
        <v>960.37296037296028</v>
      </c>
      <c r="F29" s="12">
        <f t="shared" si="15"/>
        <v>1000</v>
      </c>
      <c r="G29" s="12">
        <f t="shared" si="15"/>
        <v>1000</v>
      </c>
      <c r="H29" s="12">
        <f t="shared" si="15"/>
        <v>1000</v>
      </c>
      <c r="I29" s="12"/>
      <c r="J29" s="12"/>
      <c r="K29" s="12">
        <f t="shared" si="15"/>
        <v>995.32015065913356</v>
      </c>
      <c r="L29" s="12">
        <f t="shared" si="15"/>
        <v>2019.2937853107348</v>
      </c>
      <c r="M29" s="21">
        <f>AVERAGEIFS(L4:L27,M4:M27,"=x")</f>
        <v>2019.2937853107348</v>
      </c>
      <c r="N29" s="21">
        <f>MAX(N4:N28)</f>
        <v>-1019.2937853107348</v>
      </c>
      <c r="O29" s="12">
        <f t="shared" ref="O29:R29" si="16">MAX(O4:O27)</f>
        <v>445.83333333333326</v>
      </c>
      <c r="P29" s="12">
        <f t="shared" si="16"/>
        <v>1000</v>
      </c>
      <c r="Q29" s="12">
        <f t="shared" si="16"/>
        <v>519.79166666666652</v>
      </c>
      <c r="R29" s="12">
        <f t="shared" si="16"/>
        <v>1000</v>
      </c>
    </row>
    <row r="30" spans="2:18" x14ac:dyDescent="0.35">
      <c r="K30" s="9"/>
      <c r="M30">
        <f>COUNTIF(M4:M28,"=x")</f>
        <v>3</v>
      </c>
      <c r="O30">
        <f>COUNTIF(O4:O27,"="&amp;O29)</f>
        <v>24</v>
      </c>
    </row>
    <row r="32" spans="2:18" x14ac:dyDescent="0.35">
      <c r="B32" s="4" t="s">
        <v>7</v>
      </c>
      <c r="C32">
        <f>COUNTIF($C$4:$C$27,"=Icemaking")</f>
        <v>9</v>
      </c>
    </row>
    <row r="33" spans="1:6" x14ac:dyDescent="0.35">
      <c r="B33" s="4" t="s">
        <v>8</v>
      </c>
      <c r="C33">
        <f>COUNTIF($C$4:$C$27,"=Partial Storage")</f>
        <v>9</v>
      </c>
    </row>
    <row r="34" spans="1:6" x14ac:dyDescent="0.35">
      <c r="B34" s="4" t="s">
        <v>9</v>
      </c>
      <c r="C34">
        <f>COUNTIF($C$4:$C$27,"=Full Storage")</f>
        <v>3</v>
      </c>
    </row>
    <row r="35" spans="1:6" x14ac:dyDescent="0.35">
      <c r="B35" s="4" t="s">
        <v>11</v>
      </c>
      <c r="C35" s="5">
        <f>AVERAGEIF($D$4:$D$27,"&gt;0")/MAX($D$4:$D$27)</f>
        <v>0.71333333333333337</v>
      </c>
    </row>
    <row r="36" spans="1:6" x14ac:dyDescent="0.35">
      <c r="B36" s="4" t="s">
        <v>10</v>
      </c>
      <c r="C36" s="7">
        <f>(SUMIF(C4:C27,"=Partial Storage",D4:D27)/((0.65*C32)+C33))+(SUMIF(C4:C27,"=Full Storage",D4:D27)/(0.65*C32))</f>
        <v>960.37296037296028</v>
      </c>
      <c r="D36">
        <f>(SUMIF(C4:C27,"=Partial Storage",D4:D27)/((0.65*C32)+C33))</f>
        <v>464.64646464646461</v>
      </c>
      <c r="E36">
        <f>(SUMIF(C4:C27,"=Full Storage",D4:D27)/(0.65*C32))</f>
        <v>495.72649572649567</v>
      </c>
    </row>
    <row r="37" spans="1:6" x14ac:dyDescent="0.35">
      <c r="B37" s="4" t="s">
        <v>28</v>
      </c>
      <c r="C37">
        <f>COUNTIFS($C$4:$C$27,"=Partial Storage",$F$4:$F$27,"&gt;0")</f>
        <v>3</v>
      </c>
      <c r="F37">
        <v>2900</v>
      </c>
    </row>
    <row r="38" spans="1:6" x14ac:dyDescent="0.35">
      <c r="B38" s="4" t="s">
        <v>29</v>
      </c>
      <c r="C38">
        <f>($D$28/((0.65*C32)+C37))+(((SUMIF($C$4:$C$27,"=Full Storage",$D$4:$D$27)))/$C$32)</f>
        <v>1531.2617702448208</v>
      </c>
      <c r="F38">
        <f>2900/0.65</f>
        <v>4461.538461538461</v>
      </c>
    </row>
    <row r="39" spans="1:6" x14ac:dyDescent="0.35">
      <c r="B39" s="4" t="s">
        <v>14</v>
      </c>
      <c r="C39" s="10">
        <f>C38*C32*0.65</f>
        <v>8957.8813559322025</v>
      </c>
      <c r="D39" s="8"/>
      <c r="F39">
        <f>F38/9</f>
        <v>495.72649572649567</v>
      </c>
    </row>
    <row r="40" spans="1:6" x14ac:dyDescent="0.35">
      <c r="B40" s="4" t="s">
        <v>15</v>
      </c>
      <c r="C40">
        <f>ROUNDUP(C39/145,0)</f>
        <v>62</v>
      </c>
    </row>
    <row r="41" spans="1:6" x14ac:dyDescent="0.35">
      <c r="B41" s="4" t="s">
        <v>17</v>
      </c>
      <c r="C41">
        <f>SUMIF($C$4:$C$27,"=Icemaking",$G$4:$G$27)</f>
        <v>8957.8813559322043</v>
      </c>
    </row>
    <row r="42" spans="1:6" x14ac:dyDescent="0.35">
      <c r="B42" s="4" t="s">
        <v>34</v>
      </c>
      <c r="C42" s="9">
        <f>SUM(H4:H27)</f>
        <v>2900</v>
      </c>
    </row>
    <row r="43" spans="1:6" x14ac:dyDescent="0.35">
      <c r="B43" s="4" t="s">
        <v>20</v>
      </c>
      <c r="C43" s="9">
        <f>MAX($G$4:$G$27)</f>
        <v>1000</v>
      </c>
    </row>
    <row r="44" spans="1:6" x14ac:dyDescent="0.35">
      <c r="B44" s="4" t="s">
        <v>21</v>
      </c>
      <c r="C44">
        <f>COUNTIF($G$4:$G$27,"="&amp;C43)</f>
        <v>3</v>
      </c>
    </row>
    <row r="45" spans="1:6" x14ac:dyDescent="0.35">
      <c r="A45" s="14"/>
      <c r="B45" s="15" t="s">
        <v>22</v>
      </c>
      <c r="C45" s="16">
        <f>(C41-C42)/C44</f>
        <v>2019.2937853107348</v>
      </c>
    </row>
    <row r="46" spans="1:6" x14ac:dyDescent="0.35">
      <c r="B46" s="17" t="s">
        <v>35</v>
      </c>
      <c r="C46" s="9">
        <f>N29</f>
        <v>-1019.2937853107348</v>
      </c>
      <c r="D46" s="18" t="s">
        <v>39</v>
      </c>
    </row>
    <row r="47" spans="1:6" x14ac:dyDescent="0.35">
      <c r="B47" s="17" t="s">
        <v>38</v>
      </c>
      <c r="C47">
        <f>COUNTIF(K4:K27,"&gt;="&amp;N29)</f>
        <v>24</v>
      </c>
    </row>
    <row r="48" spans="1:6" x14ac:dyDescent="0.35">
      <c r="B48" s="17" t="s">
        <v>40</v>
      </c>
      <c r="C48" s="9">
        <f>SUMIF(K4:K27,"&gt;"&amp;C46)-((COUNTIF(K4:K27,"&gt;"&amp;C46)*C46))</f>
        <v>35163.050847457635</v>
      </c>
    </row>
    <row r="49" spans="2:3" x14ac:dyDescent="0.35">
      <c r="B49" s="17" t="s">
        <v>41</v>
      </c>
      <c r="C49">
        <f>AVERAGEIF($K$4:$K$27,"&gt;="&amp;C46)</f>
        <v>445.83333333333326</v>
      </c>
    </row>
    <row r="50" spans="2:3" x14ac:dyDescent="0.35">
      <c r="B50" s="17" t="s">
        <v>44</v>
      </c>
      <c r="C50">
        <f>(C49*COUNTIFS(K4:K27,"&gt;"&amp;$C$46,K4:K27,"&lt;"&amp;C49))-SUMIFS(K4:K27,K4:K27,"&gt;"&amp;$C$46,K4:K27,"&lt;"&amp;C49)</f>
        <v>1774.9999999999995</v>
      </c>
    </row>
  </sheetData>
  <dataValidations count="1">
    <dataValidation type="list" allowBlank="1" showInputMessage="1" showErrorMessage="1" sqref="C4:C27">
      <formula1>$AB$1:$AB$4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zoomScale="80" zoomScaleNormal="80" workbookViewId="0">
      <selection activeCell="D34" sqref="D34"/>
    </sheetView>
  </sheetViews>
  <sheetFormatPr defaultRowHeight="14.5" x14ac:dyDescent="0.35"/>
  <cols>
    <col min="2" max="2" width="11.08984375" bestFit="1" customWidth="1"/>
    <col min="3" max="4" width="16.90625" customWidth="1"/>
    <col min="5" max="6" width="18.54296875" customWidth="1"/>
    <col min="7" max="7" width="25.81640625" bestFit="1" customWidth="1"/>
    <col min="8" max="8" width="19.6328125" bestFit="1" customWidth="1"/>
    <col min="9" max="10" width="21.6328125" customWidth="1"/>
    <col min="11" max="11" width="26.1796875" customWidth="1"/>
    <col min="12" max="12" width="19" customWidth="1"/>
    <col min="13" max="13" width="19.1796875" bestFit="1" customWidth="1"/>
    <col min="14" max="15" width="8.90625" customWidth="1"/>
    <col min="16" max="16" width="16.26953125" customWidth="1"/>
    <col min="17" max="17" width="15.81640625" customWidth="1"/>
    <col min="18" max="18" width="14.7265625" customWidth="1"/>
    <col min="19" max="19" width="13.1796875" customWidth="1"/>
  </cols>
  <sheetData>
    <row r="1" spans="2:29" x14ac:dyDescent="0.35">
      <c r="AC1" s="2" t="s">
        <v>4</v>
      </c>
    </row>
    <row r="2" spans="2:29" x14ac:dyDescent="0.35">
      <c r="N2" s="32"/>
      <c r="O2" s="32"/>
      <c r="P2" s="33"/>
      <c r="Q2" s="32"/>
      <c r="R2" s="32"/>
      <c r="S2" s="32"/>
      <c r="AC2" s="2" t="s">
        <v>5</v>
      </c>
    </row>
    <row r="3" spans="2:29" x14ac:dyDescent="0.35">
      <c r="B3" s="3" t="s">
        <v>0</v>
      </c>
      <c r="C3" s="3" t="s">
        <v>16</v>
      </c>
      <c r="D3" s="26" t="s">
        <v>47</v>
      </c>
      <c r="E3" s="26" t="s">
        <v>48</v>
      </c>
      <c r="F3" s="26" t="s">
        <v>49</v>
      </c>
      <c r="G3" s="3" t="s">
        <v>50</v>
      </c>
      <c r="H3" s="28" t="s">
        <v>51</v>
      </c>
      <c r="I3" s="3" t="s">
        <v>52</v>
      </c>
      <c r="J3" s="28" t="s">
        <v>56</v>
      </c>
      <c r="K3" s="3" t="s">
        <v>58</v>
      </c>
      <c r="L3" s="3" t="s">
        <v>57</v>
      </c>
      <c r="M3" s="3" t="s">
        <v>59</v>
      </c>
      <c r="N3" s="34"/>
      <c r="O3" s="34"/>
      <c r="P3" s="35"/>
      <c r="Q3" s="35"/>
      <c r="R3" s="35"/>
      <c r="S3" s="35"/>
      <c r="AC3" s="2" t="s">
        <v>6</v>
      </c>
    </row>
    <row r="4" spans="2:29" x14ac:dyDescent="0.35">
      <c r="B4" s="11">
        <v>1</v>
      </c>
      <c r="C4" t="s">
        <v>4</v>
      </c>
      <c r="D4" s="27">
        <v>200</v>
      </c>
      <c r="E4" s="27">
        <v>0</v>
      </c>
      <c r="F4" s="27">
        <f>D4+E4</f>
        <v>200</v>
      </c>
      <c r="G4" s="24">
        <f>IF(C4="Icemaking",0.65*$C$33,IF(C4="Full Storage",-F4,0))</f>
        <v>0</v>
      </c>
      <c r="H4" s="29">
        <f>IF(G4&lt;=0,$C$33,0)</f>
        <v>0</v>
      </c>
      <c r="I4" s="9">
        <f>IF(C4="Partial Storage",MAX(0,E4-H4),0)</f>
        <v>0</v>
      </c>
      <c r="J4" s="29">
        <f t="shared" ref="J4:J27" si="0">IF(C4="Partial Storage",IF(I4&gt;0,MIN(I4,$C$39),0),0)</f>
        <v>0</v>
      </c>
      <c r="K4" s="9">
        <f t="shared" ref="K4:K27" si="1">IF(C4="Icemaking",0.65*$C$39,IF(C4="Partial Storage",MIN(0,-E4+H4+J4,0),0))</f>
        <v>362.74970009909765</v>
      </c>
      <c r="L4" s="9">
        <f>IF(C4="Full Storage",0,D4+H4+J4)</f>
        <v>200</v>
      </c>
      <c r="M4" s="9">
        <f>IF(C4="Partial Storage",D4+H4+J4-K4,0)</f>
        <v>0</v>
      </c>
      <c r="N4" s="36"/>
      <c r="O4" s="36"/>
      <c r="P4" s="37"/>
      <c r="Q4" s="38"/>
      <c r="R4" s="37"/>
      <c r="S4" s="37"/>
      <c r="AC4" s="2" t="s">
        <v>46</v>
      </c>
    </row>
    <row r="5" spans="2:29" x14ac:dyDescent="0.35">
      <c r="B5" s="11">
        <v>2</v>
      </c>
      <c r="C5" t="s">
        <v>4</v>
      </c>
      <c r="D5" s="27">
        <v>200</v>
      </c>
      <c r="E5" s="27">
        <v>0</v>
      </c>
      <c r="F5" s="27">
        <f t="shared" ref="F5:F27" si="2">D5+E5</f>
        <v>200</v>
      </c>
      <c r="G5" s="24">
        <f t="shared" ref="G5:G27" si="3">IF(C5="Icemaking",0.65*$C$33,IF(C5="Full Storage",-F5,0))</f>
        <v>0</v>
      </c>
      <c r="H5" s="29">
        <f t="shared" ref="H5:H27" si="4">IF(G5&lt;=0,$C$33,0)</f>
        <v>0</v>
      </c>
      <c r="I5" s="9">
        <f t="shared" ref="I5:I27" si="5">IF(C5="Partial Storage",MAX(0,E5-H5),0)</f>
        <v>0</v>
      </c>
      <c r="J5" s="29">
        <f t="shared" si="0"/>
        <v>0</v>
      </c>
      <c r="K5" s="9">
        <f t="shared" si="1"/>
        <v>362.74970009909765</v>
      </c>
      <c r="L5" s="9">
        <f t="shared" ref="L5:L27" si="6">IF(C5="Full Storage",0,D5+H5+J5)</f>
        <v>200</v>
      </c>
      <c r="M5" s="9">
        <f t="shared" ref="M5:M27" si="7">IF(C5="Partial Storage",D5+H5+J5-K5,0)</f>
        <v>0</v>
      </c>
      <c r="N5" s="36"/>
      <c r="O5" s="36"/>
      <c r="P5" s="37"/>
      <c r="Q5" s="38"/>
      <c r="R5" s="37"/>
      <c r="S5" s="37"/>
    </row>
    <row r="6" spans="2:29" x14ac:dyDescent="0.35">
      <c r="B6" s="11">
        <v>3</v>
      </c>
      <c r="C6" t="s">
        <v>4</v>
      </c>
      <c r="D6" s="27">
        <v>200</v>
      </c>
      <c r="E6" s="27">
        <v>0</v>
      </c>
      <c r="F6" s="27">
        <f t="shared" si="2"/>
        <v>200</v>
      </c>
      <c r="G6" s="24">
        <f t="shared" si="3"/>
        <v>0</v>
      </c>
      <c r="H6" s="29">
        <f t="shared" si="4"/>
        <v>0</v>
      </c>
      <c r="I6" s="9">
        <f t="shared" si="5"/>
        <v>0</v>
      </c>
      <c r="J6" s="29">
        <f t="shared" si="0"/>
        <v>0</v>
      </c>
      <c r="K6" s="9">
        <f t="shared" si="1"/>
        <v>362.74970009909765</v>
      </c>
      <c r="L6" s="9">
        <f t="shared" si="6"/>
        <v>200</v>
      </c>
      <c r="M6" s="9">
        <f t="shared" si="7"/>
        <v>0</v>
      </c>
      <c r="N6" s="36"/>
      <c r="O6" s="36"/>
      <c r="P6" s="37"/>
      <c r="Q6" s="38"/>
      <c r="R6" s="37"/>
      <c r="S6" s="37"/>
    </row>
    <row r="7" spans="2:29" x14ac:dyDescent="0.35">
      <c r="B7" s="11">
        <v>4</v>
      </c>
      <c r="C7" t="s">
        <v>4</v>
      </c>
      <c r="D7" s="27">
        <v>200</v>
      </c>
      <c r="E7" s="27">
        <v>0</v>
      </c>
      <c r="F7" s="27">
        <f t="shared" si="2"/>
        <v>200</v>
      </c>
      <c r="G7" s="24">
        <f t="shared" si="3"/>
        <v>0</v>
      </c>
      <c r="H7" s="29">
        <f t="shared" si="4"/>
        <v>0</v>
      </c>
      <c r="I7" s="9">
        <f t="shared" si="5"/>
        <v>0</v>
      </c>
      <c r="J7" s="29">
        <f t="shared" si="0"/>
        <v>0</v>
      </c>
      <c r="K7" s="9">
        <f t="shared" si="1"/>
        <v>362.74970009909765</v>
      </c>
      <c r="L7" s="9">
        <f t="shared" si="6"/>
        <v>200</v>
      </c>
      <c r="M7" s="9">
        <f t="shared" si="7"/>
        <v>0</v>
      </c>
      <c r="N7" s="36"/>
      <c r="O7" s="36"/>
      <c r="P7" s="37"/>
      <c r="Q7" s="38"/>
      <c r="R7" s="37"/>
      <c r="S7" s="37"/>
    </row>
    <row r="8" spans="2:29" x14ac:dyDescent="0.35">
      <c r="B8" s="11">
        <v>5</v>
      </c>
      <c r="C8" t="s">
        <v>4</v>
      </c>
      <c r="D8" s="27">
        <v>200</v>
      </c>
      <c r="E8" s="27">
        <v>0</v>
      </c>
      <c r="F8" s="27">
        <f t="shared" si="2"/>
        <v>200</v>
      </c>
      <c r="G8" s="24">
        <f t="shared" si="3"/>
        <v>0</v>
      </c>
      <c r="H8" s="29">
        <f t="shared" si="4"/>
        <v>0</v>
      </c>
      <c r="I8" s="9">
        <f t="shared" si="5"/>
        <v>0</v>
      </c>
      <c r="J8" s="29">
        <f t="shared" si="0"/>
        <v>0</v>
      </c>
      <c r="K8" s="9">
        <f t="shared" si="1"/>
        <v>362.74970009909765</v>
      </c>
      <c r="L8" s="9">
        <f t="shared" si="6"/>
        <v>200</v>
      </c>
      <c r="M8" s="9">
        <f t="shared" si="7"/>
        <v>0</v>
      </c>
      <c r="N8" s="36"/>
      <c r="O8" s="36"/>
      <c r="P8" s="37"/>
      <c r="Q8" s="38"/>
      <c r="R8" s="37"/>
      <c r="S8" s="37"/>
    </row>
    <row r="9" spans="2:29" x14ac:dyDescent="0.35">
      <c r="B9" s="11">
        <v>6</v>
      </c>
      <c r="C9" t="s">
        <v>4</v>
      </c>
      <c r="D9" s="27">
        <v>200</v>
      </c>
      <c r="E9" s="27">
        <v>0</v>
      </c>
      <c r="F9" s="27">
        <f t="shared" si="2"/>
        <v>200</v>
      </c>
      <c r="G9" s="24">
        <f t="shared" si="3"/>
        <v>0</v>
      </c>
      <c r="H9" s="29">
        <f t="shared" si="4"/>
        <v>0</v>
      </c>
      <c r="I9" s="9">
        <f t="shared" si="5"/>
        <v>0</v>
      </c>
      <c r="J9" s="29">
        <f t="shared" si="0"/>
        <v>0</v>
      </c>
      <c r="K9" s="9">
        <f t="shared" si="1"/>
        <v>362.74970009909765</v>
      </c>
      <c r="L9" s="9">
        <f t="shared" si="6"/>
        <v>200</v>
      </c>
      <c r="M9" s="9">
        <f t="shared" si="7"/>
        <v>0</v>
      </c>
      <c r="N9" s="36"/>
      <c r="O9" s="36"/>
      <c r="P9" s="37"/>
      <c r="Q9" s="38"/>
      <c r="R9" s="37"/>
      <c r="S9" s="37"/>
    </row>
    <row r="10" spans="2:29" x14ac:dyDescent="0.35">
      <c r="B10" s="11">
        <v>7</v>
      </c>
      <c r="C10" t="s">
        <v>5</v>
      </c>
      <c r="D10" s="27">
        <v>200</v>
      </c>
      <c r="E10" s="27">
        <v>200</v>
      </c>
      <c r="F10" s="27">
        <f t="shared" si="2"/>
        <v>400</v>
      </c>
      <c r="G10" s="24">
        <f t="shared" si="3"/>
        <v>0</v>
      </c>
      <c r="H10" s="29">
        <f t="shared" si="4"/>
        <v>0</v>
      </c>
      <c r="I10" s="9">
        <f t="shared" si="5"/>
        <v>200</v>
      </c>
      <c r="J10" s="29">
        <f t="shared" si="0"/>
        <v>200</v>
      </c>
      <c r="K10" s="9">
        <f t="shared" si="1"/>
        <v>0</v>
      </c>
      <c r="L10" s="9">
        <f t="shared" si="6"/>
        <v>400</v>
      </c>
      <c r="M10" s="9">
        <f t="shared" si="7"/>
        <v>400</v>
      </c>
      <c r="N10" s="36"/>
      <c r="O10" s="36"/>
      <c r="P10" s="37"/>
      <c r="Q10" s="38"/>
      <c r="R10" s="37"/>
      <c r="S10" s="37"/>
    </row>
    <row r="11" spans="2:29" x14ac:dyDescent="0.35">
      <c r="B11" s="11">
        <v>8</v>
      </c>
      <c r="C11" t="s">
        <v>5</v>
      </c>
      <c r="D11" s="27">
        <v>200</v>
      </c>
      <c r="E11" s="27">
        <v>300</v>
      </c>
      <c r="F11" s="27">
        <f t="shared" si="2"/>
        <v>500</v>
      </c>
      <c r="G11" s="24">
        <f t="shared" si="3"/>
        <v>0</v>
      </c>
      <c r="H11" s="29">
        <f t="shared" si="4"/>
        <v>0</v>
      </c>
      <c r="I11" s="9">
        <f t="shared" si="5"/>
        <v>300</v>
      </c>
      <c r="J11" s="29">
        <f t="shared" si="0"/>
        <v>300</v>
      </c>
      <c r="K11" s="9">
        <f t="shared" si="1"/>
        <v>0</v>
      </c>
      <c r="L11" s="9">
        <f t="shared" si="6"/>
        <v>500</v>
      </c>
      <c r="M11" s="9">
        <f t="shared" si="7"/>
        <v>500</v>
      </c>
      <c r="N11" s="36"/>
      <c r="O11" s="36"/>
      <c r="P11" s="37"/>
      <c r="Q11" s="38"/>
      <c r="R11" s="37"/>
      <c r="S11" s="37"/>
    </row>
    <row r="12" spans="2:29" x14ac:dyDescent="0.35">
      <c r="B12" s="11">
        <v>9</v>
      </c>
      <c r="C12" t="s">
        <v>5</v>
      </c>
      <c r="D12" s="27">
        <v>200</v>
      </c>
      <c r="E12" s="27">
        <v>400</v>
      </c>
      <c r="F12" s="27">
        <f t="shared" si="2"/>
        <v>600</v>
      </c>
      <c r="G12" s="24">
        <f t="shared" si="3"/>
        <v>0</v>
      </c>
      <c r="H12" s="29">
        <f t="shared" si="4"/>
        <v>0</v>
      </c>
      <c r="I12" s="9">
        <f t="shared" si="5"/>
        <v>400</v>
      </c>
      <c r="J12" s="29">
        <f t="shared" si="0"/>
        <v>400</v>
      </c>
      <c r="K12" s="9">
        <f t="shared" si="1"/>
        <v>0</v>
      </c>
      <c r="L12" s="9">
        <f t="shared" si="6"/>
        <v>600</v>
      </c>
      <c r="M12" s="9">
        <f t="shared" si="7"/>
        <v>600</v>
      </c>
      <c r="N12" s="36"/>
      <c r="O12" s="36"/>
      <c r="P12" s="37"/>
      <c r="Q12" s="38"/>
      <c r="R12" s="37"/>
      <c r="S12" s="37"/>
    </row>
    <row r="13" spans="2:29" x14ac:dyDescent="0.35">
      <c r="B13" s="11">
        <v>10</v>
      </c>
      <c r="C13" t="s">
        <v>5</v>
      </c>
      <c r="D13" s="27">
        <v>200</v>
      </c>
      <c r="E13" s="27">
        <v>500</v>
      </c>
      <c r="F13" s="27">
        <f t="shared" si="2"/>
        <v>700</v>
      </c>
      <c r="G13" s="24">
        <f t="shared" si="3"/>
        <v>0</v>
      </c>
      <c r="H13" s="29">
        <f t="shared" si="4"/>
        <v>0</v>
      </c>
      <c r="I13" s="9">
        <f t="shared" si="5"/>
        <v>500</v>
      </c>
      <c r="J13" s="29">
        <f t="shared" si="0"/>
        <v>500</v>
      </c>
      <c r="K13" s="9">
        <f t="shared" si="1"/>
        <v>0</v>
      </c>
      <c r="L13" s="9">
        <f t="shared" si="6"/>
        <v>700</v>
      </c>
      <c r="M13" s="9">
        <f t="shared" si="7"/>
        <v>700</v>
      </c>
      <c r="N13" s="36"/>
      <c r="O13" s="36"/>
      <c r="P13" s="37"/>
      <c r="Q13" s="38"/>
      <c r="R13" s="37"/>
      <c r="S13" s="37"/>
    </row>
    <row r="14" spans="2:29" x14ac:dyDescent="0.35">
      <c r="B14" s="11">
        <v>11</v>
      </c>
      <c r="C14" t="s">
        <v>5</v>
      </c>
      <c r="D14" s="27">
        <v>200</v>
      </c>
      <c r="E14" s="27">
        <v>800</v>
      </c>
      <c r="F14" s="27">
        <f t="shared" si="2"/>
        <v>1000</v>
      </c>
      <c r="G14" s="24">
        <f t="shared" si="3"/>
        <v>0</v>
      </c>
      <c r="H14" s="29">
        <f t="shared" si="4"/>
        <v>0</v>
      </c>
      <c r="I14" s="9">
        <f t="shared" si="5"/>
        <v>800</v>
      </c>
      <c r="J14" s="29">
        <f t="shared" si="0"/>
        <v>558.07646169091947</v>
      </c>
      <c r="K14" s="9">
        <f t="shared" si="1"/>
        <v>-241.92353830908053</v>
      </c>
      <c r="L14" s="9">
        <f t="shared" si="6"/>
        <v>758.07646169091947</v>
      </c>
      <c r="M14" s="9">
        <f t="shared" si="7"/>
        <v>1000</v>
      </c>
      <c r="N14" s="36"/>
      <c r="O14" s="36"/>
      <c r="P14" s="37"/>
      <c r="Q14" s="38"/>
      <c r="R14" s="37"/>
      <c r="S14" s="37"/>
    </row>
    <row r="15" spans="2:29" x14ac:dyDescent="0.35">
      <c r="B15" s="11">
        <v>12</v>
      </c>
      <c r="C15" t="s">
        <v>5</v>
      </c>
      <c r="D15" s="27">
        <v>200</v>
      </c>
      <c r="E15" s="27">
        <v>1000</v>
      </c>
      <c r="F15" s="27">
        <f t="shared" si="2"/>
        <v>1200</v>
      </c>
      <c r="G15" s="24">
        <f t="shared" si="3"/>
        <v>0</v>
      </c>
      <c r="H15" s="29">
        <f t="shared" si="4"/>
        <v>0</v>
      </c>
      <c r="I15" s="9">
        <f t="shared" si="5"/>
        <v>1000</v>
      </c>
      <c r="J15" s="29">
        <f t="shared" si="0"/>
        <v>558.07646169091947</v>
      </c>
      <c r="K15" s="9">
        <f t="shared" si="1"/>
        <v>-441.92353830908053</v>
      </c>
      <c r="L15" s="9">
        <f t="shared" si="6"/>
        <v>758.07646169091947</v>
      </c>
      <c r="M15" s="9">
        <f t="shared" si="7"/>
        <v>1200</v>
      </c>
      <c r="N15" s="36"/>
      <c r="O15" s="36"/>
      <c r="P15" s="37"/>
      <c r="Q15" s="38"/>
      <c r="R15" s="37"/>
      <c r="S15" s="37"/>
    </row>
    <row r="16" spans="2:29" x14ac:dyDescent="0.35">
      <c r="B16" s="11">
        <v>13</v>
      </c>
      <c r="C16" t="s">
        <v>5</v>
      </c>
      <c r="D16" s="27">
        <v>200</v>
      </c>
      <c r="E16" s="27">
        <v>1000</v>
      </c>
      <c r="F16" s="27">
        <f t="shared" si="2"/>
        <v>1200</v>
      </c>
      <c r="G16" s="24">
        <f t="shared" si="3"/>
        <v>0</v>
      </c>
      <c r="H16" s="29">
        <f t="shared" si="4"/>
        <v>0</v>
      </c>
      <c r="I16" s="9">
        <f t="shared" si="5"/>
        <v>1000</v>
      </c>
      <c r="J16" s="29">
        <f t="shared" si="0"/>
        <v>558.07646169091947</v>
      </c>
      <c r="K16" s="9">
        <f t="shared" si="1"/>
        <v>-441.92353830908053</v>
      </c>
      <c r="L16" s="9">
        <f t="shared" si="6"/>
        <v>758.07646169091947</v>
      </c>
      <c r="M16" s="9">
        <f t="shared" si="7"/>
        <v>1200</v>
      </c>
      <c r="N16" s="36"/>
      <c r="O16" s="36"/>
      <c r="P16" s="37"/>
      <c r="Q16" s="38"/>
      <c r="R16" s="37"/>
      <c r="S16" s="37"/>
    </row>
    <row r="17" spans="2:19" x14ac:dyDescent="0.35">
      <c r="B17" s="11">
        <v>14</v>
      </c>
      <c r="C17" t="s">
        <v>5</v>
      </c>
      <c r="D17" s="27">
        <v>200</v>
      </c>
      <c r="E17" s="27">
        <v>1000</v>
      </c>
      <c r="F17" s="27">
        <f t="shared" si="2"/>
        <v>1200</v>
      </c>
      <c r="G17" s="24">
        <f t="shared" si="3"/>
        <v>0</v>
      </c>
      <c r="H17" s="29">
        <f t="shared" si="4"/>
        <v>0</v>
      </c>
      <c r="I17" s="9">
        <f t="shared" si="5"/>
        <v>1000</v>
      </c>
      <c r="J17" s="29">
        <f t="shared" si="0"/>
        <v>558.07646169091947</v>
      </c>
      <c r="K17" s="9">
        <f t="shared" si="1"/>
        <v>-441.92353830908053</v>
      </c>
      <c r="L17" s="9">
        <f t="shared" si="6"/>
        <v>758.07646169091947</v>
      </c>
      <c r="M17" s="9">
        <f t="shared" si="7"/>
        <v>1200</v>
      </c>
      <c r="N17" s="36"/>
      <c r="O17" s="36"/>
      <c r="P17" s="37"/>
      <c r="Q17" s="38"/>
      <c r="R17" s="37"/>
      <c r="S17" s="37"/>
    </row>
    <row r="18" spans="2:19" x14ac:dyDescent="0.35">
      <c r="B18" s="11">
        <v>15</v>
      </c>
      <c r="C18" t="s">
        <v>5</v>
      </c>
      <c r="D18" s="27">
        <v>200</v>
      </c>
      <c r="E18" s="27">
        <v>1000</v>
      </c>
      <c r="F18" s="27">
        <f t="shared" si="2"/>
        <v>1200</v>
      </c>
      <c r="G18" s="24">
        <f t="shared" si="3"/>
        <v>0</v>
      </c>
      <c r="H18" s="29">
        <f t="shared" si="4"/>
        <v>0</v>
      </c>
      <c r="I18" s="9">
        <f t="shared" si="5"/>
        <v>1000</v>
      </c>
      <c r="J18" s="29">
        <f t="shared" si="0"/>
        <v>558.07646169091947</v>
      </c>
      <c r="K18" s="9">
        <f t="shared" si="1"/>
        <v>-441.92353830908053</v>
      </c>
      <c r="L18" s="9">
        <f t="shared" si="6"/>
        <v>758.07646169091947</v>
      </c>
      <c r="M18" s="9">
        <f t="shared" si="7"/>
        <v>1200</v>
      </c>
      <c r="N18" s="36"/>
      <c r="O18" s="36"/>
      <c r="P18" s="37"/>
      <c r="Q18" s="38"/>
      <c r="R18" s="37"/>
      <c r="S18" s="37"/>
    </row>
    <row r="19" spans="2:19" x14ac:dyDescent="0.35">
      <c r="B19" s="11">
        <v>16</v>
      </c>
      <c r="C19" t="s">
        <v>5</v>
      </c>
      <c r="D19" s="27">
        <v>200</v>
      </c>
      <c r="E19" s="27">
        <v>1000</v>
      </c>
      <c r="F19" s="27">
        <f t="shared" si="2"/>
        <v>1200</v>
      </c>
      <c r="G19" s="24">
        <f t="shared" si="3"/>
        <v>0</v>
      </c>
      <c r="H19" s="29">
        <f t="shared" si="4"/>
        <v>0</v>
      </c>
      <c r="I19" s="9">
        <f t="shared" si="5"/>
        <v>1000</v>
      </c>
      <c r="J19" s="29">
        <f t="shared" si="0"/>
        <v>558.07646169091947</v>
      </c>
      <c r="K19" s="9">
        <f t="shared" si="1"/>
        <v>-441.92353830908053</v>
      </c>
      <c r="L19" s="9">
        <f t="shared" si="6"/>
        <v>758.07646169091947</v>
      </c>
      <c r="M19" s="9">
        <f t="shared" si="7"/>
        <v>1200</v>
      </c>
      <c r="N19" s="36"/>
      <c r="O19" s="36"/>
      <c r="P19" s="37"/>
      <c r="Q19" s="38"/>
      <c r="R19" s="37"/>
      <c r="S19" s="37"/>
    </row>
    <row r="20" spans="2:19" x14ac:dyDescent="0.35">
      <c r="B20" s="11">
        <v>17</v>
      </c>
      <c r="C20" t="s">
        <v>5</v>
      </c>
      <c r="D20" s="27">
        <v>200</v>
      </c>
      <c r="E20" s="27">
        <v>900</v>
      </c>
      <c r="F20" s="27">
        <f t="shared" si="2"/>
        <v>1100</v>
      </c>
      <c r="G20" s="24">
        <f t="shared" si="3"/>
        <v>0</v>
      </c>
      <c r="H20" s="29">
        <f t="shared" si="4"/>
        <v>0</v>
      </c>
      <c r="I20" s="9">
        <f t="shared" si="5"/>
        <v>900</v>
      </c>
      <c r="J20" s="29">
        <f t="shared" si="0"/>
        <v>558.07646169091947</v>
      </c>
      <c r="K20" s="9">
        <f t="shared" si="1"/>
        <v>-341.92353830908053</v>
      </c>
      <c r="L20" s="9">
        <f t="shared" si="6"/>
        <v>758.07646169091947</v>
      </c>
      <c r="M20" s="9">
        <f t="shared" si="7"/>
        <v>1100</v>
      </c>
      <c r="N20" s="36"/>
      <c r="O20" s="36"/>
      <c r="P20" s="37"/>
      <c r="Q20" s="38"/>
      <c r="R20" s="37"/>
      <c r="S20" s="37"/>
    </row>
    <row r="21" spans="2:19" x14ac:dyDescent="0.35">
      <c r="B21" s="11">
        <v>18</v>
      </c>
      <c r="C21" t="s">
        <v>5</v>
      </c>
      <c r="D21" s="27">
        <v>200</v>
      </c>
      <c r="E21" s="27">
        <v>800</v>
      </c>
      <c r="F21" s="27">
        <f t="shared" si="2"/>
        <v>1000</v>
      </c>
      <c r="G21" s="24">
        <f t="shared" si="3"/>
        <v>0</v>
      </c>
      <c r="H21" s="29">
        <f t="shared" si="4"/>
        <v>0</v>
      </c>
      <c r="I21" s="9">
        <f t="shared" si="5"/>
        <v>800</v>
      </c>
      <c r="J21" s="29">
        <f t="shared" si="0"/>
        <v>558.07646169091947</v>
      </c>
      <c r="K21" s="9">
        <f t="shared" si="1"/>
        <v>-241.92353830908053</v>
      </c>
      <c r="L21" s="9">
        <f t="shared" si="6"/>
        <v>758.07646169091947</v>
      </c>
      <c r="M21" s="9">
        <f t="shared" si="7"/>
        <v>1000</v>
      </c>
      <c r="N21" s="36"/>
      <c r="O21" s="36"/>
      <c r="P21" s="37"/>
      <c r="Q21" s="38"/>
      <c r="R21" s="37"/>
      <c r="S21" s="37"/>
    </row>
    <row r="22" spans="2:19" x14ac:dyDescent="0.35">
      <c r="B22" s="11">
        <v>19</v>
      </c>
      <c r="C22" t="s">
        <v>5</v>
      </c>
      <c r="D22" s="27">
        <v>200</v>
      </c>
      <c r="E22" s="27">
        <v>600</v>
      </c>
      <c r="F22" s="27">
        <f t="shared" si="2"/>
        <v>800</v>
      </c>
      <c r="G22" s="24">
        <f t="shared" si="3"/>
        <v>0</v>
      </c>
      <c r="H22" s="29">
        <f t="shared" si="4"/>
        <v>0</v>
      </c>
      <c r="I22" s="9">
        <f t="shared" si="5"/>
        <v>600</v>
      </c>
      <c r="J22" s="29">
        <f t="shared" si="0"/>
        <v>558.07646169091947</v>
      </c>
      <c r="K22" s="9">
        <f t="shared" si="1"/>
        <v>-41.923538309080527</v>
      </c>
      <c r="L22" s="9">
        <f t="shared" si="6"/>
        <v>758.07646169091947</v>
      </c>
      <c r="M22" s="9">
        <f t="shared" si="7"/>
        <v>800</v>
      </c>
      <c r="N22" s="36"/>
      <c r="O22" s="36"/>
      <c r="P22" s="37"/>
      <c r="Q22" s="38"/>
      <c r="R22" s="37"/>
      <c r="S22" s="37"/>
    </row>
    <row r="23" spans="2:19" x14ac:dyDescent="0.35">
      <c r="B23" s="11">
        <v>20</v>
      </c>
      <c r="C23" t="s">
        <v>5</v>
      </c>
      <c r="D23" s="27">
        <v>200</v>
      </c>
      <c r="E23" s="27">
        <v>600</v>
      </c>
      <c r="F23" s="27">
        <f t="shared" si="2"/>
        <v>800</v>
      </c>
      <c r="G23" s="24">
        <f t="shared" si="3"/>
        <v>0</v>
      </c>
      <c r="H23" s="29">
        <f t="shared" si="4"/>
        <v>0</v>
      </c>
      <c r="I23" s="9">
        <f t="shared" si="5"/>
        <v>600</v>
      </c>
      <c r="J23" s="29">
        <f t="shared" si="0"/>
        <v>558.07646169091947</v>
      </c>
      <c r="K23" s="9">
        <f t="shared" si="1"/>
        <v>-41.923538309080527</v>
      </c>
      <c r="L23" s="9">
        <f t="shared" si="6"/>
        <v>758.07646169091947</v>
      </c>
      <c r="M23" s="9">
        <f t="shared" si="7"/>
        <v>800</v>
      </c>
      <c r="N23" s="36"/>
      <c r="O23" s="36"/>
      <c r="P23" s="37"/>
      <c r="Q23" s="38"/>
      <c r="R23" s="37"/>
      <c r="S23" s="37"/>
    </row>
    <row r="24" spans="2:19" x14ac:dyDescent="0.35">
      <c r="B24" s="11">
        <v>21</v>
      </c>
      <c r="C24" t="s">
        <v>5</v>
      </c>
      <c r="D24" s="27">
        <v>200</v>
      </c>
      <c r="E24" s="27">
        <v>600</v>
      </c>
      <c r="F24" s="27">
        <f t="shared" si="2"/>
        <v>800</v>
      </c>
      <c r="G24" s="24">
        <f t="shared" si="3"/>
        <v>0</v>
      </c>
      <c r="H24" s="29">
        <f t="shared" si="4"/>
        <v>0</v>
      </c>
      <c r="I24" s="9">
        <f t="shared" si="5"/>
        <v>600</v>
      </c>
      <c r="J24" s="29">
        <f t="shared" si="0"/>
        <v>558.07646169091947</v>
      </c>
      <c r="K24" s="9">
        <f t="shared" si="1"/>
        <v>-41.923538309080527</v>
      </c>
      <c r="L24" s="9">
        <f t="shared" si="6"/>
        <v>758.07646169091947</v>
      </c>
      <c r="M24" s="9">
        <f t="shared" si="7"/>
        <v>800</v>
      </c>
      <c r="N24" s="36"/>
      <c r="O24" s="36"/>
      <c r="P24" s="37"/>
      <c r="Q24" s="38"/>
      <c r="R24" s="37"/>
      <c r="S24" s="37"/>
    </row>
    <row r="25" spans="2:19" x14ac:dyDescent="0.35">
      <c r="B25" s="11">
        <v>22</v>
      </c>
      <c r="C25" t="s">
        <v>4</v>
      </c>
      <c r="D25" s="27">
        <v>200</v>
      </c>
      <c r="E25" s="27">
        <v>0</v>
      </c>
      <c r="F25" s="27">
        <f t="shared" si="2"/>
        <v>200</v>
      </c>
      <c r="G25" s="24">
        <f t="shared" si="3"/>
        <v>0</v>
      </c>
      <c r="H25" s="29">
        <f t="shared" si="4"/>
        <v>0</v>
      </c>
      <c r="I25" s="9">
        <f t="shared" si="5"/>
        <v>0</v>
      </c>
      <c r="J25" s="29">
        <f t="shared" si="0"/>
        <v>0</v>
      </c>
      <c r="K25" s="9">
        <f t="shared" si="1"/>
        <v>362.74970009909765</v>
      </c>
      <c r="L25" s="9">
        <f t="shared" si="6"/>
        <v>200</v>
      </c>
      <c r="M25" s="9">
        <f t="shared" si="7"/>
        <v>0</v>
      </c>
      <c r="N25" s="36"/>
      <c r="O25" s="36"/>
      <c r="P25" s="37"/>
      <c r="Q25" s="38"/>
      <c r="R25" s="37"/>
      <c r="S25" s="37"/>
    </row>
    <row r="26" spans="2:19" x14ac:dyDescent="0.35">
      <c r="B26" s="11">
        <v>23</v>
      </c>
      <c r="C26" t="s">
        <v>4</v>
      </c>
      <c r="D26" s="27">
        <v>200</v>
      </c>
      <c r="E26" s="27">
        <v>0</v>
      </c>
      <c r="F26" s="27">
        <f t="shared" si="2"/>
        <v>200</v>
      </c>
      <c r="G26" s="24">
        <f t="shared" si="3"/>
        <v>0</v>
      </c>
      <c r="H26" s="29">
        <f t="shared" si="4"/>
        <v>0</v>
      </c>
      <c r="I26" s="9">
        <f t="shared" si="5"/>
        <v>0</v>
      </c>
      <c r="J26" s="29">
        <f t="shared" si="0"/>
        <v>0</v>
      </c>
      <c r="K26" s="9">
        <f t="shared" si="1"/>
        <v>362.74970009909765</v>
      </c>
      <c r="L26" s="9">
        <f t="shared" si="6"/>
        <v>200</v>
      </c>
      <c r="M26" s="9">
        <f t="shared" si="7"/>
        <v>0</v>
      </c>
      <c r="N26" s="36"/>
      <c r="O26" s="36"/>
      <c r="P26" s="37"/>
      <c r="Q26" s="38"/>
      <c r="R26" s="37"/>
      <c r="S26" s="37"/>
    </row>
    <row r="27" spans="2:19" x14ac:dyDescent="0.35">
      <c r="B27" s="11">
        <v>24</v>
      </c>
      <c r="C27" t="s">
        <v>4</v>
      </c>
      <c r="D27" s="27">
        <v>200</v>
      </c>
      <c r="E27" s="27">
        <v>0</v>
      </c>
      <c r="F27" s="27">
        <f t="shared" si="2"/>
        <v>200</v>
      </c>
      <c r="G27" s="24">
        <f t="shared" si="3"/>
        <v>0</v>
      </c>
      <c r="H27" s="29">
        <f t="shared" si="4"/>
        <v>0</v>
      </c>
      <c r="I27" s="9">
        <f t="shared" si="5"/>
        <v>0</v>
      </c>
      <c r="J27" s="29">
        <f t="shared" si="0"/>
        <v>0</v>
      </c>
      <c r="K27" s="9">
        <f t="shared" si="1"/>
        <v>362.74970009909765</v>
      </c>
      <c r="L27" s="9">
        <f t="shared" si="6"/>
        <v>200</v>
      </c>
      <c r="M27" s="9">
        <f t="shared" si="7"/>
        <v>0</v>
      </c>
      <c r="N27" s="36"/>
      <c r="O27" s="36"/>
      <c r="P27" s="37"/>
      <c r="Q27" s="38"/>
      <c r="R27" s="37"/>
      <c r="S27" s="37"/>
    </row>
    <row r="28" spans="2:19" x14ac:dyDescent="0.35">
      <c r="B28" t="s">
        <v>2</v>
      </c>
      <c r="D28" s="27">
        <f t="shared" ref="D28:E28" si="8">SUM(D4:D27)</f>
        <v>4800</v>
      </c>
      <c r="E28" s="27">
        <f t="shared" si="8"/>
        <v>10700</v>
      </c>
      <c r="F28" s="27">
        <f>SUM(F4:F27)</f>
        <v>15500</v>
      </c>
      <c r="G28" s="13">
        <f t="shared" ref="G28:I28" si="9">SUM(G4:G27)</f>
        <v>0</v>
      </c>
      <c r="H28" s="9"/>
      <c r="I28" s="13">
        <f t="shared" si="9"/>
        <v>10700</v>
      </c>
      <c r="J28" s="13"/>
      <c r="K28" s="25">
        <f>SUM(K4:K27)</f>
        <v>103.58837949199335</v>
      </c>
      <c r="L28" s="13"/>
      <c r="M28" s="12"/>
      <c r="N28" s="39"/>
      <c r="O28" s="36"/>
      <c r="P28" s="40"/>
      <c r="Q28" s="40"/>
      <c r="R28" s="40"/>
      <c r="S28" s="40"/>
    </row>
    <row r="29" spans="2:19" x14ac:dyDescent="0.35">
      <c r="B29" t="s">
        <v>3</v>
      </c>
      <c r="D29" s="12"/>
      <c r="E29" s="12">
        <f>MAX(E4:E27)</f>
        <v>1000</v>
      </c>
      <c r="F29" s="12"/>
      <c r="G29" s="12">
        <f t="shared" ref="G29:I29" si="10">MAX(G4:G27)</f>
        <v>0</v>
      </c>
      <c r="H29" s="9"/>
      <c r="I29" s="12">
        <f t="shared" si="10"/>
        <v>1000</v>
      </c>
      <c r="J29" s="12"/>
      <c r="K29" s="9">
        <f>IF(C29="Icemaking",0.65*$C$39,IF(C29="Partial Storage",MIN(0,-E29+H29+J29,0),0))</f>
        <v>0</v>
      </c>
      <c r="L29" s="12"/>
      <c r="M29" s="12"/>
      <c r="N29" s="39"/>
      <c r="O29" s="39"/>
      <c r="P29" s="40"/>
      <c r="Q29" s="40"/>
      <c r="R29" s="40"/>
      <c r="S29" s="40"/>
    </row>
    <row r="30" spans="2:19" x14ac:dyDescent="0.35">
      <c r="L30" s="9"/>
      <c r="N30" s="32"/>
      <c r="O30" s="32"/>
      <c r="P30" s="32"/>
      <c r="Q30" s="32"/>
      <c r="R30" s="32"/>
      <c r="S30" s="32"/>
    </row>
    <row r="33" spans="2:6" x14ac:dyDescent="0.35">
      <c r="B33" s="4" t="s">
        <v>54</v>
      </c>
      <c r="C33" s="9">
        <f>(SUMIF(C4:C27,"=Full Storage",F4:F27)/(0.65*C35))</f>
        <v>0</v>
      </c>
    </row>
    <row r="34" spans="2:6" x14ac:dyDescent="0.35">
      <c r="B34" s="4" t="s">
        <v>53</v>
      </c>
      <c r="C34" s="23">
        <f>I28</f>
        <v>10700</v>
      </c>
      <c r="D34" s="30"/>
    </row>
    <row r="35" spans="2:6" x14ac:dyDescent="0.35">
      <c r="B35" s="4" t="s">
        <v>7</v>
      </c>
      <c r="C35">
        <f>COUNTIF($C$4:$C$27,"=Icemaking")</f>
        <v>9</v>
      </c>
    </row>
    <row r="36" spans="2:6" x14ac:dyDescent="0.35">
      <c r="B36" s="4" t="s">
        <v>8</v>
      </c>
      <c r="C36">
        <f>COUNTIFS($C$4:$C$27,"=Partial Storage",$I$4:$I$27,"&gt;0")</f>
        <v>15</v>
      </c>
    </row>
    <row r="37" spans="2:6" x14ac:dyDescent="0.35">
      <c r="B37" s="4" t="s">
        <v>60</v>
      </c>
      <c r="C37" s="31">
        <f>AVERAGEIF(I4:I27,"&gt;0")/MAX(I4:I27)</f>
        <v>0.71333333333333337</v>
      </c>
    </row>
    <row r="38" spans="2:6" x14ac:dyDescent="0.35">
      <c r="B38" s="4" t="s">
        <v>61</v>
      </c>
      <c r="C38" s="9">
        <f>C35*C37</f>
        <v>6.42</v>
      </c>
    </row>
    <row r="39" spans="2:6" x14ac:dyDescent="0.35">
      <c r="B39" s="4" t="s">
        <v>55</v>
      </c>
      <c r="C39">
        <f>C34/(C36+(0.65*C38))</f>
        <v>558.07646169091947</v>
      </c>
    </row>
    <row r="40" spans="2:6" x14ac:dyDescent="0.35">
      <c r="B40" s="4" t="s">
        <v>14</v>
      </c>
      <c r="C40" s="10">
        <f>C39*0.65*9</f>
        <v>3264.7473008918787</v>
      </c>
      <c r="D40" s="5"/>
    </row>
    <row r="41" spans="2:6" x14ac:dyDescent="0.35">
      <c r="B41" s="4" t="s">
        <v>15</v>
      </c>
      <c r="C41">
        <f>ROUNDUP(C40/145,0)</f>
        <v>23</v>
      </c>
      <c r="D41" s="7"/>
    </row>
    <row r="43" spans="2:6" x14ac:dyDescent="0.35">
      <c r="B43" s="4"/>
      <c r="C43" s="5"/>
    </row>
    <row r="44" spans="2:6" x14ac:dyDescent="0.35">
      <c r="B44" s="4"/>
      <c r="C44" s="7"/>
      <c r="D44" s="10"/>
      <c r="E44" s="8"/>
      <c r="F44" s="8"/>
    </row>
    <row r="45" spans="2:6" x14ac:dyDescent="0.35">
      <c r="B45" s="4"/>
    </row>
    <row r="46" spans="2:6" x14ac:dyDescent="0.35">
      <c r="B46" s="4"/>
    </row>
    <row r="47" spans="2:6" x14ac:dyDescent="0.35">
      <c r="B47" s="4"/>
      <c r="C47" s="10"/>
      <c r="D47" s="9"/>
    </row>
    <row r="48" spans="2:6" x14ac:dyDescent="0.35">
      <c r="B48" s="4"/>
      <c r="D48" s="9"/>
    </row>
    <row r="49" spans="1:6" x14ac:dyDescent="0.35">
      <c r="B49" s="4"/>
    </row>
    <row r="50" spans="1:6" x14ac:dyDescent="0.35">
      <c r="A50" s="41"/>
      <c r="B50" s="42"/>
      <c r="C50" s="43"/>
      <c r="D50" s="22"/>
    </row>
    <row r="51" spans="1:6" x14ac:dyDescent="0.35">
      <c r="A51" s="41"/>
      <c r="B51" s="42"/>
      <c r="C51" s="43"/>
      <c r="D51" s="9"/>
      <c r="E51" s="18"/>
      <c r="F51" s="18"/>
    </row>
    <row r="52" spans="1:6" x14ac:dyDescent="0.35">
      <c r="A52" s="41"/>
      <c r="B52" s="42"/>
      <c r="C52" s="41"/>
    </row>
    <row r="53" spans="1:6" x14ac:dyDescent="0.35">
      <c r="A53" s="41"/>
      <c r="B53" s="42"/>
      <c r="C53" s="22"/>
      <c r="D53" s="9"/>
    </row>
    <row r="54" spans="1:6" x14ac:dyDescent="0.35">
      <c r="A54" s="41"/>
      <c r="B54" s="17"/>
      <c r="C54" s="43"/>
    </row>
    <row r="55" spans="1:6" x14ac:dyDescent="0.35">
      <c r="A55" s="41"/>
      <c r="B55" s="17"/>
      <c r="C55" s="41"/>
    </row>
    <row r="56" spans="1:6" x14ac:dyDescent="0.35">
      <c r="B56" s="17"/>
      <c r="C56" s="9"/>
    </row>
    <row r="57" spans="1:6" x14ac:dyDescent="0.35">
      <c r="B57" s="17"/>
    </row>
    <row r="58" spans="1:6" x14ac:dyDescent="0.35">
      <c r="B58" s="17"/>
    </row>
  </sheetData>
  <dataValidations count="1">
    <dataValidation type="list" allowBlank="1" showInputMessage="1" showErrorMessage="1" sqref="C4:C27">
      <formula1>$AC$1:$AC$4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tabSelected="1" zoomScale="80" zoomScaleNormal="80" workbookViewId="0">
      <selection activeCell="I32" sqref="I32"/>
    </sheetView>
  </sheetViews>
  <sheetFormatPr defaultRowHeight="14.5" x14ac:dyDescent="0.35"/>
  <cols>
    <col min="2" max="2" width="11.08984375" bestFit="1" customWidth="1"/>
    <col min="3" max="4" width="16.90625" customWidth="1"/>
    <col min="5" max="6" width="18.54296875" customWidth="1"/>
    <col min="7" max="7" width="25.81640625" bestFit="1" customWidth="1"/>
    <col min="8" max="8" width="19.6328125" bestFit="1" customWidth="1"/>
    <col min="9" max="10" width="21.6328125" customWidth="1"/>
    <col min="11" max="11" width="26.1796875" customWidth="1"/>
    <col min="12" max="12" width="19" customWidth="1"/>
    <col min="13" max="13" width="22.90625" customWidth="1"/>
    <col min="14" max="14" width="14.6328125" customWidth="1"/>
    <col min="15" max="15" width="8.90625" customWidth="1"/>
    <col min="16" max="16" width="16.26953125" customWidth="1"/>
    <col min="17" max="17" width="15.81640625" customWidth="1"/>
    <col min="18" max="18" width="14.7265625" customWidth="1"/>
    <col min="19" max="19" width="13.1796875" customWidth="1"/>
  </cols>
  <sheetData>
    <row r="1" spans="2:29" x14ac:dyDescent="0.35">
      <c r="AC1" s="2" t="s">
        <v>4</v>
      </c>
    </row>
    <row r="2" spans="2:29" ht="15" thickBot="1" x14ac:dyDescent="0.4">
      <c r="N2" s="32"/>
      <c r="O2" s="32"/>
      <c r="P2" s="33"/>
      <c r="Q2" s="32"/>
      <c r="R2" s="32"/>
      <c r="S2" s="32"/>
      <c r="AC2" s="2" t="s">
        <v>5</v>
      </c>
    </row>
    <row r="3" spans="2:29" x14ac:dyDescent="0.35">
      <c r="B3" s="48" t="s">
        <v>0</v>
      </c>
      <c r="C3" s="49" t="s">
        <v>16</v>
      </c>
      <c r="D3" s="49" t="s">
        <v>47</v>
      </c>
      <c r="E3" s="50" t="s">
        <v>48</v>
      </c>
      <c r="F3" s="26" t="s">
        <v>49</v>
      </c>
      <c r="G3" s="3" t="s">
        <v>50</v>
      </c>
      <c r="H3" s="28" t="s">
        <v>51</v>
      </c>
      <c r="I3" s="3" t="s">
        <v>52</v>
      </c>
      <c r="J3" s="28" t="s">
        <v>56</v>
      </c>
      <c r="K3" s="3" t="s">
        <v>58</v>
      </c>
      <c r="L3" s="3" t="s">
        <v>57</v>
      </c>
      <c r="M3" s="3" t="s">
        <v>59</v>
      </c>
      <c r="N3" s="34" t="s">
        <v>67</v>
      </c>
      <c r="O3" s="35" t="s">
        <v>66</v>
      </c>
      <c r="P3" s="35" t="s">
        <v>62</v>
      </c>
      <c r="Q3" s="35" t="s">
        <v>63</v>
      </c>
      <c r="R3" s="35" t="s">
        <v>65</v>
      </c>
      <c r="S3" s="35" t="s">
        <v>64</v>
      </c>
      <c r="AC3" s="2" t="s">
        <v>6</v>
      </c>
    </row>
    <row r="4" spans="2:29" x14ac:dyDescent="0.35">
      <c r="B4" s="51">
        <v>1</v>
      </c>
      <c r="C4" s="46" t="s">
        <v>4</v>
      </c>
      <c r="D4" s="47">
        <v>200</v>
      </c>
      <c r="E4" s="52">
        <v>0</v>
      </c>
      <c r="F4" s="27">
        <f>D4+E4</f>
        <v>200</v>
      </c>
      <c r="G4" s="24">
        <f>IF(C4="Icemaking",0.65*$C$33,IF(C4="Full Storage",-F4,0))</f>
        <v>100</v>
      </c>
      <c r="H4" s="29">
        <f>IF(G4&lt;=0,$C$33,0)</f>
        <v>0</v>
      </c>
      <c r="I4" s="9">
        <f>IF(C4="Partial Storage",MAX(0,E4-H4),0)</f>
        <v>0</v>
      </c>
      <c r="J4" s="29">
        <f t="shared" ref="J4:J27" si="0">IF(C4="Partial Storage",IF(I4&gt;0,MIN(I4,$C$39),0),0)</f>
        <v>0</v>
      </c>
      <c r="K4" s="9">
        <f t="shared" ref="K4:K27" si="1">IF(C4="Icemaking",0.65*$C$39,IF(C4="Partial Storage",MIN(0,-E4+H4+J4,0),0))</f>
        <v>307.01157249829811</v>
      </c>
      <c r="L4" s="9">
        <f>IF(C4="Full Storage",0,D4+H4+J4)</f>
        <v>200</v>
      </c>
      <c r="M4" s="9">
        <f>IF(C4="Partial Storage",D4+H4+J4-K4,0)</f>
        <v>0</v>
      </c>
      <c r="N4" s="36">
        <f>IF(L4=$L$29,L4-($K$28/COUNTIF($L$4:$L$27,"="&amp;$L$29)),L4)</f>
        <v>200</v>
      </c>
      <c r="O4" s="44">
        <v>1</v>
      </c>
      <c r="P4" s="45">
        <f>IF(C4="full storage",0,D4)</f>
        <v>200</v>
      </c>
      <c r="Q4" s="45">
        <f>N4-P4</f>
        <v>0</v>
      </c>
      <c r="R4" s="45">
        <f>IF(K4&gt;0,K4,0)+IF(G4&gt;0,G4,0)</f>
        <v>407.01157249829811</v>
      </c>
      <c r="S4" s="45">
        <f>IF(G4&lt;0,-G4,0)+IF(K4&lt;0,-K4,0)</f>
        <v>0</v>
      </c>
      <c r="AC4" s="2" t="s">
        <v>46</v>
      </c>
    </row>
    <row r="5" spans="2:29" x14ac:dyDescent="0.35">
      <c r="B5" s="51">
        <v>2</v>
      </c>
      <c r="C5" s="46" t="s">
        <v>4</v>
      </c>
      <c r="D5" s="47">
        <v>200</v>
      </c>
      <c r="E5" s="52">
        <v>0</v>
      </c>
      <c r="F5" s="27">
        <f t="shared" ref="F5:F27" si="2">D5+E5</f>
        <v>200</v>
      </c>
      <c r="G5" s="24">
        <f t="shared" ref="G5:G27" si="3">IF(C5="Icemaking",0.65*$C$33,IF(C5="Full Storage",-F5,0))</f>
        <v>100</v>
      </c>
      <c r="H5" s="29">
        <f t="shared" ref="H5:H27" si="4">IF(G5&lt;=0,$C$33,0)</f>
        <v>0</v>
      </c>
      <c r="I5" s="9">
        <f t="shared" ref="I5:I27" si="5">IF(C5="Partial Storage",MAX(0,E5-H5),0)</f>
        <v>0</v>
      </c>
      <c r="J5" s="29">
        <f t="shared" si="0"/>
        <v>0</v>
      </c>
      <c r="K5" s="9">
        <f t="shared" si="1"/>
        <v>307.01157249829811</v>
      </c>
      <c r="L5" s="9">
        <f t="shared" ref="L5:L27" si="6">IF(C5="Full Storage",0,D5+H5+J5)</f>
        <v>200</v>
      </c>
      <c r="M5" s="9">
        <f t="shared" ref="M5:M27" si="7">IF(C5="Partial Storage",D5+H5+J5-K5,0)</f>
        <v>0</v>
      </c>
      <c r="N5" s="36">
        <f t="shared" ref="N5:N27" si="8">IF(L5=$L$29,L5-($K$28/COUNTIF($L$4:$L$27,"="&amp;$L$29)),L5)</f>
        <v>200</v>
      </c>
      <c r="O5" s="44">
        <v>2</v>
      </c>
      <c r="P5" s="45">
        <f t="shared" ref="P5:P27" si="9">IF(C5="full storage",0,D5)</f>
        <v>200</v>
      </c>
      <c r="Q5" s="45">
        <f t="shared" ref="Q5:Q27" si="10">N5-P5</f>
        <v>0</v>
      </c>
      <c r="R5" s="45">
        <f t="shared" ref="R5:R27" si="11">IF(K5&gt;0,K5,0)+IF(G5&gt;0,G5,0)</f>
        <v>407.01157249829811</v>
      </c>
      <c r="S5" s="45">
        <f t="shared" ref="S5:S27" si="12">IF(G5&lt;0,-G5,0)+IF(K5&lt;0,-K5,0)</f>
        <v>0</v>
      </c>
    </row>
    <row r="6" spans="2:29" x14ac:dyDescent="0.35">
      <c r="B6" s="51">
        <v>3</v>
      </c>
      <c r="C6" s="46" t="s">
        <v>4</v>
      </c>
      <c r="D6" s="47">
        <v>200</v>
      </c>
      <c r="E6" s="52">
        <v>0</v>
      </c>
      <c r="F6" s="27">
        <f t="shared" si="2"/>
        <v>200</v>
      </c>
      <c r="G6" s="24">
        <f t="shared" si="3"/>
        <v>100</v>
      </c>
      <c r="H6" s="29">
        <f t="shared" si="4"/>
        <v>0</v>
      </c>
      <c r="I6" s="9">
        <f t="shared" si="5"/>
        <v>0</v>
      </c>
      <c r="J6" s="29">
        <f t="shared" si="0"/>
        <v>0</v>
      </c>
      <c r="K6" s="9">
        <f t="shared" si="1"/>
        <v>307.01157249829811</v>
      </c>
      <c r="L6" s="9">
        <f t="shared" si="6"/>
        <v>200</v>
      </c>
      <c r="M6" s="9">
        <f t="shared" si="7"/>
        <v>0</v>
      </c>
      <c r="N6" s="36">
        <f t="shared" si="8"/>
        <v>200</v>
      </c>
      <c r="O6" s="44">
        <v>3</v>
      </c>
      <c r="P6" s="45">
        <f t="shared" si="9"/>
        <v>200</v>
      </c>
      <c r="Q6" s="45">
        <f t="shared" si="10"/>
        <v>0</v>
      </c>
      <c r="R6" s="45">
        <f t="shared" si="11"/>
        <v>407.01157249829811</v>
      </c>
      <c r="S6" s="45">
        <f t="shared" si="12"/>
        <v>0</v>
      </c>
    </row>
    <row r="7" spans="2:29" x14ac:dyDescent="0.35">
      <c r="B7" s="51">
        <v>4</v>
      </c>
      <c r="C7" s="46" t="s">
        <v>4</v>
      </c>
      <c r="D7" s="47">
        <v>200</v>
      </c>
      <c r="E7" s="52">
        <v>0</v>
      </c>
      <c r="F7" s="27">
        <f t="shared" si="2"/>
        <v>200</v>
      </c>
      <c r="G7" s="24">
        <f t="shared" si="3"/>
        <v>100</v>
      </c>
      <c r="H7" s="29">
        <f t="shared" si="4"/>
        <v>0</v>
      </c>
      <c r="I7" s="9">
        <f t="shared" si="5"/>
        <v>0</v>
      </c>
      <c r="J7" s="29">
        <f t="shared" si="0"/>
        <v>0</v>
      </c>
      <c r="K7" s="9">
        <f t="shared" si="1"/>
        <v>307.01157249829811</v>
      </c>
      <c r="L7" s="9">
        <f t="shared" si="6"/>
        <v>200</v>
      </c>
      <c r="M7" s="9">
        <f t="shared" si="7"/>
        <v>0</v>
      </c>
      <c r="N7" s="36">
        <f t="shared" si="8"/>
        <v>200</v>
      </c>
      <c r="O7" s="44">
        <v>4</v>
      </c>
      <c r="P7" s="45">
        <f t="shared" si="9"/>
        <v>200</v>
      </c>
      <c r="Q7" s="45">
        <f t="shared" si="10"/>
        <v>0</v>
      </c>
      <c r="R7" s="45">
        <f t="shared" si="11"/>
        <v>407.01157249829811</v>
      </c>
      <c r="S7" s="45">
        <f t="shared" si="12"/>
        <v>0</v>
      </c>
    </row>
    <row r="8" spans="2:29" x14ac:dyDescent="0.35">
      <c r="B8" s="51">
        <v>5</v>
      </c>
      <c r="C8" s="46" t="s">
        <v>4</v>
      </c>
      <c r="D8" s="47">
        <v>200</v>
      </c>
      <c r="E8" s="52">
        <v>0</v>
      </c>
      <c r="F8" s="27">
        <f t="shared" si="2"/>
        <v>200</v>
      </c>
      <c r="G8" s="24">
        <f t="shared" si="3"/>
        <v>100</v>
      </c>
      <c r="H8" s="29">
        <f t="shared" si="4"/>
        <v>0</v>
      </c>
      <c r="I8" s="9">
        <f t="shared" si="5"/>
        <v>0</v>
      </c>
      <c r="J8" s="29">
        <f t="shared" si="0"/>
        <v>0</v>
      </c>
      <c r="K8" s="9">
        <f t="shared" si="1"/>
        <v>307.01157249829811</v>
      </c>
      <c r="L8" s="9">
        <f t="shared" si="6"/>
        <v>200</v>
      </c>
      <c r="M8" s="9">
        <f t="shared" si="7"/>
        <v>0</v>
      </c>
      <c r="N8" s="36">
        <f t="shared" si="8"/>
        <v>200</v>
      </c>
      <c r="O8" s="44">
        <v>5</v>
      </c>
      <c r="P8" s="45">
        <f t="shared" si="9"/>
        <v>200</v>
      </c>
      <c r="Q8" s="45">
        <f t="shared" si="10"/>
        <v>0</v>
      </c>
      <c r="R8" s="45">
        <f t="shared" si="11"/>
        <v>407.01157249829811</v>
      </c>
      <c r="S8" s="45">
        <f t="shared" si="12"/>
        <v>0</v>
      </c>
    </row>
    <row r="9" spans="2:29" x14ac:dyDescent="0.35">
      <c r="B9" s="51">
        <v>6</v>
      </c>
      <c r="C9" s="46" t="s">
        <v>4</v>
      </c>
      <c r="D9" s="47">
        <v>200</v>
      </c>
      <c r="E9" s="52">
        <v>0</v>
      </c>
      <c r="F9" s="27">
        <f t="shared" si="2"/>
        <v>200</v>
      </c>
      <c r="G9" s="24">
        <f t="shared" si="3"/>
        <v>100</v>
      </c>
      <c r="H9" s="29">
        <f t="shared" si="4"/>
        <v>0</v>
      </c>
      <c r="I9" s="9">
        <f t="shared" si="5"/>
        <v>0</v>
      </c>
      <c r="J9" s="29">
        <f t="shared" si="0"/>
        <v>0</v>
      </c>
      <c r="K9" s="9">
        <f t="shared" si="1"/>
        <v>307.01157249829811</v>
      </c>
      <c r="L9" s="9">
        <f t="shared" si="6"/>
        <v>200</v>
      </c>
      <c r="M9" s="9">
        <f t="shared" si="7"/>
        <v>0</v>
      </c>
      <c r="N9" s="36">
        <f t="shared" si="8"/>
        <v>200</v>
      </c>
      <c r="O9" s="44">
        <v>6</v>
      </c>
      <c r="P9" s="45">
        <f t="shared" si="9"/>
        <v>200</v>
      </c>
      <c r="Q9" s="45">
        <f t="shared" si="10"/>
        <v>0</v>
      </c>
      <c r="R9" s="45">
        <f t="shared" si="11"/>
        <v>407.01157249829811</v>
      </c>
      <c r="S9" s="45">
        <f t="shared" si="12"/>
        <v>0</v>
      </c>
    </row>
    <row r="10" spans="2:29" x14ac:dyDescent="0.35">
      <c r="B10" s="51">
        <v>7</v>
      </c>
      <c r="C10" s="46" t="s">
        <v>6</v>
      </c>
      <c r="D10" s="47">
        <v>200</v>
      </c>
      <c r="E10" s="52">
        <v>200</v>
      </c>
      <c r="F10" s="27">
        <f t="shared" si="2"/>
        <v>400</v>
      </c>
      <c r="G10" s="24">
        <f t="shared" si="3"/>
        <v>-400</v>
      </c>
      <c r="H10" s="29">
        <f t="shared" si="4"/>
        <v>153.84615384615384</v>
      </c>
      <c r="I10" s="9">
        <f t="shared" si="5"/>
        <v>0</v>
      </c>
      <c r="J10" s="29">
        <f t="shared" si="0"/>
        <v>0</v>
      </c>
      <c r="K10" s="9">
        <f t="shared" si="1"/>
        <v>0</v>
      </c>
      <c r="L10" s="9">
        <f t="shared" si="6"/>
        <v>0</v>
      </c>
      <c r="M10" s="9">
        <f t="shared" si="7"/>
        <v>0</v>
      </c>
      <c r="N10" s="36">
        <f t="shared" si="8"/>
        <v>0</v>
      </c>
      <c r="O10" s="44">
        <v>7</v>
      </c>
      <c r="P10" s="45">
        <f t="shared" si="9"/>
        <v>0</v>
      </c>
      <c r="Q10" s="45">
        <f t="shared" si="10"/>
        <v>0</v>
      </c>
      <c r="R10" s="45">
        <f t="shared" si="11"/>
        <v>0</v>
      </c>
      <c r="S10" s="45">
        <f t="shared" si="12"/>
        <v>400</v>
      </c>
    </row>
    <row r="11" spans="2:29" x14ac:dyDescent="0.35">
      <c r="B11" s="51">
        <v>8</v>
      </c>
      <c r="C11" s="46" t="s">
        <v>6</v>
      </c>
      <c r="D11" s="47">
        <v>200</v>
      </c>
      <c r="E11" s="52">
        <v>300</v>
      </c>
      <c r="F11" s="27">
        <f t="shared" si="2"/>
        <v>500</v>
      </c>
      <c r="G11" s="24">
        <f t="shared" si="3"/>
        <v>-500</v>
      </c>
      <c r="H11" s="29">
        <f t="shared" si="4"/>
        <v>153.84615384615384</v>
      </c>
      <c r="I11" s="9">
        <f t="shared" si="5"/>
        <v>0</v>
      </c>
      <c r="J11" s="29">
        <f t="shared" si="0"/>
        <v>0</v>
      </c>
      <c r="K11" s="9">
        <f t="shared" si="1"/>
        <v>0</v>
      </c>
      <c r="L11" s="9">
        <f t="shared" si="6"/>
        <v>0</v>
      </c>
      <c r="M11" s="9">
        <f t="shared" si="7"/>
        <v>0</v>
      </c>
      <c r="N11" s="36">
        <f t="shared" si="8"/>
        <v>0</v>
      </c>
      <c r="O11" s="44">
        <v>8</v>
      </c>
      <c r="P11" s="45">
        <f t="shared" si="9"/>
        <v>0</v>
      </c>
      <c r="Q11" s="45">
        <f t="shared" si="10"/>
        <v>0</v>
      </c>
      <c r="R11" s="45">
        <f t="shared" si="11"/>
        <v>0</v>
      </c>
      <c r="S11" s="45">
        <f t="shared" si="12"/>
        <v>500</v>
      </c>
    </row>
    <row r="12" spans="2:29" x14ac:dyDescent="0.35">
      <c r="B12" s="51">
        <v>9</v>
      </c>
      <c r="C12" s="46" t="s">
        <v>5</v>
      </c>
      <c r="D12" s="47">
        <v>200</v>
      </c>
      <c r="E12" s="52">
        <v>400</v>
      </c>
      <c r="F12" s="27">
        <f t="shared" si="2"/>
        <v>600</v>
      </c>
      <c r="G12" s="24">
        <f t="shared" si="3"/>
        <v>0</v>
      </c>
      <c r="H12" s="29">
        <f t="shared" si="4"/>
        <v>153.84615384615384</v>
      </c>
      <c r="I12" s="9">
        <f t="shared" si="5"/>
        <v>246.15384615384616</v>
      </c>
      <c r="J12" s="29">
        <f t="shared" si="0"/>
        <v>246.15384615384616</v>
      </c>
      <c r="K12" s="9">
        <f t="shared" si="1"/>
        <v>0</v>
      </c>
      <c r="L12" s="9">
        <f t="shared" si="6"/>
        <v>600</v>
      </c>
      <c r="M12" s="9">
        <f t="shared" si="7"/>
        <v>600</v>
      </c>
      <c r="N12" s="36">
        <f t="shared" si="8"/>
        <v>600</v>
      </c>
      <c r="O12" s="44">
        <v>9</v>
      </c>
      <c r="P12" s="45">
        <f t="shared" si="9"/>
        <v>200</v>
      </c>
      <c r="Q12" s="45">
        <f t="shared" si="10"/>
        <v>400</v>
      </c>
      <c r="R12" s="45">
        <f t="shared" si="11"/>
        <v>0</v>
      </c>
      <c r="S12" s="45">
        <f t="shared" si="12"/>
        <v>0</v>
      </c>
    </row>
    <row r="13" spans="2:29" x14ac:dyDescent="0.35">
      <c r="B13" s="51">
        <v>10</v>
      </c>
      <c r="C13" s="46" t="s">
        <v>5</v>
      </c>
      <c r="D13" s="47">
        <v>200</v>
      </c>
      <c r="E13" s="52">
        <v>500</v>
      </c>
      <c r="F13" s="27">
        <f t="shared" si="2"/>
        <v>700</v>
      </c>
      <c r="G13" s="24">
        <f t="shared" si="3"/>
        <v>0</v>
      </c>
      <c r="H13" s="29">
        <f t="shared" si="4"/>
        <v>153.84615384615384</v>
      </c>
      <c r="I13" s="9">
        <f t="shared" si="5"/>
        <v>346.15384615384619</v>
      </c>
      <c r="J13" s="29">
        <f t="shared" si="0"/>
        <v>346.15384615384619</v>
      </c>
      <c r="K13" s="9">
        <f t="shared" si="1"/>
        <v>0</v>
      </c>
      <c r="L13" s="9">
        <f t="shared" si="6"/>
        <v>700</v>
      </c>
      <c r="M13" s="9">
        <f t="shared" si="7"/>
        <v>700</v>
      </c>
      <c r="N13" s="36">
        <f t="shared" si="8"/>
        <v>700</v>
      </c>
      <c r="O13" s="44">
        <v>10</v>
      </c>
      <c r="P13" s="45">
        <f t="shared" si="9"/>
        <v>200</v>
      </c>
      <c r="Q13" s="45">
        <f t="shared" si="10"/>
        <v>500</v>
      </c>
      <c r="R13" s="45">
        <f t="shared" si="11"/>
        <v>0</v>
      </c>
      <c r="S13" s="45">
        <f t="shared" si="12"/>
        <v>0</v>
      </c>
    </row>
    <row r="14" spans="2:29" x14ac:dyDescent="0.35">
      <c r="B14" s="51">
        <v>11</v>
      </c>
      <c r="C14" s="46" t="s">
        <v>5</v>
      </c>
      <c r="D14" s="47">
        <v>200</v>
      </c>
      <c r="E14" s="52">
        <v>800</v>
      </c>
      <c r="F14" s="27">
        <f t="shared" si="2"/>
        <v>1000</v>
      </c>
      <c r="G14" s="24">
        <f t="shared" si="3"/>
        <v>0</v>
      </c>
      <c r="H14" s="29">
        <f t="shared" si="4"/>
        <v>153.84615384615384</v>
      </c>
      <c r="I14" s="9">
        <f t="shared" si="5"/>
        <v>646.15384615384619</v>
      </c>
      <c r="J14" s="29">
        <f t="shared" si="0"/>
        <v>472.32549615122787</v>
      </c>
      <c r="K14" s="9">
        <f t="shared" si="1"/>
        <v>-173.82835000261832</v>
      </c>
      <c r="L14" s="9">
        <f t="shared" si="6"/>
        <v>826.17164999738168</v>
      </c>
      <c r="M14" s="9">
        <f t="shared" si="7"/>
        <v>1000</v>
      </c>
      <c r="N14" s="36">
        <f t="shared" si="8"/>
        <v>792.11198093941459</v>
      </c>
      <c r="O14" s="44">
        <v>11</v>
      </c>
      <c r="P14" s="45">
        <f t="shared" si="9"/>
        <v>200</v>
      </c>
      <c r="Q14" s="45">
        <f t="shared" si="10"/>
        <v>592.11198093941459</v>
      </c>
      <c r="R14" s="45">
        <f t="shared" si="11"/>
        <v>0</v>
      </c>
      <c r="S14" s="45">
        <f t="shared" si="12"/>
        <v>173.82835000261832</v>
      </c>
    </row>
    <row r="15" spans="2:29" x14ac:dyDescent="0.35">
      <c r="B15" s="51">
        <v>12</v>
      </c>
      <c r="C15" s="46" t="s">
        <v>5</v>
      </c>
      <c r="D15" s="47">
        <v>200</v>
      </c>
      <c r="E15" s="52">
        <v>1000</v>
      </c>
      <c r="F15" s="27">
        <f t="shared" si="2"/>
        <v>1200</v>
      </c>
      <c r="G15" s="24">
        <f t="shared" si="3"/>
        <v>0</v>
      </c>
      <c r="H15" s="29">
        <f t="shared" si="4"/>
        <v>153.84615384615384</v>
      </c>
      <c r="I15" s="9">
        <f t="shared" si="5"/>
        <v>846.15384615384619</v>
      </c>
      <c r="J15" s="29">
        <f t="shared" si="0"/>
        <v>472.32549615122787</v>
      </c>
      <c r="K15" s="9">
        <f t="shared" si="1"/>
        <v>-373.82835000261832</v>
      </c>
      <c r="L15" s="9">
        <f t="shared" si="6"/>
        <v>826.17164999738168</v>
      </c>
      <c r="M15" s="9">
        <f t="shared" si="7"/>
        <v>1200</v>
      </c>
      <c r="N15" s="36">
        <f t="shared" si="8"/>
        <v>792.11198093941459</v>
      </c>
      <c r="O15" s="44">
        <v>12</v>
      </c>
      <c r="P15" s="45">
        <f t="shared" si="9"/>
        <v>200</v>
      </c>
      <c r="Q15" s="45">
        <f t="shared" si="10"/>
        <v>592.11198093941459</v>
      </c>
      <c r="R15" s="45">
        <f t="shared" si="11"/>
        <v>0</v>
      </c>
      <c r="S15" s="45">
        <f t="shared" si="12"/>
        <v>373.82835000261832</v>
      </c>
    </row>
    <row r="16" spans="2:29" x14ac:dyDescent="0.35">
      <c r="B16" s="51">
        <v>13</v>
      </c>
      <c r="C16" s="46" t="s">
        <v>5</v>
      </c>
      <c r="D16" s="47">
        <v>200</v>
      </c>
      <c r="E16" s="52">
        <v>1000</v>
      </c>
      <c r="F16" s="27">
        <f t="shared" si="2"/>
        <v>1200</v>
      </c>
      <c r="G16" s="24">
        <f t="shared" si="3"/>
        <v>0</v>
      </c>
      <c r="H16" s="29">
        <f t="shared" si="4"/>
        <v>153.84615384615384</v>
      </c>
      <c r="I16" s="9">
        <f t="shared" si="5"/>
        <v>846.15384615384619</v>
      </c>
      <c r="J16" s="29">
        <f t="shared" si="0"/>
        <v>472.32549615122787</v>
      </c>
      <c r="K16" s="9">
        <f t="shared" si="1"/>
        <v>-373.82835000261832</v>
      </c>
      <c r="L16" s="9">
        <f t="shared" si="6"/>
        <v>826.17164999738168</v>
      </c>
      <c r="M16" s="9">
        <f t="shared" si="7"/>
        <v>1200</v>
      </c>
      <c r="N16" s="36">
        <f t="shared" si="8"/>
        <v>792.11198093941459</v>
      </c>
      <c r="O16" s="44">
        <v>13</v>
      </c>
      <c r="P16" s="45">
        <f t="shared" si="9"/>
        <v>200</v>
      </c>
      <c r="Q16" s="45">
        <f t="shared" si="10"/>
        <v>592.11198093941459</v>
      </c>
      <c r="R16" s="45">
        <f t="shared" si="11"/>
        <v>0</v>
      </c>
      <c r="S16" s="45">
        <f t="shared" si="12"/>
        <v>373.82835000261832</v>
      </c>
    </row>
    <row r="17" spans="2:19" x14ac:dyDescent="0.35">
      <c r="B17" s="51">
        <v>14</v>
      </c>
      <c r="C17" s="46" t="s">
        <v>5</v>
      </c>
      <c r="D17" s="47">
        <v>200</v>
      </c>
      <c r="E17" s="52">
        <v>1000</v>
      </c>
      <c r="F17" s="27">
        <f t="shared" si="2"/>
        <v>1200</v>
      </c>
      <c r="G17" s="24">
        <f t="shared" si="3"/>
        <v>0</v>
      </c>
      <c r="H17" s="29">
        <f t="shared" si="4"/>
        <v>153.84615384615384</v>
      </c>
      <c r="I17" s="9">
        <f t="shared" si="5"/>
        <v>846.15384615384619</v>
      </c>
      <c r="J17" s="29">
        <f t="shared" si="0"/>
        <v>472.32549615122787</v>
      </c>
      <c r="K17" s="9">
        <f t="shared" si="1"/>
        <v>-373.82835000261832</v>
      </c>
      <c r="L17" s="9">
        <f t="shared" si="6"/>
        <v>826.17164999738168</v>
      </c>
      <c r="M17" s="9">
        <f t="shared" si="7"/>
        <v>1200</v>
      </c>
      <c r="N17" s="36">
        <f t="shared" si="8"/>
        <v>792.11198093941459</v>
      </c>
      <c r="O17" s="44">
        <v>14</v>
      </c>
      <c r="P17" s="45">
        <f t="shared" si="9"/>
        <v>200</v>
      </c>
      <c r="Q17" s="45">
        <f t="shared" si="10"/>
        <v>592.11198093941459</v>
      </c>
      <c r="R17" s="45">
        <f t="shared" si="11"/>
        <v>0</v>
      </c>
      <c r="S17" s="45">
        <f t="shared" si="12"/>
        <v>373.82835000261832</v>
      </c>
    </row>
    <row r="18" spans="2:19" x14ac:dyDescent="0.35">
      <c r="B18" s="51">
        <v>15</v>
      </c>
      <c r="C18" s="46" t="s">
        <v>5</v>
      </c>
      <c r="D18" s="47">
        <v>200</v>
      </c>
      <c r="E18" s="52">
        <v>1000</v>
      </c>
      <c r="F18" s="27">
        <f t="shared" si="2"/>
        <v>1200</v>
      </c>
      <c r="G18" s="24">
        <f t="shared" si="3"/>
        <v>0</v>
      </c>
      <c r="H18" s="29">
        <f t="shared" si="4"/>
        <v>153.84615384615384</v>
      </c>
      <c r="I18" s="9">
        <f t="shared" si="5"/>
        <v>846.15384615384619</v>
      </c>
      <c r="J18" s="29">
        <f t="shared" si="0"/>
        <v>472.32549615122787</v>
      </c>
      <c r="K18" s="9">
        <f t="shared" si="1"/>
        <v>-373.82835000261832</v>
      </c>
      <c r="L18" s="9">
        <f t="shared" si="6"/>
        <v>826.17164999738168</v>
      </c>
      <c r="M18" s="9">
        <f t="shared" si="7"/>
        <v>1200</v>
      </c>
      <c r="N18" s="36">
        <f t="shared" si="8"/>
        <v>792.11198093941459</v>
      </c>
      <c r="O18" s="44">
        <v>15</v>
      </c>
      <c r="P18" s="45">
        <f t="shared" si="9"/>
        <v>200</v>
      </c>
      <c r="Q18" s="45">
        <f t="shared" si="10"/>
        <v>592.11198093941459</v>
      </c>
      <c r="R18" s="45">
        <f t="shared" si="11"/>
        <v>0</v>
      </c>
      <c r="S18" s="45">
        <f t="shared" si="12"/>
        <v>373.82835000261832</v>
      </c>
    </row>
    <row r="19" spans="2:19" x14ac:dyDescent="0.35">
      <c r="B19" s="51">
        <v>16</v>
      </c>
      <c r="C19" s="46" t="s">
        <v>5</v>
      </c>
      <c r="D19" s="47">
        <v>200</v>
      </c>
      <c r="E19" s="52">
        <v>1000</v>
      </c>
      <c r="F19" s="27">
        <f t="shared" si="2"/>
        <v>1200</v>
      </c>
      <c r="G19" s="24">
        <f t="shared" si="3"/>
        <v>0</v>
      </c>
      <c r="H19" s="29">
        <f t="shared" si="4"/>
        <v>153.84615384615384</v>
      </c>
      <c r="I19" s="9">
        <f t="shared" si="5"/>
        <v>846.15384615384619</v>
      </c>
      <c r="J19" s="29">
        <f t="shared" si="0"/>
        <v>472.32549615122787</v>
      </c>
      <c r="K19" s="9">
        <f t="shared" si="1"/>
        <v>-373.82835000261832</v>
      </c>
      <c r="L19" s="9">
        <f t="shared" si="6"/>
        <v>826.17164999738168</v>
      </c>
      <c r="M19" s="9">
        <f t="shared" si="7"/>
        <v>1200</v>
      </c>
      <c r="N19" s="36">
        <f t="shared" si="8"/>
        <v>792.11198093941459</v>
      </c>
      <c r="O19" s="44">
        <v>16</v>
      </c>
      <c r="P19" s="45">
        <f t="shared" si="9"/>
        <v>200</v>
      </c>
      <c r="Q19" s="45">
        <f t="shared" si="10"/>
        <v>592.11198093941459</v>
      </c>
      <c r="R19" s="45">
        <f t="shared" si="11"/>
        <v>0</v>
      </c>
      <c r="S19" s="45">
        <f t="shared" si="12"/>
        <v>373.82835000261832</v>
      </c>
    </row>
    <row r="20" spans="2:19" x14ac:dyDescent="0.35">
      <c r="B20" s="51">
        <v>17</v>
      </c>
      <c r="C20" s="46" t="s">
        <v>5</v>
      </c>
      <c r="D20" s="47">
        <v>200</v>
      </c>
      <c r="E20" s="52">
        <v>900</v>
      </c>
      <c r="F20" s="27">
        <f t="shared" si="2"/>
        <v>1100</v>
      </c>
      <c r="G20" s="24">
        <f t="shared" si="3"/>
        <v>0</v>
      </c>
      <c r="H20" s="29">
        <f t="shared" si="4"/>
        <v>153.84615384615384</v>
      </c>
      <c r="I20" s="9">
        <f t="shared" si="5"/>
        <v>746.15384615384619</v>
      </c>
      <c r="J20" s="29">
        <f t="shared" si="0"/>
        <v>472.32549615122787</v>
      </c>
      <c r="K20" s="9">
        <f t="shared" si="1"/>
        <v>-273.82835000261832</v>
      </c>
      <c r="L20" s="9">
        <f t="shared" si="6"/>
        <v>826.17164999738168</v>
      </c>
      <c r="M20" s="9">
        <f t="shared" si="7"/>
        <v>1100</v>
      </c>
      <c r="N20" s="36">
        <f t="shared" si="8"/>
        <v>792.11198093941459</v>
      </c>
      <c r="O20" s="44">
        <v>17</v>
      </c>
      <c r="P20" s="45">
        <f t="shared" si="9"/>
        <v>200</v>
      </c>
      <c r="Q20" s="45">
        <f t="shared" si="10"/>
        <v>592.11198093941459</v>
      </c>
      <c r="R20" s="45">
        <f t="shared" si="11"/>
        <v>0</v>
      </c>
      <c r="S20" s="45">
        <f t="shared" si="12"/>
        <v>273.82835000261832</v>
      </c>
    </row>
    <row r="21" spans="2:19" x14ac:dyDescent="0.35">
      <c r="B21" s="51">
        <v>18</v>
      </c>
      <c r="C21" s="46" t="s">
        <v>5</v>
      </c>
      <c r="D21" s="47">
        <v>200</v>
      </c>
      <c r="E21" s="52">
        <v>800</v>
      </c>
      <c r="F21" s="27">
        <f t="shared" si="2"/>
        <v>1000</v>
      </c>
      <c r="G21" s="24">
        <f t="shared" si="3"/>
        <v>0</v>
      </c>
      <c r="H21" s="29">
        <f t="shared" si="4"/>
        <v>153.84615384615384</v>
      </c>
      <c r="I21" s="9">
        <f t="shared" si="5"/>
        <v>646.15384615384619</v>
      </c>
      <c r="J21" s="29">
        <f t="shared" si="0"/>
        <v>472.32549615122787</v>
      </c>
      <c r="K21" s="9">
        <f t="shared" si="1"/>
        <v>-173.82835000261832</v>
      </c>
      <c r="L21" s="9">
        <f t="shared" si="6"/>
        <v>826.17164999738168</v>
      </c>
      <c r="M21" s="9">
        <f t="shared" si="7"/>
        <v>1000</v>
      </c>
      <c r="N21" s="36">
        <f t="shared" si="8"/>
        <v>792.11198093941459</v>
      </c>
      <c r="O21" s="44">
        <v>18</v>
      </c>
      <c r="P21" s="45">
        <f t="shared" si="9"/>
        <v>200</v>
      </c>
      <c r="Q21" s="45">
        <f t="shared" si="10"/>
        <v>592.11198093941459</v>
      </c>
      <c r="R21" s="45">
        <f t="shared" si="11"/>
        <v>0</v>
      </c>
      <c r="S21" s="45">
        <f t="shared" si="12"/>
        <v>173.82835000261832</v>
      </c>
    </row>
    <row r="22" spans="2:19" x14ac:dyDescent="0.35">
      <c r="B22" s="51">
        <v>19</v>
      </c>
      <c r="C22" s="46" t="s">
        <v>5</v>
      </c>
      <c r="D22" s="47">
        <v>200</v>
      </c>
      <c r="E22" s="52">
        <v>600</v>
      </c>
      <c r="F22" s="27">
        <f t="shared" si="2"/>
        <v>800</v>
      </c>
      <c r="G22" s="24">
        <f t="shared" si="3"/>
        <v>0</v>
      </c>
      <c r="H22" s="29">
        <f t="shared" si="4"/>
        <v>153.84615384615384</v>
      </c>
      <c r="I22" s="9">
        <f t="shared" si="5"/>
        <v>446.15384615384619</v>
      </c>
      <c r="J22" s="29">
        <f t="shared" si="0"/>
        <v>446.15384615384619</v>
      </c>
      <c r="K22" s="9">
        <f t="shared" si="1"/>
        <v>0</v>
      </c>
      <c r="L22" s="9">
        <f t="shared" si="6"/>
        <v>800</v>
      </c>
      <c r="M22" s="9">
        <f t="shared" si="7"/>
        <v>800</v>
      </c>
      <c r="N22" s="36">
        <f t="shared" si="8"/>
        <v>800</v>
      </c>
      <c r="O22" s="44">
        <v>19</v>
      </c>
      <c r="P22" s="45">
        <f t="shared" si="9"/>
        <v>200</v>
      </c>
      <c r="Q22" s="45">
        <f t="shared" si="10"/>
        <v>600</v>
      </c>
      <c r="R22" s="45">
        <f t="shared" si="11"/>
        <v>0</v>
      </c>
      <c r="S22" s="45">
        <f t="shared" si="12"/>
        <v>0</v>
      </c>
    </row>
    <row r="23" spans="2:19" x14ac:dyDescent="0.35">
      <c r="B23" s="51">
        <v>20</v>
      </c>
      <c r="C23" s="46" t="s">
        <v>5</v>
      </c>
      <c r="D23" s="47">
        <v>200</v>
      </c>
      <c r="E23" s="52">
        <v>600</v>
      </c>
      <c r="F23" s="27">
        <f t="shared" si="2"/>
        <v>800</v>
      </c>
      <c r="G23" s="24">
        <f t="shared" si="3"/>
        <v>0</v>
      </c>
      <c r="H23" s="29">
        <f t="shared" si="4"/>
        <v>153.84615384615384</v>
      </c>
      <c r="I23" s="9">
        <f t="shared" si="5"/>
        <v>446.15384615384619</v>
      </c>
      <c r="J23" s="29">
        <f t="shared" si="0"/>
        <v>446.15384615384619</v>
      </c>
      <c r="K23" s="9">
        <f t="shared" si="1"/>
        <v>0</v>
      </c>
      <c r="L23" s="9">
        <f t="shared" si="6"/>
        <v>800</v>
      </c>
      <c r="M23" s="9">
        <f t="shared" si="7"/>
        <v>800</v>
      </c>
      <c r="N23" s="36">
        <f t="shared" si="8"/>
        <v>800</v>
      </c>
      <c r="O23" s="44">
        <v>20</v>
      </c>
      <c r="P23" s="45">
        <f t="shared" si="9"/>
        <v>200</v>
      </c>
      <c r="Q23" s="45">
        <f t="shared" si="10"/>
        <v>600</v>
      </c>
      <c r="R23" s="45">
        <f t="shared" si="11"/>
        <v>0</v>
      </c>
      <c r="S23" s="45">
        <f t="shared" si="12"/>
        <v>0</v>
      </c>
    </row>
    <row r="24" spans="2:19" x14ac:dyDescent="0.35">
      <c r="B24" s="51">
        <v>21</v>
      </c>
      <c r="C24" s="46" t="s">
        <v>5</v>
      </c>
      <c r="D24" s="47">
        <v>200</v>
      </c>
      <c r="E24" s="52">
        <v>600</v>
      </c>
      <c r="F24" s="27">
        <f t="shared" si="2"/>
        <v>800</v>
      </c>
      <c r="G24" s="24">
        <f t="shared" si="3"/>
        <v>0</v>
      </c>
      <c r="H24" s="29">
        <f t="shared" si="4"/>
        <v>153.84615384615384</v>
      </c>
      <c r="I24" s="9">
        <f t="shared" si="5"/>
        <v>446.15384615384619</v>
      </c>
      <c r="J24" s="29">
        <f t="shared" si="0"/>
        <v>446.15384615384619</v>
      </c>
      <c r="K24" s="9">
        <f t="shared" si="1"/>
        <v>0</v>
      </c>
      <c r="L24" s="9">
        <f t="shared" si="6"/>
        <v>800</v>
      </c>
      <c r="M24" s="9">
        <f t="shared" si="7"/>
        <v>800</v>
      </c>
      <c r="N24" s="36">
        <f t="shared" si="8"/>
        <v>800</v>
      </c>
      <c r="O24" s="44">
        <v>21</v>
      </c>
      <c r="P24" s="45">
        <f t="shared" si="9"/>
        <v>200</v>
      </c>
      <c r="Q24" s="45">
        <f t="shared" si="10"/>
        <v>600</v>
      </c>
      <c r="R24" s="45">
        <f t="shared" si="11"/>
        <v>0</v>
      </c>
      <c r="S24" s="45">
        <f t="shared" si="12"/>
        <v>0</v>
      </c>
    </row>
    <row r="25" spans="2:19" x14ac:dyDescent="0.35">
      <c r="B25" s="51">
        <v>22</v>
      </c>
      <c r="C25" s="46" t="s">
        <v>4</v>
      </c>
      <c r="D25" s="47">
        <v>200</v>
      </c>
      <c r="E25" s="52">
        <v>0</v>
      </c>
      <c r="F25" s="27">
        <f t="shared" si="2"/>
        <v>200</v>
      </c>
      <c r="G25" s="24">
        <f t="shared" si="3"/>
        <v>100</v>
      </c>
      <c r="H25" s="29">
        <f t="shared" si="4"/>
        <v>0</v>
      </c>
      <c r="I25" s="9">
        <f t="shared" si="5"/>
        <v>0</v>
      </c>
      <c r="J25" s="29">
        <f t="shared" si="0"/>
        <v>0</v>
      </c>
      <c r="K25" s="9">
        <f t="shared" si="1"/>
        <v>307.01157249829811</v>
      </c>
      <c r="L25" s="9">
        <f t="shared" si="6"/>
        <v>200</v>
      </c>
      <c r="M25" s="9">
        <f t="shared" si="7"/>
        <v>0</v>
      </c>
      <c r="N25" s="36">
        <f t="shared" si="8"/>
        <v>200</v>
      </c>
      <c r="O25" s="44">
        <v>22</v>
      </c>
      <c r="P25" s="45">
        <f t="shared" si="9"/>
        <v>200</v>
      </c>
      <c r="Q25" s="45">
        <f t="shared" si="10"/>
        <v>0</v>
      </c>
      <c r="R25" s="45">
        <f t="shared" si="11"/>
        <v>407.01157249829811</v>
      </c>
      <c r="S25" s="45">
        <f t="shared" si="12"/>
        <v>0</v>
      </c>
    </row>
    <row r="26" spans="2:19" x14ac:dyDescent="0.35">
      <c r="B26" s="51">
        <v>23</v>
      </c>
      <c r="C26" s="46" t="s">
        <v>4</v>
      </c>
      <c r="D26" s="47">
        <v>200</v>
      </c>
      <c r="E26" s="52">
        <v>0</v>
      </c>
      <c r="F26" s="27">
        <f t="shared" si="2"/>
        <v>200</v>
      </c>
      <c r="G26" s="24">
        <f t="shared" si="3"/>
        <v>100</v>
      </c>
      <c r="H26" s="29">
        <f t="shared" si="4"/>
        <v>0</v>
      </c>
      <c r="I26" s="9">
        <f t="shared" si="5"/>
        <v>0</v>
      </c>
      <c r="J26" s="29">
        <f t="shared" si="0"/>
        <v>0</v>
      </c>
      <c r="K26" s="9">
        <f t="shared" si="1"/>
        <v>307.01157249829811</v>
      </c>
      <c r="L26" s="9">
        <f t="shared" si="6"/>
        <v>200</v>
      </c>
      <c r="M26" s="9">
        <f t="shared" si="7"/>
        <v>0</v>
      </c>
      <c r="N26" s="36">
        <f t="shared" si="8"/>
        <v>200</v>
      </c>
      <c r="O26" s="44">
        <v>23</v>
      </c>
      <c r="P26" s="45">
        <f t="shared" si="9"/>
        <v>200</v>
      </c>
      <c r="Q26" s="45">
        <f t="shared" si="10"/>
        <v>0</v>
      </c>
      <c r="R26" s="45">
        <f t="shared" si="11"/>
        <v>407.01157249829811</v>
      </c>
      <c r="S26" s="45">
        <f t="shared" si="12"/>
        <v>0</v>
      </c>
    </row>
    <row r="27" spans="2:19" ht="15" thickBot="1" x14ac:dyDescent="0.4">
      <c r="B27" s="53">
        <v>24</v>
      </c>
      <c r="C27" s="54" t="s">
        <v>4</v>
      </c>
      <c r="D27" s="55">
        <v>200</v>
      </c>
      <c r="E27" s="56">
        <v>0</v>
      </c>
      <c r="F27" s="27">
        <f t="shared" si="2"/>
        <v>200</v>
      </c>
      <c r="G27" s="24">
        <f t="shared" si="3"/>
        <v>100</v>
      </c>
      <c r="H27" s="29">
        <f t="shared" si="4"/>
        <v>0</v>
      </c>
      <c r="I27" s="9">
        <f t="shared" si="5"/>
        <v>0</v>
      </c>
      <c r="J27" s="29">
        <f t="shared" si="0"/>
        <v>0</v>
      </c>
      <c r="K27" s="9">
        <f t="shared" si="1"/>
        <v>307.01157249829811</v>
      </c>
      <c r="L27" s="9">
        <f t="shared" si="6"/>
        <v>200</v>
      </c>
      <c r="M27" s="9">
        <f t="shared" si="7"/>
        <v>0</v>
      </c>
      <c r="N27" s="36">
        <f t="shared" si="8"/>
        <v>200</v>
      </c>
      <c r="O27" s="44">
        <v>24</v>
      </c>
      <c r="P27" s="45">
        <f t="shared" si="9"/>
        <v>200</v>
      </c>
      <c r="Q27" s="45">
        <f t="shared" si="10"/>
        <v>0</v>
      </c>
      <c r="R27" s="45">
        <f t="shared" si="11"/>
        <v>407.01157249829811</v>
      </c>
      <c r="S27" s="45">
        <f t="shared" si="12"/>
        <v>0</v>
      </c>
    </row>
    <row r="28" spans="2:19" x14ac:dyDescent="0.35">
      <c r="B28" t="s">
        <v>2</v>
      </c>
      <c r="D28" s="57">
        <f t="shared" ref="D28:E28" si="13">SUM(D4:D27)</f>
        <v>4800</v>
      </c>
      <c r="E28" s="57">
        <f t="shared" si="13"/>
        <v>10700</v>
      </c>
      <c r="F28" s="27">
        <f>SUM(F4:F27)</f>
        <v>15500</v>
      </c>
      <c r="G28" s="13">
        <f t="shared" ref="G28:I28" si="14">SUM(G4:G27)</f>
        <v>0</v>
      </c>
      <c r="H28" s="9"/>
      <c r="I28" s="13">
        <f t="shared" si="14"/>
        <v>8199.9999999999982</v>
      </c>
      <c r="J28" s="13"/>
      <c r="K28" s="25">
        <f>SUM(K4:K27)</f>
        <v>272.47735246373651</v>
      </c>
      <c r="L28" s="13"/>
      <c r="M28" s="12"/>
      <c r="N28" s="36"/>
      <c r="O28" s="36"/>
      <c r="P28" s="40"/>
      <c r="Q28" s="40"/>
      <c r="R28" s="40"/>
      <c r="S28" s="40"/>
    </row>
    <row r="29" spans="2:19" x14ac:dyDescent="0.35">
      <c r="B29" t="s">
        <v>3</v>
      </c>
      <c r="D29" s="12"/>
      <c r="E29" s="12">
        <f>MAX(E4:E27)</f>
        <v>1000</v>
      </c>
      <c r="F29" s="12"/>
      <c r="G29" s="12">
        <f t="shared" ref="G29:I29" si="15">MAX(G4:G27)</f>
        <v>100</v>
      </c>
      <c r="H29" s="9"/>
      <c r="I29" s="12">
        <f t="shared" si="15"/>
        <v>846.15384615384619</v>
      </c>
      <c r="J29" s="12"/>
      <c r="K29" s="9">
        <f>IF(C29="Icemaking",0.65*$C$39,IF(C29="Partial Storage",MIN(0,-E29+H29+J29,0),0))</f>
        <v>0</v>
      </c>
      <c r="L29" s="12">
        <f>MAX(L4:L27)</f>
        <v>826.17164999738168</v>
      </c>
      <c r="M29" s="12"/>
      <c r="N29" s="39"/>
      <c r="O29" s="39"/>
      <c r="P29" s="40"/>
      <c r="Q29" s="40"/>
      <c r="R29" s="40"/>
      <c r="S29" s="40"/>
    </row>
    <row r="30" spans="2:19" x14ac:dyDescent="0.35">
      <c r="L30" s="9"/>
      <c r="N30" s="32"/>
      <c r="O30" s="32"/>
      <c r="P30" s="32"/>
      <c r="Q30" s="32"/>
      <c r="R30" s="32"/>
      <c r="S30" s="32"/>
    </row>
    <row r="33" spans="2:6" x14ac:dyDescent="0.35">
      <c r="B33" s="4" t="s">
        <v>54</v>
      </c>
      <c r="C33" s="9">
        <f>(SUMIF(C4:C27,"=Full Storage",F4:F27)/(0.65*C35))</f>
        <v>153.84615384615384</v>
      </c>
    </row>
    <row r="34" spans="2:6" x14ac:dyDescent="0.35">
      <c r="B34" s="4" t="s">
        <v>53</v>
      </c>
      <c r="C34" s="23">
        <f>I28</f>
        <v>8199.9999999999982</v>
      </c>
      <c r="D34" s="30"/>
    </row>
    <row r="35" spans="2:6" x14ac:dyDescent="0.35">
      <c r="B35" s="4" t="s">
        <v>7</v>
      </c>
      <c r="C35">
        <f>COUNTIF($C$4:$C$27,"=Icemaking")</f>
        <v>9</v>
      </c>
    </row>
    <row r="36" spans="2:6" x14ac:dyDescent="0.35">
      <c r="B36" s="4" t="s">
        <v>8</v>
      </c>
      <c r="C36">
        <f>COUNTIFS($C$4:$C$27,"=Partial Storage",$I$4:$I$27,"&gt;0")</f>
        <v>13</v>
      </c>
    </row>
    <row r="37" spans="2:6" x14ac:dyDescent="0.35">
      <c r="B37" s="4" t="s">
        <v>60</v>
      </c>
      <c r="C37" s="31">
        <f>AVERAGEIF(I4:I27,"&gt;0")/MAX(I4:I27)</f>
        <v>0.74545454545454526</v>
      </c>
    </row>
    <row r="38" spans="2:6" x14ac:dyDescent="0.35">
      <c r="B38" s="4" t="s">
        <v>61</v>
      </c>
      <c r="C38" s="9">
        <f>C35*C37</f>
        <v>6.7090909090909072</v>
      </c>
    </row>
    <row r="39" spans="2:6" x14ac:dyDescent="0.35">
      <c r="B39" s="4" t="s">
        <v>55</v>
      </c>
      <c r="C39">
        <f>C34/(C36+(0.65*C38))</f>
        <v>472.32549615122787</v>
      </c>
    </row>
    <row r="40" spans="2:6" x14ac:dyDescent="0.35">
      <c r="B40" s="4" t="s">
        <v>14</v>
      </c>
      <c r="C40" s="10">
        <f>C39*0.65*9</f>
        <v>2763.1041524846828</v>
      </c>
      <c r="D40" s="5"/>
    </row>
    <row r="41" spans="2:6" x14ac:dyDescent="0.35">
      <c r="B41" s="58" t="s">
        <v>70</v>
      </c>
      <c r="D41" s="7"/>
    </row>
    <row r="42" spans="2:6" x14ac:dyDescent="0.35">
      <c r="B42" s="4" t="s">
        <v>69</v>
      </c>
      <c r="C42" s="59">
        <f>MAX(D4:D27)</f>
        <v>200</v>
      </c>
    </row>
    <row r="43" spans="2:6" x14ac:dyDescent="0.35">
      <c r="B43" s="4" t="s">
        <v>68</v>
      </c>
      <c r="C43" s="60">
        <f>ROUNDUP(C33+C39,0)</f>
        <v>627</v>
      </c>
    </row>
    <row r="44" spans="2:6" x14ac:dyDescent="0.35">
      <c r="B44" s="62" t="s">
        <v>71</v>
      </c>
      <c r="C44" s="61">
        <f>ROUNDUP(C40/145,0)</f>
        <v>20</v>
      </c>
      <c r="D44" s="10"/>
      <c r="E44" s="8"/>
      <c r="F44" s="8"/>
    </row>
    <row r="45" spans="2:6" x14ac:dyDescent="0.35">
      <c r="B45" s="4"/>
    </row>
    <row r="46" spans="2:6" x14ac:dyDescent="0.35">
      <c r="B46" s="4"/>
    </row>
    <row r="47" spans="2:6" x14ac:dyDescent="0.35">
      <c r="B47" s="4"/>
      <c r="C47" s="10"/>
      <c r="D47" s="9"/>
    </row>
    <row r="48" spans="2:6" x14ac:dyDescent="0.35">
      <c r="B48" s="4"/>
      <c r="D48" s="9"/>
    </row>
    <row r="49" spans="1:6" x14ac:dyDescent="0.35">
      <c r="B49" s="4"/>
    </row>
    <row r="50" spans="1:6" x14ac:dyDescent="0.35">
      <c r="A50" s="41"/>
      <c r="B50" s="42"/>
      <c r="C50" s="43"/>
      <c r="D50" s="22"/>
    </row>
    <row r="51" spans="1:6" x14ac:dyDescent="0.35">
      <c r="A51" s="41"/>
      <c r="B51" s="42"/>
      <c r="C51" s="43"/>
      <c r="D51" s="9"/>
      <c r="E51" s="18"/>
      <c r="F51" s="18"/>
    </row>
    <row r="52" spans="1:6" x14ac:dyDescent="0.35">
      <c r="A52" s="41"/>
      <c r="B52" s="42"/>
      <c r="C52" s="41"/>
    </row>
    <row r="53" spans="1:6" x14ac:dyDescent="0.35">
      <c r="A53" s="41"/>
      <c r="B53" s="42"/>
      <c r="C53" s="22"/>
      <c r="D53" s="9"/>
    </row>
    <row r="54" spans="1:6" x14ac:dyDescent="0.35">
      <c r="A54" s="41"/>
      <c r="B54" s="17"/>
      <c r="C54" s="43"/>
    </row>
    <row r="55" spans="1:6" x14ac:dyDescent="0.35">
      <c r="A55" s="41"/>
      <c r="B55" s="17"/>
      <c r="C55" s="41"/>
    </row>
    <row r="56" spans="1:6" x14ac:dyDescent="0.35">
      <c r="B56" s="17"/>
      <c r="C56" s="9"/>
    </row>
    <row r="57" spans="1:6" x14ac:dyDescent="0.35">
      <c r="B57" s="17"/>
    </row>
    <row r="58" spans="1:6" x14ac:dyDescent="0.35">
      <c r="B58" s="17"/>
    </row>
  </sheetData>
  <dataValidations count="1">
    <dataValidation type="list" allowBlank="1" showInputMessage="1" showErrorMessage="1" sqref="C4:C27">
      <formula1>$AC$1:$AC$4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v2</vt:lpstr>
      <vt:lpstr>v3</vt:lpstr>
      <vt:lpstr>v4</vt:lpstr>
      <vt:lpstr>v4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Berger</dc:creator>
  <cp:lastModifiedBy>Evan Berger</cp:lastModifiedBy>
  <dcterms:created xsi:type="dcterms:W3CDTF">2016-07-15T15:19:38Z</dcterms:created>
  <dcterms:modified xsi:type="dcterms:W3CDTF">2016-08-10T20:26:56Z</dcterms:modified>
</cp:coreProperties>
</file>